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xl" lastEdited="7" lowestEdited="4" rupBuild="26626" codeName="{B7FE6334-C1A2-E50D-BD3D-5F4D41BBC2E3}"/>
  <workbookPr codeName="ThisWorkbook" defaultThemeVersion="124226"/>
  <bookViews>
    <workbookView xWindow="-120" yWindow="-120" windowWidth="20730" windowHeight="11040" tabRatio="940" firstSheet="34" activeTab="36"/>
  </bookViews>
  <sheets>
    <sheet sheetId="1" state="veryHidden" r:id="rId1" name="Caratula"/>
    <sheet sheetId="2" state="veryHidden" r:id="rId2" name="Accionistas"/>
    <sheet sheetId="3" state="veryHidden" r:id="rId3" name="Juntas"/>
    <sheet sheetId="57" state="veryHidden" r:id="rId4" name="BalancesAnuales"/>
    <sheet sheetId="56" state="veryHidden" r:id="rId5" name="BalancesMensuales"/>
    <sheet sheetId="55" state="veryHidden" r:id="rId6" name="NotasFinancieras"/>
    <sheet sheetId="54" state="veryHidden" r:id="rId7" name="NitAnioNIIF"/>
    <sheet sheetId="53" state="veryHidden" r:id="rId8" name="Validacion"/>
    <sheet sheetId="52" state="veryHidden" r:id="rId9" name="Sube"/>
    <sheet sheetId="51" state="veryHidden" r:id="rId10" name="Fortalezas"/>
    <sheet sheetId="50" state="veryHidden" r:id="rId11" name="BalancesAnuales1"/>
    <sheet sheetId="49" state="veryHidden" r:id="rId12" name="BalancesMensuales1"/>
    <sheet sheetId="48" state="veryHidden" r:id="rId13" name="Caratula1"/>
    <sheet sheetId="47" state="veryHidden" r:id="rId14" name="NitAnioNIIF1"/>
    <sheet sheetId="46" state="veryHidden" r:id="rId15" name="Ejecutivos1"/>
    <sheet sheetId="45" state="veryHidden" r:id="rId16" name="Accionistas1"/>
    <sheet sheetId="44" state="veryHidden" r:id="rId17" name="GarantiasEmpXRib"/>
    <sheet sheetId="43" state="veryHidden" r:id="rId18" name="CPagoExternoHist"/>
    <sheet sheetId="42" state="veryHidden" r:id="rId19" name="CPagoExternoPeriodos"/>
    <sheet sheetId="41" state="veryHidden" r:id="rId20" name="OperacionesEmpXRib"/>
    <sheet sheetId="40" state="veryHidden" r:id="rId21" name="PresenciaCliente"/>
    <sheet sheetId="39" state="veryHidden" r:id="rId22" name="InstalacionesxEmpXRib"/>
    <sheet sheetId="38" state="veryHidden" r:id="rId23" name="CompetidoresRib"/>
    <sheet sheetId="37" state="veryHidden" r:id="rId24" name="ProveedoresRib"/>
    <sheet sheetId="36" state="veryHidden" r:id="rId25" name="ClientesRIB"/>
    <sheet sheetId="35" state="veryHidden" r:id="rId26" name="ProductosRIB"/>
    <sheet sheetId="34" state="veryHidden" r:id="rId27" name="InformacionRIB"/>
    <sheet sheetId="33" state="veryHidden" r:id="rId28" name="NotasFinancieras1"/>
    <sheet sheetId="32" state="veryHidden" r:id="rId29" name="OperacionesEmpXRibSUBE"/>
    <sheet sheetId="31" state="veryHidden" r:id="rId30" name="LimPropuestosCRED"/>
    <sheet sheetId="30" state="veryHidden" r:id="rId31" name="GarantiaPresentacion"/>
    <sheet sheetId="29" state="veryHidden" r:id="rId32" name="GarantiasEmpXRibSube"/>
    <sheet sheetId="28" state="veryHidden" r:id="rId33" name="Valida_Trabajo"/>
    <sheet sheetId="27" r:id="rId34" name="RC"/>
    <sheet sheetId="26" r:id="rId35" name="Presentación"/>
    <sheet sheetId="25" r:id="rId36" name="Accionistas y Juntas"/>
    <sheet sheetId="23" r:id="rId37" name="Estados Financieros"/>
    <sheet sheetId="58" r:id="rId38" name="Validación CR"/>
    <sheet sheetId="22" r:id="rId39" name="Resumen"/>
    <sheet sheetId="21" r:id="rId40" name="Proyecciones Primer Año"/>
    <sheet sheetId="20" r:id="rId41" name="Balances y Proyecciones"/>
    <sheet sheetId="19" r:id="rId42" name="Hoja de Trabajo"/>
    <sheet sheetId="18" r:id="rId43" name="CIFIN"/>
    <sheet sheetId="17" r:id="rId44" name="Hoja de Estudio"/>
    <sheet sheetId="16" r:id="rId45" name="Flujo de Caja Proyecto"/>
    <sheet sheetId="15" r:id="rId46" name="Endeudamien_to"/>
  </sheets>
  <definedNames>
    <definedName name="_xlnm.Print_Area">Presentación!$A$2:$N$35</definedName>
  </definedNames>
  <calcPr calcId="181029" fullCalcOnLoad="true"/>
</workbook>
</file>

<file path=xl/calcChain.xml><?xml version="1.0" encoding="utf-8"?>
<calcChain xmlns="http://schemas.openxmlformats.org/spreadsheetml/2006/main">
  <c r="B3" i="26" l="1"/>
  <c r="B4" i="26"/>
  <c r="U452" i="23" l="1"/>
  <c r="U368" i="23"/>
  <c r="U359" i="23"/>
  <c r="U349" i="23"/>
  <c r="U321" i="23"/>
  <c r="U294" i="23"/>
  <c r="U293" i="23"/>
  <c r="U292" i="23"/>
  <c r="U291" i="23"/>
  <c r="U290" i="23"/>
  <c r="U289" i="23"/>
  <c r="U252" i="23"/>
  <c r="U251" i="23"/>
  <c r="U225" i="23"/>
  <c r="U224" i="23"/>
  <c r="U223" i="23"/>
  <c r="U222" i="23"/>
  <c r="U221" i="23"/>
  <c r="U220" i="23"/>
  <c r="U213" i="23"/>
  <c r="U175" i="23"/>
  <c r="U133" i="23"/>
  <c r="U89" i="23"/>
  <c r="U87" i="23"/>
  <c r="U82" i="23"/>
  <c r="U72" i="23"/>
  <c r="U71" i="23"/>
  <c r="U70" i="23"/>
  <c r="U68" i="23"/>
  <c r="U60" i="23"/>
  <c r="U59" i="23"/>
  <c r="U58" i="23"/>
  <c r="G25" i="26" l="1"/>
  <c r="F2" i="1" s="1"/>
  <c r="E9" i="23"/>
  <c r="C14" i="20" l="1"/>
  <c r="C5" i="22"/>
  <c r="C7" i="19"/>
  <c r="E9" i="58"/>
  <c r="AJ2028" i="51" l="1"/>
  <c r="AI2028" i="51"/>
  <c r="AH2028" i="51"/>
  <c r="AG2028" i="51"/>
  <c r="AF2028" i="51"/>
  <c r="AE2028" i="51"/>
  <c r="AJ2027" i="51"/>
  <c r="AI2027" i="51"/>
  <c r="AH2027" i="51"/>
  <c r="AG2027" i="51"/>
  <c r="AF2027" i="51"/>
  <c r="AE2027" i="51"/>
  <c r="AJ2026" i="51"/>
  <c r="AI2026" i="51"/>
  <c r="AH2026" i="51"/>
  <c r="AG2026" i="51"/>
  <c r="AF2026" i="51"/>
  <c r="AE2026" i="51"/>
  <c r="AJ2025" i="51"/>
  <c r="AI2025" i="51"/>
  <c r="AH2025" i="51"/>
  <c r="AG2025" i="51"/>
  <c r="AF2025" i="51"/>
  <c r="AE2025" i="51"/>
  <c r="AJ2024" i="51"/>
  <c r="AI2024" i="51"/>
  <c r="AH2024" i="51"/>
  <c r="AG2024" i="51"/>
  <c r="AF2024" i="51"/>
  <c r="AE2024" i="51"/>
  <c r="AJ2023" i="51"/>
  <c r="AI2023" i="51"/>
  <c r="AH2023" i="51"/>
  <c r="AG2023" i="51"/>
  <c r="AF2023" i="51"/>
  <c r="AE2023" i="51"/>
  <c r="AJ2022" i="51"/>
  <c r="AI2022" i="51"/>
  <c r="AH2022" i="51"/>
  <c r="AG2022" i="51"/>
  <c r="AF2022" i="51"/>
  <c r="AE2022" i="51"/>
  <c r="AJ2021" i="51"/>
  <c r="AI2021" i="51"/>
  <c r="AH2021" i="51"/>
  <c r="AG2021" i="51"/>
  <c r="AF2021" i="51"/>
  <c r="AE2021" i="51"/>
  <c r="AJ2020" i="51"/>
  <c r="AI2020" i="51"/>
  <c r="AH2020" i="51"/>
  <c r="AG2020" i="51"/>
  <c r="AF2020" i="51"/>
  <c r="AE2020" i="51"/>
  <c r="AJ2019" i="51"/>
  <c r="AI2019" i="51"/>
  <c r="AH2019" i="51"/>
  <c r="AG2019" i="51"/>
  <c r="AF2019" i="51"/>
  <c r="AE2019" i="51"/>
  <c r="AJ2018" i="51"/>
  <c r="AI2018" i="51"/>
  <c r="AH2018" i="51"/>
  <c r="AG2018" i="51"/>
  <c r="AF2018" i="51"/>
  <c r="AE2018" i="51"/>
  <c r="AJ2017" i="51"/>
  <c r="AI2017" i="51"/>
  <c r="AH2017" i="51"/>
  <c r="AG2017" i="51"/>
  <c r="AF2017" i="51"/>
  <c r="AE2017" i="51"/>
  <c r="AJ2016" i="51"/>
  <c r="AI2016" i="51"/>
  <c r="AH2016" i="51"/>
  <c r="AG2016" i="51"/>
  <c r="AF2016" i="51"/>
  <c r="AE2016" i="51"/>
  <c r="AJ2015" i="51"/>
  <c r="AI2015" i="51"/>
  <c r="AH2015" i="51"/>
  <c r="AG2015" i="51"/>
  <c r="AF2015" i="51"/>
  <c r="AE2015" i="51"/>
  <c r="AJ2014" i="51"/>
  <c r="AI2014" i="51"/>
  <c r="AH2014" i="51"/>
  <c r="AG2014" i="51"/>
  <c r="AF2014" i="51"/>
  <c r="AE2014" i="51"/>
  <c r="AJ2013" i="51"/>
  <c r="AI2013" i="51"/>
  <c r="AH2013" i="51"/>
  <c r="AG2013" i="51"/>
  <c r="AF2013" i="51"/>
  <c r="AE2013" i="51"/>
  <c r="AJ2012" i="51"/>
  <c r="AI2012" i="51"/>
  <c r="AH2012" i="51"/>
  <c r="AG2012" i="51"/>
  <c r="AF2012" i="51"/>
  <c r="AE2012" i="51"/>
  <c r="AJ2011" i="51"/>
  <c r="AI2011" i="51"/>
  <c r="AH2011" i="51"/>
  <c r="AG2011" i="51"/>
  <c r="AF2011" i="51"/>
  <c r="AE2011" i="51"/>
  <c r="AJ2010" i="51"/>
  <c r="AI2010" i="51"/>
  <c r="AH2010" i="51"/>
  <c r="AG2010" i="51"/>
  <c r="AF2010" i="51"/>
  <c r="AE2010" i="51"/>
  <c r="AC673" i="51"/>
  <c r="AB673" i="51"/>
  <c r="AA673" i="51"/>
  <c r="AC672" i="51"/>
  <c r="AB672" i="51"/>
  <c r="AA672" i="51"/>
  <c r="AC671" i="51"/>
  <c r="AB671" i="51"/>
  <c r="AA671" i="51"/>
  <c r="AC670" i="51"/>
  <c r="AB670" i="51"/>
  <c r="AA670" i="51"/>
  <c r="AC669" i="51"/>
  <c r="AB669" i="51"/>
  <c r="AA669" i="51"/>
  <c r="AC668" i="51"/>
  <c r="AB668" i="51"/>
  <c r="AA668" i="51"/>
  <c r="AC667" i="51"/>
  <c r="AB667" i="51"/>
  <c r="AA667" i="51"/>
  <c r="AC666" i="51"/>
  <c r="AB666" i="51"/>
  <c r="AA666" i="51"/>
  <c r="AC665" i="51"/>
  <c r="AB665" i="51"/>
  <c r="AA665" i="51"/>
  <c r="AC664" i="51"/>
  <c r="AB664" i="51"/>
  <c r="AA664" i="51"/>
  <c r="AC663" i="51"/>
  <c r="AB663" i="51"/>
  <c r="AA663" i="51"/>
  <c r="AC662" i="51"/>
  <c r="AB662" i="51"/>
  <c r="AA662" i="51"/>
  <c r="AC661" i="51"/>
  <c r="AB661" i="51"/>
  <c r="AA661" i="51"/>
  <c r="AC660" i="51"/>
  <c r="AB660" i="51"/>
  <c r="AA660" i="51"/>
  <c r="AC659" i="51"/>
  <c r="AB659" i="51"/>
  <c r="AA659" i="51"/>
  <c r="AC658" i="51"/>
  <c r="AB658" i="51"/>
  <c r="AA658" i="51"/>
  <c r="AC657" i="51"/>
  <c r="AB657" i="51"/>
  <c r="AA657" i="51"/>
  <c r="AC656" i="51"/>
  <c r="AB656" i="51"/>
  <c r="AA656" i="51"/>
  <c r="AC655" i="51"/>
  <c r="AB655" i="51"/>
  <c r="AA655" i="51"/>
  <c r="AC654" i="51"/>
  <c r="AB654" i="51"/>
  <c r="AA654" i="51"/>
  <c r="AC653" i="51"/>
  <c r="AB653" i="51"/>
  <c r="AA653" i="51"/>
  <c r="AC652" i="51"/>
  <c r="AB652" i="51"/>
  <c r="AA652" i="51"/>
  <c r="AC651" i="51"/>
  <c r="AB651" i="51"/>
  <c r="AA651" i="51"/>
  <c r="AC650" i="51"/>
  <c r="AB650" i="51"/>
  <c r="AA650" i="51"/>
  <c r="AC649" i="51"/>
  <c r="AB649" i="51"/>
  <c r="AA649" i="51"/>
  <c r="AC648" i="51"/>
  <c r="AB648" i="51"/>
  <c r="AA648" i="51"/>
  <c r="AC647" i="51"/>
  <c r="AB647" i="51"/>
  <c r="AA647" i="51"/>
  <c r="AC646" i="51"/>
  <c r="AB646" i="51"/>
  <c r="AA646" i="51"/>
  <c r="AC645" i="51"/>
  <c r="AB645" i="51"/>
  <c r="AA645" i="51"/>
  <c r="AC644" i="51"/>
  <c r="AB644" i="51"/>
  <c r="AA644" i="51"/>
  <c r="AC643" i="51"/>
  <c r="AB643" i="51"/>
  <c r="AA643" i="51"/>
  <c r="AC642" i="51"/>
  <c r="AB642" i="51"/>
  <c r="AA642" i="51"/>
  <c r="AC641" i="51"/>
  <c r="AB641" i="51"/>
  <c r="AA641" i="51"/>
  <c r="AC640" i="51"/>
  <c r="AB640" i="51"/>
  <c r="AA640" i="51"/>
  <c r="AC639" i="51"/>
  <c r="AB639" i="51"/>
  <c r="AA639" i="51"/>
  <c r="AC638" i="51"/>
  <c r="AB638" i="51"/>
  <c r="AA638" i="51"/>
  <c r="AC637" i="51"/>
  <c r="AB637" i="51"/>
  <c r="AA637" i="51"/>
  <c r="AC636" i="51"/>
  <c r="AB636" i="51"/>
  <c r="AA636" i="51"/>
  <c r="AC635" i="51"/>
  <c r="AB635" i="51"/>
  <c r="AA635" i="51"/>
  <c r="AC634" i="51"/>
  <c r="AB634" i="51"/>
  <c r="AA634" i="51"/>
  <c r="AC633" i="51"/>
  <c r="AB633" i="51"/>
  <c r="AA633" i="51"/>
  <c r="AC632" i="51"/>
  <c r="AB632" i="51"/>
  <c r="AA632" i="51"/>
  <c r="AC631" i="51"/>
  <c r="AB631" i="51"/>
  <c r="AA631" i="51"/>
  <c r="AC630" i="51"/>
  <c r="AB630" i="51"/>
  <c r="AA630" i="51"/>
  <c r="AC629" i="51"/>
  <c r="AB629" i="51"/>
  <c r="AA629" i="51"/>
  <c r="AC628" i="51"/>
  <c r="AB628" i="51"/>
  <c r="AA628" i="51"/>
  <c r="AC627" i="51"/>
  <c r="AB627" i="51"/>
  <c r="AA627" i="51"/>
  <c r="AC626" i="51"/>
  <c r="AB626" i="51"/>
  <c r="AA626" i="51"/>
  <c r="AC625" i="51"/>
  <c r="AB625" i="51"/>
  <c r="AA625" i="51"/>
  <c r="AC624" i="51"/>
  <c r="AB624" i="51"/>
  <c r="AA624" i="51"/>
  <c r="AC623" i="51"/>
  <c r="AB623" i="51"/>
  <c r="AA623" i="51"/>
  <c r="AC622" i="51"/>
  <c r="AB622" i="51"/>
  <c r="AA622" i="51"/>
  <c r="AC621" i="51"/>
  <c r="AB621" i="51"/>
  <c r="AA621" i="51"/>
  <c r="AC620" i="51"/>
  <c r="AB620" i="51"/>
  <c r="AA620" i="51"/>
  <c r="AC619" i="51"/>
  <c r="AB619" i="51"/>
  <c r="AA619" i="51"/>
  <c r="AC618" i="51"/>
  <c r="AB618" i="51"/>
  <c r="AA618" i="51"/>
  <c r="AC617" i="51"/>
  <c r="AB617" i="51"/>
  <c r="AA617" i="51"/>
  <c r="AC616" i="51"/>
  <c r="AB616" i="51"/>
  <c r="AA616" i="51"/>
  <c r="AC615" i="51"/>
  <c r="AB615" i="51"/>
  <c r="AA615" i="51"/>
  <c r="AC614" i="51"/>
  <c r="AB614" i="51"/>
  <c r="AA614" i="51"/>
  <c r="AC613" i="51"/>
  <c r="AB613" i="51"/>
  <c r="AA613" i="51"/>
  <c r="AC612" i="51"/>
  <c r="AB612" i="51"/>
  <c r="AA612" i="51"/>
  <c r="AC611" i="51"/>
  <c r="AB611" i="51"/>
  <c r="AA611" i="51"/>
  <c r="AC610" i="51"/>
  <c r="AB610" i="51"/>
  <c r="AA610" i="51"/>
  <c r="AC609" i="51"/>
  <c r="AB609" i="51"/>
  <c r="AA609" i="51"/>
  <c r="AC608" i="51"/>
  <c r="AB608" i="51"/>
  <c r="AA608" i="51"/>
  <c r="AC607" i="51"/>
  <c r="AB607" i="51"/>
  <c r="AA607" i="51"/>
  <c r="AC606" i="51"/>
  <c r="AB606" i="51"/>
  <c r="AA606" i="51"/>
  <c r="AC605" i="51"/>
  <c r="AB605" i="51"/>
  <c r="AA605" i="51"/>
  <c r="AC604" i="51"/>
  <c r="AB604" i="51"/>
  <c r="AA604" i="51"/>
  <c r="AC603" i="51"/>
  <c r="AB603" i="51"/>
  <c r="AA603" i="51"/>
  <c r="AC602" i="51"/>
  <c r="AB602" i="51"/>
  <c r="AA602" i="51"/>
  <c r="AC601" i="51"/>
  <c r="AB601" i="51"/>
  <c r="AA601" i="51"/>
  <c r="AC600" i="51"/>
  <c r="AB600" i="51"/>
  <c r="AA600" i="51"/>
  <c r="AC599" i="51"/>
  <c r="AB599" i="51"/>
  <c r="AA599" i="51"/>
  <c r="AC598" i="51"/>
  <c r="AB598" i="51"/>
  <c r="AA598" i="51"/>
  <c r="AC597" i="51"/>
  <c r="AB597" i="51"/>
  <c r="AA597" i="51"/>
  <c r="AC596" i="51"/>
  <c r="AB596" i="51"/>
  <c r="AA596" i="51"/>
  <c r="AC595" i="51"/>
  <c r="AB595" i="51"/>
  <c r="AA595" i="51"/>
  <c r="AC594" i="51"/>
  <c r="AB594" i="51"/>
  <c r="AA594" i="51"/>
  <c r="AC593" i="51"/>
  <c r="AB593" i="51"/>
  <c r="AA593" i="51"/>
  <c r="AC592" i="51"/>
  <c r="AB592" i="51"/>
  <c r="AA592" i="51"/>
  <c r="AC591" i="51"/>
  <c r="AB591" i="51"/>
  <c r="AA591" i="51"/>
  <c r="AC590" i="51"/>
  <c r="AB590" i="51"/>
  <c r="AA590" i="51"/>
  <c r="AC589" i="51"/>
  <c r="AB589" i="51"/>
  <c r="AA589" i="51"/>
  <c r="AC588" i="51"/>
  <c r="AB588" i="51"/>
  <c r="AA588" i="51"/>
  <c r="AC587" i="51"/>
  <c r="AB587" i="51"/>
  <c r="AA587" i="51"/>
  <c r="AC586" i="51"/>
  <c r="AB586" i="51"/>
  <c r="AA586" i="51"/>
  <c r="AC585" i="51"/>
  <c r="AB585" i="51"/>
  <c r="AA585" i="51"/>
  <c r="AC584" i="51"/>
  <c r="AB584" i="51"/>
  <c r="AA584" i="51"/>
  <c r="AC583" i="51"/>
  <c r="AB583" i="51"/>
  <c r="AA583" i="51"/>
  <c r="AC582" i="51"/>
  <c r="AB582" i="51"/>
  <c r="AA582" i="51"/>
  <c r="AC581" i="51"/>
  <c r="AB581" i="51"/>
  <c r="AA581" i="51"/>
  <c r="AC580" i="51"/>
  <c r="AB580" i="51"/>
  <c r="AA580" i="51"/>
  <c r="AC579" i="51"/>
  <c r="AB579" i="51"/>
  <c r="AA579" i="51"/>
  <c r="AC578" i="51"/>
  <c r="AB578" i="51"/>
  <c r="AA578" i="51"/>
  <c r="AC577" i="51"/>
  <c r="AB577" i="51"/>
  <c r="AA577" i="51"/>
  <c r="AC576" i="51"/>
  <c r="AB576" i="51"/>
  <c r="AA576" i="51"/>
  <c r="AC575" i="51"/>
  <c r="AB575" i="51"/>
  <c r="AA575" i="51"/>
  <c r="AC574" i="51"/>
  <c r="AB574" i="51"/>
  <c r="AA574" i="51"/>
  <c r="AC573" i="51"/>
  <c r="AB573" i="51"/>
  <c r="AA573" i="51"/>
  <c r="AC572" i="51"/>
  <c r="AB572" i="51"/>
  <c r="AA572" i="51"/>
  <c r="AC571" i="51"/>
  <c r="AB571" i="51"/>
  <c r="AA571" i="51"/>
  <c r="AC570" i="51"/>
  <c r="AB570" i="51"/>
  <c r="AA570" i="51"/>
  <c r="AC569" i="51"/>
  <c r="AB569" i="51"/>
  <c r="AA569" i="51"/>
  <c r="AC568" i="51"/>
  <c r="AB568" i="51"/>
  <c r="AA568" i="51"/>
  <c r="AC567" i="51"/>
  <c r="AB567" i="51"/>
  <c r="AA567" i="51"/>
  <c r="AC566" i="51"/>
  <c r="AB566" i="51"/>
  <c r="AA566" i="51"/>
  <c r="AC565" i="51"/>
  <c r="AB565" i="51"/>
  <c r="AA565" i="51"/>
  <c r="AC564" i="51"/>
  <c r="AB564" i="51"/>
  <c r="AA564" i="51"/>
  <c r="AC563" i="51"/>
  <c r="AB563" i="51"/>
  <c r="AA563" i="51"/>
  <c r="AC562" i="51"/>
  <c r="AB562" i="51"/>
  <c r="AA562" i="51"/>
  <c r="AC561" i="51"/>
  <c r="AB561" i="51"/>
  <c r="AA561" i="51"/>
  <c r="AC560" i="51"/>
  <c r="AB560" i="51"/>
  <c r="AA560" i="51"/>
  <c r="AC559" i="51"/>
  <c r="AB559" i="51"/>
  <c r="AA559" i="51"/>
  <c r="AC558" i="51"/>
  <c r="AB558" i="51"/>
  <c r="AA558" i="51"/>
  <c r="AC557" i="51"/>
  <c r="AB557" i="51"/>
  <c r="AA557" i="51"/>
  <c r="AC556" i="51"/>
  <c r="AB556" i="51"/>
  <c r="AA556" i="51"/>
  <c r="AC555" i="51"/>
  <c r="AB555" i="51"/>
  <c r="AA555" i="51"/>
  <c r="AC554" i="51"/>
  <c r="AB554" i="51"/>
  <c r="AA554" i="51"/>
  <c r="AC553" i="51"/>
  <c r="AB553" i="51"/>
  <c r="AA553" i="51"/>
  <c r="AC552" i="51"/>
  <c r="AB552" i="51"/>
  <c r="AA552" i="51"/>
  <c r="AC551" i="51"/>
  <c r="AB551" i="51"/>
  <c r="AA551" i="51"/>
  <c r="AC550" i="51"/>
  <c r="AB550" i="51"/>
  <c r="AA550" i="51"/>
  <c r="AC549" i="51"/>
  <c r="AB549" i="51"/>
  <c r="AA549" i="51"/>
  <c r="AC548" i="51"/>
  <c r="AB548" i="51"/>
  <c r="AA548" i="51"/>
  <c r="AC547" i="51"/>
  <c r="AB547" i="51"/>
  <c r="AA547" i="51"/>
  <c r="AC546" i="51"/>
  <c r="AB546" i="51"/>
  <c r="AA546" i="51"/>
  <c r="AC545" i="51"/>
  <c r="AB545" i="51"/>
  <c r="AA545" i="51"/>
  <c r="AC544" i="51"/>
  <c r="AB544" i="51"/>
  <c r="AA544" i="51"/>
  <c r="AC543" i="51"/>
  <c r="AB543" i="51"/>
  <c r="AA543" i="51"/>
  <c r="AC542" i="51"/>
  <c r="AB542" i="51"/>
  <c r="AA542" i="51"/>
  <c r="AC541" i="51"/>
  <c r="AB541" i="51"/>
  <c r="AA541" i="51"/>
  <c r="AC540" i="51"/>
  <c r="AB540" i="51"/>
  <c r="AA540" i="51"/>
  <c r="AC539" i="51"/>
  <c r="AB539" i="51"/>
  <c r="AA539" i="51"/>
  <c r="AC538" i="51"/>
  <c r="AB538" i="51"/>
  <c r="AA538" i="51"/>
  <c r="AC537" i="51"/>
  <c r="AB537" i="51"/>
  <c r="AA537" i="51"/>
  <c r="AC536" i="51"/>
  <c r="AB536" i="51"/>
  <c r="AA536" i="51"/>
  <c r="AC535" i="51"/>
  <c r="AB535" i="51"/>
  <c r="AA535" i="51"/>
  <c r="AC534" i="51"/>
  <c r="AB534" i="51"/>
  <c r="AA534" i="51"/>
  <c r="AC533" i="51"/>
  <c r="AB533" i="51"/>
  <c r="AA533" i="51"/>
  <c r="AC532" i="51"/>
  <c r="AB532" i="51"/>
  <c r="AA532" i="51"/>
  <c r="AC531" i="51"/>
  <c r="AB531" i="51"/>
  <c r="AA531" i="51"/>
  <c r="AC530" i="51"/>
  <c r="AB530" i="51"/>
  <c r="AA530" i="51"/>
  <c r="AC529" i="51"/>
  <c r="AB529" i="51"/>
  <c r="AA529" i="51"/>
  <c r="AC528" i="51"/>
  <c r="AB528" i="51"/>
  <c r="AA528" i="51"/>
  <c r="AC527" i="51"/>
  <c r="AB527" i="51"/>
  <c r="AA527" i="51"/>
  <c r="AC526" i="51"/>
  <c r="AB526" i="51"/>
  <c r="AA526" i="51"/>
  <c r="AC525" i="51"/>
  <c r="AB525" i="51"/>
  <c r="AA525" i="51"/>
  <c r="AC524" i="51"/>
  <c r="AB524" i="51"/>
  <c r="AA524" i="51"/>
  <c r="AC520" i="51"/>
  <c r="AB520" i="51"/>
  <c r="AA520" i="51"/>
  <c r="AC519" i="51"/>
  <c r="AB519" i="51"/>
  <c r="AA519" i="51"/>
  <c r="AC518" i="51"/>
  <c r="AB518" i="51"/>
  <c r="AA518" i="51"/>
  <c r="AC517" i="51"/>
  <c r="AB517" i="51"/>
  <c r="AA517" i="51"/>
  <c r="AC516" i="51"/>
  <c r="AB516" i="51"/>
  <c r="AA516" i="51"/>
  <c r="AC515" i="51"/>
  <c r="AB515" i="51"/>
  <c r="AA515" i="51"/>
  <c r="AC514" i="51"/>
  <c r="AB514" i="51"/>
  <c r="AA514" i="51"/>
  <c r="AC513" i="51"/>
  <c r="AB513" i="51"/>
  <c r="AA513" i="51"/>
  <c r="AC512" i="51"/>
  <c r="AB512" i="51"/>
  <c r="AA512" i="51"/>
  <c r="AC511" i="51"/>
  <c r="AB511" i="51"/>
  <c r="AA511" i="51"/>
  <c r="AC510" i="51"/>
  <c r="AB510" i="51"/>
  <c r="AA510" i="51"/>
  <c r="AC509" i="51"/>
  <c r="AB509" i="51"/>
  <c r="AA509" i="51"/>
  <c r="AC508" i="51"/>
  <c r="AB508" i="51"/>
  <c r="AA508" i="51"/>
  <c r="AC507" i="51"/>
  <c r="AB507" i="51"/>
  <c r="AA507" i="51"/>
  <c r="AC506" i="51"/>
  <c r="AB506" i="51"/>
  <c r="AA506" i="51"/>
  <c r="AC505" i="51"/>
  <c r="AB505" i="51"/>
  <c r="AA505" i="51"/>
  <c r="AC504" i="51"/>
  <c r="AB504" i="51"/>
  <c r="AA504" i="51"/>
  <c r="AC503" i="51"/>
  <c r="AB503" i="51"/>
  <c r="AA503" i="51"/>
  <c r="AC502" i="51"/>
  <c r="AB502" i="51"/>
  <c r="AA502" i="51"/>
  <c r="AC501" i="51"/>
  <c r="AB501" i="51"/>
  <c r="AA501" i="51"/>
  <c r="AC500" i="51"/>
  <c r="AB500" i="51"/>
  <c r="AA500" i="51"/>
  <c r="AC499" i="51"/>
  <c r="AB499" i="51"/>
  <c r="AA499" i="51"/>
  <c r="AC498" i="51"/>
  <c r="AB498" i="51"/>
  <c r="AA498" i="51"/>
  <c r="AC497" i="51"/>
  <c r="AB497" i="51"/>
  <c r="AA497" i="51"/>
  <c r="AC496" i="51"/>
  <c r="AB496" i="51"/>
  <c r="AA496" i="51"/>
  <c r="AC495" i="51"/>
  <c r="AB495" i="51"/>
  <c r="AA495" i="51"/>
  <c r="AC494" i="51"/>
  <c r="AB494" i="51"/>
  <c r="AA494" i="51"/>
  <c r="AC493" i="51"/>
  <c r="AB493" i="51"/>
  <c r="AA493" i="51"/>
  <c r="AC492" i="51"/>
  <c r="AB492" i="51"/>
  <c r="AA492" i="51"/>
  <c r="AC491" i="51"/>
  <c r="AB491" i="51"/>
  <c r="AA491" i="51"/>
  <c r="AC490" i="51"/>
  <c r="AB490" i="51"/>
  <c r="AA490" i="51"/>
  <c r="AC489" i="51"/>
  <c r="AB489" i="51"/>
  <c r="AA489" i="51"/>
  <c r="AC488" i="51"/>
  <c r="AB488" i="51"/>
  <c r="AA488" i="51"/>
  <c r="AC487" i="51"/>
  <c r="AB487" i="51"/>
  <c r="AA487" i="51"/>
  <c r="AC486" i="51"/>
  <c r="AB486" i="51"/>
  <c r="AA486" i="51"/>
  <c r="AC485" i="51"/>
  <c r="AB485" i="51"/>
  <c r="AA485" i="51"/>
  <c r="AC484" i="51"/>
  <c r="AB484" i="51"/>
  <c r="AA484" i="51"/>
  <c r="AC483" i="51"/>
  <c r="AB483" i="51"/>
  <c r="AA483" i="51"/>
  <c r="AC482" i="51"/>
  <c r="AB482" i="51"/>
  <c r="AA482" i="51"/>
  <c r="AC481" i="51"/>
  <c r="AB481" i="51"/>
  <c r="AA481" i="51"/>
  <c r="AC480" i="51"/>
  <c r="AB480" i="51"/>
  <c r="AA480" i="51"/>
  <c r="AC479" i="51"/>
  <c r="AB479" i="51"/>
  <c r="AA479" i="51"/>
  <c r="AC478" i="51"/>
  <c r="AB478" i="51"/>
  <c r="AA478" i="51"/>
  <c r="AC477" i="51"/>
  <c r="AB477" i="51"/>
  <c r="AA477" i="51"/>
  <c r="AC476" i="51"/>
  <c r="AB476" i="51"/>
  <c r="AA476" i="51"/>
  <c r="AC475" i="51"/>
  <c r="AB475" i="51"/>
  <c r="AA475" i="51"/>
  <c r="AC474" i="51"/>
  <c r="AB474" i="51"/>
  <c r="AA474" i="51"/>
  <c r="AC473" i="51"/>
  <c r="AB473" i="51"/>
  <c r="AA473" i="51"/>
  <c r="AC472" i="51"/>
  <c r="AB472" i="51"/>
  <c r="AA472" i="51"/>
  <c r="AC471" i="51"/>
  <c r="AB471" i="51"/>
  <c r="AA471" i="51"/>
  <c r="AC470" i="51"/>
  <c r="AB470" i="51"/>
  <c r="AA470" i="51"/>
  <c r="AC469" i="51"/>
  <c r="AB469" i="51"/>
  <c r="AA469" i="51"/>
  <c r="AC468" i="51"/>
  <c r="AB468" i="51"/>
  <c r="AA468" i="51"/>
  <c r="AC467" i="51"/>
  <c r="AB467" i="51"/>
  <c r="AA467" i="51"/>
  <c r="AC466" i="51"/>
  <c r="AB466" i="51"/>
  <c r="AA466" i="51"/>
  <c r="AC465" i="51"/>
  <c r="AB465" i="51"/>
  <c r="AA465" i="51"/>
  <c r="AC464" i="51"/>
  <c r="AB464" i="51"/>
  <c r="AA464" i="51"/>
  <c r="AC463" i="51"/>
  <c r="AB463" i="51"/>
  <c r="AA463" i="51"/>
  <c r="AC462" i="51"/>
  <c r="AB462" i="51"/>
  <c r="AA462" i="51"/>
  <c r="AC461" i="51"/>
  <c r="AB461" i="51"/>
  <c r="AA461" i="51"/>
  <c r="AC460" i="51"/>
  <c r="AB460" i="51"/>
  <c r="AA460" i="51"/>
  <c r="AC459" i="51"/>
  <c r="AB459" i="51"/>
  <c r="AA459" i="51"/>
  <c r="AC458" i="51"/>
  <c r="AB458" i="51"/>
  <c r="AA458" i="51"/>
  <c r="AC457" i="51"/>
  <c r="AB457" i="51"/>
  <c r="AA457" i="51"/>
  <c r="AC456" i="51"/>
  <c r="AB456" i="51"/>
  <c r="AA456" i="51"/>
  <c r="AC455" i="51"/>
  <c r="AB455" i="51"/>
  <c r="AA455" i="51"/>
  <c r="AC454" i="51"/>
  <c r="AB454" i="51"/>
  <c r="AA454" i="51"/>
  <c r="AC453" i="51"/>
  <c r="AB453" i="51"/>
  <c r="AA453" i="51"/>
  <c r="AC452" i="51"/>
  <c r="AB452" i="51"/>
  <c r="AA452" i="51"/>
  <c r="AC451" i="51"/>
  <c r="AB451" i="51"/>
  <c r="AA451" i="51"/>
  <c r="AC450" i="51"/>
  <c r="AB450" i="51"/>
  <c r="AA450" i="51"/>
  <c r="AC449" i="51"/>
  <c r="AB449" i="51"/>
  <c r="AA449" i="51"/>
  <c r="AC448" i="51"/>
  <c r="AB448" i="51"/>
  <c r="AA448" i="51"/>
  <c r="AC447" i="51"/>
  <c r="AB447" i="51"/>
  <c r="AA447" i="51"/>
  <c r="AC446" i="51"/>
  <c r="AB446" i="51"/>
  <c r="AA446" i="51"/>
  <c r="AC445" i="51"/>
  <c r="AB445" i="51"/>
  <c r="AA445" i="51"/>
  <c r="AC444" i="51"/>
  <c r="AB444" i="51"/>
  <c r="AA444" i="51"/>
  <c r="AC443" i="51"/>
  <c r="AB443" i="51"/>
  <c r="AA443" i="51"/>
  <c r="AC442" i="51"/>
  <c r="AB442" i="51"/>
  <c r="AA442" i="51"/>
  <c r="AC441" i="51"/>
  <c r="AB441" i="51"/>
  <c r="AA441" i="51"/>
  <c r="AC440" i="51"/>
  <c r="AB440" i="51"/>
  <c r="AA440" i="51"/>
  <c r="AC439" i="51"/>
  <c r="AB439" i="51"/>
  <c r="AA439" i="51"/>
  <c r="AC438" i="51"/>
  <c r="AB438" i="51"/>
  <c r="AA438" i="51"/>
  <c r="AC437" i="51"/>
  <c r="AB437" i="51"/>
  <c r="AA437" i="51"/>
  <c r="AC436" i="51"/>
  <c r="AB436" i="51"/>
  <c r="AA436" i="51"/>
  <c r="AC435" i="51"/>
  <c r="AB435" i="51"/>
  <c r="AA435" i="51"/>
  <c r="AC434" i="51"/>
  <c r="AB434" i="51"/>
  <c r="AA434" i="51"/>
  <c r="AC433" i="51"/>
  <c r="AB433" i="51"/>
  <c r="AA433" i="51"/>
  <c r="AC432" i="51"/>
  <c r="AB432" i="51"/>
  <c r="AA432" i="51"/>
  <c r="AC431" i="51"/>
  <c r="AB431" i="51"/>
  <c r="AA431" i="51"/>
  <c r="AC430" i="51"/>
  <c r="AB430" i="51"/>
  <c r="AA430" i="51"/>
  <c r="AC429" i="51"/>
  <c r="AB429" i="51"/>
  <c r="AA429" i="51"/>
  <c r="AC428" i="51"/>
  <c r="AB428" i="51"/>
  <c r="AA428" i="51"/>
  <c r="AC427" i="51"/>
  <c r="AB427" i="51"/>
  <c r="AA427" i="51"/>
  <c r="AC426" i="51"/>
  <c r="AB426" i="51"/>
  <c r="AA426" i="51"/>
  <c r="AC425" i="51"/>
  <c r="AB425" i="51"/>
  <c r="AA425" i="51"/>
  <c r="AC424" i="51"/>
  <c r="AB424" i="51"/>
  <c r="AA424" i="51"/>
  <c r="AC423" i="51"/>
  <c r="AB423" i="51"/>
  <c r="AA423" i="51"/>
  <c r="AC422" i="51"/>
  <c r="AB422" i="51"/>
  <c r="AA422" i="51"/>
  <c r="AC421" i="51"/>
  <c r="AB421" i="51"/>
  <c r="AA421" i="51"/>
  <c r="AC420" i="51"/>
  <c r="AB420" i="51"/>
  <c r="AA420" i="51"/>
  <c r="AC419" i="51"/>
  <c r="AB419" i="51"/>
  <c r="AA419" i="51"/>
  <c r="AC418" i="51"/>
  <c r="AB418" i="51"/>
  <c r="AA418" i="51"/>
  <c r="AC417" i="51"/>
  <c r="AB417" i="51"/>
  <c r="AA417" i="51"/>
  <c r="AC416" i="51"/>
  <c r="AB416" i="51"/>
  <c r="AA416" i="51"/>
  <c r="AC415" i="51"/>
  <c r="AB415" i="51"/>
  <c r="AA415" i="51"/>
  <c r="AC414" i="51"/>
  <c r="AB414" i="51"/>
  <c r="AA414" i="51"/>
  <c r="AC413" i="51"/>
  <c r="AB413" i="51"/>
  <c r="AA413" i="51"/>
  <c r="AC412" i="51"/>
  <c r="AB412" i="51"/>
  <c r="AA412" i="51"/>
  <c r="AC411" i="51"/>
  <c r="AB411" i="51"/>
  <c r="AA411" i="51"/>
  <c r="AC410" i="51"/>
  <c r="AB410" i="51"/>
  <c r="AA410" i="51"/>
  <c r="AC409" i="51"/>
  <c r="AB409" i="51"/>
  <c r="AA409" i="51"/>
  <c r="AC408" i="51"/>
  <c r="AB408" i="51"/>
  <c r="AA408" i="51"/>
  <c r="AC407" i="51"/>
  <c r="AB407" i="51"/>
  <c r="AA407" i="51"/>
  <c r="AC406" i="51"/>
  <c r="AB406" i="51"/>
  <c r="AA406" i="51"/>
  <c r="AC405" i="51"/>
  <c r="AB405" i="51"/>
  <c r="AA405" i="51"/>
  <c r="AC404" i="51"/>
  <c r="AB404" i="51"/>
  <c r="AA404" i="51"/>
  <c r="AC403" i="51"/>
  <c r="AB403" i="51"/>
  <c r="AA403" i="51"/>
  <c r="AC402" i="51"/>
  <c r="AB402" i="51"/>
  <c r="AA402" i="51"/>
  <c r="AC401" i="51"/>
  <c r="AB401" i="51"/>
  <c r="AA401" i="51"/>
  <c r="AC400" i="51"/>
  <c r="AB400" i="51"/>
  <c r="AA400" i="51"/>
  <c r="AC399" i="51"/>
  <c r="AB399" i="51"/>
  <c r="AA399" i="51"/>
  <c r="AC398" i="51"/>
  <c r="AB398" i="51"/>
  <c r="AA398" i="51"/>
  <c r="AC397" i="51"/>
  <c r="AB397" i="51"/>
  <c r="AA397" i="51"/>
  <c r="AC396" i="51"/>
  <c r="AB396" i="51"/>
  <c r="AA396" i="51"/>
  <c r="AC395" i="51"/>
  <c r="AB395" i="51"/>
  <c r="AA395" i="51"/>
  <c r="AC394" i="51"/>
  <c r="AB394" i="51"/>
  <c r="AA394" i="51"/>
  <c r="AC393" i="51"/>
  <c r="AB393" i="51"/>
  <c r="AA393" i="51"/>
  <c r="AC392" i="51"/>
  <c r="AB392" i="51"/>
  <c r="AA392" i="51"/>
  <c r="AC391" i="51"/>
  <c r="AB391" i="51"/>
  <c r="AA391" i="51"/>
  <c r="H391" i="51"/>
  <c r="G391" i="51"/>
  <c r="F391" i="51"/>
  <c r="B391" i="51"/>
  <c r="A391" i="51"/>
  <c r="AC390" i="51"/>
  <c r="AB390" i="51"/>
  <c r="AA390" i="51"/>
  <c r="AC389" i="51"/>
  <c r="AB389" i="51"/>
  <c r="AA389" i="51"/>
  <c r="AC388" i="51"/>
  <c r="AB388" i="51"/>
  <c r="AA388" i="51"/>
  <c r="AC387" i="51"/>
  <c r="AB387" i="51"/>
  <c r="AA387" i="51"/>
  <c r="AC386" i="51"/>
  <c r="AB386" i="51"/>
  <c r="AA386" i="51"/>
  <c r="AC385" i="51"/>
  <c r="AB385" i="51"/>
  <c r="AA385" i="51"/>
  <c r="AC384" i="51"/>
  <c r="AB384" i="51"/>
  <c r="AA384" i="51"/>
  <c r="AC383" i="51"/>
  <c r="AB383" i="51"/>
  <c r="AA383" i="51"/>
  <c r="AC382" i="51"/>
  <c r="AB382" i="51"/>
  <c r="AA382" i="51"/>
  <c r="AC381" i="51"/>
  <c r="AB381" i="51"/>
  <c r="AA381" i="51"/>
  <c r="AC380" i="51"/>
  <c r="AB380" i="51"/>
  <c r="AA380" i="51"/>
  <c r="H380" i="51"/>
  <c r="G380" i="51"/>
  <c r="F380" i="51"/>
  <c r="C380" i="51"/>
  <c r="B380" i="51"/>
  <c r="A380" i="51"/>
  <c r="AC379" i="51"/>
  <c r="AB379" i="51"/>
  <c r="AA379" i="51"/>
  <c r="AC378" i="51"/>
  <c r="AB378" i="51"/>
  <c r="AA378" i="51"/>
  <c r="AC377" i="51"/>
  <c r="AB377" i="51"/>
  <c r="AA377" i="51"/>
  <c r="AC376" i="51"/>
  <c r="AB376" i="51"/>
  <c r="AA376" i="51"/>
  <c r="AC375" i="51"/>
  <c r="AB375" i="51"/>
  <c r="AA375" i="51"/>
  <c r="AC374" i="51"/>
  <c r="AB374" i="51"/>
  <c r="AA374" i="51"/>
  <c r="AC373" i="51"/>
  <c r="AB373" i="51"/>
  <c r="AA373" i="51"/>
  <c r="AC372" i="51"/>
  <c r="AB372" i="51"/>
  <c r="AA372" i="51"/>
  <c r="AC371" i="51"/>
  <c r="AB371" i="51"/>
  <c r="AA371" i="51"/>
  <c r="AC367" i="51"/>
  <c r="AB367" i="51"/>
  <c r="AA367" i="51"/>
  <c r="AC366" i="51"/>
  <c r="AB366" i="51"/>
  <c r="AA366" i="51"/>
  <c r="AC365" i="51"/>
  <c r="AB365" i="51"/>
  <c r="AA365" i="51"/>
  <c r="AC364" i="51"/>
  <c r="AB364" i="51"/>
  <c r="AA364" i="51"/>
  <c r="AC363" i="51"/>
  <c r="AB363" i="51"/>
  <c r="AA363" i="51"/>
  <c r="AC362" i="51"/>
  <c r="AB362" i="51"/>
  <c r="AA362" i="51"/>
  <c r="AC361" i="51"/>
  <c r="AB361" i="51"/>
  <c r="AA361" i="51"/>
  <c r="AC360" i="51"/>
  <c r="AB360" i="51"/>
  <c r="AA360" i="51"/>
  <c r="AC359" i="51"/>
  <c r="AB359" i="51"/>
  <c r="AA359" i="51"/>
  <c r="AC358" i="51"/>
  <c r="AB358" i="51"/>
  <c r="AA358" i="51"/>
  <c r="AC357" i="51"/>
  <c r="AB357" i="51"/>
  <c r="AA357" i="51"/>
  <c r="AC356" i="51"/>
  <c r="AB356" i="51"/>
  <c r="AA356" i="51"/>
  <c r="AC355" i="51"/>
  <c r="AB355" i="51"/>
  <c r="AA355" i="51"/>
  <c r="AC354" i="51"/>
  <c r="AB354" i="51"/>
  <c r="AA354" i="51"/>
  <c r="AC353" i="51"/>
  <c r="AB353" i="51"/>
  <c r="AA353" i="51"/>
  <c r="AC352" i="51"/>
  <c r="AB352" i="51"/>
  <c r="AA352" i="51"/>
  <c r="AC351" i="51"/>
  <c r="AB351" i="51"/>
  <c r="AA351" i="51"/>
  <c r="AC350" i="51"/>
  <c r="AB350" i="51"/>
  <c r="AA350" i="51"/>
  <c r="AC349" i="51"/>
  <c r="AB349" i="51"/>
  <c r="AA349" i="51"/>
  <c r="AC348" i="51"/>
  <c r="AB348" i="51"/>
  <c r="AA348" i="51"/>
  <c r="AC347" i="51"/>
  <c r="AB347" i="51"/>
  <c r="AA347" i="51"/>
  <c r="AC346" i="51"/>
  <c r="AB346" i="51"/>
  <c r="AA346" i="51"/>
  <c r="AC345" i="51"/>
  <c r="AB345" i="51"/>
  <c r="AA345" i="51"/>
  <c r="AC344" i="51"/>
  <c r="AB344" i="51"/>
  <c r="AA344" i="51"/>
  <c r="AC343" i="51"/>
  <c r="AB343" i="51"/>
  <c r="AA343" i="51"/>
  <c r="AC342" i="51"/>
  <c r="AB342" i="51"/>
  <c r="AA342" i="51"/>
  <c r="AC341" i="51"/>
  <c r="AB341" i="51"/>
  <c r="AA341" i="51"/>
  <c r="AC340" i="51"/>
  <c r="AB340" i="51"/>
  <c r="AA340" i="51"/>
  <c r="AC339" i="51"/>
  <c r="AB339" i="51"/>
  <c r="AA339" i="51"/>
  <c r="AC338" i="51"/>
  <c r="AB338" i="51"/>
  <c r="AA338" i="51"/>
  <c r="AC337" i="51"/>
  <c r="AB337" i="51"/>
  <c r="AA337" i="51"/>
  <c r="AC336" i="51"/>
  <c r="AB336" i="51"/>
  <c r="AA336" i="51"/>
  <c r="AC335" i="51"/>
  <c r="AB335" i="51"/>
  <c r="AA335" i="51"/>
  <c r="AC334" i="51"/>
  <c r="AB334" i="51"/>
  <c r="AA334" i="51"/>
  <c r="AC333" i="51"/>
  <c r="AB333" i="51"/>
  <c r="AA333" i="51"/>
  <c r="AC332" i="51"/>
  <c r="AB332" i="51"/>
  <c r="AA332" i="51"/>
  <c r="AC331" i="51"/>
  <c r="AB331" i="51"/>
  <c r="AA331" i="51"/>
  <c r="AC330" i="51"/>
  <c r="AB330" i="51"/>
  <c r="AA330" i="51"/>
  <c r="AC329" i="51"/>
  <c r="AB329" i="51"/>
  <c r="AA329" i="51"/>
  <c r="AC328" i="51"/>
  <c r="AB328" i="51"/>
  <c r="AA328" i="51"/>
  <c r="AC327" i="51"/>
  <c r="AB327" i="51"/>
  <c r="AA327" i="51"/>
  <c r="AC326" i="51"/>
  <c r="AB326" i="51"/>
  <c r="AA326" i="51"/>
  <c r="AC325" i="51"/>
  <c r="AB325" i="51"/>
  <c r="AA325" i="51"/>
  <c r="AC324" i="51"/>
  <c r="AB324" i="51"/>
  <c r="AA324" i="51"/>
  <c r="AC323" i="51"/>
  <c r="AB323" i="51"/>
  <c r="AA323" i="51"/>
  <c r="AC322" i="51"/>
  <c r="AB322" i="51"/>
  <c r="AA322" i="51"/>
  <c r="AC321" i="51"/>
  <c r="AB321" i="51"/>
  <c r="AA321" i="51"/>
  <c r="AC320" i="51"/>
  <c r="AB320" i="51"/>
  <c r="AA320" i="51"/>
  <c r="AC319" i="51"/>
  <c r="AB319" i="51"/>
  <c r="AA319" i="51"/>
  <c r="AC318" i="51"/>
  <c r="AB318" i="51"/>
  <c r="AA318" i="51"/>
  <c r="AC317" i="51"/>
  <c r="AB317" i="51"/>
  <c r="AA317" i="51"/>
  <c r="AC316" i="51"/>
  <c r="AB316" i="51"/>
  <c r="AA316" i="51"/>
  <c r="AC315" i="51"/>
  <c r="AB315" i="51"/>
  <c r="AA315" i="51"/>
  <c r="AC314" i="51"/>
  <c r="AB314" i="51"/>
  <c r="AA314" i="51"/>
  <c r="AC313" i="51"/>
  <c r="AB313" i="51"/>
  <c r="AA313" i="51"/>
  <c r="AC312" i="51"/>
  <c r="AB312" i="51"/>
  <c r="AA312" i="51"/>
  <c r="AC311" i="51"/>
  <c r="AB311" i="51"/>
  <c r="AA311" i="51"/>
  <c r="AC310" i="51"/>
  <c r="AB310" i="51"/>
  <c r="AA310" i="51"/>
  <c r="AC309" i="51"/>
  <c r="AB309" i="51"/>
  <c r="AA309" i="51"/>
  <c r="AC308" i="51"/>
  <c r="AB308" i="51"/>
  <c r="AA308" i="51"/>
  <c r="AC307" i="51"/>
  <c r="AB307" i="51"/>
  <c r="AA307" i="51"/>
  <c r="AC306" i="51"/>
  <c r="AB306" i="51"/>
  <c r="AA306" i="51"/>
  <c r="AC305" i="51"/>
  <c r="AB305" i="51"/>
  <c r="AA305" i="51"/>
  <c r="AC304" i="51"/>
  <c r="AB304" i="51"/>
  <c r="AA304" i="51"/>
  <c r="AC303" i="51"/>
  <c r="AB303" i="51"/>
  <c r="AA303" i="51"/>
  <c r="AC302" i="51"/>
  <c r="AB302" i="51"/>
  <c r="AA302" i="51"/>
  <c r="AC301" i="51"/>
  <c r="AB301" i="51"/>
  <c r="AA301" i="51"/>
  <c r="AC300" i="51"/>
  <c r="AB300" i="51"/>
  <c r="AA300" i="51"/>
  <c r="AC299" i="51"/>
  <c r="AB299" i="51"/>
  <c r="AA299" i="51"/>
  <c r="AC298" i="51"/>
  <c r="AB298" i="51"/>
  <c r="AA298" i="51"/>
  <c r="AC297" i="51"/>
  <c r="AB297" i="51"/>
  <c r="AA297" i="51"/>
  <c r="AC296" i="51"/>
  <c r="AB296" i="51"/>
  <c r="AA296" i="51"/>
  <c r="AC295" i="51"/>
  <c r="AB295" i="51"/>
  <c r="AA295" i="51"/>
  <c r="AC294" i="51"/>
  <c r="AB294" i="51"/>
  <c r="AA294" i="51"/>
  <c r="AC293" i="51"/>
  <c r="AB293" i="51"/>
  <c r="AA293" i="51"/>
  <c r="AC292" i="51"/>
  <c r="AB292" i="51"/>
  <c r="AA292" i="51"/>
  <c r="AC291" i="51"/>
  <c r="AB291" i="51"/>
  <c r="AA291" i="51"/>
  <c r="AC290" i="51"/>
  <c r="AB290" i="51"/>
  <c r="AA290" i="51"/>
  <c r="AC289" i="51"/>
  <c r="AB289" i="51"/>
  <c r="AA289" i="51"/>
  <c r="AC288" i="51"/>
  <c r="AB288" i="51"/>
  <c r="AA288" i="51"/>
  <c r="AC287" i="51"/>
  <c r="AB287" i="51"/>
  <c r="AA287" i="51"/>
  <c r="AC286" i="51"/>
  <c r="AB286" i="51"/>
  <c r="AA286" i="51"/>
  <c r="AC285" i="51"/>
  <c r="AB285" i="51"/>
  <c r="AA285" i="51"/>
  <c r="AC284" i="51"/>
  <c r="AB284" i="51"/>
  <c r="AA284" i="51"/>
  <c r="AC283" i="51"/>
  <c r="AB283" i="51"/>
  <c r="AA283" i="51"/>
  <c r="AC282" i="51"/>
  <c r="AB282" i="51"/>
  <c r="AA282" i="51"/>
  <c r="AC281" i="51"/>
  <c r="AB281" i="51"/>
  <c r="AA281" i="51"/>
  <c r="AC280" i="51"/>
  <c r="AB280" i="51"/>
  <c r="AA280" i="51"/>
  <c r="AC279" i="51"/>
  <c r="AB279" i="51"/>
  <c r="AA279" i="51"/>
  <c r="AC278" i="51"/>
  <c r="AB278" i="51"/>
  <c r="AA278" i="51"/>
  <c r="AC277" i="51"/>
  <c r="AB277" i="51"/>
  <c r="AA277" i="51"/>
  <c r="AC276" i="51"/>
  <c r="AB276" i="51"/>
  <c r="AA276" i="51"/>
  <c r="AC275" i="51"/>
  <c r="AB275" i="51"/>
  <c r="AA275" i="51"/>
  <c r="AC274" i="51"/>
  <c r="AB274" i="51"/>
  <c r="AA274" i="51"/>
  <c r="AC273" i="51"/>
  <c r="AB273" i="51"/>
  <c r="AA273" i="51"/>
  <c r="AC272" i="51"/>
  <c r="AB272" i="51"/>
  <c r="AA272" i="51"/>
  <c r="AC271" i="51"/>
  <c r="AB271" i="51"/>
  <c r="AA271" i="51"/>
  <c r="AC270" i="51"/>
  <c r="AB270" i="51"/>
  <c r="AA270" i="51"/>
  <c r="AC269" i="51"/>
  <c r="AB269" i="51"/>
  <c r="AA269" i="51"/>
  <c r="AC268" i="51"/>
  <c r="AB268" i="51"/>
  <c r="AA268" i="51"/>
  <c r="AC267" i="51"/>
  <c r="AB267" i="51"/>
  <c r="AA267" i="51"/>
  <c r="AC266" i="51"/>
  <c r="AB266" i="51"/>
  <c r="AA266" i="51"/>
  <c r="AC265" i="51"/>
  <c r="AB265" i="51"/>
  <c r="AA265" i="51"/>
  <c r="AC264" i="51"/>
  <c r="AB264" i="51"/>
  <c r="AA264" i="51"/>
  <c r="AC263" i="51"/>
  <c r="AB263" i="51"/>
  <c r="AA263" i="51"/>
  <c r="AC262" i="51"/>
  <c r="AB262" i="51"/>
  <c r="AA262" i="51"/>
  <c r="AC261" i="51"/>
  <c r="AB261" i="51"/>
  <c r="AA261" i="51"/>
  <c r="AC260" i="51"/>
  <c r="AB260" i="51"/>
  <c r="AA260" i="51"/>
  <c r="AC259" i="51"/>
  <c r="AB259" i="51"/>
  <c r="AA259" i="51"/>
  <c r="AC258" i="51"/>
  <c r="AB258" i="51"/>
  <c r="AA258" i="51"/>
  <c r="AC257" i="51"/>
  <c r="AB257" i="51"/>
  <c r="AA257" i="51"/>
  <c r="AC256" i="51"/>
  <c r="AB256" i="51"/>
  <c r="AA256" i="51"/>
  <c r="AC255" i="51"/>
  <c r="AB255" i="51"/>
  <c r="AA255" i="51"/>
  <c r="AC254" i="51"/>
  <c r="AB254" i="51"/>
  <c r="AA254" i="51"/>
  <c r="AC253" i="51"/>
  <c r="AB253" i="51"/>
  <c r="AA253" i="51"/>
  <c r="AC252" i="51"/>
  <c r="AB252" i="51"/>
  <c r="AA252" i="51"/>
  <c r="AC251" i="51"/>
  <c r="AB251" i="51"/>
  <c r="AA251" i="51"/>
  <c r="AC250" i="51"/>
  <c r="AB250" i="51"/>
  <c r="AA250" i="51"/>
  <c r="AC249" i="51"/>
  <c r="AB249" i="51"/>
  <c r="AA249" i="51"/>
  <c r="AC248" i="51"/>
  <c r="AB248" i="51"/>
  <c r="AA248" i="51"/>
  <c r="AC247" i="51"/>
  <c r="AB247" i="51"/>
  <c r="AA247" i="51"/>
  <c r="AC246" i="51"/>
  <c r="AB246" i="51"/>
  <c r="AA246" i="51"/>
  <c r="AC245" i="51"/>
  <c r="AB245" i="51"/>
  <c r="AA245" i="51"/>
  <c r="AC244" i="51"/>
  <c r="AB244" i="51"/>
  <c r="AA244" i="51"/>
  <c r="AC243" i="51"/>
  <c r="AB243" i="51"/>
  <c r="AA243" i="51"/>
  <c r="AC242" i="51"/>
  <c r="AB242" i="51"/>
  <c r="AA242" i="51"/>
  <c r="AC241" i="51"/>
  <c r="AB241" i="51"/>
  <c r="AA241" i="51"/>
  <c r="AC240" i="51"/>
  <c r="AB240" i="51"/>
  <c r="AA240" i="51"/>
  <c r="AC239" i="51"/>
  <c r="AB239" i="51"/>
  <c r="AA239" i="51"/>
  <c r="AC238" i="51"/>
  <c r="AB238" i="51"/>
  <c r="AA238" i="51"/>
  <c r="AC237" i="51"/>
  <c r="AB237" i="51"/>
  <c r="AA237" i="51"/>
  <c r="AC236" i="51"/>
  <c r="AB236" i="51"/>
  <c r="AA236" i="51"/>
  <c r="AC235" i="51"/>
  <c r="AB235" i="51"/>
  <c r="AA235" i="51"/>
  <c r="AC234" i="51"/>
  <c r="AB234" i="51"/>
  <c r="AA234" i="51"/>
  <c r="AC233" i="51"/>
  <c r="AB233" i="51"/>
  <c r="AA233" i="51"/>
  <c r="AC232" i="51"/>
  <c r="AB232" i="51"/>
  <c r="AA232" i="51"/>
  <c r="AC231" i="51"/>
  <c r="AB231" i="51"/>
  <c r="AA231" i="51"/>
  <c r="AC230" i="51"/>
  <c r="AB230" i="51"/>
  <c r="AA230" i="51"/>
  <c r="AC229" i="51"/>
  <c r="AB229" i="51"/>
  <c r="AA229" i="51"/>
  <c r="AC228" i="51"/>
  <c r="AB228" i="51"/>
  <c r="AA228" i="51"/>
  <c r="AC227" i="51"/>
  <c r="AB227" i="51"/>
  <c r="AA227" i="51"/>
  <c r="AC226" i="51"/>
  <c r="AB226" i="51"/>
  <c r="AA226" i="51"/>
  <c r="AC225" i="51"/>
  <c r="AB225" i="51"/>
  <c r="AA225" i="51"/>
  <c r="AC224" i="51"/>
  <c r="AB224" i="51"/>
  <c r="AA224" i="51"/>
  <c r="AC223" i="51"/>
  <c r="AB223" i="51"/>
  <c r="AA223" i="51"/>
  <c r="AC222" i="51"/>
  <c r="AB222" i="51"/>
  <c r="AA222" i="51"/>
  <c r="AC221" i="51"/>
  <c r="AB221" i="51"/>
  <c r="AA221" i="51"/>
  <c r="AC220" i="51"/>
  <c r="AB220" i="51"/>
  <c r="AA220" i="51"/>
  <c r="AC219" i="51"/>
  <c r="AB219" i="51"/>
  <c r="AA219" i="51"/>
  <c r="AC218" i="51"/>
  <c r="AB218" i="51"/>
  <c r="AA218" i="51"/>
  <c r="AC214" i="51"/>
  <c r="AB214" i="51"/>
  <c r="AA214" i="51"/>
  <c r="AC213" i="51"/>
  <c r="AB213" i="51"/>
  <c r="AA213" i="51"/>
  <c r="AC212" i="51"/>
  <c r="AB212" i="51"/>
  <c r="AA212" i="51"/>
  <c r="AC211" i="51"/>
  <c r="AB211" i="51"/>
  <c r="AA211" i="51"/>
  <c r="AC210" i="51"/>
  <c r="AB210" i="51"/>
  <c r="AA210" i="51"/>
  <c r="AC209" i="51"/>
  <c r="AB209" i="51"/>
  <c r="AA209" i="51"/>
  <c r="AC208" i="51"/>
  <c r="AB208" i="51"/>
  <c r="AA208" i="51"/>
  <c r="AC207" i="51"/>
  <c r="AB207" i="51"/>
  <c r="AA207" i="51"/>
  <c r="AC206" i="51"/>
  <c r="AB206" i="51"/>
  <c r="AA206" i="51"/>
  <c r="AC205" i="51"/>
  <c r="AB205" i="51"/>
  <c r="AA205" i="51"/>
  <c r="AC204" i="51"/>
  <c r="AB204" i="51"/>
  <c r="AA204" i="51"/>
  <c r="AC203" i="51"/>
  <c r="AB203" i="51"/>
  <c r="AA203" i="51"/>
  <c r="AC202" i="51"/>
  <c r="AB202" i="51"/>
  <c r="AA202" i="51"/>
  <c r="AC201" i="51"/>
  <c r="AB201" i="51"/>
  <c r="AA201" i="51"/>
  <c r="AC200" i="51"/>
  <c r="AB200" i="51"/>
  <c r="AA200" i="51"/>
  <c r="AC199" i="51"/>
  <c r="AB199" i="51"/>
  <c r="AA199" i="51"/>
  <c r="AC198" i="51"/>
  <c r="AB198" i="51"/>
  <c r="AA198" i="51"/>
  <c r="AC197" i="51"/>
  <c r="AB197" i="51"/>
  <c r="AA197" i="51"/>
  <c r="AC196" i="51"/>
  <c r="AB196" i="51"/>
  <c r="AA196" i="51"/>
  <c r="AC195" i="51"/>
  <c r="AB195" i="51"/>
  <c r="AA195" i="51"/>
  <c r="AC194" i="51"/>
  <c r="AB194" i="51"/>
  <c r="AA194" i="51"/>
  <c r="AC193" i="51"/>
  <c r="AB193" i="51"/>
  <c r="AA193" i="51"/>
  <c r="AC192" i="51"/>
  <c r="AB192" i="51"/>
  <c r="AA192" i="51"/>
  <c r="AC191" i="51"/>
  <c r="AB191" i="51"/>
  <c r="AA191" i="51"/>
  <c r="AC190" i="51"/>
  <c r="AB190" i="51"/>
  <c r="AA190" i="51"/>
  <c r="AC189" i="51"/>
  <c r="AB189" i="51"/>
  <c r="AA189" i="51"/>
  <c r="AC188" i="51"/>
  <c r="AB188" i="51"/>
  <c r="AA188" i="51"/>
  <c r="AC187" i="51"/>
  <c r="AB187" i="51"/>
  <c r="AA187" i="51"/>
  <c r="AC186" i="51"/>
  <c r="AB186" i="51"/>
  <c r="AA186" i="51"/>
  <c r="AC185" i="51"/>
  <c r="AB185" i="51"/>
  <c r="AA185" i="51"/>
  <c r="AC184" i="51"/>
  <c r="AB184" i="51"/>
  <c r="AA184" i="51"/>
  <c r="AC183" i="51"/>
  <c r="AB183" i="51"/>
  <c r="AA183" i="51"/>
  <c r="AC182" i="51"/>
  <c r="AB182" i="51"/>
  <c r="AA182" i="51"/>
  <c r="AC181" i="51"/>
  <c r="AB181" i="51"/>
  <c r="AA181" i="51"/>
  <c r="AC180" i="51"/>
  <c r="AB180" i="51"/>
  <c r="AA180" i="51"/>
  <c r="AC179" i="51"/>
  <c r="AB179" i="51"/>
  <c r="AA179" i="51"/>
  <c r="AC178" i="51"/>
  <c r="AB178" i="51"/>
  <c r="AA178" i="51"/>
  <c r="AC177" i="51"/>
  <c r="AB177" i="51"/>
  <c r="AA177" i="51"/>
  <c r="AC176" i="51"/>
  <c r="AB176" i="51"/>
  <c r="AA176" i="51"/>
  <c r="AC175" i="51"/>
  <c r="AB175" i="51"/>
  <c r="AA175" i="51"/>
  <c r="AC174" i="51"/>
  <c r="AB174" i="51"/>
  <c r="AA174" i="51"/>
  <c r="AC173" i="51"/>
  <c r="AB173" i="51"/>
  <c r="AA173" i="51"/>
  <c r="AC172" i="51"/>
  <c r="AB172" i="51"/>
  <c r="AA172" i="51"/>
  <c r="AC171" i="51"/>
  <c r="AB171" i="51"/>
  <c r="AA171" i="51"/>
  <c r="AC170" i="51"/>
  <c r="AB170" i="51"/>
  <c r="AA170" i="51"/>
  <c r="AC169" i="51"/>
  <c r="AB169" i="51"/>
  <c r="AA169" i="51"/>
  <c r="AC168" i="51"/>
  <c r="AB168" i="51"/>
  <c r="AA168" i="51"/>
  <c r="AC167" i="51"/>
  <c r="AB167" i="51"/>
  <c r="AA167" i="51"/>
  <c r="AC166" i="51"/>
  <c r="AB166" i="51"/>
  <c r="AA166" i="51"/>
  <c r="AC165" i="51"/>
  <c r="AB165" i="51"/>
  <c r="AA165" i="51"/>
  <c r="AC164" i="51"/>
  <c r="AB164" i="51"/>
  <c r="AA164" i="51"/>
  <c r="AC163" i="51"/>
  <c r="AB163" i="51"/>
  <c r="AA163" i="51"/>
  <c r="AC162" i="51"/>
  <c r="AB162" i="51"/>
  <c r="AA162" i="51"/>
  <c r="AC161" i="51"/>
  <c r="AB161" i="51"/>
  <c r="AA161" i="51"/>
  <c r="AC160" i="51"/>
  <c r="AB160" i="51"/>
  <c r="AA160" i="51"/>
  <c r="AC159" i="51"/>
  <c r="AB159" i="51"/>
  <c r="AA159" i="51"/>
  <c r="AC158" i="51"/>
  <c r="AB158" i="51"/>
  <c r="AA158" i="51"/>
  <c r="AC157" i="51"/>
  <c r="AB157" i="51"/>
  <c r="AA157" i="51"/>
  <c r="AC156" i="51"/>
  <c r="AB156" i="51"/>
  <c r="AA156" i="51"/>
  <c r="AC155" i="51"/>
  <c r="AB155" i="51"/>
  <c r="AA155" i="51"/>
  <c r="AC154" i="51"/>
  <c r="AB154" i="51"/>
  <c r="AA154" i="51"/>
  <c r="AC153" i="51"/>
  <c r="AB153" i="51"/>
  <c r="AA153" i="51"/>
  <c r="AC152" i="51"/>
  <c r="AB152" i="51"/>
  <c r="AA152" i="51"/>
  <c r="AC151" i="51"/>
  <c r="AB151" i="51"/>
  <c r="AA151" i="51"/>
  <c r="AC150" i="51"/>
  <c r="AB150" i="51"/>
  <c r="AA150" i="51"/>
  <c r="AC149" i="51"/>
  <c r="AB149" i="51"/>
  <c r="AA149" i="51"/>
  <c r="AC148" i="51"/>
  <c r="AB148" i="51"/>
  <c r="AA148" i="51"/>
  <c r="AC147" i="51"/>
  <c r="AB147" i="51"/>
  <c r="AA147" i="51"/>
  <c r="AC146" i="51"/>
  <c r="AB146" i="51"/>
  <c r="AA146" i="51"/>
  <c r="AC145" i="51"/>
  <c r="AB145" i="51"/>
  <c r="AA145" i="51"/>
  <c r="AC144" i="51"/>
  <c r="AB144" i="51"/>
  <c r="AA144" i="51"/>
  <c r="AC143" i="51"/>
  <c r="AB143" i="51"/>
  <c r="AA143" i="51"/>
  <c r="AC142" i="51"/>
  <c r="AB142" i="51"/>
  <c r="AA142" i="51"/>
  <c r="AC141" i="51"/>
  <c r="AB141" i="51"/>
  <c r="AA141" i="51"/>
  <c r="AC140" i="51"/>
  <c r="AB140" i="51"/>
  <c r="AA140" i="51"/>
  <c r="AC139" i="51"/>
  <c r="AB139" i="51"/>
  <c r="AA139" i="51"/>
  <c r="AC138" i="51"/>
  <c r="AB138" i="51"/>
  <c r="AA138" i="51"/>
  <c r="AC137" i="51"/>
  <c r="AB137" i="51"/>
  <c r="AA137" i="51"/>
  <c r="AC136" i="51"/>
  <c r="AB136" i="51"/>
  <c r="AA136" i="51"/>
  <c r="AC135" i="51"/>
  <c r="AB135" i="51"/>
  <c r="AA135" i="51"/>
  <c r="AC134" i="51"/>
  <c r="AB134" i="51"/>
  <c r="AA134" i="51"/>
  <c r="AC133" i="51"/>
  <c r="AB133" i="51"/>
  <c r="AA133" i="51"/>
  <c r="AC132" i="51"/>
  <c r="AB132" i="51"/>
  <c r="AA132" i="51"/>
  <c r="AC131" i="51"/>
  <c r="AB131" i="51"/>
  <c r="AA131" i="51"/>
  <c r="AC130" i="51"/>
  <c r="AB130" i="51"/>
  <c r="AA130" i="51"/>
  <c r="AC129" i="51"/>
  <c r="AB129" i="51"/>
  <c r="AA129" i="51"/>
  <c r="AC128" i="51"/>
  <c r="AB128" i="51"/>
  <c r="AA128" i="51"/>
  <c r="AC127" i="51"/>
  <c r="AB127" i="51"/>
  <c r="AA127" i="51"/>
  <c r="AC126" i="51"/>
  <c r="AB126" i="51"/>
  <c r="AA126" i="51"/>
  <c r="AC125" i="51"/>
  <c r="AB125" i="51"/>
  <c r="AA125" i="51"/>
  <c r="AC124" i="51"/>
  <c r="AB124" i="51"/>
  <c r="AA124" i="51"/>
  <c r="AC123" i="51"/>
  <c r="AB123" i="51"/>
  <c r="AA123" i="51"/>
  <c r="AC122" i="51"/>
  <c r="AB122" i="51"/>
  <c r="AA122" i="51"/>
  <c r="AC121" i="51"/>
  <c r="AB121" i="51"/>
  <c r="AA121" i="51"/>
  <c r="AC120" i="51"/>
  <c r="AB120" i="51"/>
  <c r="AA120" i="51"/>
  <c r="AC119" i="51"/>
  <c r="AB119" i="51"/>
  <c r="AA119" i="51"/>
  <c r="AC118" i="51"/>
  <c r="AB118" i="51"/>
  <c r="AA118" i="51"/>
  <c r="AC117" i="51"/>
  <c r="AB117" i="51"/>
  <c r="AA117" i="51"/>
  <c r="AC116" i="51"/>
  <c r="AB116" i="51"/>
  <c r="AA116" i="51"/>
  <c r="AC115" i="51"/>
  <c r="AB115" i="51"/>
  <c r="AA115" i="51"/>
  <c r="AC114" i="51"/>
  <c r="AB114" i="51"/>
  <c r="AA114" i="51"/>
  <c r="AC113" i="51"/>
  <c r="AB113" i="51"/>
  <c r="AA113" i="51"/>
  <c r="AC112" i="51"/>
  <c r="AB112" i="51"/>
  <c r="AA112" i="51"/>
  <c r="AC111" i="51"/>
  <c r="AB111" i="51"/>
  <c r="AA111" i="51"/>
  <c r="AC110" i="51"/>
  <c r="AB110" i="51"/>
  <c r="AA110" i="51"/>
  <c r="AC109" i="51"/>
  <c r="AB109" i="51"/>
  <c r="AA109" i="51"/>
  <c r="AC108" i="51"/>
  <c r="AB108" i="51"/>
  <c r="AA108" i="51"/>
  <c r="AC107" i="51"/>
  <c r="AB107" i="51"/>
  <c r="AA107" i="51"/>
  <c r="AC106" i="51"/>
  <c r="AB106" i="51"/>
  <c r="AA106" i="51"/>
  <c r="AC105" i="51"/>
  <c r="AB105" i="51"/>
  <c r="AA105" i="51"/>
  <c r="AC104" i="51"/>
  <c r="AB104" i="51"/>
  <c r="AA104" i="51"/>
  <c r="AC103" i="51"/>
  <c r="AB103" i="51"/>
  <c r="AA103" i="51"/>
  <c r="AC102" i="51"/>
  <c r="AB102" i="51"/>
  <c r="AA102" i="51"/>
  <c r="AC101" i="51"/>
  <c r="AB101" i="51"/>
  <c r="AA101" i="51"/>
  <c r="AC100" i="51"/>
  <c r="AB100" i="51"/>
  <c r="AA100" i="51"/>
  <c r="AC99" i="51"/>
  <c r="AB99" i="51"/>
  <c r="AA99" i="51"/>
  <c r="AC98" i="51"/>
  <c r="AB98" i="51"/>
  <c r="AA98" i="51"/>
  <c r="AC97" i="51"/>
  <c r="AB97" i="51"/>
  <c r="AA97" i="51"/>
  <c r="AC96" i="51"/>
  <c r="AB96" i="51"/>
  <c r="AA96" i="51"/>
  <c r="AC95" i="51"/>
  <c r="AB95" i="51"/>
  <c r="AA95" i="51"/>
  <c r="AC94" i="51"/>
  <c r="AB94" i="51"/>
  <c r="AA94" i="51"/>
  <c r="AC93" i="51"/>
  <c r="AB93" i="51"/>
  <c r="AA93" i="51"/>
  <c r="AC92" i="51"/>
  <c r="AB92" i="51"/>
  <c r="AA92" i="51"/>
  <c r="AC91" i="51"/>
  <c r="AB91" i="51"/>
  <c r="AA91" i="51"/>
  <c r="AC90" i="51"/>
  <c r="AB90" i="51"/>
  <c r="AA90" i="51"/>
  <c r="AC89" i="51"/>
  <c r="AB89" i="51"/>
  <c r="AA89" i="51"/>
  <c r="AC88" i="51"/>
  <c r="AB88" i="51"/>
  <c r="AA88" i="51"/>
  <c r="AC87" i="51"/>
  <c r="AB87" i="51"/>
  <c r="AA87" i="51"/>
  <c r="AC86" i="51"/>
  <c r="AB86" i="51"/>
  <c r="AA86" i="51"/>
  <c r="AC85" i="51"/>
  <c r="AB85" i="51"/>
  <c r="AA85" i="51"/>
  <c r="AC84" i="51"/>
  <c r="AB84" i="51"/>
  <c r="AA84" i="51"/>
  <c r="AC83" i="51"/>
  <c r="AB83" i="51"/>
  <c r="AA83" i="51"/>
  <c r="AC82" i="51"/>
  <c r="AB82" i="51"/>
  <c r="AA82" i="51"/>
  <c r="AC81" i="51"/>
  <c r="AB81" i="51"/>
  <c r="AA81" i="51"/>
  <c r="AC80" i="51"/>
  <c r="AB80" i="51"/>
  <c r="AA80" i="51"/>
  <c r="AC79" i="51"/>
  <c r="AB79" i="51"/>
  <c r="AA79" i="51"/>
  <c r="AC78" i="51"/>
  <c r="AB78" i="51"/>
  <c r="AA78" i="51"/>
  <c r="AC77" i="51"/>
  <c r="AB77" i="51"/>
  <c r="AA77" i="51"/>
  <c r="AC76" i="51"/>
  <c r="AB76" i="51"/>
  <c r="AA76" i="51"/>
  <c r="AC75" i="51"/>
  <c r="AB75" i="51"/>
  <c r="AA75" i="51"/>
  <c r="AC74" i="51"/>
  <c r="AB74" i="51"/>
  <c r="AA74" i="51"/>
  <c r="AC73" i="51"/>
  <c r="AB73" i="51"/>
  <c r="AA73" i="51"/>
  <c r="AC72" i="51"/>
  <c r="AB72" i="51"/>
  <c r="AA72" i="51"/>
  <c r="AC71" i="51"/>
  <c r="AB71" i="51"/>
  <c r="AA71" i="51"/>
  <c r="AC70" i="51"/>
  <c r="AB70" i="51"/>
  <c r="AA70" i="51"/>
  <c r="AC69" i="51"/>
  <c r="AB69" i="51"/>
  <c r="AA69" i="51"/>
  <c r="AC68" i="51"/>
  <c r="AB68" i="51"/>
  <c r="AA68" i="51"/>
  <c r="AC67" i="51"/>
  <c r="AB67" i="51"/>
  <c r="AA67" i="51"/>
  <c r="AC66" i="51"/>
  <c r="AB66" i="51"/>
  <c r="AA66" i="51"/>
  <c r="AC65" i="51"/>
  <c r="AB65" i="51"/>
  <c r="AA65" i="51"/>
  <c r="AC40" i="51"/>
  <c r="AC39" i="51"/>
  <c r="AC38" i="51"/>
  <c r="AC37" i="51"/>
  <c r="AC36" i="51"/>
  <c r="AC35" i="51"/>
  <c r="AC34" i="51"/>
  <c r="AC33" i="51"/>
  <c r="AC32" i="51"/>
  <c r="AC31" i="51"/>
  <c r="AC23" i="51"/>
  <c r="V18" i="51"/>
  <c r="U18" i="51"/>
  <c r="V17" i="51"/>
  <c r="U17" i="51"/>
  <c r="AH16" i="51"/>
  <c r="AG16" i="51"/>
  <c r="AF16" i="51"/>
  <c r="AE16" i="51"/>
  <c r="V16" i="51"/>
  <c r="U16" i="51"/>
  <c r="AH15" i="51"/>
  <c r="AG15" i="51"/>
  <c r="AF15" i="51"/>
  <c r="AE15" i="51"/>
  <c r="V15" i="51"/>
  <c r="U15" i="51"/>
  <c r="AH14" i="51"/>
  <c r="AG14" i="51"/>
  <c r="AF14" i="51"/>
  <c r="AE14" i="51"/>
  <c r="V14" i="51"/>
  <c r="U14" i="51"/>
  <c r="AH13" i="51"/>
  <c r="AG13" i="51"/>
  <c r="AF13" i="51"/>
  <c r="AE13" i="51"/>
  <c r="V13" i="51"/>
  <c r="U13" i="51"/>
  <c r="AH12" i="51"/>
  <c r="AG12" i="51"/>
  <c r="AF12" i="51"/>
  <c r="AE12" i="51"/>
  <c r="V12" i="51"/>
  <c r="U12" i="51"/>
  <c r="AH11" i="51"/>
  <c r="AG11" i="51"/>
  <c r="AF11" i="51"/>
  <c r="AE11" i="51"/>
  <c r="V11" i="51"/>
  <c r="U11" i="51"/>
  <c r="AH10" i="51"/>
  <c r="AG10" i="51"/>
  <c r="AF10" i="51"/>
  <c r="AE10" i="51"/>
  <c r="V10" i="51"/>
  <c r="U10" i="51"/>
  <c r="AH9" i="51"/>
  <c r="AG9" i="51"/>
  <c r="AF9" i="51"/>
  <c r="AE9" i="51"/>
  <c r="V9" i="51"/>
  <c r="U9" i="51"/>
  <c r="T9" i="51"/>
  <c r="S9" i="51"/>
  <c r="R9" i="51"/>
  <c r="O9" i="51" s="1"/>
  <c r="Q9" i="51"/>
  <c r="P9" i="51"/>
  <c r="AH8" i="51"/>
  <c r="AG8" i="51"/>
  <c r="AF8" i="51"/>
  <c r="AE8" i="51"/>
  <c r="V8" i="51"/>
  <c r="U8" i="51"/>
  <c r="T8" i="51"/>
  <c r="S8" i="51"/>
  <c r="R8" i="51"/>
  <c r="O8" i="51" s="1"/>
  <c r="Q8" i="51"/>
  <c r="P8" i="51"/>
  <c r="AZ7" i="51"/>
  <c r="AY7" i="51"/>
  <c r="AH7" i="51"/>
  <c r="AG7" i="51"/>
  <c r="AF7" i="51"/>
  <c r="AE7" i="51"/>
  <c r="T7" i="51"/>
  <c r="S7" i="51"/>
  <c r="R7" i="51"/>
  <c r="Q7" i="51"/>
  <c r="P7" i="51"/>
  <c r="O7" i="51"/>
  <c r="AH6" i="51"/>
  <c r="AG6" i="51"/>
  <c r="AF6" i="51"/>
  <c r="AE6" i="51"/>
  <c r="T6" i="51"/>
  <c r="S6" i="51"/>
  <c r="R6" i="51"/>
  <c r="O6" i="51" s="1"/>
  <c r="Q6" i="51"/>
  <c r="P6" i="51"/>
  <c r="BR5" i="51"/>
  <c r="AH5" i="51"/>
  <c r="AG5" i="51"/>
  <c r="AF5" i="51"/>
  <c r="AE5" i="51"/>
  <c r="T5" i="51"/>
  <c r="S5" i="51"/>
  <c r="R5" i="51"/>
  <c r="O5" i="51" s="1"/>
  <c r="Q5" i="51"/>
  <c r="P5" i="51"/>
  <c r="A2" i="51"/>
  <c r="I391" i="51" l="1"/>
  <c r="AA2" i="1" l="1"/>
  <c r="Z2" i="1"/>
  <c r="Y2" i="1"/>
  <c r="I457" i="58" l="1"/>
  <c r="H457" i="58"/>
  <c r="G457" i="58"/>
  <c r="F457" i="58"/>
  <c r="E457" i="58"/>
  <c r="I452" i="58"/>
  <c r="H452" i="58"/>
  <c r="G452" i="58"/>
  <c r="F452" i="58"/>
  <c r="E452" i="58"/>
  <c r="I356" i="58"/>
  <c r="H356" i="58"/>
  <c r="G356" i="58"/>
  <c r="F356" i="58"/>
  <c r="E356" i="58"/>
  <c r="G4" i="58"/>
  <c r="I1" i="58"/>
  <c r="I940" i="16"/>
  <c r="I938" i="16"/>
  <c r="I937" i="16"/>
  <c r="I936" i="16"/>
  <c r="I935" i="16" s="1"/>
  <c r="I933" i="16"/>
  <c r="K925" i="16" s="1"/>
  <c r="I931" i="16"/>
  <c r="I930" i="16"/>
  <c r="I929" i="16"/>
  <c r="I928" i="16"/>
  <c r="I927" i="16"/>
  <c r="I925" i="16" s="1"/>
  <c r="L925" i="16"/>
  <c r="J925" i="16"/>
  <c r="AQ387" i="16"/>
  <c r="AN387" i="16"/>
  <c r="AK387" i="16"/>
  <c r="AH387" i="16"/>
  <c r="AE387" i="16"/>
  <c r="AB387" i="16"/>
  <c r="Y387" i="16"/>
  <c r="V387" i="16"/>
  <c r="S387" i="16"/>
  <c r="P387" i="16"/>
  <c r="M387" i="16"/>
  <c r="J387" i="16"/>
  <c r="G387" i="16"/>
  <c r="D387" i="16"/>
  <c r="B387" i="16"/>
  <c r="D386" i="16"/>
  <c r="AT382" i="16"/>
  <c r="AQ382" i="16"/>
  <c r="AN382" i="16"/>
  <c r="AK382" i="16"/>
  <c r="AH382" i="16"/>
  <c r="AE382" i="16"/>
  <c r="AB382" i="16"/>
  <c r="Y382" i="16"/>
  <c r="V382" i="16"/>
  <c r="AT381" i="16"/>
  <c r="AQ381" i="16"/>
  <c r="AN381" i="16"/>
  <c r="AK381" i="16"/>
  <c r="AH381" i="16"/>
  <c r="AE381" i="16"/>
  <c r="AB381" i="16"/>
  <c r="Y381" i="16"/>
  <c r="V381" i="16"/>
  <c r="D379" i="16"/>
  <c r="G379" i="16" s="1"/>
  <c r="J379" i="16" s="1"/>
  <c r="B378" i="16"/>
  <c r="B374" i="16"/>
  <c r="I369" i="16"/>
  <c r="H369" i="16"/>
  <c r="G369" i="16"/>
  <c r="F369" i="16"/>
  <c r="E369" i="16"/>
  <c r="D369" i="16"/>
  <c r="C369" i="16"/>
  <c r="N368" i="16"/>
  <c r="I368" i="16"/>
  <c r="H368" i="16"/>
  <c r="G368" i="16"/>
  <c r="F368" i="16"/>
  <c r="E368" i="16"/>
  <c r="D368" i="16"/>
  <c r="C368" i="16"/>
  <c r="N367" i="16"/>
  <c r="I367" i="16"/>
  <c r="H367" i="16"/>
  <c r="G367" i="16"/>
  <c r="F367" i="16"/>
  <c r="E367" i="16"/>
  <c r="D367" i="16"/>
  <c r="C367" i="16"/>
  <c r="N366" i="16"/>
  <c r="I366" i="16"/>
  <c r="H366" i="16"/>
  <c r="G366" i="16"/>
  <c r="F366" i="16"/>
  <c r="E366" i="16"/>
  <c r="D366" i="16"/>
  <c r="C366" i="16"/>
  <c r="N365" i="16"/>
  <c r="N364" i="16"/>
  <c r="N363" i="16"/>
  <c r="N362" i="16"/>
  <c r="N361" i="16"/>
  <c r="N360" i="16"/>
  <c r="I360" i="16"/>
  <c r="H360" i="16"/>
  <c r="G360" i="16"/>
  <c r="F360" i="16"/>
  <c r="E360" i="16"/>
  <c r="D360" i="16"/>
  <c r="C360" i="16"/>
  <c r="N359" i="16"/>
  <c r="I359" i="16"/>
  <c r="H359" i="16"/>
  <c r="G359" i="16"/>
  <c r="F359" i="16"/>
  <c r="E359" i="16"/>
  <c r="D359" i="16"/>
  <c r="C359" i="16"/>
  <c r="N358" i="16"/>
  <c r="I358" i="16"/>
  <c r="H358" i="16"/>
  <c r="G358" i="16"/>
  <c r="F358" i="16"/>
  <c r="E358" i="16"/>
  <c r="D358" i="16"/>
  <c r="C358" i="16"/>
  <c r="N357" i="16"/>
  <c r="I357" i="16"/>
  <c r="H357" i="16"/>
  <c r="G357" i="16"/>
  <c r="F357" i="16"/>
  <c r="E357" i="16"/>
  <c r="D357" i="16"/>
  <c r="C357" i="16"/>
  <c r="I356" i="16"/>
  <c r="H356" i="16"/>
  <c r="G356" i="16"/>
  <c r="F356" i="16"/>
  <c r="E356" i="16"/>
  <c r="D356" i="16"/>
  <c r="C356" i="16"/>
  <c r="B329" i="16"/>
  <c r="B328" i="16"/>
  <c r="B327" i="16"/>
  <c r="B326" i="16"/>
  <c r="N325" i="16"/>
  <c r="J325" i="16"/>
  <c r="G312" i="16"/>
  <c r="D312" i="16"/>
  <c r="B312" i="16"/>
  <c r="A312" i="16"/>
  <c r="A311" i="16"/>
  <c r="P310" i="16"/>
  <c r="A310" i="16"/>
  <c r="A309" i="16"/>
  <c r="A308" i="16"/>
  <c r="A307" i="16"/>
  <c r="A305" i="16"/>
  <c r="B304" i="16"/>
  <c r="A304" i="16"/>
  <c r="A303" i="16"/>
  <c r="D301" i="16"/>
  <c r="B301" i="16"/>
  <c r="A301" i="16"/>
  <c r="B300" i="16"/>
  <c r="A300" i="16"/>
  <c r="B299" i="16"/>
  <c r="A299" i="16"/>
  <c r="B298" i="16"/>
  <c r="A298" i="16"/>
  <c r="B297" i="16"/>
  <c r="A297" i="16"/>
  <c r="A296" i="16"/>
  <c r="B294" i="16"/>
  <c r="A294" i="16"/>
  <c r="B293" i="16"/>
  <c r="A293" i="16"/>
  <c r="B292" i="16"/>
  <c r="A292" i="16"/>
  <c r="B291" i="16"/>
  <c r="A291" i="16"/>
  <c r="D290" i="16"/>
  <c r="B290" i="16"/>
  <c r="A290" i="16"/>
  <c r="A289" i="16"/>
  <c r="A287" i="16"/>
  <c r="D285" i="16"/>
  <c r="B285" i="16"/>
  <c r="A285" i="16"/>
  <c r="A284" i="16"/>
  <c r="P283" i="16"/>
  <c r="A283" i="16"/>
  <c r="A282" i="16"/>
  <c r="A281" i="16"/>
  <c r="A280" i="16"/>
  <c r="A278" i="16"/>
  <c r="D277" i="16"/>
  <c r="B277" i="16"/>
  <c r="A277" i="16"/>
  <c r="A276" i="16"/>
  <c r="B274" i="16"/>
  <c r="A274" i="16"/>
  <c r="B273" i="16"/>
  <c r="A273" i="16"/>
  <c r="B272" i="16"/>
  <c r="A272" i="16"/>
  <c r="B271" i="16"/>
  <c r="A271" i="16"/>
  <c r="B270" i="16"/>
  <c r="A270" i="16"/>
  <c r="A269" i="16"/>
  <c r="B267" i="16"/>
  <c r="A267" i="16"/>
  <c r="B266" i="16"/>
  <c r="A266" i="16"/>
  <c r="B265" i="16"/>
  <c r="A265" i="16"/>
  <c r="B264" i="16"/>
  <c r="A264" i="16"/>
  <c r="D263" i="16"/>
  <c r="B263" i="16"/>
  <c r="A263" i="16"/>
  <c r="A262" i="16"/>
  <c r="A260" i="16"/>
  <c r="J258" i="16"/>
  <c r="J285" i="16" s="1"/>
  <c r="G258" i="16"/>
  <c r="G285" i="16" s="1"/>
  <c r="S256" i="16"/>
  <c r="S283" i="16" s="1"/>
  <c r="D250" i="16"/>
  <c r="D304" i="16" s="1"/>
  <c r="D247" i="16"/>
  <c r="D274" i="16" s="1"/>
  <c r="D246" i="16"/>
  <c r="D300" i="16" s="1"/>
  <c r="D245" i="16"/>
  <c r="D299" i="16" s="1"/>
  <c r="D244" i="16"/>
  <c r="D298" i="16" s="1"/>
  <c r="D243" i="16"/>
  <c r="D297" i="16" s="1"/>
  <c r="D240" i="16"/>
  <c r="D267" i="16" s="1"/>
  <c r="D239" i="16"/>
  <c r="D266" i="16" s="1"/>
  <c r="D238" i="16"/>
  <c r="D265" i="16" s="1"/>
  <c r="D237" i="16"/>
  <c r="D291" i="16" s="1"/>
  <c r="G236" i="16"/>
  <c r="J236" i="16" s="1"/>
  <c r="A233" i="16"/>
  <c r="G230" i="16"/>
  <c r="D230" i="16"/>
  <c r="B230" i="16"/>
  <c r="A230" i="16"/>
  <c r="A229" i="16"/>
  <c r="S228" i="16"/>
  <c r="P228" i="16"/>
  <c r="A228" i="16"/>
  <c r="A227" i="16"/>
  <c r="A226" i="16"/>
  <c r="A225" i="16"/>
  <c r="B223" i="16"/>
  <c r="A223" i="16"/>
  <c r="B222" i="16"/>
  <c r="A222" i="16"/>
  <c r="A221" i="16"/>
  <c r="D219" i="16"/>
  <c r="B219" i="16"/>
  <c r="A219" i="16"/>
  <c r="B218" i="16"/>
  <c r="B25" i="16" s="1"/>
  <c r="A218" i="16"/>
  <c r="D217" i="16"/>
  <c r="B217" i="16"/>
  <c r="A217" i="16"/>
  <c r="B216" i="16"/>
  <c r="A216" i="16"/>
  <c r="B215" i="16"/>
  <c r="A215" i="16"/>
  <c r="A214" i="16"/>
  <c r="D212" i="16"/>
  <c r="B212" i="16"/>
  <c r="A212" i="16"/>
  <c r="D211" i="16"/>
  <c r="B211" i="16"/>
  <c r="A211" i="16"/>
  <c r="D210" i="16"/>
  <c r="B210" i="16"/>
  <c r="A210" i="16"/>
  <c r="D209" i="16"/>
  <c r="B209" i="16"/>
  <c r="A209" i="16"/>
  <c r="G208" i="16"/>
  <c r="D208" i="16"/>
  <c r="B208" i="16"/>
  <c r="A208" i="16"/>
  <c r="A207" i="16"/>
  <c r="A205" i="16"/>
  <c r="D196" i="16"/>
  <c r="G196" i="16" s="1"/>
  <c r="J196" i="16" s="1"/>
  <c r="M196" i="16" s="1"/>
  <c r="P196" i="16" s="1"/>
  <c r="S196" i="16" s="1"/>
  <c r="V196" i="16" s="1"/>
  <c r="Y196" i="16" s="1"/>
  <c r="AB196" i="16" s="1"/>
  <c r="AE196" i="16" s="1"/>
  <c r="AH196" i="16" s="1"/>
  <c r="AK196" i="16" s="1"/>
  <c r="AN196" i="16" s="1"/>
  <c r="AQ196" i="16" s="1"/>
  <c r="AT196" i="16" s="1"/>
  <c r="AT193" i="16"/>
  <c r="AQ193" i="16"/>
  <c r="AN193" i="16"/>
  <c r="AK193" i="16"/>
  <c r="AH193" i="16"/>
  <c r="AE193" i="16"/>
  <c r="AB193" i="16"/>
  <c r="Y193" i="16"/>
  <c r="V193" i="16"/>
  <c r="S193" i="16"/>
  <c r="P193" i="16"/>
  <c r="M193" i="16"/>
  <c r="J193" i="16"/>
  <c r="G193" i="16"/>
  <c r="D193" i="16"/>
  <c r="B193" i="16"/>
  <c r="B194" i="16" s="1"/>
  <c r="D183" i="16"/>
  <c r="G183" i="16" s="1"/>
  <c r="J183" i="16" s="1"/>
  <c r="M183" i="16" s="1"/>
  <c r="P183" i="16" s="1"/>
  <c r="S183" i="16" s="1"/>
  <c r="V183" i="16" s="1"/>
  <c r="Y183" i="16" s="1"/>
  <c r="AB183" i="16" s="1"/>
  <c r="AE183" i="16" s="1"/>
  <c r="AH183" i="16" s="1"/>
  <c r="AK183" i="16" s="1"/>
  <c r="AN183" i="16" s="1"/>
  <c r="AQ183" i="16" s="1"/>
  <c r="AT183" i="16" s="1"/>
  <c r="AT180" i="16"/>
  <c r="AQ180" i="16"/>
  <c r="AN180" i="16"/>
  <c r="AK180" i="16"/>
  <c r="AH180" i="16"/>
  <c r="AE180" i="16"/>
  <c r="AB180" i="16"/>
  <c r="Y180" i="16"/>
  <c r="V180" i="16"/>
  <c r="S180" i="16"/>
  <c r="P180" i="16"/>
  <c r="M180" i="16"/>
  <c r="J180" i="16"/>
  <c r="G180" i="16"/>
  <c r="D180" i="16"/>
  <c r="B180" i="16"/>
  <c r="B181" i="16" s="1"/>
  <c r="D170" i="16"/>
  <c r="G170" i="16" s="1"/>
  <c r="J170" i="16" s="1"/>
  <c r="M170" i="16" s="1"/>
  <c r="P170" i="16" s="1"/>
  <c r="S170" i="16" s="1"/>
  <c r="V170" i="16" s="1"/>
  <c r="Y170" i="16" s="1"/>
  <c r="AB170" i="16" s="1"/>
  <c r="AE170" i="16" s="1"/>
  <c r="AH170" i="16" s="1"/>
  <c r="AK170" i="16" s="1"/>
  <c r="AN170" i="16" s="1"/>
  <c r="AQ170" i="16" s="1"/>
  <c r="AT170" i="16" s="1"/>
  <c r="AT167" i="16"/>
  <c r="AQ167" i="16"/>
  <c r="AN167" i="16"/>
  <c r="AK167" i="16"/>
  <c r="AH167" i="16"/>
  <c r="AE167" i="16"/>
  <c r="AB167" i="16"/>
  <c r="Y167" i="16"/>
  <c r="V167" i="16"/>
  <c r="S167" i="16"/>
  <c r="P167" i="16"/>
  <c r="M167" i="16"/>
  <c r="J167" i="16"/>
  <c r="G167" i="16"/>
  <c r="D167" i="16"/>
  <c r="B167" i="16"/>
  <c r="B168" i="16" s="1"/>
  <c r="A158" i="16"/>
  <c r="D157" i="16"/>
  <c r="G157" i="16" s="1"/>
  <c r="J157" i="16" s="1"/>
  <c r="M157" i="16" s="1"/>
  <c r="P157" i="16" s="1"/>
  <c r="S157" i="16" s="1"/>
  <c r="V157" i="16" s="1"/>
  <c r="Y157" i="16" s="1"/>
  <c r="AB157" i="16" s="1"/>
  <c r="AE157" i="16" s="1"/>
  <c r="AH157" i="16" s="1"/>
  <c r="AK157" i="16" s="1"/>
  <c r="AN157" i="16" s="1"/>
  <c r="AQ157" i="16" s="1"/>
  <c r="AT157" i="16" s="1"/>
  <c r="A157" i="16"/>
  <c r="A156" i="16"/>
  <c r="A155" i="16"/>
  <c r="AT154" i="16"/>
  <c r="AQ154" i="16"/>
  <c r="AN154" i="16"/>
  <c r="AK154" i="16"/>
  <c r="AH154" i="16"/>
  <c r="AE154" i="16"/>
  <c r="AB154" i="16"/>
  <c r="Y154" i="16"/>
  <c r="V154" i="16"/>
  <c r="S154" i="16"/>
  <c r="P154" i="16"/>
  <c r="M154" i="16"/>
  <c r="J154" i="16"/>
  <c r="G154" i="16"/>
  <c r="D154" i="16"/>
  <c r="B154" i="16"/>
  <c r="B155" i="16" s="1"/>
  <c r="A154" i="16"/>
  <c r="A152" i="16"/>
  <c r="A151" i="16"/>
  <c r="A150" i="16"/>
  <c r="A149" i="16"/>
  <c r="A148" i="16"/>
  <c r="A147" i="16"/>
  <c r="D137" i="16"/>
  <c r="G137" i="16" s="1"/>
  <c r="J137" i="16" s="1"/>
  <c r="M137" i="16" s="1"/>
  <c r="P137" i="16" s="1"/>
  <c r="S137" i="16" s="1"/>
  <c r="V137" i="16" s="1"/>
  <c r="Y137" i="16" s="1"/>
  <c r="AB137" i="16" s="1"/>
  <c r="AE137" i="16" s="1"/>
  <c r="AH137" i="16" s="1"/>
  <c r="AK137" i="16" s="1"/>
  <c r="AN137" i="16" s="1"/>
  <c r="AQ137" i="16" s="1"/>
  <c r="AT137" i="16" s="1"/>
  <c r="AT134" i="16"/>
  <c r="AQ134" i="16"/>
  <c r="AN134" i="16"/>
  <c r="AK134" i="16"/>
  <c r="AH134" i="16"/>
  <c r="AE134" i="16"/>
  <c r="AB134" i="16"/>
  <c r="Y134" i="16"/>
  <c r="V134" i="16"/>
  <c r="S134" i="16"/>
  <c r="P134" i="16"/>
  <c r="M134" i="16"/>
  <c r="J134" i="16"/>
  <c r="G134" i="16"/>
  <c r="D134" i="16"/>
  <c r="B134" i="16"/>
  <c r="B135" i="16" s="1"/>
  <c r="D124" i="16"/>
  <c r="G124" i="16" s="1"/>
  <c r="J124" i="16" s="1"/>
  <c r="M124" i="16" s="1"/>
  <c r="P124" i="16" s="1"/>
  <c r="S124" i="16" s="1"/>
  <c r="V124" i="16" s="1"/>
  <c r="Y124" i="16" s="1"/>
  <c r="AB124" i="16" s="1"/>
  <c r="AE124" i="16" s="1"/>
  <c r="AH124" i="16" s="1"/>
  <c r="AK124" i="16" s="1"/>
  <c r="AN124" i="16" s="1"/>
  <c r="AQ124" i="16" s="1"/>
  <c r="AT124" i="16" s="1"/>
  <c r="AT121" i="16"/>
  <c r="AQ121" i="16"/>
  <c r="AN121" i="16"/>
  <c r="AK121" i="16"/>
  <c r="AH121" i="16"/>
  <c r="AE121" i="16"/>
  <c r="AB121" i="16"/>
  <c r="Y121" i="16"/>
  <c r="V121" i="16"/>
  <c r="S121" i="16"/>
  <c r="P121" i="16"/>
  <c r="M121" i="16"/>
  <c r="J121" i="16"/>
  <c r="G121" i="16"/>
  <c r="D121" i="16"/>
  <c r="B121" i="16"/>
  <c r="B122" i="16" s="1"/>
  <c r="D111" i="16"/>
  <c r="G111" i="16" s="1"/>
  <c r="J111" i="16" s="1"/>
  <c r="M111" i="16" s="1"/>
  <c r="P111" i="16" s="1"/>
  <c r="S111" i="16" s="1"/>
  <c r="V111" i="16" s="1"/>
  <c r="Y111" i="16" s="1"/>
  <c r="AB111" i="16" s="1"/>
  <c r="AE111" i="16" s="1"/>
  <c r="AH111" i="16" s="1"/>
  <c r="AK111" i="16" s="1"/>
  <c r="AN111" i="16" s="1"/>
  <c r="AQ111" i="16" s="1"/>
  <c r="AT111" i="16" s="1"/>
  <c r="AT108" i="16"/>
  <c r="AQ108" i="16"/>
  <c r="AN108" i="16"/>
  <c r="AK108" i="16"/>
  <c r="AH108" i="16"/>
  <c r="AE108" i="16"/>
  <c r="AB108" i="16"/>
  <c r="Y108" i="16"/>
  <c r="V108" i="16"/>
  <c r="S108" i="16"/>
  <c r="P108" i="16"/>
  <c r="M108" i="16"/>
  <c r="J108" i="16"/>
  <c r="G108" i="16"/>
  <c r="D108" i="16"/>
  <c r="B108" i="16"/>
  <c r="B109" i="16" s="1"/>
  <c r="D98" i="16"/>
  <c r="G98" i="16" s="1"/>
  <c r="J98" i="16" s="1"/>
  <c r="M98" i="16" s="1"/>
  <c r="P98" i="16" s="1"/>
  <c r="S98" i="16" s="1"/>
  <c r="V98" i="16" s="1"/>
  <c r="Y98" i="16" s="1"/>
  <c r="AB98" i="16" s="1"/>
  <c r="AE98" i="16" s="1"/>
  <c r="AH98" i="16" s="1"/>
  <c r="AK98" i="16" s="1"/>
  <c r="AN98" i="16" s="1"/>
  <c r="AQ98" i="16" s="1"/>
  <c r="AT98" i="16" s="1"/>
  <c r="AT95" i="16"/>
  <c r="AQ95" i="16"/>
  <c r="AN95" i="16"/>
  <c r="AK95" i="16"/>
  <c r="AH95" i="16"/>
  <c r="AE95" i="16"/>
  <c r="AB95" i="16"/>
  <c r="Y95" i="16"/>
  <c r="V95" i="16"/>
  <c r="S95" i="16"/>
  <c r="P95" i="16"/>
  <c r="M95" i="16"/>
  <c r="J95" i="16"/>
  <c r="G95" i="16"/>
  <c r="D95" i="16"/>
  <c r="B95" i="16"/>
  <c r="B96" i="16" s="1"/>
  <c r="A86" i="16"/>
  <c r="D85" i="16"/>
  <c r="G85" i="16" s="1"/>
  <c r="J85" i="16" s="1"/>
  <c r="M85" i="16" s="1"/>
  <c r="P85" i="16" s="1"/>
  <c r="S85" i="16" s="1"/>
  <c r="V85" i="16" s="1"/>
  <c r="Y85" i="16" s="1"/>
  <c r="AB85" i="16" s="1"/>
  <c r="AE85" i="16" s="1"/>
  <c r="AH85" i="16" s="1"/>
  <c r="AK85" i="16" s="1"/>
  <c r="AN85" i="16" s="1"/>
  <c r="AQ85" i="16" s="1"/>
  <c r="AT85" i="16" s="1"/>
  <c r="A85" i="16"/>
  <c r="A84" i="16"/>
  <c r="A83" i="16"/>
  <c r="AT82" i="16"/>
  <c r="AQ82" i="16"/>
  <c r="AN82" i="16"/>
  <c r="AK82" i="16"/>
  <c r="AH82" i="16"/>
  <c r="AE82" i="16"/>
  <c r="AB82" i="16"/>
  <c r="Y82" i="16"/>
  <c r="V82" i="16"/>
  <c r="S82" i="16"/>
  <c r="P82" i="16"/>
  <c r="M82" i="16"/>
  <c r="J82" i="16"/>
  <c r="G82" i="16"/>
  <c r="D82" i="16"/>
  <c r="B82" i="16"/>
  <c r="B83" i="16" s="1"/>
  <c r="A82" i="16"/>
  <c r="A80" i="16"/>
  <c r="A79" i="16"/>
  <c r="A78" i="16"/>
  <c r="A77" i="16"/>
  <c r="A76" i="16"/>
  <c r="A75" i="16"/>
  <c r="AV65" i="16"/>
  <c r="AS65" i="16"/>
  <c r="AP65" i="16"/>
  <c r="AM65" i="16"/>
  <c r="AJ65" i="16"/>
  <c r="AG65" i="16"/>
  <c r="AD65" i="16"/>
  <c r="AA65" i="16"/>
  <c r="X65" i="16"/>
  <c r="U65" i="16"/>
  <c r="R65" i="16"/>
  <c r="O65" i="16"/>
  <c r="L65" i="16"/>
  <c r="I65" i="16"/>
  <c r="F65" i="16"/>
  <c r="C65" i="16"/>
  <c r="A65" i="16"/>
  <c r="AV64" i="16"/>
  <c r="AS64" i="16"/>
  <c r="AP64" i="16"/>
  <c r="AM64" i="16"/>
  <c r="AJ64" i="16"/>
  <c r="AG64" i="16"/>
  <c r="AD64" i="16"/>
  <c r="AA64" i="16"/>
  <c r="X64" i="16"/>
  <c r="U64" i="16"/>
  <c r="R64" i="16"/>
  <c r="O64" i="16"/>
  <c r="L64" i="16"/>
  <c r="I64" i="16"/>
  <c r="F64" i="16"/>
  <c r="C64" i="16"/>
  <c r="A64" i="16"/>
  <c r="AV63" i="16"/>
  <c r="AS63" i="16"/>
  <c r="AP63" i="16"/>
  <c r="AM63" i="16"/>
  <c r="AJ63" i="16"/>
  <c r="AG63" i="16"/>
  <c r="AD63" i="16"/>
  <c r="AA63" i="16"/>
  <c r="X63" i="16"/>
  <c r="U63" i="16"/>
  <c r="R63" i="16"/>
  <c r="O63" i="16"/>
  <c r="L63" i="16"/>
  <c r="I63" i="16"/>
  <c r="F63" i="16"/>
  <c r="C63" i="16"/>
  <c r="A63" i="16"/>
  <c r="AV62" i="16"/>
  <c r="AS62" i="16"/>
  <c r="AP62" i="16"/>
  <c r="AM62" i="16"/>
  <c r="AJ62" i="16"/>
  <c r="AG62" i="16"/>
  <c r="AD62" i="16"/>
  <c r="AA62" i="16"/>
  <c r="X62" i="16"/>
  <c r="U62" i="16"/>
  <c r="R62" i="16"/>
  <c r="O62" i="16"/>
  <c r="L62" i="16"/>
  <c r="I62" i="16"/>
  <c r="F62" i="16"/>
  <c r="C62" i="16"/>
  <c r="A62" i="16"/>
  <c r="F44" i="16"/>
  <c r="F36" i="16"/>
  <c r="F23" i="16"/>
  <c r="B23" i="16"/>
  <c r="B13" i="16"/>
  <c r="D12" i="16"/>
  <c r="E21" i="16" s="1"/>
  <c r="B12" i="16"/>
  <c r="B11" i="16"/>
  <c r="B61" i="16" s="1"/>
  <c r="C125" i="18"/>
  <c r="I123" i="18"/>
  <c r="I125" i="18" s="1"/>
  <c r="C123" i="18"/>
  <c r="I110" i="18"/>
  <c r="I112" i="18" s="1"/>
  <c r="C110" i="18"/>
  <c r="C112" i="18" s="1"/>
  <c r="I97" i="18"/>
  <c r="I99" i="18" s="1"/>
  <c r="C97" i="18"/>
  <c r="C99" i="18" s="1"/>
  <c r="I86" i="18"/>
  <c r="I84" i="18"/>
  <c r="C84" i="18"/>
  <c r="C86" i="18" s="1"/>
  <c r="A77" i="18"/>
  <c r="I68" i="18"/>
  <c r="H68" i="18"/>
  <c r="G68" i="18"/>
  <c r="F68" i="18"/>
  <c r="D68" i="18"/>
  <c r="C68" i="18"/>
  <c r="I48" i="18"/>
  <c r="H48" i="18"/>
  <c r="G48" i="18"/>
  <c r="F48" i="18"/>
  <c r="D48" i="18"/>
  <c r="C48" i="18"/>
  <c r="I28" i="18"/>
  <c r="H28" i="18"/>
  <c r="G28" i="18"/>
  <c r="F28" i="18"/>
  <c r="D28" i="18"/>
  <c r="C28" i="18"/>
  <c r="R3" i="18"/>
  <c r="R2" i="18"/>
  <c r="O2" i="18"/>
  <c r="M2" i="18"/>
  <c r="J209" i="19"/>
  <c r="I209" i="19"/>
  <c r="H209" i="19"/>
  <c r="J203" i="19"/>
  <c r="I203" i="19"/>
  <c r="H203" i="19"/>
  <c r="S198" i="19"/>
  <c r="R198" i="19"/>
  <c r="Q198" i="19"/>
  <c r="P198" i="19"/>
  <c r="J196" i="19"/>
  <c r="I196" i="19"/>
  <c r="H196" i="19"/>
  <c r="N185" i="19"/>
  <c r="O115" i="19"/>
  <c r="Y111" i="19"/>
  <c r="O103" i="19"/>
  <c r="O97" i="19"/>
  <c r="S91" i="19"/>
  <c r="S90" i="19"/>
  <c r="S89" i="19"/>
  <c r="S88" i="19"/>
  <c r="S87" i="19"/>
  <c r="S86" i="19"/>
  <c r="S85" i="19"/>
  <c r="S84" i="19"/>
  <c r="S83" i="19"/>
  <c r="S82" i="19"/>
  <c r="G81" i="19"/>
  <c r="P77" i="19"/>
  <c r="O77" i="19"/>
  <c r="AT75" i="19"/>
  <c r="AU75" i="19" s="1"/>
  <c r="AT74" i="19"/>
  <c r="AU74" i="19" s="1"/>
  <c r="AN73" i="19"/>
  <c r="AT69" i="19"/>
  <c r="AU69" i="19" s="1"/>
  <c r="AT68" i="19"/>
  <c r="AU68" i="19" s="1"/>
  <c r="AT67" i="19"/>
  <c r="AU67" i="19" s="1"/>
  <c r="AU66" i="19" s="1"/>
  <c r="CB66" i="19"/>
  <c r="CA66" i="19"/>
  <c r="BZ66" i="19"/>
  <c r="BY66" i="19"/>
  <c r="BX66" i="19"/>
  <c r="AN66" i="19"/>
  <c r="AO64" i="19"/>
  <c r="AT63" i="19"/>
  <c r="AN63" i="19"/>
  <c r="AN62" i="19"/>
  <c r="AT61" i="19"/>
  <c r="AU61" i="19" s="1"/>
  <c r="AN61" i="19"/>
  <c r="AN60" i="19"/>
  <c r="AT59" i="19"/>
  <c r="AU59" i="19" s="1"/>
  <c r="CB58" i="19"/>
  <c r="CG58" i="19" s="1"/>
  <c r="CA58" i="19"/>
  <c r="CF58" i="19" s="1"/>
  <c r="BZ58" i="19"/>
  <c r="CE58" i="19" s="1"/>
  <c r="BY58" i="19"/>
  <c r="CD58" i="19" s="1"/>
  <c r="BX58" i="19"/>
  <c r="CC58" i="19" s="1"/>
  <c r="AT57" i="19"/>
  <c r="AU57" i="19" s="1"/>
  <c r="AT55" i="19"/>
  <c r="AU55" i="19" s="1"/>
  <c r="AT53" i="19"/>
  <c r="AU53" i="19" s="1"/>
  <c r="AK51" i="19"/>
  <c r="AJ51" i="19"/>
  <c r="AI51" i="19"/>
  <c r="AU49" i="19"/>
  <c r="AT49" i="19"/>
  <c r="CB48" i="19"/>
  <c r="CA48" i="19"/>
  <c r="BZ48" i="19"/>
  <c r="BY48" i="19"/>
  <c r="BX48" i="19"/>
  <c r="O45" i="19"/>
  <c r="CM44" i="19"/>
  <c r="CL44" i="19"/>
  <c r="CK44" i="19"/>
  <c r="CJ44" i="19"/>
  <c r="CI44" i="19"/>
  <c r="AT42" i="19"/>
  <c r="AU42" i="19" s="1"/>
  <c r="CB41" i="19"/>
  <c r="CG41" i="19" s="1"/>
  <c r="CG64" i="19" s="1"/>
  <c r="CM55" i="19" s="1"/>
  <c r="CA41" i="19"/>
  <c r="CF41" i="19" s="1"/>
  <c r="CF64" i="19" s="1"/>
  <c r="CL55" i="19" s="1"/>
  <c r="BZ41" i="19"/>
  <c r="CE41" i="19" s="1"/>
  <c r="BY41" i="19"/>
  <c r="CD41" i="19" s="1"/>
  <c r="BX41" i="19"/>
  <c r="AU41" i="19"/>
  <c r="AT41" i="19"/>
  <c r="AT40" i="19"/>
  <c r="AU40" i="19" s="1"/>
  <c r="AT39" i="19"/>
  <c r="AU39" i="19" s="1"/>
  <c r="CK38" i="19"/>
  <c r="CJ38" i="19"/>
  <c r="CI38" i="19"/>
  <c r="BZ38" i="19"/>
  <c r="CE38" i="19" s="1"/>
  <c r="BY38" i="19"/>
  <c r="CD38" i="19" s="1"/>
  <c r="BX38" i="19"/>
  <c r="CC38" i="19" s="1"/>
  <c r="AT38" i="19"/>
  <c r="AU38" i="19" s="1"/>
  <c r="AU37" i="19" s="1"/>
  <c r="AN37" i="19"/>
  <c r="E961" i="20"/>
  <c r="C961" i="20"/>
  <c r="E960" i="20"/>
  <c r="C960" i="20"/>
  <c r="E959" i="20"/>
  <c r="C959" i="20"/>
  <c r="E958" i="20"/>
  <c r="C958" i="20"/>
  <c r="Q957" i="20"/>
  <c r="P957" i="20"/>
  <c r="E957" i="20"/>
  <c r="C957" i="20"/>
  <c r="Q956" i="20"/>
  <c r="P956" i="20"/>
  <c r="E956" i="20"/>
  <c r="C956" i="20"/>
  <c r="Q955" i="20"/>
  <c r="P955" i="20"/>
  <c r="E955" i="20"/>
  <c r="C955" i="20"/>
  <c r="Q954" i="20"/>
  <c r="P954" i="20"/>
  <c r="E954" i="20"/>
  <c r="C954" i="20"/>
  <c r="E953" i="20"/>
  <c r="C953" i="20"/>
  <c r="AH952" i="20"/>
  <c r="AG952" i="20"/>
  <c r="AF952" i="20"/>
  <c r="AE952" i="20"/>
  <c r="AD952" i="20"/>
  <c r="AC952" i="20"/>
  <c r="AB952" i="20"/>
  <c r="AA952" i="20"/>
  <c r="Z952" i="20"/>
  <c r="Y952" i="20"/>
  <c r="X952" i="20"/>
  <c r="W952" i="20"/>
  <c r="V952" i="20"/>
  <c r="U952" i="20"/>
  <c r="T952" i="20"/>
  <c r="E952" i="20"/>
  <c r="C952" i="20"/>
  <c r="E951" i="20"/>
  <c r="C951" i="20"/>
  <c r="C950" i="20"/>
  <c r="AI949" i="20"/>
  <c r="AH949" i="20"/>
  <c r="AG949" i="20"/>
  <c r="AF949" i="20"/>
  <c r="AE949" i="20"/>
  <c r="AD949" i="20"/>
  <c r="AC949" i="20"/>
  <c r="AI948" i="20"/>
  <c r="AH948" i="20"/>
  <c r="AG948" i="20"/>
  <c r="AF948" i="20"/>
  <c r="AE948" i="20"/>
  <c r="AD948" i="20"/>
  <c r="AC948" i="20"/>
  <c r="AB948" i="20"/>
  <c r="AA948" i="20"/>
  <c r="Z948" i="20"/>
  <c r="Y948" i="20"/>
  <c r="AI947" i="20"/>
  <c r="AH947" i="20"/>
  <c r="AG947" i="20"/>
  <c r="AF947" i="20"/>
  <c r="AE947" i="20"/>
  <c r="AD947" i="20"/>
  <c r="AC947" i="20"/>
  <c r="AB947" i="20"/>
  <c r="AA947" i="20"/>
  <c r="Z947" i="20"/>
  <c r="Y947" i="20"/>
  <c r="F947" i="20"/>
  <c r="E947" i="20"/>
  <c r="D947" i="20"/>
  <c r="C947" i="20"/>
  <c r="S946" i="20"/>
  <c r="R946" i="20"/>
  <c r="Q946" i="20"/>
  <c r="P946" i="20"/>
  <c r="F946" i="20"/>
  <c r="E946" i="20"/>
  <c r="D946" i="20"/>
  <c r="C946" i="20"/>
  <c r="T945" i="20"/>
  <c r="F945" i="20"/>
  <c r="E945" i="20"/>
  <c r="D945" i="20"/>
  <c r="C945" i="20"/>
  <c r="H944" i="20"/>
  <c r="F944" i="20"/>
  <c r="E944" i="20"/>
  <c r="D944" i="20"/>
  <c r="C944" i="20"/>
  <c r="H943" i="20"/>
  <c r="F943" i="20"/>
  <c r="E943" i="20"/>
  <c r="D943" i="20"/>
  <c r="C943" i="20"/>
  <c r="I942" i="20"/>
  <c r="H942" i="20"/>
  <c r="F942" i="20"/>
  <c r="E942" i="20"/>
  <c r="D942" i="20"/>
  <c r="C942" i="20"/>
  <c r="I941" i="20"/>
  <c r="H941" i="20"/>
  <c r="I940" i="20"/>
  <c r="H940" i="20"/>
  <c r="AH939" i="20"/>
  <c r="AG939" i="20"/>
  <c r="AF939" i="20"/>
  <c r="AE939" i="20"/>
  <c r="AD939" i="20"/>
  <c r="AC939" i="20"/>
  <c r="AB939" i="20"/>
  <c r="AA939" i="20"/>
  <c r="Z939" i="20"/>
  <c r="Y939" i="20"/>
  <c r="X939" i="20"/>
  <c r="W939" i="20"/>
  <c r="V939" i="20"/>
  <c r="U939" i="20"/>
  <c r="T939" i="20"/>
  <c r="S939" i="20"/>
  <c r="R939" i="20"/>
  <c r="Q939" i="20"/>
  <c r="P939" i="20"/>
  <c r="I937" i="20"/>
  <c r="K925" i="20" s="1"/>
  <c r="F937" i="20"/>
  <c r="E937" i="20"/>
  <c r="D937" i="20"/>
  <c r="C937" i="20"/>
  <c r="F936" i="20"/>
  <c r="E936" i="20"/>
  <c r="D936" i="20"/>
  <c r="C936" i="20"/>
  <c r="X935" i="20"/>
  <c r="I935" i="20"/>
  <c r="I933" i="20" s="1"/>
  <c r="I925" i="20" s="1"/>
  <c r="F935" i="20"/>
  <c r="E935" i="20"/>
  <c r="D935" i="20"/>
  <c r="C935" i="20"/>
  <c r="X934" i="20"/>
  <c r="I934" i="20"/>
  <c r="F934" i="20"/>
  <c r="E934" i="20"/>
  <c r="D934" i="20"/>
  <c r="C934" i="20"/>
  <c r="X933" i="20"/>
  <c r="N933" i="20"/>
  <c r="F933" i="20"/>
  <c r="E933" i="20"/>
  <c r="D933" i="20"/>
  <c r="C933" i="20"/>
  <c r="X932" i="20"/>
  <c r="F932" i="20"/>
  <c r="E932" i="20"/>
  <c r="D932" i="20"/>
  <c r="C932" i="20"/>
  <c r="V931" i="20"/>
  <c r="U931" i="20"/>
  <c r="I931" i="20"/>
  <c r="T930" i="20"/>
  <c r="N930" i="20"/>
  <c r="N929" i="20"/>
  <c r="I929" i="20"/>
  <c r="O928" i="20"/>
  <c r="N928" i="20"/>
  <c r="I928" i="20"/>
  <c r="I927" i="20" s="1"/>
  <c r="O927" i="20"/>
  <c r="N927" i="20"/>
  <c r="N926" i="20"/>
  <c r="L925" i="20"/>
  <c r="J925" i="20"/>
  <c r="N922" i="20"/>
  <c r="F921" i="20"/>
  <c r="C921" i="20"/>
  <c r="AC920" i="20"/>
  <c r="AB920" i="20"/>
  <c r="AA920" i="20"/>
  <c r="Z920" i="20"/>
  <c r="Y920" i="20"/>
  <c r="X920" i="20"/>
  <c r="N920" i="20"/>
  <c r="AC919" i="20"/>
  <c r="AB919" i="20"/>
  <c r="AA919" i="20"/>
  <c r="Z919" i="20"/>
  <c r="Y919" i="20"/>
  <c r="X919" i="20"/>
  <c r="AB915" i="20" s="1"/>
  <c r="O917" i="20"/>
  <c r="N917" i="20"/>
  <c r="O916" i="20"/>
  <c r="N916" i="20"/>
  <c r="O915" i="20"/>
  <c r="N915" i="20"/>
  <c r="BA895" i="20"/>
  <c r="BA894" i="20"/>
  <c r="BA893" i="20"/>
  <c r="BA892" i="20"/>
  <c r="BA891" i="20"/>
  <c r="BA890" i="20"/>
  <c r="BA889" i="20"/>
  <c r="DR888" i="20"/>
  <c r="BA888" i="20"/>
  <c r="BA887" i="20"/>
  <c r="BA886" i="20"/>
  <c r="BA885" i="20"/>
  <c r="BA884" i="20"/>
  <c r="BA883" i="20"/>
  <c r="BA882" i="20"/>
  <c r="BA860" i="20"/>
  <c r="BA859" i="20"/>
  <c r="BA858" i="20"/>
  <c r="BA857" i="20"/>
  <c r="BA856" i="20"/>
  <c r="DR855" i="20"/>
  <c r="BA855" i="20"/>
  <c r="BA854" i="20"/>
  <c r="BA853" i="20"/>
  <c r="BA852" i="20"/>
  <c r="CA847" i="20"/>
  <c r="DS866" i="20" s="1"/>
  <c r="BT835" i="20"/>
  <c r="BT893" i="20" s="1"/>
  <c r="BS835" i="20"/>
  <c r="BS893" i="20" s="1"/>
  <c r="BR835" i="20"/>
  <c r="BR893" i="20" s="1"/>
  <c r="BQ835" i="20"/>
  <c r="BQ893" i="20" s="1"/>
  <c r="BP835" i="20"/>
  <c r="BP893" i="20" s="1"/>
  <c r="BO835" i="20"/>
  <c r="BO893" i="20" s="1"/>
  <c r="BN835" i="20"/>
  <c r="BN893" i="20" s="1"/>
  <c r="BM835" i="20"/>
  <c r="BM893" i="20" s="1"/>
  <c r="BL835" i="20"/>
  <c r="BL893" i="20" s="1"/>
  <c r="BK835" i="20"/>
  <c r="BK893" i="20" s="1"/>
  <c r="BJ835" i="20"/>
  <c r="BJ893" i="20" s="1"/>
  <c r="BI835" i="20"/>
  <c r="BI893" i="20" s="1"/>
  <c r="BH835" i="20"/>
  <c r="BH893" i="20" s="1"/>
  <c r="BG835" i="20"/>
  <c r="BG893" i="20" s="1"/>
  <c r="BF835" i="20"/>
  <c r="BF893" i="20" s="1"/>
  <c r="BE835" i="20"/>
  <c r="BE893" i="20" s="1"/>
  <c r="AY835" i="20"/>
  <c r="BD893" i="20" s="1"/>
  <c r="AV835" i="20"/>
  <c r="AS835" i="20"/>
  <c r="AP835" i="20"/>
  <c r="BT834" i="20"/>
  <c r="BT892" i="20" s="1"/>
  <c r="BS834" i="20"/>
  <c r="BS892" i="20" s="1"/>
  <c r="BR834" i="20"/>
  <c r="BR892" i="20" s="1"/>
  <c r="BQ834" i="20"/>
  <c r="BQ892" i="20" s="1"/>
  <c r="BP834" i="20"/>
  <c r="BP892" i="20" s="1"/>
  <c r="BO834" i="20"/>
  <c r="BO892" i="20" s="1"/>
  <c r="BN834" i="20"/>
  <c r="BN892" i="20" s="1"/>
  <c r="BM834" i="20"/>
  <c r="BM892" i="20" s="1"/>
  <c r="BL834" i="20"/>
  <c r="BL892" i="20" s="1"/>
  <c r="BK834" i="20"/>
  <c r="BK892" i="20" s="1"/>
  <c r="BJ834" i="20"/>
  <c r="BJ892" i="20" s="1"/>
  <c r="BI834" i="20"/>
  <c r="BI892" i="20" s="1"/>
  <c r="BH834" i="20"/>
  <c r="BH892" i="20" s="1"/>
  <c r="BG834" i="20"/>
  <c r="BG892" i="20" s="1"/>
  <c r="BF834" i="20"/>
  <c r="BF892" i="20" s="1"/>
  <c r="BE834" i="20"/>
  <c r="BE892" i="20" s="1"/>
  <c r="AY834" i="20"/>
  <c r="BD892" i="20" s="1"/>
  <c r="AV834" i="20"/>
  <c r="AS834" i="20"/>
  <c r="AP834" i="20"/>
  <c r="BT833" i="20"/>
  <c r="BT891" i="20" s="1"/>
  <c r="BS833" i="20"/>
  <c r="BS891" i="20" s="1"/>
  <c r="BR833" i="20"/>
  <c r="BR891" i="20" s="1"/>
  <c r="BQ833" i="20"/>
  <c r="BQ891" i="20" s="1"/>
  <c r="BP833" i="20"/>
  <c r="BP891" i="20" s="1"/>
  <c r="BO833" i="20"/>
  <c r="BO891" i="20" s="1"/>
  <c r="BN833" i="20"/>
  <c r="BN891" i="20" s="1"/>
  <c r="BM833" i="20"/>
  <c r="BM891" i="20" s="1"/>
  <c r="BL833" i="20"/>
  <c r="BL891" i="20" s="1"/>
  <c r="BK833" i="20"/>
  <c r="BK891" i="20" s="1"/>
  <c r="BJ833" i="20"/>
  <c r="BJ891" i="20" s="1"/>
  <c r="BI833" i="20"/>
  <c r="BI891" i="20" s="1"/>
  <c r="BH833" i="20"/>
  <c r="BH891" i="20" s="1"/>
  <c r="BG833" i="20"/>
  <c r="BG891" i="20" s="1"/>
  <c r="BF833" i="20"/>
  <c r="BF891" i="20" s="1"/>
  <c r="BE833" i="20"/>
  <c r="BE891" i="20" s="1"/>
  <c r="AY833" i="20"/>
  <c r="BD891" i="20" s="1"/>
  <c r="AV833" i="20"/>
  <c r="AS833" i="20"/>
  <c r="AP833" i="20"/>
  <c r="BT832" i="20"/>
  <c r="BT890" i="20" s="1"/>
  <c r="BS832" i="20"/>
  <c r="BS890" i="20" s="1"/>
  <c r="BR832" i="20"/>
  <c r="BR890" i="20" s="1"/>
  <c r="BQ832" i="20"/>
  <c r="BQ890" i="20" s="1"/>
  <c r="BP832" i="20"/>
  <c r="BP890" i="20" s="1"/>
  <c r="BO832" i="20"/>
  <c r="BO890" i="20" s="1"/>
  <c r="BN832" i="20"/>
  <c r="BN890" i="20" s="1"/>
  <c r="BM832" i="20"/>
  <c r="BM890" i="20" s="1"/>
  <c r="BL832" i="20"/>
  <c r="BL890" i="20" s="1"/>
  <c r="BK832" i="20"/>
  <c r="BK890" i="20" s="1"/>
  <c r="BJ832" i="20"/>
  <c r="BJ890" i="20" s="1"/>
  <c r="BI832" i="20"/>
  <c r="BI890" i="20" s="1"/>
  <c r="BH832" i="20"/>
  <c r="BH890" i="20" s="1"/>
  <c r="BG832" i="20"/>
  <c r="BG890" i="20" s="1"/>
  <c r="BF832" i="20"/>
  <c r="BF890" i="20" s="1"/>
  <c r="BE832" i="20"/>
  <c r="BE890" i="20" s="1"/>
  <c r="AY832" i="20"/>
  <c r="BD890" i="20" s="1"/>
  <c r="AV832" i="20"/>
  <c r="AS832" i="20"/>
  <c r="AP832" i="20"/>
  <c r="BT831" i="20"/>
  <c r="BT889" i="20" s="1"/>
  <c r="BS831" i="20"/>
  <c r="BS889" i="20" s="1"/>
  <c r="BR831" i="20"/>
  <c r="BR889" i="20" s="1"/>
  <c r="BQ831" i="20"/>
  <c r="BQ889" i="20" s="1"/>
  <c r="BP831" i="20"/>
  <c r="BP889" i="20" s="1"/>
  <c r="BO831" i="20"/>
  <c r="BO889" i="20" s="1"/>
  <c r="BN831" i="20"/>
  <c r="BN889" i="20" s="1"/>
  <c r="BM831" i="20"/>
  <c r="BM889" i="20" s="1"/>
  <c r="BL831" i="20"/>
  <c r="BL889" i="20" s="1"/>
  <c r="BK831" i="20"/>
  <c r="BK889" i="20" s="1"/>
  <c r="BJ831" i="20"/>
  <c r="BJ889" i="20" s="1"/>
  <c r="BI831" i="20"/>
  <c r="BI889" i="20" s="1"/>
  <c r="BH831" i="20"/>
  <c r="BH889" i="20" s="1"/>
  <c r="BG831" i="20"/>
  <c r="BG889" i="20" s="1"/>
  <c r="BF831" i="20"/>
  <c r="BF889" i="20" s="1"/>
  <c r="BE831" i="20"/>
  <c r="BE889" i="20" s="1"/>
  <c r="AY831" i="20"/>
  <c r="BD889" i="20" s="1"/>
  <c r="AV831" i="20"/>
  <c r="AS831" i="20"/>
  <c r="AP831" i="20"/>
  <c r="BT830" i="20"/>
  <c r="BT888" i="20" s="1"/>
  <c r="BS830" i="20"/>
  <c r="BS888" i="20" s="1"/>
  <c r="BR830" i="20"/>
  <c r="BR888" i="20" s="1"/>
  <c r="BQ830" i="20"/>
  <c r="BQ888" i="20" s="1"/>
  <c r="BP830" i="20"/>
  <c r="BP888" i="20" s="1"/>
  <c r="BO830" i="20"/>
  <c r="BO888" i="20" s="1"/>
  <c r="BN830" i="20"/>
  <c r="BN888" i="20" s="1"/>
  <c r="BM830" i="20"/>
  <c r="BM888" i="20" s="1"/>
  <c r="BL830" i="20"/>
  <c r="BL888" i="20" s="1"/>
  <c r="BK830" i="20"/>
  <c r="BK888" i="20" s="1"/>
  <c r="BJ830" i="20"/>
  <c r="BJ888" i="20" s="1"/>
  <c r="BI830" i="20"/>
  <c r="BI888" i="20" s="1"/>
  <c r="BH830" i="20"/>
  <c r="BH888" i="20" s="1"/>
  <c r="BG830" i="20"/>
  <c r="BG888" i="20" s="1"/>
  <c r="BF830" i="20"/>
  <c r="BF888" i="20" s="1"/>
  <c r="BE830" i="20"/>
  <c r="BE888" i="20" s="1"/>
  <c r="AY830" i="20"/>
  <c r="BD888" i="20" s="1"/>
  <c r="AV830" i="20"/>
  <c r="AS830" i="20"/>
  <c r="AP830" i="20"/>
  <c r="BT829" i="20"/>
  <c r="BT887" i="20" s="1"/>
  <c r="BS829" i="20"/>
  <c r="BS887" i="20" s="1"/>
  <c r="BR829" i="20"/>
  <c r="BR887" i="20" s="1"/>
  <c r="BQ829" i="20"/>
  <c r="BQ887" i="20" s="1"/>
  <c r="BP829" i="20"/>
  <c r="BP887" i="20" s="1"/>
  <c r="BO829" i="20"/>
  <c r="BO887" i="20" s="1"/>
  <c r="BN829" i="20"/>
  <c r="BN887" i="20" s="1"/>
  <c r="BM829" i="20"/>
  <c r="BM887" i="20" s="1"/>
  <c r="BL829" i="20"/>
  <c r="BL887" i="20" s="1"/>
  <c r="BK829" i="20"/>
  <c r="BK887" i="20" s="1"/>
  <c r="BJ829" i="20"/>
  <c r="BJ887" i="20" s="1"/>
  <c r="BI829" i="20"/>
  <c r="BI887" i="20" s="1"/>
  <c r="BH829" i="20"/>
  <c r="BH887" i="20" s="1"/>
  <c r="BG829" i="20"/>
  <c r="BG887" i="20" s="1"/>
  <c r="BF829" i="20"/>
  <c r="BF887" i="20" s="1"/>
  <c r="BE829" i="20"/>
  <c r="BE887" i="20" s="1"/>
  <c r="AY829" i="20"/>
  <c r="BD887" i="20" s="1"/>
  <c r="AV829" i="20"/>
  <c r="AS829" i="20"/>
  <c r="AP829" i="20"/>
  <c r="BT828" i="20"/>
  <c r="BT886" i="20" s="1"/>
  <c r="BS828" i="20"/>
  <c r="BS886" i="20" s="1"/>
  <c r="BR828" i="20"/>
  <c r="BR886" i="20" s="1"/>
  <c r="BQ828" i="20"/>
  <c r="BQ886" i="20" s="1"/>
  <c r="BP828" i="20"/>
  <c r="BP886" i="20" s="1"/>
  <c r="BO828" i="20"/>
  <c r="BO886" i="20" s="1"/>
  <c r="BN828" i="20"/>
  <c r="BN886" i="20" s="1"/>
  <c r="BM828" i="20"/>
  <c r="BM886" i="20" s="1"/>
  <c r="BL828" i="20"/>
  <c r="BL886" i="20" s="1"/>
  <c r="BK828" i="20"/>
  <c r="BK886" i="20" s="1"/>
  <c r="BJ828" i="20"/>
  <c r="BJ886" i="20" s="1"/>
  <c r="BI828" i="20"/>
  <c r="BI886" i="20" s="1"/>
  <c r="BH828" i="20"/>
  <c r="BH886" i="20" s="1"/>
  <c r="BG828" i="20"/>
  <c r="BG886" i="20" s="1"/>
  <c r="BF828" i="20"/>
  <c r="BF886" i="20" s="1"/>
  <c r="BE828" i="20"/>
  <c r="BE886" i="20" s="1"/>
  <c r="BB828" i="20"/>
  <c r="AY828" i="20"/>
  <c r="BD886" i="20" s="1"/>
  <c r="AV828" i="20"/>
  <c r="AS828" i="20"/>
  <c r="AP828" i="20"/>
  <c r="BT827" i="20"/>
  <c r="BT885" i="20" s="1"/>
  <c r="BS827" i="20"/>
  <c r="BS885" i="20" s="1"/>
  <c r="BR827" i="20"/>
  <c r="BR885" i="20" s="1"/>
  <c r="BQ827" i="20"/>
  <c r="BQ885" i="20" s="1"/>
  <c r="BP827" i="20"/>
  <c r="BP885" i="20" s="1"/>
  <c r="BO827" i="20"/>
  <c r="BO885" i="20" s="1"/>
  <c r="BN827" i="20"/>
  <c r="BN885" i="20" s="1"/>
  <c r="BM827" i="20"/>
  <c r="BM885" i="20" s="1"/>
  <c r="BL827" i="20"/>
  <c r="BL885" i="20" s="1"/>
  <c r="BK827" i="20"/>
  <c r="BK885" i="20" s="1"/>
  <c r="BJ827" i="20"/>
  <c r="BJ885" i="20" s="1"/>
  <c r="BI827" i="20"/>
  <c r="BI885" i="20" s="1"/>
  <c r="BH827" i="20"/>
  <c r="BH885" i="20" s="1"/>
  <c r="BG827" i="20"/>
  <c r="BG885" i="20" s="1"/>
  <c r="BF827" i="20"/>
  <c r="BF885" i="20" s="1"/>
  <c r="BE827" i="20"/>
  <c r="BE885" i="20" s="1"/>
  <c r="BB827" i="20"/>
  <c r="AY827" i="20"/>
  <c r="BD885" i="20" s="1"/>
  <c r="AV827" i="20"/>
  <c r="AS827" i="20"/>
  <c r="AP827" i="20"/>
  <c r="BT826" i="20"/>
  <c r="BS826" i="20"/>
  <c r="BS884" i="20" s="1"/>
  <c r="BR826" i="20"/>
  <c r="BQ826" i="20"/>
  <c r="BQ884" i="20" s="1"/>
  <c r="BP826" i="20"/>
  <c r="BP884" i="20" s="1"/>
  <c r="BO826" i="20"/>
  <c r="BN826" i="20"/>
  <c r="BN884" i="20" s="1"/>
  <c r="BM826" i="20"/>
  <c r="BM884" i="20" s="1"/>
  <c r="BL826" i="20"/>
  <c r="BK826" i="20"/>
  <c r="BK884" i="20" s="1"/>
  <c r="BJ826" i="20"/>
  <c r="BI826" i="20"/>
  <c r="BI884" i="20" s="1"/>
  <c r="BH826" i="20"/>
  <c r="BH884" i="20" s="1"/>
  <c r="BG826" i="20"/>
  <c r="BG884" i="20" s="1"/>
  <c r="BF826" i="20"/>
  <c r="BF884" i="20" s="1"/>
  <c r="BE826" i="20"/>
  <c r="BE884" i="20" s="1"/>
  <c r="AY826" i="20"/>
  <c r="BD884" i="20" s="1"/>
  <c r="AV826" i="20"/>
  <c r="AS826" i="20"/>
  <c r="AP826" i="20"/>
  <c r="AM762" i="20"/>
  <c r="BE761" i="20"/>
  <c r="AM751" i="20"/>
  <c r="AM750" i="20"/>
  <c r="AL744" i="20"/>
  <c r="AL745" i="20" s="1"/>
  <c r="AL746" i="20" s="1"/>
  <c r="AL747" i="20" s="1"/>
  <c r="AL748" i="20" s="1"/>
  <c r="AL749" i="20" s="1"/>
  <c r="AL750" i="20" s="1"/>
  <c r="AL751" i="20" s="1"/>
  <c r="AL752" i="20" s="1"/>
  <c r="AL755" i="20" s="1"/>
  <c r="AL756" i="20" s="1"/>
  <c r="AL757" i="20" s="1"/>
  <c r="AL758" i="20" s="1"/>
  <c r="AL743" i="20"/>
  <c r="AM742" i="20"/>
  <c r="AL699" i="20"/>
  <c r="AL700" i="20" s="1"/>
  <c r="AL701" i="20" s="1"/>
  <c r="AL702" i="20" s="1"/>
  <c r="AL703" i="20" s="1"/>
  <c r="AL704" i="20" s="1"/>
  <c r="AL705" i="20" s="1"/>
  <c r="AL706" i="20" s="1"/>
  <c r="AL707" i="20" s="1"/>
  <c r="AL708" i="20" s="1"/>
  <c r="AL709" i="20" s="1"/>
  <c r="AL710" i="20" s="1"/>
  <c r="AL713" i="20" s="1"/>
  <c r="AL714" i="20" s="1"/>
  <c r="AL715" i="20" s="1"/>
  <c r="AL716" i="20" s="1"/>
  <c r="AL717" i="20" s="1"/>
  <c r="AL718" i="20" s="1"/>
  <c r="AL719" i="20" s="1"/>
  <c r="AL720" i="20" s="1"/>
  <c r="AL721" i="20" s="1"/>
  <c r="AL725" i="20" s="1"/>
  <c r="AM695" i="20"/>
  <c r="BE693" i="20"/>
  <c r="AM692" i="20"/>
  <c r="BB682" i="20"/>
  <c r="AY682" i="20"/>
  <c r="AV682" i="20"/>
  <c r="AS682" i="20"/>
  <c r="AX682" i="20" s="1"/>
  <c r="AP682" i="20"/>
  <c r="AU682" i="20" s="1"/>
  <c r="AN682" i="20"/>
  <c r="AR682" i="20" s="1"/>
  <c r="AM682" i="20"/>
  <c r="AL682" i="20"/>
  <c r="BB681" i="20"/>
  <c r="AY681" i="20"/>
  <c r="AV681" i="20"/>
  <c r="AS681" i="20"/>
  <c r="AP681" i="20"/>
  <c r="AU681" i="20" s="1"/>
  <c r="AN681" i="20"/>
  <c r="AR681" i="20" s="1"/>
  <c r="AM681" i="20"/>
  <c r="AL681" i="20"/>
  <c r="AN680" i="20"/>
  <c r="AM680" i="20"/>
  <c r="AL680" i="20"/>
  <c r="AN678" i="20"/>
  <c r="AM678" i="20"/>
  <c r="AL678" i="20"/>
  <c r="AN675" i="20"/>
  <c r="AM675" i="20"/>
  <c r="AL675" i="20"/>
  <c r="AN674" i="20"/>
  <c r="AM674" i="20"/>
  <c r="AL674" i="20"/>
  <c r="AN673" i="20"/>
  <c r="AM673" i="20"/>
  <c r="AL673" i="20"/>
  <c r="AN672" i="20"/>
  <c r="AM672" i="20"/>
  <c r="AL672" i="20"/>
  <c r="AN671" i="20"/>
  <c r="AM671" i="20"/>
  <c r="AL671" i="20"/>
  <c r="AN670" i="20"/>
  <c r="AM670" i="20"/>
  <c r="AL670" i="20"/>
  <c r="BD669" i="20"/>
  <c r="BB669" i="20"/>
  <c r="AY669" i="20"/>
  <c r="AV669" i="20"/>
  <c r="AS669" i="20"/>
  <c r="AP669" i="20"/>
  <c r="AN669" i="20"/>
  <c r="AL669" i="20"/>
  <c r="BB668" i="20"/>
  <c r="BD668" i="20" s="1"/>
  <c r="AY668" i="20"/>
  <c r="AV668" i="20"/>
  <c r="AS668" i="20"/>
  <c r="AS803" i="20" s="1"/>
  <c r="AP668" i="20"/>
  <c r="AN668" i="20"/>
  <c r="AL668" i="20"/>
  <c r="AN667" i="20"/>
  <c r="AM667" i="20"/>
  <c r="AL667" i="20"/>
  <c r="BE666" i="20"/>
  <c r="AN666" i="20"/>
  <c r="AM666" i="20"/>
  <c r="AL666" i="20"/>
  <c r="AN665" i="20"/>
  <c r="AM665" i="20"/>
  <c r="AL665" i="20"/>
  <c r="AN663" i="20"/>
  <c r="AM663" i="20"/>
  <c r="AL663" i="20"/>
  <c r="AN661" i="20"/>
  <c r="AM661" i="20"/>
  <c r="AL661" i="20"/>
  <c r="AN660" i="20"/>
  <c r="AO672" i="20" s="1"/>
  <c r="AM660" i="20"/>
  <c r="AL660" i="20"/>
  <c r="AN657" i="20"/>
  <c r="AM657" i="20"/>
  <c r="AL657" i="20"/>
  <c r="AN656" i="20"/>
  <c r="AM656" i="20"/>
  <c r="AL656" i="20"/>
  <c r="AN654" i="20"/>
  <c r="AM654" i="20"/>
  <c r="AL654" i="20"/>
  <c r="AN653" i="20"/>
  <c r="AM653" i="20"/>
  <c r="AL653" i="20"/>
  <c r="AM652" i="20"/>
  <c r="AL652" i="20"/>
  <c r="AN651" i="20"/>
  <c r="AM651" i="20"/>
  <c r="AL651" i="20"/>
  <c r="AN650" i="20"/>
  <c r="AM650" i="20"/>
  <c r="AL650" i="20"/>
  <c r="AN649" i="20"/>
  <c r="AM649" i="20"/>
  <c r="AL649" i="20"/>
  <c r="AN648" i="20"/>
  <c r="AM648" i="20"/>
  <c r="AL648" i="20"/>
  <c r="BT643" i="20"/>
  <c r="BS643" i="20"/>
  <c r="BR643" i="20"/>
  <c r="BQ643" i="20"/>
  <c r="BP643" i="20"/>
  <c r="BO643" i="20"/>
  <c r="BN643" i="20"/>
  <c r="BM643" i="20"/>
  <c r="BL643" i="20"/>
  <c r="BK643" i="20"/>
  <c r="BJ643" i="20"/>
  <c r="BI643" i="20"/>
  <c r="BH643" i="20"/>
  <c r="BG643" i="20"/>
  <c r="BF643" i="20"/>
  <c r="BE643" i="20"/>
  <c r="BB643" i="20"/>
  <c r="AY643" i="20"/>
  <c r="BD643" i="20" s="1"/>
  <c r="AV643" i="20"/>
  <c r="AX643" i="20" s="1"/>
  <c r="AS643" i="20"/>
  <c r="AP643" i="20"/>
  <c r="AN643" i="20"/>
  <c r="AN642" i="20" s="1"/>
  <c r="AM643" i="20"/>
  <c r="AM642" i="20"/>
  <c r="AM800" i="20" s="1"/>
  <c r="BA876" i="20" s="1"/>
  <c r="AL642" i="20"/>
  <c r="AN641" i="20"/>
  <c r="AM641" i="20"/>
  <c r="AM799" i="20" s="1"/>
  <c r="BA875" i="20" s="1"/>
  <c r="AL641" i="20"/>
  <c r="AN640" i="20"/>
  <c r="AM640" i="20"/>
  <c r="AM798" i="20" s="1"/>
  <c r="BA874" i="20" s="1"/>
  <c r="AL640" i="20"/>
  <c r="AN639" i="20"/>
  <c r="AM639" i="20"/>
  <c r="AM797" i="20" s="1"/>
  <c r="BA873" i="20" s="1"/>
  <c r="AL639" i="20"/>
  <c r="AN637" i="20"/>
  <c r="AM637" i="20"/>
  <c r="AM796" i="20" s="1"/>
  <c r="BA872" i="20" s="1"/>
  <c r="AL637" i="20"/>
  <c r="AN636" i="20"/>
  <c r="AN638" i="20" s="1"/>
  <c r="AM636" i="20"/>
  <c r="AM795" i="20" s="1"/>
  <c r="BA871" i="20" s="1"/>
  <c r="AL636" i="20"/>
  <c r="BB635" i="20"/>
  <c r="AY635" i="20"/>
  <c r="AV635" i="20"/>
  <c r="AS635" i="20"/>
  <c r="AU635" i="20" s="1"/>
  <c r="AP635" i="20"/>
  <c r="AN635" i="20"/>
  <c r="AR635" i="20" s="1"/>
  <c r="AM635" i="20"/>
  <c r="AL635" i="20"/>
  <c r="AN634" i="20"/>
  <c r="AM634" i="20"/>
  <c r="AL634" i="20"/>
  <c r="AN633" i="20"/>
  <c r="AM633" i="20"/>
  <c r="AL633" i="20"/>
  <c r="AN630" i="20"/>
  <c r="AM630" i="20"/>
  <c r="AM793" i="20" s="1"/>
  <c r="BA870" i="20" s="1"/>
  <c r="AL630" i="20"/>
  <c r="AN629" i="20"/>
  <c r="AM629" i="20"/>
  <c r="AM792" i="20" s="1"/>
  <c r="BA869" i="20" s="1"/>
  <c r="AL629" i="20"/>
  <c r="AN628" i="20"/>
  <c r="AM628" i="20"/>
  <c r="AM791" i="20" s="1"/>
  <c r="BA868" i="20" s="1"/>
  <c r="AL628" i="20"/>
  <c r="AN627" i="20"/>
  <c r="AM627" i="20"/>
  <c r="AL627" i="20"/>
  <c r="AN626" i="20"/>
  <c r="AM626" i="20"/>
  <c r="AM790" i="20" s="1"/>
  <c r="BA867" i="20" s="1"/>
  <c r="AL626" i="20"/>
  <c r="AN625" i="20"/>
  <c r="AM625" i="20"/>
  <c r="AL625" i="20"/>
  <c r="AN624" i="20"/>
  <c r="AM624" i="20"/>
  <c r="AL624" i="20"/>
  <c r="AN623" i="20"/>
  <c r="AM623" i="20"/>
  <c r="AL623" i="20"/>
  <c r="BB622" i="20"/>
  <c r="AY622" i="20"/>
  <c r="AV622" i="20"/>
  <c r="AS622" i="20"/>
  <c r="BA622" i="20" s="1"/>
  <c r="AP622" i="20"/>
  <c r="AN622" i="20"/>
  <c r="AM622" i="20"/>
  <c r="AL622" i="20"/>
  <c r="AN621" i="20"/>
  <c r="AM621" i="20"/>
  <c r="AL621" i="20"/>
  <c r="AN620" i="20"/>
  <c r="AM620" i="20"/>
  <c r="AL620" i="20"/>
  <c r="AN619" i="20"/>
  <c r="AM619" i="20"/>
  <c r="AL619" i="20"/>
  <c r="AN615" i="20"/>
  <c r="AN702" i="20" s="1"/>
  <c r="AM615" i="20"/>
  <c r="AL615" i="20"/>
  <c r="AL614" i="20"/>
  <c r="BT613" i="20"/>
  <c r="BS613" i="20"/>
  <c r="BR613" i="20"/>
  <c r="BQ613" i="20"/>
  <c r="BP613" i="20"/>
  <c r="BO613" i="20"/>
  <c r="BN613" i="20"/>
  <c r="BM613" i="20"/>
  <c r="BL613" i="20"/>
  <c r="BK613" i="20"/>
  <c r="BJ613" i="20"/>
  <c r="BI613" i="20"/>
  <c r="BH613" i="20"/>
  <c r="BG613" i="20"/>
  <c r="BF613" i="20"/>
  <c r="BE613" i="20"/>
  <c r="BB613" i="20"/>
  <c r="AY613" i="20"/>
  <c r="BD613" i="20" s="1"/>
  <c r="AV613" i="20"/>
  <c r="AS613" i="20"/>
  <c r="AP613" i="20"/>
  <c r="AU613" i="20" s="1"/>
  <c r="AN613" i="20"/>
  <c r="AM613" i="20"/>
  <c r="AN612" i="20"/>
  <c r="AN614" i="20" s="1"/>
  <c r="AM612" i="20"/>
  <c r="AM818" i="20" s="1"/>
  <c r="BA881" i="20" s="1"/>
  <c r="AL611" i="20"/>
  <c r="BT610" i="20"/>
  <c r="BS610" i="20"/>
  <c r="BR610" i="20"/>
  <c r="BQ610" i="20"/>
  <c r="BP610" i="20"/>
  <c r="BO610" i="20"/>
  <c r="BN610" i="20"/>
  <c r="BM610" i="20"/>
  <c r="BL610" i="20"/>
  <c r="BK610" i="20"/>
  <c r="BJ610" i="20"/>
  <c r="BI610" i="20"/>
  <c r="BH610" i="20"/>
  <c r="BG610" i="20"/>
  <c r="BF610" i="20"/>
  <c r="BE610" i="20"/>
  <c r="BB610" i="20"/>
  <c r="AY610" i="20"/>
  <c r="AV610" i="20"/>
  <c r="AS610" i="20"/>
  <c r="AP610" i="20"/>
  <c r="AN610" i="20"/>
  <c r="AR610" i="20" s="1"/>
  <c r="AN609" i="20"/>
  <c r="AM609" i="20"/>
  <c r="AM817" i="20" s="1"/>
  <c r="BA880" i="20" s="1"/>
  <c r="AL608" i="20"/>
  <c r="BT607" i="20"/>
  <c r="BS607" i="20"/>
  <c r="BR607" i="20"/>
  <c r="BQ607" i="20"/>
  <c r="BP607" i="20"/>
  <c r="BO607" i="20"/>
  <c r="BN607" i="20"/>
  <c r="BM607" i="20"/>
  <c r="BL607" i="20"/>
  <c r="BK607" i="20"/>
  <c r="BJ607" i="20"/>
  <c r="BI607" i="20"/>
  <c r="BH607" i="20"/>
  <c r="BG607" i="20"/>
  <c r="BF607" i="20"/>
  <c r="BE607" i="20"/>
  <c r="BB607" i="20"/>
  <c r="BD607" i="20" s="1"/>
  <c r="AY607" i="20"/>
  <c r="AV607" i="20"/>
  <c r="AS607" i="20"/>
  <c r="AP607" i="20"/>
  <c r="AU607" i="20" s="1"/>
  <c r="AN607" i="20"/>
  <c r="AN606" i="20"/>
  <c r="AM606" i="20"/>
  <c r="AM816" i="20" s="1"/>
  <c r="BA879" i="20" s="1"/>
  <c r="BT604" i="20"/>
  <c r="BS604" i="20"/>
  <c r="BR604" i="20"/>
  <c r="BQ604" i="20"/>
  <c r="BP604" i="20"/>
  <c r="BO604" i="20"/>
  <c r="BN604" i="20"/>
  <c r="BM604" i="20"/>
  <c r="BL604" i="20"/>
  <c r="BK604" i="20"/>
  <c r="BJ604" i="20"/>
  <c r="BI604" i="20"/>
  <c r="BH604" i="20"/>
  <c r="BG604" i="20"/>
  <c r="BF604" i="20"/>
  <c r="BE604" i="20"/>
  <c r="BB604" i="20"/>
  <c r="AY604" i="20"/>
  <c r="AV604" i="20"/>
  <c r="AS604" i="20"/>
  <c r="BA604" i="20" s="1"/>
  <c r="AP604" i="20"/>
  <c r="AN604" i="20"/>
  <c r="AR604" i="20" s="1"/>
  <c r="AN603" i="20"/>
  <c r="AM603" i="20"/>
  <c r="AL603" i="20"/>
  <c r="AN602" i="20"/>
  <c r="AM602" i="20"/>
  <c r="AL602" i="20"/>
  <c r="AL601" i="20"/>
  <c r="BT600" i="20"/>
  <c r="BS600" i="20"/>
  <c r="BR600" i="20"/>
  <c r="BQ600" i="20"/>
  <c r="BP600" i="20"/>
  <c r="BO600" i="20"/>
  <c r="BN600" i="20"/>
  <c r="BM600" i="20"/>
  <c r="BL600" i="20"/>
  <c r="BK600" i="20"/>
  <c r="BJ600" i="20"/>
  <c r="BI600" i="20"/>
  <c r="BH600" i="20"/>
  <c r="BG600" i="20"/>
  <c r="BF600" i="20"/>
  <c r="BE600" i="20"/>
  <c r="BB600" i="20"/>
  <c r="BD600" i="20" s="1"/>
  <c r="AY600" i="20"/>
  <c r="AV600" i="20"/>
  <c r="AS600" i="20"/>
  <c r="BA600" i="20" s="1"/>
  <c r="AP600" i="20"/>
  <c r="AN600" i="20"/>
  <c r="AM600" i="20"/>
  <c r="AN599" i="20"/>
  <c r="AM599" i="20"/>
  <c r="AM815" i="20" s="1"/>
  <c r="AN596" i="20"/>
  <c r="AM596" i="20"/>
  <c r="AM813" i="20" s="1"/>
  <c r="BA878" i="20" s="1"/>
  <c r="AL596" i="20"/>
  <c r="AN595" i="20"/>
  <c r="AM595" i="20"/>
  <c r="AM812" i="20" s="1"/>
  <c r="BA877" i="20" s="1"/>
  <c r="AL595" i="20"/>
  <c r="AN594" i="20"/>
  <c r="AM594" i="20"/>
  <c r="AL594" i="20"/>
  <c r="BT592" i="20"/>
  <c r="BS592" i="20"/>
  <c r="BR592" i="20"/>
  <c r="BQ592" i="20"/>
  <c r="BP592" i="20"/>
  <c r="BO592" i="20"/>
  <c r="BN592" i="20"/>
  <c r="BM592" i="20"/>
  <c r="BL592" i="20"/>
  <c r="BK592" i="20"/>
  <c r="BJ592" i="20"/>
  <c r="BI592" i="20"/>
  <c r="BH592" i="20"/>
  <c r="BG592" i="20"/>
  <c r="BF592" i="20"/>
  <c r="BE592" i="20"/>
  <c r="BB592" i="20"/>
  <c r="AY592" i="20"/>
  <c r="AX592" i="20"/>
  <c r="AV592" i="20"/>
  <c r="AS592" i="20"/>
  <c r="AP592" i="20"/>
  <c r="AU592" i="20" s="1"/>
  <c r="AN592" i="20"/>
  <c r="AM592" i="20"/>
  <c r="AN591" i="20"/>
  <c r="AM591" i="20"/>
  <c r="AL591" i="20"/>
  <c r="AN590" i="20"/>
  <c r="AM590" i="20"/>
  <c r="AL590" i="20"/>
  <c r="AN588" i="20"/>
  <c r="AM588" i="20"/>
  <c r="AL588" i="20"/>
  <c r="AN587" i="20"/>
  <c r="AM587" i="20"/>
  <c r="AL587" i="20"/>
  <c r="AM586" i="20"/>
  <c r="AL586" i="20"/>
  <c r="BT584" i="20"/>
  <c r="BS584" i="20"/>
  <c r="BR584" i="20"/>
  <c r="BQ584" i="20"/>
  <c r="BP584" i="20"/>
  <c r="BO584" i="20"/>
  <c r="BN584" i="20"/>
  <c r="BM584" i="20"/>
  <c r="BL584" i="20"/>
  <c r="BK584" i="20"/>
  <c r="BJ584" i="20"/>
  <c r="BI584" i="20"/>
  <c r="BH584" i="20"/>
  <c r="BG584" i="20"/>
  <c r="BF584" i="20"/>
  <c r="BE584" i="20"/>
  <c r="BE581" i="20"/>
  <c r="AS581" i="20"/>
  <c r="T574" i="20"/>
  <c r="Q573" i="20"/>
  <c r="N573" i="20"/>
  <c r="K573" i="20"/>
  <c r="H573" i="20"/>
  <c r="E573" i="20"/>
  <c r="C573" i="20"/>
  <c r="B573" i="20"/>
  <c r="Q572" i="20"/>
  <c r="N572" i="20"/>
  <c r="K572" i="20"/>
  <c r="H572" i="20"/>
  <c r="E572" i="20"/>
  <c r="C572" i="20"/>
  <c r="B572" i="20"/>
  <c r="Q571" i="20"/>
  <c r="N571" i="20"/>
  <c r="K571" i="20"/>
  <c r="H571" i="20"/>
  <c r="E571" i="20"/>
  <c r="C571" i="20"/>
  <c r="B571" i="20"/>
  <c r="Q570" i="20"/>
  <c r="N570" i="20"/>
  <c r="K570" i="20"/>
  <c r="H570" i="20"/>
  <c r="E570" i="20"/>
  <c r="C570" i="20"/>
  <c r="B570" i="20"/>
  <c r="C566" i="20"/>
  <c r="B566" i="20"/>
  <c r="C565" i="20"/>
  <c r="B565" i="20"/>
  <c r="B562" i="20"/>
  <c r="B560" i="20"/>
  <c r="C559" i="20"/>
  <c r="B559" i="20"/>
  <c r="B558" i="20"/>
  <c r="C557" i="20"/>
  <c r="B557" i="20"/>
  <c r="B556" i="20"/>
  <c r="C555" i="20"/>
  <c r="B555" i="20"/>
  <c r="C554" i="20"/>
  <c r="B554" i="20"/>
  <c r="B553" i="20"/>
  <c r="B551" i="20"/>
  <c r="B550" i="20"/>
  <c r="B549" i="20"/>
  <c r="B548" i="20"/>
  <c r="C547" i="20"/>
  <c r="B547" i="20"/>
  <c r="B544" i="20"/>
  <c r="B543" i="20"/>
  <c r="B542" i="20"/>
  <c r="B541" i="20"/>
  <c r="B540" i="20"/>
  <c r="C539" i="20"/>
  <c r="B539" i="20"/>
  <c r="B538" i="20"/>
  <c r="B537" i="20"/>
  <c r="B536" i="20"/>
  <c r="B535" i="20"/>
  <c r="B534" i="20"/>
  <c r="C533" i="20"/>
  <c r="B533" i="20"/>
  <c r="T529" i="20"/>
  <c r="B529" i="20"/>
  <c r="T527" i="20"/>
  <c r="Q526" i="20"/>
  <c r="N526" i="20"/>
  <c r="K526" i="20"/>
  <c r="H526" i="20"/>
  <c r="E526" i="20"/>
  <c r="C526" i="20"/>
  <c r="B526" i="20"/>
  <c r="Q525" i="20"/>
  <c r="N525" i="20"/>
  <c r="K525" i="20"/>
  <c r="H525" i="20"/>
  <c r="E525" i="20"/>
  <c r="C525" i="20"/>
  <c r="B525" i="20"/>
  <c r="Q524" i="20"/>
  <c r="N524" i="20"/>
  <c r="K524" i="20"/>
  <c r="H524" i="20"/>
  <c r="E524" i="20"/>
  <c r="C524" i="20"/>
  <c r="B524" i="20"/>
  <c r="T523" i="20"/>
  <c r="Q523" i="20"/>
  <c r="N523" i="20"/>
  <c r="K523" i="20"/>
  <c r="H523" i="20"/>
  <c r="E523" i="20"/>
  <c r="C523" i="20"/>
  <c r="B523" i="20"/>
  <c r="C519" i="20"/>
  <c r="B519" i="20"/>
  <c r="C518" i="20"/>
  <c r="B518" i="20"/>
  <c r="B515" i="20"/>
  <c r="B513" i="20"/>
  <c r="C512" i="20"/>
  <c r="B512" i="20"/>
  <c r="B511" i="20"/>
  <c r="C510" i="20"/>
  <c r="B510" i="20"/>
  <c r="B509" i="20"/>
  <c r="C508" i="20"/>
  <c r="B508" i="20"/>
  <c r="C507" i="20"/>
  <c r="B507" i="20"/>
  <c r="B506" i="20"/>
  <c r="C504" i="20"/>
  <c r="B504" i="20"/>
  <c r="B503" i="20"/>
  <c r="B502" i="20"/>
  <c r="B501" i="20"/>
  <c r="C500" i="20"/>
  <c r="B500" i="20"/>
  <c r="B497" i="20"/>
  <c r="C496" i="20"/>
  <c r="B496" i="20"/>
  <c r="B495" i="20"/>
  <c r="C494" i="20"/>
  <c r="B494" i="20"/>
  <c r="B493" i="20"/>
  <c r="B492" i="20"/>
  <c r="B491" i="20"/>
  <c r="B490" i="20"/>
  <c r="B489" i="20"/>
  <c r="B488" i="20"/>
  <c r="B487" i="20"/>
  <c r="C486" i="20"/>
  <c r="B486" i="20"/>
  <c r="T482" i="20"/>
  <c r="B482" i="20"/>
  <c r="U479" i="20"/>
  <c r="T479" i="20"/>
  <c r="T573" i="20" s="1"/>
  <c r="T572" i="20" s="1"/>
  <c r="Q479" i="20"/>
  <c r="N479" i="20"/>
  <c r="K479" i="20"/>
  <c r="H479" i="20"/>
  <c r="E479" i="20"/>
  <c r="C479" i="20"/>
  <c r="B479" i="20"/>
  <c r="Z478" i="20"/>
  <c r="AA478" i="20" s="1"/>
  <c r="AA431" i="20" s="1"/>
  <c r="Q478" i="20"/>
  <c r="N478" i="20"/>
  <c r="K478" i="20"/>
  <c r="H478" i="20"/>
  <c r="E478" i="20"/>
  <c r="C478" i="20"/>
  <c r="B478" i="20"/>
  <c r="U477" i="20"/>
  <c r="U571" i="20" s="1"/>
  <c r="T477" i="20"/>
  <c r="Q477" i="20"/>
  <c r="N477" i="20"/>
  <c r="K477" i="20"/>
  <c r="H477" i="20"/>
  <c r="E477" i="20"/>
  <c r="C477" i="20"/>
  <c r="B477" i="20"/>
  <c r="U476" i="20"/>
  <c r="U570" i="20" s="1"/>
  <c r="T476" i="20"/>
  <c r="T570" i="20" s="1"/>
  <c r="Q476" i="20"/>
  <c r="N476" i="20"/>
  <c r="K476" i="20"/>
  <c r="H476" i="20"/>
  <c r="E476" i="20"/>
  <c r="C476" i="20"/>
  <c r="B476" i="20"/>
  <c r="U472" i="20"/>
  <c r="U519" i="20" s="1"/>
  <c r="E472" i="20"/>
  <c r="C470" i="20"/>
  <c r="C517" i="20" s="1"/>
  <c r="C469" i="20"/>
  <c r="C563" i="20" s="1"/>
  <c r="C468" i="20"/>
  <c r="C515" i="20" s="1"/>
  <c r="C467" i="20"/>
  <c r="C561" i="20" s="1"/>
  <c r="C466" i="20"/>
  <c r="E465" i="20"/>
  <c r="C464" i="20"/>
  <c r="E463" i="20"/>
  <c r="E557" i="20" s="1"/>
  <c r="C462" i="20"/>
  <c r="C556" i="20" s="1"/>
  <c r="C459" i="20"/>
  <c r="C553" i="20" s="1"/>
  <c r="C458" i="20"/>
  <c r="C457" i="20"/>
  <c r="C551" i="20" s="1"/>
  <c r="C456" i="20"/>
  <c r="C503" i="20" s="1"/>
  <c r="C455" i="20"/>
  <c r="C454" i="20"/>
  <c r="C548" i="20" s="1"/>
  <c r="C450" i="20"/>
  <c r="C449" i="20"/>
  <c r="C543" i="20" s="1"/>
  <c r="C448" i="20"/>
  <c r="C447" i="20"/>
  <c r="C541" i="20" s="1"/>
  <c r="C446" i="20"/>
  <c r="C493" i="20" s="1"/>
  <c r="C445" i="20"/>
  <c r="C492" i="20" s="1"/>
  <c r="C444" i="20"/>
  <c r="C538" i="20" s="1"/>
  <c r="C441" i="20"/>
  <c r="C488" i="20" s="1"/>
  <c r="C440" i="20"/>
  <c r="C534" i="20" s="1"/>
  <c r="T435" i="20"/>
  <c r="B435" i="20"/>
  <c r="T433" i="20"/>
  <c r="Y431" i="20"/>
  <c r="E425" i="20"/>
  <c r="Q424" i="20"/>
  <c r="N424" i="20"/>
  <c r="K424" i="20"/>
  <c r="H424" i="20"/>
  <c r="E424" i="20"/>
  <c r="C424" i="20"/>
  <c r="Q423" i="20"/>
  <c r="Q425" i="20" s="1"/>
  <c r="N423" i="20"/>
  <c r="N425" i="20" s="1"/>
  <c r="K423" i="20"/>
  <c r="H423" i="20"/>
  <c r="E423" i="20"/>
  <c r="C423" i="20"/>
  <c r="C425" i="20" s="1"/>
  <c r="U419" i="20"/>
  <c r="T419" i="20"/>
  <c r="B419" i="20"/>
  <c r="B418" i="20"/>
  <c r="B415" i="20"/>
  <c r="B413" i="20"/>
  <c r="B412" i="20"/>
  <c r="B411" i="20"/>
  <c r="B410" i="20"/>
  <c r="B409" i="20"/>
  <c r="B408" i="20"/>
  <c r="B407" i="20"/>
  <c r="B406" i="20"/>
  <c r="B404" i="20"/>
  <c r="B403" i="20"/>
  <c r="B402" i="20"/>
  <c r="B401" i="20"/>
  <c r="B400" i="20"/>
  <c r="B397" i="20"/>
  <c r="B396" i="20"/>
  <c r="B395" i="20"/>
  <c r="B394" i="20"/>
  <c r="B393" i="20"/>
  <c r="B392" i="20"/>
  <c r="B391" i="20"/>
  <c r="B388" i="20"/>
  <c r="B387" i="20"/>
  <c r="B386" i="20"/>
  <c r="U376" i="20"/>
  <c r="V376" i="20" s="1"/>
  <c r="W376" i="20" s="1"/>
  <c r="X376" i="20" s="1"/>
  <c r="Y376" i="20" s="1"/>
  <c r="Z376" i="20" s="1"/>
  <c r="AA376" i="20" s="1"/>
  <c r="AB376" i="20" s="1"/>
  <c r="AC376" i="20" s="1"/>
  <c r="AD376" i="20" s="1"/>
  <c r="AE376" i="20" s="1"/>
  <c r="AF376" i="20" s="1"/>
  <c r="AG376" i="20" s="1"/>
  <c r="AH376" i="20" s="1"/>
  <c r="AI376" i="20" s="1"/>
  <c r="AI374" i="20"/>
  <c r="AI372" i="20"/>
  <c r="AH372" i="20"/>
  <c r="AG372" i="20"/>
  <c r="AF372" i="20"/>
  <c r="AE372" i="20"/>
  <c r="AD372" i="20"/>
  <c r="AC372" i="20"/>
  <c r="AB372" i="20"/>
  <c r="AA372" i="20"/>
  <c r="Z372" i="20"/>
  <c r="Y372" i="20"/>
  <c r="X372" i="20"/>
  <c r="W372" i="20"/>
  <c r="V372" i="20"/>
  <c r="U372" i="20"/>
  <c r="T372" i="20"/>
  <c r="T373" i="20" s="1"/>
  <c r="U366" i="20"/>
  <c r="V366" i="20" s="1"/>
  <c r="W366" i="20" s="1"/>
  <c r="X366" i="20" s="1"/>
  <c r="Y366" i="20" s="1"/>
  <c r="Z366" i="20" s="1"/>
  <c r="AA366" i="20" s="1"/>
  <c r="AB366" i="20" s="1"/>
  <c r="AC366" i="20" s="1"/>
  <c r="AD366" i="20" s="1"/>
  <c r="AE366" i="20" s="1"/>
  <c r="AF366" i="20" s="1"/>
  <c r="AG366" i="20" s="1"/>
  <c r="AH366" i="20" s="1"/>
  <c r="AI366" i="20" s="1"/>
  <c r="AI364" i="20"/>
  <c r="AI380" i="20" s="1"/>
  <c r="AI362" i="20"/>
  <c r="AH362" i="20"/>
  <c r="AG362" i="20"/>
  <c r="AF362" i="20"/>
  <c r="AE362" i="20"/>
  <c r="AD362" i="20"/>
  <c r="AC362" i="20"/>
  <c r="AB362" i="20"/>
  <c r="AA362" i="20"/>
  <c r="Z362" i="20"/>
  <c r="Y362" i="20"/>
  <c r="X362" i="20"/>
  <c r="W362" i="20"/>
  <c r="V362" i="20"/>
  <c r="U362" i="20"/>
  <c r="T362" i="20"/>
  <c r="T363" i="20" s="1"/>
  <c r="U356" i="20"/>
  <c r="V356" i="20" s="1"/>
  <c r="W356" i="20" s="1"/>
  <c r="X356" i="20" s="1"/>
  <c r="Y356" i="20" s="1"/>
  <c r="Z356" i="20" s="1"/>
  <c r="AA356" i="20" s="1"/>
  <c r="AB356" i="20" s="1"/>
  <c r="AC356" i="20" s="1"/>
  <c r="AD356" i="20" s="1"/>
  <c r="AE356" i="20" s="1"/>
  <c r="AF356" i="20" s="1"/>
  <c r="AG356" i="20" s="1"/>
  <c r="AH356" i="20" s="1"/>
  <c r="AI356" i="20" s="1"/>
  <c r="B356" i="20"/>
  <c r="B355" i="20"/>
  <c r="AI354" i="20"/>
  <c r="B354" i="20"/>
  <c r="B353" i="20"/>
  <c r="AI352" i="20"/>
  <c r="AH352" i="20"/>
  <c r="AG352" i="20"/>
  <c r="AF352" i="20"/>
  <c r="AE352" i="20"/>
  <c r="AD352" i="20"/>
  <c r="AC352" i="20"/>
  <c r="AB352" i="20"/>
  <c r="AA352" i="20"/>
  <c r="Z352" i="20"/>
  <c r="Y352" i="20"/>
  <c r="X352" i="20"/>
  <c r="W352" i="20"/>
  <c r="V352" i="20"/>
  <c r="U352" i="20"/>
  <c r="T352" i="20"/>
  <c r="T353" i="20" s="1"/>
  <c r="B352" i="20"/>
  <c r="B351" i="20"/>
  <c r="B350" i="20"/>
  <c r="C346" i="20"/>
  <c r="V336" i="20"/>
  <c r="W336" i="20" s="1"/>
  <c r="X336" i="20" s="1"/>
  <c r="Y336" i="20" s="1"/>
  <c r="Z336" i="20" s="1"/>
  <c r="AA336" i="20" s="1"/>
  <c r="AB336" i="20" s="1"/>
  <c r="AC336" i="20" s="1"/>
  <c r="AD336" i="20" s="1"/>
  <c r="AE336" i="20" s="1"/>
  <c r="AF336" i="20" s="1"/>
  <c r="AG336" i="20" s="1"/>
  <c r="AH336" i="20" s="1"/>
  <c r="AI336" i="20" s="1"/>
  <c r="U336" i="20"/>
  <c r="AI334" i="20"/>
  <c r="AI332" i="20"/>
  <c r="AH332" i="20"/>
  <c r="AG332" i="20"/>
  <c r="AF332" i="20"/>
  <c r="AE332" i="20"/>
  <c r="AD332" i="20"/>
  <c r="AC332" i="20"/>
  <c r="AB332" i="20"/>
  <c r="AA332" i="20"/>
  <c r="Z332" i="20"/>
  <c r="Y332" i="20"/>
  <c r="X332" i="20"/>
  <c r="W332" i="20"/>
  <c r="V332" i="20"/>
  <c r="U332" i="20"/>
  <c r="T332" i="20"/>
  <c r="T333" i="20" s="1"/>
  <c r="U326" i="20"/>
  <c r="V326" i="20" s="1"/>
  <c r="W326" i="20" s="1"/>
  <c r="X326" i="20" s="1"/>
  <c r="Y326" i="20" s="1"/>
  <c r="Z326" i="20" s="1"/>
  <c r="AA326" i="20" s="1"/>
  <c r="AB326" i="20" s="1"/>
  <c r="AC326" i="20" s="1"/>
  <c r="AD326" i="20" s="1"/>
  <c r="AE326" i="20" s="1"/>
  <c r="AF326" i="20" s="1"/>
  <c r="AG326" i="20" s="1"/>
  <c r="AH326" i="20" s="1"/>
  <c r="AI326" i="20" s="1"/>
  <c r="AI324" i="20"/>
  <c r="AI322" i="20"/>
  <c r="AH322" i="20"/>
  <c r="AG322" i="20"/>
  <c r="AF322" i="20"/>
  <c r="AE322" i="20"/>
  <c r="AD322" i="20"/>
  <c r="AC322" i="20"/>
  <c r="AB322" i="20"/>
  <c r="AA322" i="20"/>
  <c r="Z322" i="20"/>
  <c r="Y322" i="20"/>
  <c r="X322" i="20"/>
  <c r="W322" i="20"/>
  <c r="V322" i="20"/>
  <c r="U322" i="20"/>
  <c r="T322" i="20"/>
  <c r="T323" i="20" s="1"/>
  <c r="U316" i="20"/>
  <c r="V316" i="20" s="1"/>
  <c r="W316" i="20" s="1"/>
  <c r="X316" i="20" s="1"/>
  <c r="Y316" i="20" s="1"/>
  <c r="Z316" i="20" s="1"/>
  <c r="AA316" i="20" s="1"/>
  <c r="AB316" i="20" s="1"/>
  <c r="AC316" i="20" s="1"/>
  <c r="AD316" i="20" s="1"/>
  <c r="AE316" i="20" s="1"/>
  <c r="AF316" i="20" s="1"/>
  <c r="AG316" i="20" s="1"/>
  <c r="AH316" i="20" s="1"/>
  <c r="AI316" i="20" s="1"/>
  <c r="B316" i="20"/>
  <c r="B315" i="20"/>
  <c r="AI314" i="20"/>
  <c r="AI340" i="20" s="1"/>
  <c r="B314" i="20"/>
  <c r="B313" i="20"/>
  <c r="AI312" i="20"/>
  <c r="AH312" i="20"/>
  <c r="AG312" i="20"/>
  <c r="AF312" i="20"/>
  <c r="AE312" i="20"/>
  <c r="AD312" i="20"/>
  <c r="AC312" i="20"/>
  <c r="AB312" i="20"/>
  <c r="AA312" i="20"/>
  <c r="Z312" i="20"/>
  <c r="Y312" i="20"/>
  <c r="X312" i="20"/>
  <c r="W312" i="20"/>
  <c r="V312" i="20"/>
  <c r="U312" i="20"/>
  <c r="T312" i="20"/>
  <c r="T313" i="20" s="1"/>
  <c r="B312" i="20"/>
  <c r="B311" i="20"/>
  <c r="B310" i="20"/>
  <c r="AB304" i="20"/>
  <c r="W304" i="20"/>
  <c r="AH304" i="20" s="1"/>
  <c r="S304" i="20"/>
  <c r="AA304" i="20" s="1"/>
  <c r="AI275" i="20"/>
  <c r="AH275" i="20"/>
  <c r="AG275" i="20"/>
  <c r="AF275" i="20"/>
  <c r="AE275" i="20"/>
  <c r="AD275" i="20"/>
  <c r="AC275" i="20"/>
  <c r="AB275" i="20"/>
  <c r="AA275" i="20"/>
  <c r="Z275" i="20"/>
  <c r="Y275" i="20"/>
  <c r="X275" i="20"/>
  <c r="W275" i="20"/>
  <c r="V275" i="20"/>
  <c r="U275" i="20"/>
  <c r="T275" i="20"/>
  <c r="AI273" i="20"/>
  <c r="AH273" i="20"/>
  <c r="AG273" i="20"/>
  <c r="AF273" i="20"/>
  <c r="AE273" i="20"/>
  <c r="AD273" i="20"/>
  <c r="AC273" i="20"/>
  <c r="AC293" i="20" s="1"/>
  <c r="AB273" i="20"/>
  <c r="AB293" i="20" s="1"/>
  <c r="AA273" i="20"/>
  <c r="Z273" i="20"/>
  <c r="Y273" i="20"/>
  <c r="X273" i="20"/>
  <c r="W273" i="20"/>
  <c r="V273" i="20"/>
  <c r="U273" i="20"/>
  <c r="T273" i="20"/>
  <c r="C263" i="20"/>
  <c r="C262" i="20"/>
  <c r="D258" i="20"/>
  <c r="D257" i="20"/>
  <c r="D256" i="20"/>
  <c r="C251" i="20"/>
  <c r="C250" i="20"/>
  <c r="D246" i="20"/>
  <c r="D245" i="20"/>
  <c r="D244" i="20"/>
  <c r="R240" i="20"/>
  <c r="C224" i="20"/>
  <c r="B224" i="20"/>
  <c r="C223" i="20"/>
  <c r="C222" i="20"/>
  <c r="C220" i="20"/>
  <c r="C219" i="20"/>
  <c r="T208" i="20"/>
  <c r="AI206" i="20"/>
  <c r="AH206" i="20"/>
  <c r="AG206" i="20"/>
  <c r="AF206" i="20"/>
  <c r="AE206" i="20"/>
  <c r="AD206" i="20"/>
  <c r="AC206" i="20"/>
  <c r="AB206" i="20"/>
  <c r="AA206" i="20"/>
  <c r="Z206" i="20"/>
  <c r="Y206" i="20"/>
  <c r="X206" i="20"/>
  <c r="W206" i="20"/>
  <c r="V206" i="20"/>
  <c r="U206" i="20"/>
  <c r="T206" i="20"/>
  <c r="N206" i="20"/>
  <c r="C206" i="21" s="1"/>
  <c r="K206" i="20"/>
  <c r="H206" i="20"/>
  <c r="E206" i="20"/>
  <c r="AI205" i="20"/>
  <c r="AH205" i="20"/>
  <c r="AG205" i="20"/>
  <c r="AF205" i="20"/>
  <c r="AE205" i="20"/>
  <c r="AD205" i="20"/>
  <c r="AC205" i="20"/>
  <c r="AB205" i="20"/>
  <c r="AA205" i="20"/>
  <c r="Z205" i="20"/>
  <c r="Y205" i="20"/>
  <c r="X205" i="20"/>
  <c r="W205" i="20"/>
  <c r="V205" i="20"/>
  <c r="U205" i="20"/>
  <c r="T205" i="20"/>
  <c r="N205" i="20"/>
  <c r="K205" i="20"/>
  <c r="H205" i="20"/>
  <c r="E205" i="20"/>
  <c r="AI204" i="20"/>
  <c r="AH204" i="20"/>
  <c r="AG204" i="20"/>
  <c r="AF204" i="20"/>
  <c r="AE204" i="20"/>
  <c r="AD204" i="20"/>
  <c r="AC204" i="20"/>
  <c r="AB204" i="20"/>
  <c r="AA204" i="20"/>
  <c r="Z204" i="20"/>
  <c r="Y204" i="20"/>
  <c r="X204" i="20"/>
  <c r="W204" i="20"/>
  <c r="V204" i="20"/>
  <c r="U204" i="20"/>
  <c r="T204" i="20"/>
  <c r="N204" i="20"/>
  <c r="K204" i="20"/>
  <c r="H204" i="20"/>
  <c r="E204" i="20"/>
  <c r="AI203" i="20"/>
  <c r="AH203" i="20"/>
  <c r="AG203" i="20"/>
  <c r="AF203" i="20"/>
  <c r="AE203" i="20"/>
  <c r="AD203" i="20"/>
  <c r="AC203" i="20"/>
  <c r="AB203" i="20"/>
  <c r="AA203" i="20"/>
  <c r="Z203" i="20"/>
  <c r="Y203" i="20"/>
  <c r="X203" i="20"/>
  <c r="W203" i="20"/>
  <c r="V203" i="20"/>
  <c r="U203" i="20"/>
  <c r="T203" i="20"/>
  <c r="N203" i="20"/>
  <c r="K203" i="20"/>
  <c r="H203" i="20"/>
  <c r="E203" i="20"/>
  <c r="AI202" i="20"/>
  <c r="AH202" i="20"/>
  <c r="AG202" i="20"/>
  <c r="AF202" i="20"/>
  <c r="AE202" i="20"/>
  <c r="AD202" i="20"/>
  <c r="AC202" i="20"/>
  <c r="AB202" i="20"/>
  <c r="AA202" i="20"/>
  <c r="Z202" i="20"/>
  <c r="Y202" i="20"/>
  <c r="X202" i="20"/>
  <c r="W202" i="20"/>
  <c r="V202" i="20"/>
  <c r="U202" i="20"/>
  <c r="T202" i="20"/>
  <c r="N202" i="20"/>
  <c r="C202" i="21" s="1"/>
  <c r="K202" i="20"/>
  <c r="H202" i="20"/>
  <c r="E202" i="20"/>
  <c r="AI201" i="20"/>
  <c r="AH201" i="20"/>
  <c r="AG201" i="20"/>
  <c r="AF201" i="20"/>
  <c r="AE201" i="20"/>
  <c r="AD201" i="20"/>
  <c r="AC201" i="20"/>
  <c r="AB201" i="20"/>
  <c r="AA201" i="20"/>
  <c r="Z201" i="20"/>
  <c r="Y201" i="20"/>
  <c r="X201" i="20"/>
  <c r="W201" i="20"/>
  <c r="V201" i="20"/>
  <c r="U201" i="20"/>
  <c r="T201" i="20"/>
  <c r="N201" i="20"/>
  <c r="K201" i="20"/>
  <c r="H201" i="20"/>
  <c r="E201" i="20"/>
  <c r="AI200" i="20"/>
  <c r="AH200" i="20"/>
  <c r="AG200" i="20"/>
  <c r="AF200" i="20"/>
  <c r="AE200" i="20"/>
  <c r="AD200" i="20"/>
  <c r="AC200" i="20"/>
  <c r="AB200" i="20"/>
  <c r="AA200" i="20"/>
  <c r="Z200" i="20"/>
  <c r="Y200" i="20"/>
  <c r="X200" i="20"/>
  <c r="W200" i="20"/>
  <c r="V200" i="20"/>
  <c r="U200" i="20"/>
  <c r="T200" i="20"/>
  <c r="N200" i="20"/>
  <c r="K200" i="20"/>
  <c r="H200" i="20"/>
  <c r="E200" i="20"/>
  <c r="AI199" i="20"/>
  <c r="AH199" i="20"/>
  <c r="AG199" i="20"/>
  <c r="AF199" i="20"/>
  <c r="AE199" i="20"/>
  <c r="AD199" i="20"/>
  <c r="AC199" i="20"/>
  <c r="AB199" i="20"/>
  <c r="AA199" i="20"/>
  <c r="Z199" i="20"/>
  <c r="Y199" i="20"/>
  <c r="X199" i="20"/>
  <c r="W199" i="20"/>
  <c r="V199" i="20"/>
  <c r="U199" i="20"/>
  <c r="T199" i="20"/>
  <c r="Q199" i="20"/>
  <c r="N199" i="20"/>
  <c r="K199" i="20"/>
  <c r="H199" i="20"/>
  <c r="E199" i="20"/>
  <c r="AI198" i="20"/>
  <c r="AH198" i="20"/>
  <c r="AG198" i="20"/>
  <c r="AF198" i="20"/>
  <c r="AE198" i="20"/>
  <c r="AD198" i="20"/>
  <c r="AC198" i="20"/>
  <c r="AB198" i="20"/>
  <c r="AA198" i="20"/>
  <c r="Z198" i="20"/>
  <c r="Y198" i="20"/>
  <c r="X198" i="20"/>
  <c r="W198" i="20"/>
  <c r="V198" i="20"/>
  <c r="U198" i="20"/>
  <c r="T198" i="20"/>
  <c r="Q198" i="20"/>
  <c r="N198" i="20"/>
  <c r="C198" i="21" s="1"/>
  <c r="K198" i="20"/>
  <c r="H198" i="20"/>
  <c r="E198" i="20"/>
  <c r="AI197" i="20"/>
  <c r="AH197" i="20"/>
  <c r="AG197" i="20"/>
  <c r="AF197" i="20"/>
  <c r="AE197" i="20"/>
  <c r="AD197" i="20"/>
  <c r="AC197" i="20"/>
  <c r="AB197" i="20"/>
  <c r="AA197" i="20"/>
  <c r="Z197" i="20"/>
  <c r="Y197" i="20"/>
  <c r="X197" i="20"/>
  <c r="W197" i="20"/>
  <c r="V197" i="20"/>
  <c r="U197" i="20"/>
  <c r="T197" i="20"/>
  <c r="E197" i="21" s="1"/>
  <c r="N197" i="20"/>
  <c r="C197" i="21" s="1"/>
  <c r="K197" i="20"/>
  <c r="H197" i="20"/>
  <c r="E197" i="20"/>
  <c r="B189" i="20"/>
  <c r="B188" i="20"/>
  <c r="B187" i="20"/>
  <c r="B186" i="20"/>
  <c r="B184" i="20"/>
  <c r="B183" i="20"/>
  <c r="B178" i="20"/>
  <c r="B177" i="20"/>
  <c r="B176" i="20"/>
  <c r="B175" i="20"/>
  <c r="Q174" i="20"/>
  <c r="N174" i="20"/>
  <c r="C174" i="21" s="1"/>
  <c r="K174" i="20"/>
  <c r="H174" i="20"/>
  <c r="E174" i="20"/>
  <c r="B171" i="20"/>
  <c r="B170" i="20"/>
  <c r="B169" i="20"/>
  <c r="B168" i="20"/>
  <c r="B167" i="20"/>
  <c r="B166" i="20"/>
  <c r="B164" i="20"/>
  <c r="B163" i="20"/>
  <c r="B162" i="20"/>
  <c r="B161" i="20"/>
  <c r="N160" i="20"/>
  <c r="K160" i="20"/>
  <c r="H160" i="20"/>
  <c r="E160" i="20"/>
  <c r="C155" i="20"/>
  <c r="N154" i="20"/>
  <c r="K154" i="20"/>
  <c r="H154" i="20"/>
  <c r="E154" i="20"/>
  <c r="E139" i="20"/>
  <c r="AI135" i="20"/>
  <c r="AH135" i="20"/>
  <c r="AG135" i="20"/>
  <c r="AF135" i="20"/>
  <c r="AE135" i="20"/>
  <c r="AD135" i="20"/>
  <c r="AC135" i="20"/>
  <c r="AB135" i="20"/>
  <c r="AA135" i="20"/>
  <c r="Z135" i="20"/>
  <c r="Y135" i="20"/>
  <c r="X135" i="20"/>
  <c r="W135" i="20"/>
  <c r="V135" i="20"/>
  <c r="U135" i="20"/>
  <c r="T135" i="20"/>
  <c r="E135" i="21" s="1"/>
  <c r="B134" i="20"/>
  <c r="AM763" i="20" s="1"/>
  <c r="B133" i="20"/>
  <c r="T132" i="20"/>
  <c r="H125" i="20"/>
  <c r="Q124" i="20"/>
  <c r="Q125" i="20" s="1"/>
  <c r="N124" i="20"/>
  <c r="N125" i="20" s="1"/>
  <c r="C125" i="21" s="1"/>
  <c r="K124" i="20"/>
  <c r="H124" i="20"/>
  <c r="E124" i="20"/>
  <c r="E125" i="20" s="1"/>
  <c r="C124" i="20"/>
  <c r="C125" i="20" s="1"/>
  <c r="T123" i="20"/>
  <c r="T124" i="20" s="1"/>
  <c r="S98" i="20"/>
  <c r="P98" i="20"/>
  <c r="M98" i="20"/>
  <c r="J98" i="20"/>
  <c r="G98" i="20"/>
  <c r="S97" i="20"/>
  <c r="P97" i="20"/>
  <c r="M97" i="20"/>
  <c r="J97" i="20"/>
  <c r="G97" i="20"/>
  <c r="S92" i="20"/>
  <c r="P92" i="20"/>
  <c r="M92" i="20"/>
  <c r="J92" i="20"/>
  <c r="G92" i="20"/>
  <c r="D92" i="20"/>
  <c r="S91" i="20"/>
  <c r="P91" i="20"/>
  <c r="M91" i="20"/>
  <c r="J91" i="20"/>
  <c r="G91" i="20"/>
  <c r="D91" i="20"/>
  <c r="D90" i="20"/>
  <c r="D88" i="20"/>
  <c r="D86" i="20"/>
  <c r="D85" i="20"/>
  <c r="D84" i="20"/>
  <c r="D83" i="20"/>
  <c r="D82" i="20"/>
  <c r="D81" i="20"/>
  <c r="S80" i="20"/>
  <c r="P80" i="20"/>
  <c r="M80" i="20"/>
  <c r="J80" i="20"/>
  <c r="G80" i="20"/>
  <c r="D80" i="20"/>
  <c r="S79" i="20"/>
  <c r="P79" i="20"/>
  <c r="M79" i="20"/>
  <c r="J79" i="20"/>
  <c r="G79" i="20"/>
  <c r="D79" i="20"/>
  <c r="D78" i="20"/>
  <c r="U77" i="20"/>
  <c r="V77" i="20" s="1"/>
  <c r="D77" i="20"/>
  <c r="D76" i="20"/>
  <c r="C75" i="20"/>
  <c r="D74" i="20"/>
  <c r="C73" i="20"/>
  <c r="D73" i="20" s="1"/>
  <c r="D72" i="20"/>
  <c r="D71" i="20"/>
  <c r="C58" i="20"/>
  <c r="S51" i="20"/>
  <c r="P51" i="20"/>
  <c r="M51" i="20"/>
  <c r="J51" i="20"/>
  <c r="G51" i="20"/>
  <c r="C48" i="20"/>
  <c r="AI39" i="20"/>
  <c r="BT622" i="20" s="1"/>
  <c r="S39" i="20"/>
  <c r="P39" i="20"/>
  <c r="M39" i="20"/>
  <c r="J39" i="20"/>
  <c r="G39" i="20"/>
  <c r="C26" i="20"/>
  <c r="C34" i="20" s="1"/>
  <c r="AI16" i="20"/>
  <c r="AH16" i="20"/>
  <c r="AG16" i="20"/>
  <c r="AF16" i="20"/>
  <c r="AE16" i="20"/>
  <c r="AD16" i="20"/>
  <c r="AC16" i="20"/>
  <c r="AB16" i="20"/>
  <c r="AA16" i="20"/>
  <c r="Z16" i="20"/>
  <c r="Y16" i="20"/>
  <c r="X16" i="20"/>
  <c r="W16" i="20"/>
  <c r="V16" i="20"/>
  <c r="U16" i="20"/>
  <c r="T16" i="20"/>
  <c r="T13" i="20"/>
  <c r="C13" i="20"/>
  <c r="C133" i="20" s="1"/>
  <c r="B13" i="20"/>
  <c r="AM581" i="20" s="1"/>
  <c r="C234" i="21"/>
  <c r="E226" i="21"/>
  <c r="C226" i="21"/>
  <c r="B224" i="21"/>
  <c r="E217" i="21"/>
  <c r="E208" i="21"/>
  <c r="R206" i="21"/>
  <c r="Q206" i="21"/>
  <c r="P206" i="21"/>
  <c r="O206" i="21"/>
  <c r="N206" i="21"/>
  <c r="M206" i="21"/>
  <c r="L206" i="21"/>
  <c r="K206" i="21"/>
  <c r="J206" i="21"/>
  <c r="I206" i="21"/>
  <c r="H206" i="21"/>
  <c r="E206" i="21"/>
  <c r="R205" i="21"/>
  <c r="Q205" i="21"/>
  <c r="P205" i="21"/>
  <c r="O205" i="21"/>
  <c r="N205" i="21"/>
  <c r="M205" i="21"/>
  <c r="L205" i="21"/>
  <c r="K205" i="21"/>
  <c r="J205" i="21"/>
  <c r="I205" i="21"/>
  <c r="H205" i="21"/>
  <c r="E205" i="21"/>
  <c r="C205" i="21"/>
  <c r="R204" i="21"/>
  <c r="Q204" i="21"/>
  <c r="P204" i="21"/>
  <c r="O204" i="21"/>
  <c r="N204" i="21"/>
  <c r="M204" i="21"/>
  <c r="L204" i="21"/>
  <c r="K204" i="21"/>
  <c r="J204" i="21"/>
  <c r="I204" i="21"/>
  <c r="H204" i="21"/>
  <c r="E204" i="21"/>
  <c r="C204" i="21"/>
  <c r="R203" i="21"/>
  <c r="Q203" i="21"/>
  <c r="P203" i="21"/>
  <c r="O203" i="21"/>
  <c r="N203" i="21"/>
  <c r="M203" i="21"/>
  <c r="L203" i="21"/>
  <c r="K203" i="21"/>
  <c r="J203" i="21"/>
  <c r="I203" i="21"/>
  <c r="H203" i="21"/>
  <c r="E203" i="21"/>
  <c r="C203" i="21"/>
  <c r="R202" i="21"/>
  <c r="Q202" i="21"/>
  <c r="P202" i="21"/>
  <c r="O202" i="21"/>
  <c r="N202" i="21"/>
  <c r="M202" i="21"/>
  <c r="L202" i="21"/>
  <c r="K202" i="21"/>
  <c r="J202" i="21"/>
  <c r="I202" i="21"/>
  <c r="H202" i="21"/>
  <c r="E202" i="21"/>
  <c r="R201" i="21"/>
  <c r="Q201" i="21"/>
  <c r="P201" i="21"/>
  <c r="O201" i="21"/>
  <c r="N201" i="21"/>
  <c r="M201" i="21"/>
  <c r="L201" i="21"/>
  <c r="K201" i="21"/>
  <c r="J201" i="21"/>
  <c r="I201" i="21"/>
  <c r="H201" i="21"/>
  <c r="E201" i="21"/>
  <c r="C201" i="21"/>
  <c r="R200" i="21"/>
  <c r="Q200" i="21"/>
  <c r="P200" i="21"/>
  <c r="O200" i="21"/>
  <c r="N200" i="21"/>
  <c r="M200" i="21"/>
  <c r="L200" i="21"/>
  <c r="K200" i="21"/>
  <c r="J200" i="21"/>
  <c r="I200" i="21"/>
  <c r="H200" i="21"/>
  <c r="E200" i="21"/>
  <c r="C200" i="21"/>
  <c r="R199" i="21"/>
  <c r="Q199" i="21"/>
  <c r="P199" i="21"/>
  <c r="O199" i="21"/>
  <c r="N199" i="21"/>
  <c r="M199" i="21"/>
  <c r="L199" i="21"/>
  <c r="K199" i="21"/>
  <c r="J199" i="21"/>
  <c r="I199" i="21"/>
  <c r="H199" i="21"/>
  <c r="E199" i="21"/>
  <c r="C199" i="21"/>
  <c r="R198" i="21"/>
  <c r="Q198" i="21"/>
  <c r="P198" i="21"/>
  <c r="O198" i="21"/>
  <c r="N198" i="21"/>
  <c r="M198" i="21"/>
  <c r="L198" i="21"/>
  <c r="K198" i="21"/>
  <c r="J198" i="21"/>
  <c r="I198" i="21"/>
  <c r="H198" i="21"/>
  <c r="E198" i="21"/>
  <c r="R197" i="21"/>
  <c r="Q197" i="21"/>
  <c r="P197" i="21"/>
  <c r="O197" i="21"/>
  <c r="N197" i="21"/>
  <c r="M197" i="21"/>
  <c r="L197" i="21"/>
  <c r="K197" i="21"/>
  <c r="J197" i="21"/>
  <c r="I197" i="21"/>
  <c r="H197" i="21"/>
  <c r="B189" i="21"/>
  <c r="B188" i="21"/>
  <c r="B187" i="21"/>
  <c r="B186" i="21"/>
  <c r="B184" i="21"/>
  <c r="B183" i="21"/>
  <c r="B178" i="21"/>
  <c r="B177" i="21"/>
  <c r="B176" i="21"/>
  <c r="B175" i="21"/>
  <c r="B171" i="21"/>
  <c r="B170" i="21"/>
  <c r="B169" i="21"/>
  <c r="B168" i="21"/>
  <c r="B167" i="21"/>
  <c r="B166" i="21"/>
  <c r="B164" i="21"/>
  <c r="B163" i="21"/>
  <c r="B162" i="21"/>
  <c r="B161" i="21"/>
  <c r="C160" i="21"/>
  <c r="R154" i="21"/>
  <c r="Q154" i="21"/>
  <c r="P154" i="21"/>
  <c r="O154" i="21"/>
  <c r="N154" i="21"/>
  <c r="M154" i="21"/>
  <c r="L154" i="21"/>
  <c r="K154" i="21"/>
  <c r="J154" i="21"/>
  <c r="I154" i="21"/>
  <c r="H154" i="21"/>
  <c r="C154" i="21"/>
  <c r="R153" i="21"/>
  <c r="Q153" i="21"/>
  <c r="P153" i="21"/>
  <c r="O153" i="21"/>
  <c r="N153" i="21"/>
  <c r="M153" i="21"/>
  <c r="L153" i="21"/>
  <c r="K153" i="21"/>
  <c r="J153" i="21"/>
  <c r="I153" i="21"/>
  <c r="H153" i="21"/>
  <c r="B140" i="21"/>
  <c r="R135" i="21"/>
  <c r="Q135" i="21"/>
  <c r="P135" i="21"/>
  <c r="O135" i="21"/>
  <c r="N135" i="21"/>
  <c r="M135" i="21"/>
  <c r="L135" i="21"/>
  <c r="K135" i="21"/>
  <c r="J135" i="21"/>
  <c r="I135" i="21"/>
  <c r="H135" i="21"/>
  <c r="G135" i="21"/>
  <c r="B134" i="21"/>
  <c r="E133" i="21"/>
  <c r="B133" i="21"/>
  <c r="G132" i="21"/>
  <c r="C124" i="21"/>
  <c r="C123" i="21"/>
  <c r="E122" i="21"/>
  <c r="C122" i="21"/>
  <c r="E121" i="21"/>
  <c r="C121" i="21"/>
  <c r="E120" i="21"/>
  <c r="C120" i="21"/>
  <c r="E119" i="21"/>
  <c r="C119" i="21"/>
  <c r="E118" i="21"/>
  <c r="C118" i="21"/>
  <c r="E117" i="21"/>
  <c r="C117" i="21"/>
  <c r="E116" i="21"/>
  <c r="C116" i="21"/>
  <c r="E115" i="21"/>
  <c r="C115" i="21"/>
  <c r="E114" i="21"/>
  <c r="C114" i="21"/>
  <c r="E113" i="21"/>
  <c r="C113" i="21"/>
  <c r="E109" i="21"/>
  <c r="C92" i="21"/>
  <c r="C91" i="21"/>
  <c r="E77" i="21"/>
  <c r="E17" i="21"/>
  <c r="E16" i="21"/>
  <c r="E14" i="21"/>
  <c r="R13" i="21"/>
  <c r="Q13" i="21"/>
  <c r="P13" i="21"/>
  <c r="O13" i="21"/>
  <c r="N13" i="21"/>
  <c r="M13" i="21"/>
  <c r="L13" i="21"/>
  <c r="K13" i="21"/>
  <c r="G12" i="21" s="1"/>
  <c r="J13" i="21"/>
  <c r="I13" i="21"/>
  <c r="H13" i="21"/>
  <c r="G13" i="21"/>
  <c r="E13" i="21"/>
  <c r="C13" i="21"/>
  <c r="C12" i="21"/>
  <c r="F120" i="22"/>
  <c r="E120" i="22"/>
  <c r="D120" i="22"/>
  <c r="C120" i="22"/>
  <c r="B120" i="22"/>
  <c r="A112" i="22"/>
  <c r="K100" i="22"/>
  <c r="I100" i="22"/>
  <c r="G100" i="22"/>
  <c r="L95" i="22"/>
  <c r="K95" i="22"/>
  <c r="L94" i="22"/>
  <c r="K94" i="22"/>
  <c r="O93" i="22"/>
  <c r="L93" i="22"/>
  <c r="K93" i="22"/>
  <c r="G93" i="22"/>
  <c r="O92" i="22"/>
  <c r="L92" i="22"/>
  <c r="K92" i="22"/>
  <c r="O91" i="22"/>
  <c r="L91" i="22"/>
  <c r="K91" i="22"/>
  <c r="E91" i="22"/>
  <c r="O90" i="22"/>
  <c r="L90" i="22"/>
  <c r="K90" i="22"/>
  <c r="P89" i="22"/>
  <c r="O89" i="22"/>
  <c r="L89" i="22"/>
  <c r="K89" i="22"/>
  <c r="E89" i="22"/>
  <c r="O88" i="22"/>
  <c r="L88" i="22"/>
  <c r="K88" i="22"/>
  <c r="E88" i="22"/>
  <c r="O87" i="22"/>
  <c r="L87" i="22"/>
  <c r="K87" i="22"/>
  <c r="P86" i="22"/>
  <c r="O86" i="22"/>
  <c r="I99" i="22" s="1"/>
  <c r="L86" i="22"/>
  <c r="K86" i="22"/>
  <c r="H69" i="22"/>
  <c r="H68" i="22"/>
  <c r="G68" i="22"/>
  <c r="F68" i="22"/>
  <c r="D68" i="22"/>
  <c r="A68" i="22"/>
  <c r="C68" i="22" s="1"/>
  <c r="H67" i="22"/>
  <c r="G67" i="22"/>
  <c r="F67" i="22"/>
  <c r="D67" i="22"/>
  <c r="C67" i="22"/>
  <c r="B67" i="22"/>
  <c r="A67" i="22"/>
  <c r="H66" i="22"/>
  <c r="G66" i="22"/>
  <c r="F66" i="22"/>
  <c r="D66" i="22"/>
  <c r="A66" i="22"/>
  <c r="C66" i="22" s="1"/>
  <c r="H65" i="22"/>
  <c r="G65" i="22"/>
  <c r="F65" i="22"/>
  <c r="D65" i="22"/>
  <c r="A65" i="22"/>
  <c r="C65" i="22" s="1"/>
  <c r="H64" i="22"/>
  <c r="G64" i="22"/>
  <c r="F64" i="22"/>
  <c r="D64" i="22"/>
  <c r="C64" i="22"/>
  <c r="A64" i="22"/>
  <c r="B64" i="22" s="1"/>
  <c r="H63" i="22"/>
  <c r="G63" i="22"/>
  <c r="F63" i="22"/>
  <c r="D63" i="22"/>
  <c r="C63" i="22"/>
  <c r="B63" i="22"/>
  <c r="A63" i="22"/>
  <c r="H62" i="22"/>
  <c r="G62" i="22"/>
  <c r="F62" i="22"/>
  <c r="D62" i="22"/>
  <c r="A62" i="22"/>
  <c r="C62" i="22" s="1"/>
  <c r="H61" i="22"/>
  <c r="G61" i="22"/>
  <c r="F61" i="22"/>
  <c r="D61" i="22"/>
  <c r="A61" i="22"/>
  <c r="C61" i="22" s="1"/>
  <c r="H60" i="22"/>
  <c r="G60" i="22"/>
  <c r="F60" i="22"/>
  <c r="D60" i="22"/>
  <c r="B60" i="22"/>
  <c r="A60" i="22"/>
  <c r="C60" i="22" s="1"/>
  <c r="H59" i="22"/>
  <c r="G59" i="22"/>
  <c r="F59" i="22"/>
  <c r="D59" i="22"/>
  <c r="A59" i="22"/>
  <c r="B59" i="22" s="1"/>
  <c r="H58" i="22"/>
  <c r="G58" i="22"/>
  <c r="F58" i="22"/>
  <c r="D58" i="22"/>
  <c r="C58" i="22"/>
  <c r="A58" i="22"/>
  <c r="B58" i="22" s="1"/>
  <c r="H57" i="22"/>
  <c r="G57" i="22"/>
  <c r="F57" i="22"/>
  <c r="D57" i="22"/>
  <c r="A57" i="22"/>
  <c r="B57" i="22" s="1"/>
  <c r="H56" i="22"/>
  <c r="G56" i="22"/>
  <c r="F56" i="22"/>
  <c r="D56" i="22"/>
  <c r="A56" i="22"/>
  <c r="C56" i="22" s="1"/>
  <c r="H55" i="22"/>
  <c r="G55" i="22"/>
  <c r="F55" i="22"/>
  <c r="D55" i="22"/>
  <c r="C55" i="22"/>
  <c r="B55" i="22"/>
  <c r="A55" i="22"/>
  <c r="H54" i="22"/>
  <c r="G54" i="22"/>
  <c r="F54" i="22"/>
  <c r="D54" i="22"/>
  <c r="A54" i="22"/>
  <c r="C54" i="22" s="1"/>
  <c r="H53" i="22"/>
  <c r="D53" i="22"/>
  <c r="C53" i="22"/>
  <c r="B53" i="22"/>
  <c r="E90" i="22" s="1"/>
  <c r="H52" i="22"/>
  <c r="H51" i="22"/>
  <c r="C48" i="22"/>
  <c r="C143" i="19" s="1"/>
  <c r="R43" i="22"/>
  <c r="Q43" i="22"/>
  <c r="P43" i="22"/>
  <c r="T4" i="22"/>
  <c r="E7" i="19" s="1"/>
  <c r="A4" i="22"/>
  <c r="B2" i="22"/>
  <c r="E10" i="22" s="1"/>
  <c r="E469" i="23"/>
  <c r="C15" i="27" s="1"/>
  <c r="B15" i="27" s="1"/>
  <c r="I468" i="23"/>
  <c r="H468" i="23"/>
  <c r="G468" i="23"/>
  <c r="F468" i="23"/>
  <c r="E468" i="23"/>
  <c r="F4" i="23"/>
  <c r="AX7" i="51" s="1"/>
  <c r="D3" i="23"/>
  <c r="I1" i="23"/>
  <c r="C14" i="25"/>
  <c r="B390" i="51" s="1"/>
  <c r="C13" i="25"/>
  <c r="B389" i="51" s="1"/>
  <c r="C12" i="25"/>
  <c r="B388" i="51" s="1"/>
  <c r="C11" i="25"/>
  <c r="B387" i="51" s="1"/>
  <c r="C10" i="25"/>
  <c r="B386" i="51" s="1"/>
  <c r="C9" i="25"/>
  <c r="B385" i="51" s="1"/>
  <c r="C8" i="25"/>
  <c r="B384" i="51" s="1"/>
  <c r="C7" i="25"/>
  <c r="B383" i="51" s="1"/>
  <c r="C6" i="25"/>
  <c r="B382" i="51" s="1"/>
  <c r="C5" i="25"/>
  <c r="K30" i="26"/>
  <c r="G20" i="26"/>
  <c r="G22" i="26" s="1"/>
  <c r="F19" i="26"/>
  <c r="D19" i="26"/>
  <c r="B19" i="26"/>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B18" i="27"/>
  <c r="G17" i="27"/>
  <c r="G16" i="27"/>
  <c r="G15" i="27"/>
  <c r="G14" i="27"/>
  <c r="G13" i="27"/>
  <c r="G12" i="27"/>
  <c r="G11" i="27"/>
  <c r="G10" i="27"/>
  <c r="G9" i="27"/>
  <c r="G8" i="27"/>
  <c r="G7" i="27"/>
  <c r="G6" i="27"/>
  <c r="D6" i="27" s="1"/>
  <c r="G91" i="22"/>
  <c r="G92" i="22"/>
  <c r="G90" i="22"/>
  <c r="G88" i="22"/>
  <c r="G86" i="22"/>
  <c r="G89" i="22"/>
  <c r="G87" i="22"/>
  <c r="E123" i="21" l="1"/>
  <c r="Z915" i="20"/>
  <c r="B51" i="16"/>
  <c r="O105" i="19"/>
  <c r="L2" i="27"/>
  <c r="C13" i="27" s="1"/>
  <c r="B13" i="27" s="1"/>
  <c r="AT8" i="51"/>
  <c r="AB4" i="51"/>
  <c r="A4" i="51"/>
  <c r="A2" i="53"/>
  <c r="L2" i="22"/>
  <c r="C2" i="15"/>
  <c r="A6" i="26"/>
  <c r="C86" i="19" s="1"/>
  <c r="CO847" i="20"/>
  <c r="DS847" i="20"/>
  <c r="CC866" i="20"/>
  <c r="D19" i="16"/>
  <c r="G21" i="26"/>
  <c r="C57" i="22"/>
  <c r="C70" i="22" s="1"/>
  <c r="B62" i="22"/>
  <c r="X304" i="20"/>
  <c r="AI304" i="20" s="1"/>
  <c r="AU604" i="20"/>
  <c r="AR613" i="20"/>
  <c r="AN631" i="20"/>
  <c r="AX669" i="20"/>
  <c r="CC847" i="20"/>
  <c r="CR847" i="20"/>
  <c r="DG847" i="20"/>
  <c r="CI866" i="20"/>
  <c r="DG866" i="20"/>
  <c r="P97" i="19"/>
  <c r="P98" i="19" s="1"/>
  <c r="G12" i="16"/>
  <c r="D218" i="16"/>
  <c r="D25" i="16" s="1"/>
  <c r="G243" i="16"/>
  <c r="J243" i="16" s="1"/>
  <c r="G246" i="16"/>
  <c r="G218" i="16" s="1"/>
  <c r="G25" i="16" s="1"/>
  <c r="D292" i="16"/>
  <c r="T304" i="20"/>
  <c r="AE304" i="20" s="1"/>
  <c r="Y304" i="20"/>
  <c r="Z431" i="20"/>
  <c r="AX607" i="20"/>
  <c r="AX622" i="20"/>
  <c r="AO663" i="20"/>
  <c r="AX668" i="20"/>
  <c r="BA681" i="20"/>
  <c r="CF847" i="20"/>
  <c r="CU847" i="20"/>
  <c r="DM847" i="20"/>
  <c r="CL866" i="20"/>
  <c r="DJ866" i="20"/>
  <c r="C49" i="19"/>
  <c r="B14" i="16"/>
  <c r="D222" i="16"/>
  <c r="AN644" i="20"/>
  <c r="AO670" i="20"/>
  <c r="DD847" i="20"/>
  <c r="DA866" i="20"/>
  <c r="B54" i="22"/>
  <c r="B66" i="22"/>
  <c r="G23" i="26"/>
  <c r="C59" i="22"/>
  <c r="B61" i="22"/>
  <c r="B65" i="22"/>
  <c r="H425" i="20"/>
  <c r="AX613" i="20"/>
  <c r="D70" i="22"/>
  <c r="B56" i="22"/>
  <c r="C59" i="20"/>
  <c r="E271" i="20"/>
  <c r="V304" i="20"/>
  <c r="AG304" i="20" s="1"/>
  <c r="Z304" i="20"/>
  <c r="K425" i="20"/>
  <c r="U478" i="20"/>
  <c r="C509" i="20"/>
  <c r="C535" i="20"/>
  <c r="AR600" i="20"/>
  <c r="BA610" i="20"/>
  <c r="BD622" i="20"/>
  <c r="BA643" i="20"/>
  <c r="AU669" i="20"/>
  <c r="AO671" i="20"/>
  <c r="AO675" i="20"/>
  <c r="CI847" i="20"/>
  <c r="DA847" i="20"/>
  <c r="DP847" i="20"/>
  <c r="CA866" i="20"/>
  <c r="CX866" i="20"/>
  <c r="DV866" i="20"/>
  <c r="AU63" i="19"/>
  <c r="B346" i="16"/>
  <c r="C18" i="16"/>
  <c r="D215" i="16"/>
  <c r="D346" i="16" s="1"/>
  <c r="D216" i="16"/>
  <c r="D23" i="16" s="1"/>
  <c r="G237" i="16"/>
  <c r="G247" i="16"/>
  <c r="F4" i="58"/>
  <c r="U298" i="20"/>
  <c r="C506" i="20"/>
  <c r="AU73" i="19"/>
  <c r="B5" i="25"/>
  <c r="M8" i="26" s="1"/>
  <c r="N82" i="19" s="1"/>
  <c r="B381" i="51"/>
  <c r="D8" i="22"/>
  <c r="F10" i="22"/>
  <c r="D5" i="25"/>
  <c r="C381" i="51" s="1"/>
  <c r="A10" i="22"/>
  <c r="E9" i="22"/>
  <c r="E7" i="22"/>
  <c r="D7" i="22"/>
  <c r="G10" i="22"/>
  <c r="X281" i="20"/>
  <c r="D13" i="25"/>
  <c r="C389" i="51" s="1"/>
  <c r="B7" i="25"/>
  <c r="B10" i="25"/>
  <c r="A386" i="51" s="1"/>
  <c r="B13" i="25"/>
  <c r="A389" i="51" s="1"/>
  <c r="B14" i="25"/>
  <c r="A390" i="51" s="1"/>
  <c r="U296" i="20"/>
  <c r="X294" i="20"/>
  <c r="D9" i="25"/>
  <c r="C385" i="51" s="1"/>
  <c r="B12" i="25"/>
  <c r="A388" i="51" s="1"/>
  <c r="B6" i="25"/>
  <c r="A382" i="51" s="1"/>
  <c r="B8" i="25"/>
  <c r="M11" i="26" s="1"/>
  <c r="N85" i="19" s="1"/>
  <c r="B11" i="25"/>
  <c r="G9" i="22"/>
  <c r="AB295" i="20"/>
  <c r="U289" i="20"/>
  <c r="D8" i="25"/>
  <c r="C384" i="51" s="1"/>
  <c r="U288" i="20"/>
  <c r="D9" i="22"/>
  <c r="U286" i="20"/>
  <c r="U301" i="20"/>
  <c r="E8" i="22"/>
  <c r="U284" i="20"/>
  <c r="U300" i="20"/>
  <c r="B9" i="25"/>
  <c r="A385" i="51" s="1"/>
  <c r="AC281" i="20"/>
  <c r="D11" i="25"/>
  <c r="C387" i="51" s="1"/>
  <c r="U281" i="20"/>
  <c r="U295" i="20"/>
  <c r="AC280" i="20"/>
  <c r="AC294" i="20"/>
  <c r="B13" i="21"/>
  <c r="AI302" i="20"/>
  <c r="AI296" i="20"/>
  <c r="U287" i="20"/>
  <c r="U294" i="20"/>
  <c r="U299" i="20"/>
  <c r="AB297" i="20"/>
  <c r="AH295" i="20"/>
  <c r="AF293" i="20"/>
  <c r="T154" i="20"/>
  <c r="E154" i="21" s="1"/>
  <c r="G154" i="21" s="1"/>
  <c r="AA297" i="20"/>
  <c r="AI297" i="20"/>
  <c r="AF280" i="20"/>
  <c r="U285" i="20"/>
  <c r="U297" i="20"/>
  <c r="AA302" i="20"/>
  <c r="AI300" i="20"/>
  <c r="X293" i="20"/>
  <c r="AB300" i="20"/>
  <c r="AD294" i="20"/>
  <c r="X280" i="20"/>
  <c r="U283" i="20"/>
  <c r="U293" i="20"/>
  <c r="AB302" i="20"/>
  <c r="U280" i="20"/>
  <c r="U282" i="20"/>
  <c r="U290" i="20"/>
  <c r="AF294" i="20"/>
  <c r="U302" i="20"/>
  <c r="AA294" i="20"/>
  <c r="AI294" i="20"/>
  <c r="AF281" i="20"/>
  <c r="AA915" i="20"/>
  <c r="F14" i="16"/>
  <c r="B16" i="16"/>
  <c r="D51" i="16"/>
  <c r="F51" i="16"/>
  <c r="H13" i="16"/>
  <c r="H25" i="16"/>
  <c r="C30" i="16"/>
  <c r="E33" i="16"/>
  <c r="H36" i="16"/>
  <c r="C40" i="16"/>
  <c r="E43" i="16"/>
  <c r="H46" i="16"/>
  <c r="B140" i="16"/>
  <c r="B37" i="16" s="1"/>
  <c r="J419" i="16"/>
  <c r="S418" i="16"/>
  <c r="AB417" i="16"/>
  <c r="D417" i="16"/>
  <c r="M416" i="16"/>
  <c r="V415" i="16"/>
  <c r="AE414" i="16"/>
  <c r="G414" i="16"/>
  <c r="M419" i="16"/>
  <c r="V418" i="16"/>
  <c r="AE417" i="16"/>
  <c r="G417" i="16"/>
  <c r="P416" i="16"/>
  <c r="Y415" i="16"/>
  <c r="B415" i="16"/>
  <c r="J414" i="16"/>
  <c r="P419" i="16"/>
  <c r="Y418" i="16"/>
  <c r="B418" i="16"/>
  <c r="J417" i="16"/>
  <c r="S416" i="16"/>
  <c r="AB415" i="16"/>
  <c r="D415" i="16"/>
  <c r="M414" i="16"/>
  <c r="S419" i="16"/>
  <c r="AB418" i="16"/>
  <c r="D418" i="16"/>
  <c r="M417" i="16"/>
  <c r="V416" i="16"/>
  <c r="AE415" i="16"/>
  <c r="G415" i="16"/>
  <c r="P414" i="16"/>
  <c r="V419" i="16"/>
  <c r="AE418" i="16"/>
  <c r="G418" i="16"/>
  <c r="P417" i="16"/>
  <c r="Y416" i="16"/>
  <c r="B416" i="16"/>
  <c r="J415" i="16"/>
  <c r="S414" i="16"/>
  <c r="Y419" i="16"/>
  <c r="B419" i="16"/>
  <c r="J418" i="16"/>
  <c r="S417" i="16"/>
  <c r="AB416" i="16"/>
  <c r="D416" i="16"/>
  <c r="M415" i="16"/>
  <c r="V414" i="16"/>
  <c r="AB419" i="16"/>
  <c r="D419" i="16"/>
  <c r="M418" i="16"/>
  <c r="V417" i="16"/>
  <c r="AE416" i="16"/>
  <c r="G416" i="16"/>
  <c r="P415" i="16"/>
  <c r="Y414" i="16"/>
  <c r="B414" i="16"/>
  <c r="AE419" i="16"/>
  <c r="G419" i="16"/>
  <c r="P418" i="16"/>
  <c r="Y417" i="16"/>
  <c r="B417" i="16"/>
  <c r="J416" i="16"/>
  <c r="S415" i="16"/>
  <c r="AB414" i="16"/>
  <c r="D414" i="16"/>
  <c r="F12" i="16"/>
  <c r="H14" i="16"/>
  <c r="B18" i="16"/>
  <c r="C19" i="16"/>
  <c r="E23" i="16"/>
  <c r="H27" i="16"/>
  <c r="B30" i="16"/>
  <c r="C31" i="16"/>
  <c r="E35" i="16"/>
  <c r="H37" i="16"/>
  <c r="C41" i="16"/>
  <c r="D43" i="16"/>
  <c r="B199" i="16"/>
  <c r="B38" i="16" s="1"/>
  <c r="F38" i="16" s="1"/>
  <c r="P412" i="16"/>
  <c r="Y411" i="16"/>
  <c r="B411" i="16"/>
  <c r="J410" i="16"/>
  <c r="S409" i="16"/>
  <c r="AB408" i="16"/>
  <c r="D408" i="16"/>
  <c r="M407" i="16"/>
  <c r="S412" i="16"/>
  <c r="AB411" i="16"/>
  <c r="D411" i="16"/>
  <c r="M410" i="16"/>
  <c r="V409" i="16"/>
  <c r="AE408" i="16"/>
  <c r="G408" i="16"/>
  <c r="P407" i="16"/>
  <c r="V412" i="16"/>
  <c r="AE411" i="16"/>
  <c r="G411" i="16"/>
  <c r="P410" i="16"/>
  <c r="Y409" i="16"/>
  <c r="B409" i="16"/>
  <c r="J408" i="16"/>
  <c r="S407" i="16"/>
  <c r="Y412" i="16"/>
  <c r="B412" i="16"/>
  <c r="J411" i="16"/>
  <c r="S410" i="16"/>
  <c r="AB409" i="16"/>
  <c r="D409" i="16"/>
  <c r="M408" i="16"/>
  <c r="V407" i="16"/>
  <c r="AB412" i="16"/>
  <c r="D412" i="16"/>
  <c r="M411" i="16"/>
  <c r="V410" i="16"/>
  <c r="AE409" i="16"/>
  <c r="G409" i="16"/>
  <c r="P408" i="16"/>
  <c r="Y407" i="16"/>
  <c r="B407" i="16"/>
  <c r="AE412" i="16"/>
  <c r="G412" i="16"/>
  <c r="P411" i="16"/>
  <c r="Y410" i="16"/>
  <c r="B410" i="16"/>
  <c r="J409" i="16"/>
  <c r="S408" i="16"/>
  <c r="AB407" i="16"/>
  <c r="D407" i="16"/>
  <c r="J412" i="16"/>
  <c r="S411" i="16"/>
  <c r="AB410" i="16"/>
  <c r="D410" i="16"/>
  <c r="M409" i="16"/>
  <c r="V408" i="16"/>
  <c r="AE407" i="16"/>
  <c r="G407" i="16"/>
  <c r="M412" i="16"/>
  <c r="V411" i="16"/>
  <c r="AE410" i="16"/>
  <c r="G410" i="16"/>
  <c r="P409" i="16"/>
  <c r="Y408" i="16"/>
  <c r="B408" i="16"/>
  <c r="J407" i="16"/>
  <c r="E12" i="16"/>
  <c r="F13" i="16"/>
  <c r="H16" i="16"/>
  <c r="B19" i="16"/>
  <c r="C21" i="16"/>
  <c r="E24" i="16"/>
  <c r="F25" i="16"/>
  <c r="H29" i="16"/>
  <c r="B31" i="16"/>
  <c r="F31" i="16" s="1"/>
  <c r="C33" i="16"/>
  <c r="H38" i="16"/>
  <c r="C43" i="16"/>
  <c r="E44" i="16"/>
  <c r="G54" i="16"/>
  <c r="G57" i="16"/>
  <c r="B81" i="16"/>
  <c r="V405" i="16"/>
  <c r="AE404" i="16"/>
  <c r="G404" i="16"/>
  <c r="P403" i="16"/>
  <c r="Y402" i="16"/>
  <c r="B402" i="16"/>
  <c r="J401" i="16"/>
  <c r="S400" i="16"/>
  <c r="Y405" i="16"/>
  <c r="B405" i="16"/>
  <c r="J404" i="16"/>
  <c r="S403" i="16"/>
  <c r="AB402" i="16"/>
  <c r="D402" i="16"/>
  <c r="M401" i="16"/>
  <c r="V400" i="16"/>
  <c r="AB405" i="16"/>
  <c r="D405" i="16"/>
  <c r="M404" i="16"/>
  <c r="V403" i="16"/>
  <c r="AE402" i="16"/>
  <c r="G402" i="16"/>
  <c r="P401" i="16"/>
  <c r="Y400" i="16"/>
  <c r="B400" i="16"/>
  <c r="AE405" i="16"/>
  <c r="G405" i="16"/>
  <c r="P404" i="16"/>
  <c r="Y403" i="16"/>
  <c r="B403" i="16"/>
  <c r="J402" i="16"/>
  <c r="S401" i="16"/>
  <c r="AB400" i="16"/>
  <c r="D400" i="16"/>
  <c r="J405" i="16"/>
  <c r="S404" i="16"/>
  <c r="AB403" i="16"/>
  <c r="D403" i="16"/>
  <c r="M402" i="16"/>
  <c r="V401" i="16"/>
  <c r="AE400" i="16"/>
  <c r="G400" i="16"/>
  <c r="M405" i="16"/>
  <c r="V404" i="16"/>
  <c r="AE403" i="16"/>
  <c r="G403" i="16"/>
  <c r="P402" i="16"/>
  <c r="Y401" i="16"/>
  <c r="B401" i="16"/>
  <c r="J400" i="16"/>
  <c r="P405" i="16"/>
  <c r="Y404" i="16"/>
  <c r="B404" i="16"/>
  <c r="J403" i="16"/>
  <c r="S402" i="16"/>
  <c r="AB401" i="16"/>
  <c r="D401" i="16"/>
  <c r="M400" i="16"/>
  <c r="S405" i="16"/>
  <c r="AB404" i="16"/>
  <c r="D404" i="16"/>
  <c r="M403" i="16"/>
  <c r="V402" i="16"/>
  <c r="AE401" i="16"/>
  <c r="G401" i="16"/>
  <c r="P400" i="16"/>
  <c r="L12" i="16"/>
  <c r="E13" i="16"/>
  <c r="H18" i="16"/>
  <c r="C23" i="16"/>
  <c r="D24" i="16"/>
  <c r="E25" i="16"/>
  <c r="H30" i="16"/>
  <c r="C35" i="16"/>
  <c r="E36" i="16"/>
  <c r="H40" i="16"/>
  <c r="B43" i="16"/>
  <c r="E46" i="16"/>
  <c r="D54" i="16"/>
  <c r="D57" i="16"/>
  <c r="C384" i="16"/>
  <c r="AB398" i="16"/>
  <c r="D398" i="16"/>
  <c r="M397" i="16"/>
  <c r="V396" i="16"/>
  <c r="AE395" i="16"/>
  <c r="G395" i="16"/>
  <c r="P394" i="16"/>
  <c r="Y393" i="16"/>
  <c r="B393" i="16"/>
  <c r="AE398" i="16"/>
  <c r="G398" i="16"/>
  <c r="P397" i="16"/>
  <c r="Y396" i="16"/>
  <c r="B396" i="16"/>
  <c r="J395" i="16"/>
  <c r="S394" i="16"/>
  <c r="AB393" i="16"/>
  <c r="D393" i="16"/>
  <c r="J398" i="16"/>
  <c r="S397" i="16"/>
  <c r="AB396" i="16"/>
  <c r="D396" i="16"/>
  <c r="M395" i="16"/>
  <c r="V394" i="16"/>
  <c r="AE393" i="16"/>
  <c r="G393" i="16"/>
  <c r="M398" i="16"/>
  <c r="V397" i="16"/>
  <c r="AE396" i="16"/>
  <c r="G396" i="16"/>
  <c r="P395" i="16"/>
  <c r="Y394" i="16"/>
  <c r="B394" i="16"/>
  <c r="J393" i="16"/>
  <c r="P398" i="16"/>
  <c r="Y397" i="16"/>
  <c r="B397" i="16"/>
  <c r="J396" i="16"/>
  <c r="S395" i="16"/>
  <c r="AB394" i="16"/>
  <c r="D394" i="16"/>
  <c r="M393" i="16"/>
  <c r="S398" i="16"/>
  <c r="AB397" i="16"/>
  <c r="D397" i="16"/>
  <c r="M396" i="16"/>
  <c r="V395" i="16"/>
  <c r="AE394" i="16"/>
  <c r="G394" i="16"/>
  <c r="P393" i="16"/>
  <c r="V398" i="16"/>
  <c r="AE397" i="16"/>
  <c r="G397" i="16"/>
  <c r="P396" i="16"/>
  <c r="Y395" i="16"/>
  <c r="B395" i="16"/>
  <c r="J394" i="16"/>
  <c r="S393" i="16"/>
  <c r="Y398" i="16"/>
  <c r="B398" i="16"/>
  <c r="J397" i="16"/>
  <c r="S396" i="16"/>
  <c r="AB395" i="16"/>
  <c r="D395" i="16"/>
  <c r="M394" i="16"/>
  <c r="V393" i="16"/>
  <c r="D11" i="16"/>
  <c r="C12" i="16"/>
  <c r="D13" i="16"/>
  <c r="E14" i="16"/>
  <c r="H19" i="16"/>
  <c r="C24" i="16"/>
  <c r="E27" i="16"/>
  <c r="H31" i="16"/>
  <c r="E37" i="16"/>
  <c r="H41" i="16"/>
  <c r="C44" i="16"/>
  <c r="B53" i="16"/>
  <c r="B392" i="16" s="1"/>
  <c r="B54" i="16"/>
  <c r="B57" i="16"/>
  <c r="B289" i="16"/>
  <c r="B235" i="16"/>
  <c r="B153" i="16"/>
  <c r="B262" i="16"/>
  <c r="B192" i="16"/>
  <c r="B207" i="16"/>
  <c r="B179" i="16"/>
  <c r="B166" i="16"/>
  <c r="B120" i="16"/>
  <c r="J357" i="16"/>
  <c r="C13" i="16"/>
  <c r="E16" i="16"/>
  <c r="H21" i="16"/>
  <c r="B24" i="16"/>
  <c r="C25" i="16"/>
  <c r="E29" i="16"/>
  <c r="H33" i="16"/>
  <c r="C36" i="16"/>
  <c r="E38" i="16"/>
  <c r="H43" i="16"/>
  <c r="C46" i="16"/>
  <c r="B133" i="16"/>
  <c r="M379" i="16"/>
  <c r="P379" i="16" s="1"/>
  <c r="S379" i="16" s="1"/>
  <c r="V379" i="16" s="1"/>
  <c r="Y379" i="16" s="1"/>
  <c r="AB379" i="16" s="1"/>
  <c r="AE379" i="16" s="1"/>
  <c r="AH379" i="16" s="1"/>
  <c r="AK379" i="16" s="1"/>
  <c r="AN379" i="16" s="1"/>
  <c r="AQ379" i="16" s="1"/>
  <c r="AT379" i="16" s="1"/>
  <c r="I12" i="16"/>
  <c r="C14" i="16"/>
  <c r="E18" i="16"/>
  <c r="H23" i="16"/>
  <c r="C27" i="16"/>
  <c r="E30" i="16"/>
  <c r="H35" i="16"/>
  <c r="C37" i="16"/>
  <c r="E40" i="16"/>
  <c r="B94" i="16"/>
  <c r="J208" i="16"/>
  <c r="J12" i="16" s="1"/>
  <c r="M236" i="16"/>
  <c r="J290" i="16"/>
  <c r="J263" i="16"/>
  <c r="H12" i="16"/>
  <c r="C16" i="16"/>
  <c r="D18" i="16"/>
  <c r="E19" i="16"/>
  <c r="H24" i="16"/>
  <c r="C29" i="16"/>
  <c r="E31" i="16"/>
  <c r="C38" i="16"/>
  <c r="E41" i="16"/>
  <c r="H44" i="16"/>
  <c r="B107" i="16"/>
  <c r="G238" i="16"/>
  <c r="G250" i="16"/>
  <c r="G273" i="16"/>
  <c r="S310" i="16"/>
  <c r="G239" i="16"/>
  <c r="G263" i="16"/>
  <c r="D264" i="16"/>
  <c r="D273" i="16"/>
  <c r="D294" i="16"/>
  <c r="J312" i="16"/>
  <c r="G240" i="16"/>
  <c r="M258" i="16"/>
  <c r="D272" i="16"/>
  <c r="D293" i="16"/>
  <c r="G270" i="16"/>
  <c r="D271" i="16"/>
  <c r="J230" i="16"/>
  <c r="G244" i="16"/>
  <c r="D270" i="16"/>
  <c r="G290" i="16"/>
  <c r="G386" i="16"/>
  <c r="J386" i="16" s="1"/>
  <c r="M386" i="16" s="1"/>
  <c r="P386" i="16" s="1"/>
  <c r="S386" i="16" s="1"/>
  <c r="V386" i="16" s="1"/>
  <c r="Y386" i="16" s="1"/>
  <c r="AB386" i="16" s="1"/>
  <c r="AE386" i="16" s="1"/>
  <c r="AH386" i="16" s="1"/>
  <c r="AK386" i="16" s="1"/>
  <c r="AN386" i="16" s="1"/>
  <c r="AQ386" i="16" s="1"/>
  <c r="AT386" i="16" s="1"/>
  <c r="G245" i="16"/>
  <c r="V256" i="16"/>
  <c r="AI37" i="19"/>
  <c r="CC41" i="19"/>
  <c r="D25" i="20"/>
  <c r="D24" i="20"/>
  <c r="D23" i="20"/>
  <c r="D22" i="20"/>
  <c r="D21" i="20"/>
  <c r="D20" i="20"/>
  <c r="D19" i="20"/>
  <c r="D33" i="20"/>
  <c r="D32" i="20"/>
  <c r="D31" i="20"/>
  <c r="D30" i="20"/>
  <c r="D29" i="20"/>
  <c r="D28" i="20"/>
  <c r="D27" i="20"/>
  <c r="C35" i="20"/>
  <c r="D34" i="20"/>
  <c r="D97" i="20"/>
  <c r="T126" i="20"/>
  <c r="E126" i="21" s="1"/>
  <c r="T125" i="20"/>
  <c r="E125" i="21" s="1"/>
  <c r="E124" i="21"/>
  <c r="D59" i="20"/>
  <c r="D98" i="20"/>
  <c r="D47" i="20"/>
  <c r="D46" i="20"/>
  <c r="D45" i="20"/>
  <c r="D44" i="20"/>
  <c r="D43" i="20"/>
  <c r="D42" i="20"/>
  <c r="D41" i="20"/>
  <c r="D40" i="20"/>
  <c r="D51" i="20"/>
  <c r="D50" i="20"/>
  <c r="D49" i="20"/>
  <c r="D57" i="20"/>
  <c r="D56" i="20"/>
  <c r="D55" i="20"/>
  <c r="D54" i="20"/>
  <c r="D53" i="20"/>
  <c r="D52" i="20"/>
  <c r="D39" i="20"/>
  <c r="D38" i="20"/>
  <c r="D37" i="20"/>
  <c r="D36" i="20"/>
  <c r="BG666" i="20"/>
  <c r="V208" i="20"/>
  <c r="W77" i="20"/>
  <c r="D48" i="20"/>
  <c r="D58" i="20"/>
  <c r="AY762" i="20"/>
  <c r="BB762" i="20" s="1"/>
  <c r="AM694" i="20"/>
  <c r="AY581" i="20"/>
  <c r="BF666" i="20"/>
  <c r="U208" i="20"/>
  <c r="D75" i="20"/>
  <c r="C126" i="20"/>
  <c r="AN741" i="20"/>
  <c r="AN737" i="20"/>
  <c r="D26" i="20"/>
  <c r="C87" i="20"/>
  <c r="C93" i="20"/>
  <c r="U123" i="20"/>
  <c r="K125" i="20"/>
  <c r="Z280" i="20"/>
  <c r="AH280" i="20"/>
  <c r="Z281" i="20"/>
  <c r="AH281" i="20"/>
  <c r="Z282" i="20"/>
  <c r="AH282" i="20"/>
  <c r="Z283" i="20"/>
  <c r="AH283" i="20"/>
  <c r="Z284" i="20"/>
  <c r="AH284" i="20"/>
  <c r="Z285" i="20"/>
  <c r="AH285" i="20"/>
  <c r="Z286" i="20"/>
  <c r="AH286" i="20"/>
  <c r="Z287" i="20"/>
  <c r="AH287" i="20"/>
  <c r="Z288" i="20"/>
  <c r="AH288" i="20"/>
  <c r="Z289" i="20"/>
  <c r="AH289" i="20"/>
  <c r="Z290" i="20"/>
  <c r="AH290" i="20"/>
  <c r="Z293" i="20"/>
  <c r="AH293" i="20"/>
  <c r="Z294" i="20"/>
  <c r="AH294" i="20"/>
  <c r="Z295" i="20"/>
  <c r="Z296" i="20"/>
  <c r="AH296" i="20"/>
  <c r="Z297" i="20"/>
  <c r="AH297" i="20"/>
  <c r="Z298" i="20"/>
  <c r="AH298" i="20"/>
  <c r="Z299" i="20"/>
  <c r="AH299" i="20"/>
  <c r="Z300" i="20"/>
  <c r="AH300" i="20"/>
  <c r="Z301" i="20"/>
  <c r="AH301" i="20"/>
  <c r="Z302" i="20"/>
  <c r="AH302" i="20"/>
  <c r="Y280" i="20"/>
  <c r="AG280" i="20"/>
  <c r="Y281" i="20"/>
  <c r="AG281" i="20"/>
  <c r="Y282" i="20"/>
  <c r="AG282" i="20"/>
  <c r="Y283" i="20"/>
  <c r="AG283" i="20"/>
  <c r="Y284" i="20"/>
  <c r="AG284" i="20"/>
  <c r="Y285" i="20"/>
  <c r="AG285" i="20"/>
  <c r="Y286" i="20"/>
  <c r="AG286" i="20"/>
  <c r="Y287" i="20"/>
  <c r="AG287" i="20"/>
  <c r="Y288" i="20"/>
  <c r="AG288" i="20"/>
  <c r="Y289" i="20"/>
  <c r="AG289" i="20"/>
  <c r="Y290" i="20"/>
  <c r="AG290" i="20"/>
  <c r="Y293" i="20"/>
  <c r="AG293" i="20"/>
  <c r="Y294" i="20"/>
  <c r="AG294" i="20"/>
  <c r="Y295" i="20"/>
  <c r="AG295" i="20"/>
  <c r="Y296" i="20"/>
  <c r="AG296" i="20"/>
  <c r="Y297" i="20"/>
  <c r="AG297" i="20"/>
  <c r="Y298" i="20"/>
  <c r="AG298" i="20"/>
  <c r="Y299" i="20"/>
  <c r="AG299" i="20"/>
  <c r="Y300" i="20"/>
  <c r="AG300" i="20"/>
  <c r="Y301" i="20"/>
  <c r="AG301" i="20"/>
  <c r="Y302" i="20"/>
  <c r="AG302" i="20"/>
  <c r="BE783" i="20"/>
  <c r="X282" i="20"/>
  <c r="AF282" i="20"/>
  <c r="X283" i="20"/>
  <c r="AF283" i="20"/>
  <c r="X284" i="20"/>
  <c r="AF284" i="20"/>
  <c r="X285" i="20"/>
  <c r="AF285" i="20"/>
  <c r="X286" i="20"/>
  <c r="AF286" i="20"/>
  <c r="X287" i="20"/>
  <c r="AF287" i="20"/>
  <c r="X288" i="20"/>
  <c r="AF288" i="20"/>
  <c r="X289" i="20"/>
  <c r="AF289" i="20"/>
  <c r="X290" i="20"/>
  <c r="AF290" i="20"/>
  <c r="X295" i="20"/>
  <c r="AF295" i="20"/>
  <c r="X296" i="20"/>
  <c r="AF296" i="20"/>
  <c r="X297" i="20"/>
  <c r="AF297" i="20"/>
  <c r="X298" i="20"/>
  <c r="AF298" i="20"/>
  <c r="X299" i="20"/>
  <c r="AF299" i="20"/>
  <c r="X300" i="20"/>
  <c r="AF300" i="20"/>
  <c r="X301" i="20"/>
  <c r="AF301" i="20"/>
  <c r="X302" i="20"/>
  <c r="AF302" i="20"/>
  <c r="W280" i="20"/>
  <c r="AE280" i="20"/>
  <c r="W281" i="20"/>
  <c r="AE281" i="20"/>
  <c r="W282" i="20"/>
  <c r="AE282" i="20"/>
  <c r="W283" i="20"/>
  <c r="AE283" i="20"/>
  <c r="W284" i="20"/>
  <c r="AE284" i="20"/>
  <c r="W285" i="20"/>
  <c r="AE285" i="20"/>
  <c r="W286" i="20"/>
  <c r="AE286" i="20"/>
  <c r="W287" i="20"/>
  <c r="AE287" i="20"/>
  <c r="W288" i="20"/>
  <c r="AE288" i="20"/>
  <c r="W289" i="20"/>
  <c r="AE289" i="20"/>
  <c r="W290" i="20"/>
  <c r="AE290" i="20"/>
  <c r="W293" i="20"/>
  <c r="AE293" i="20"/>
  <c r="W294" i="20"/>
  <c r="AE294" i="20"/>
  <c r="W295" i="20"/>
  <c r="AE295" i="20"/>
  <c r="W296" i="20"/>
  <c r="AE296" i="20"/>
  <c r="W297" i="20"/>
  <c r="AE297" i="20"/>
  <c r="W298" i="20"/>
  <c r="AE298" i="20"/>
  <c r="W299" i="20"/>
  <c r="AE299" i="20"/>
  <c r="W300" i="20"/>
  <c r="AE300" i="20"/>
  <c r="W301" i="20"/>
  <c r="AE301" i="20"/>
  <c r="W302" i="20"/>
  <c r="AE302" i="20"/>
  <c r="AD304" i="20"/>
  <c r="T274" i="20"/>
  <c r="U274" i="20" s="1"/>
  <c r="V274" i="20" s="1"/>
  <c r="W274" i="20" s="1"/>
  <c r="X274" i="20" s="1"/>
  <c r="Y274" i="20" s="1"/>
  <c r="Z274" i="20" s="1"/>
  <c r="AA274" i="20" s="1"/>
  <c r="AB274" i="20" s="1"/>
  <c r="AC274" i="20" s="1"/>
  <c r="AD274" i="20" s="1"/>
  <c r="AE274" i="20" s="1"/>
  <c r="AF274" i="20" s="1"/>
  <c r="AG274" i="20" s="1"/>
  <c r="AH274" i="20" s="1"/>
  <c r="AI274" i="20" s="1"/>
  <c r="V280" i="20"/>
  <c r="AD280" i="20"/>
  <c r="V281" i="20"/>
  <c r="AD281" i="20"/>
  <c r="V282" i="20"/>
  <c r="AD282" i="20"/>
  <c r="V283" i="20"/>
  <c r="AD283" i="20"/>
  <c r="V284" i="20"/>
  <c r="AD284" i="20"/>
  <c r="V285" i="20"/>
  <c r="AD285" i="20"/>
  <c r="V286" i="20"/>
  <c r="AD286" i="20"/>
  <c r="V287" i="20"/>
  <c r="AD287" i="20"/>
  <c r="V288" i="20"/>
  <c r="AD288" i="20"/>
  <c r="V289" i="20"/>
  <c r="AD289" i="20"/>
  <c r="V290" i="20"/>
  <c r="AD290" i="20"/>
  <c r="V293" i="20"/>
  <c r="AD293" i="20"/>
  <c r="V294" i="20"/>
  <c r="V295" i="20"/>
  <c r="AD295" i="20"/>
  <c r="V296" i="20"/>
  <c r="AD296" i="20"/>
  <c r="V297" i="20"/>
  <c r="AD297" i="20"/>
  <c r="V298" i="20"/>
  <c r="AD298" i="20"/>
  <c r="V299" i="20"/>
  <c r="AD299" i="20"/>
  <c r="V300" i="20"/>
  <c r="AD300" i="20"/>
  <c r="V301" i="20"/>
  <c r="AD301" i="20"/>
  <c r="V302" i="20"/>
  <c r="AD302" i="20"/>
  <c r="U304" i="20"/>
  <c r="AF304" i="20" s="1"/>
  <c r="AC304" i="20"/>
  <c r="AC282" i="20"/>
  <c r="AC283" i="20"/>
  <c r="AC284" i="20"/>
  <c r="AC285" i="20"/>
  <c r="AC286" i="20"/>
  <c r="AC287" i="20"/>
  <c r="AC288" i="20"/>
  <c r="AC289" i="20"/>
  <c r="AC290" i="20"/>
  <c r="AC295" i="20"/>
  <c r="AC296" i="20"/>
  <c r="AC297" i="20"/>
  <c r="AC298" i="20"/>
  <c r="AC299" i="20"/>
  <c r="AC300" i="20"/>
  <c r="AC301" i="20"/>
  <c r="AC302" i="20"/>
  <c r="T280" i="20"/>
  <c r="AB280" i="20"/>
  <c r="T281" i="20"/>
  <c r="AB281" i="20"/>
  <c r="T282" i="20"/>
  <c r="AB282" i="20"/>
  <c r="T283" i="20"/>
  <c r="AB283" i="20"/>
  <c r="T284" i="20"/>
  <c r="AB284" i="20"/>
  <c r="T285" i="20"/>
  <c r="AB285" i="20"/>
  <c r="T286" i="20"/>
  <c r="AB286" i="20"/>
  <c r="T287" i="20"/>
  <c r="AB287" i="20"/>
  <c r="T288" i="20"/>
  <c r="AB288" i="20"/>
  <c r="T289" i="20"/>
  <c r="AB289" i="20"/>
  <c r="T290" i="20"/>
  <c r="AB290" i="20"/>
  <c r="T293" i="20"/>
  <c r="T294" i="20"/>
  <c r="AB294" i="20"/>
  <c r="T295" i="20"/>
  <c r="T296" i="20"/>
  <c r="AB296" i="20"/>
  <c r="T297" i="20"/>
  <c r="T298" i="20"/>
  <c r="AB298" i="20"/>
  <c r="T299" i="20"/>
  <c r="AB299" i="20"/>
  <c r="T300" i="20"/>
  <c r="T301" i="20"/>
  <c r="AB301" i="20"/>
  <c r="T302" i="20"/>
  <c r="AA280" i="20"/>
  <c r="AI280" i="20"/>
  <c r="AA281" i="20"/>
  <c r="AI281" i="20"/>
  <c r="AA282" i="20"/>
  <c r="AI282" i="20"/>
  <c r="AA283" i="20"/>
  <c r="AI283" i="20"/>
  <c r="AA284" i="20"/>
  <c r="AI284" i="20"/>
  <c r="AA285" i="20"/>
  <c r="AI285" i="20"/>
  <c r="AA286" i="20"/>
  <c r="AI286" i="20"/>
  <c r="AA287" i="20"/>
  <c r="AI287" i="20"/>
  <c r="AA288" i="20"/>
  <c r="AI288" i="20"/>
  <c r="AA289" i="20"/>
  <c r="AI289" i="20"/>
  <c r="AA290" i="20"/>
  <c r="AI290" i="20"/>
  <c r="AA293" i="20"/>
  <c r="AI293" i="20"/>
  <c r="AA295" i="20"/>
  <c r="AI295" i="20"/>
  <c r="AA296" i="20"/>
  <c r="AA298" i="20"/>
  <c r="AI298" i="20"/>
  <c r="AA299" i="20"/>
  <c r="AI299" i="20"/>
  <c r="AA300" i="20"/>
  <c r="AA301" i="20"/>
  <c r="AI301" i="20"/>
  <c r="E566" i="20"/>
  <c r="E519" i="20"/>
  <c r="T571" i="20"/>
  <c r="T524" i="20"/>
  <c r="C491" i="20"/>
  <c r="C558" i="20"/>
  <c r="C511" i="20"/>
  <c r="T478" i="20"/>
  <c r="C564" i="20"/>
  <c r="C495" i="20"/>
  <c r="C542" i="20"/>
  <c r="C552" i="20"/>
  <c r="C505" i="20"/>
  <c r="U573" i="20"/>
  <c r="U572" i="20" s="1"/>
  <c r="U526" i="20"/>
  <c r="V472" i="20"/>
  <c r="AB478" i="20"/>
  <c r="C501" i="20"/>
  <c r="U523" i="20"/>
  <c r="C540" i="20"/>
  <c r="C562" i="20"/>
  <c r="E512" i="20"/>
  <c r="E559" i="20"/>
  <c r="C487" i="20"/>
  <c r="E510" i="20"/>
  <c r="C550" i="20"/>
  <c r="BL697" i="20"/>
  <c r="BL764" i="20"/>
  <c r="BT697" i="20"/>
  <c r="BT764" i="20"/>
  <c r="C514" i="20"/>
  <c r="U524" i="20"/>
  <c r="U566" i="20"/>
  <c r="C549" i="20"/>
  <c r="C502" i="20"/>
  <c r="C516" i="20"/>
  <c r="C544" i="20"/>
  <c r="C497" i="20"/>
  <c r="C513" i="20"/>
  <c r="C560" i="20"/>
  <c r="T526" i="20"/>
  <c r="T525" i="20" s="1"/>
  <c r="BI697" i="20"/>
  <c r="BI764" i="20"/>
  <c r="BQ697" i="20"/>
  <c r="BQ764" i="20"/>
  <c r="AN593" i="20"/>
  <c r="BA592" i="20"/>
  <c r="AN597" i="20"/>
  <c r="BE764" i="20"/>
  <c r="BE697" i="20"/>
  <c r="BM697" i="20"/>
  <c r="BM764" i="20"/>
  <c r="BD592" i="20"/>
  <c r="AR607" i="20"/>
  <c r="AX600" i="20"/>
  <c r="AN605" i="20"/>
  <c r="AO668" i="20"/>
  <c r="AR668" i="20"/>
  <c r="AN676" i="20"/>
  <c r="BK764" i="20"/>
  <c r="BK697" i="20"/>
  <c r="BS764" i="20"/>
  <c r="BS697" i="20"/>
  <c r="BD610" i="20"/>
  <c r="AR622" i="20"/>
  <c r="AU622" i="20"/>
  <c r="AO665" i="20"/>
  <c r="BE837" i="20"/>
  <c r="BE895" i="20" s="1"/>
  <c r="BE757" i="20"/>
  <c r="AO673" i="20"/>
  <c r="AR592" i="20"/>
  <c r="AX610" i="20"/>
  <c r="AN730" i="20"/>
  <c r="AN727" i="20"/>
  <c r="AN726" i="20"/>
  <c r="AO661" i="20"/>
  <c r="AP768" i="20"/>
  <c r="AO678" i="20"/>
  <c r="BH764" i="20"/>
  <c r="BH697" i="20"/>
  <c r="BP764" i="20"/>
  <c r="BP697" i="20"/>
  <c r="AN601" i="20"/>
  <c r="AU600" i="20"/>
  <c r="AR643" i="20"/>
  <c r="AU643" i="20"/>
  <c r="AN589" i="20"/>
  <c r="BA607" i="20"/>
  <c r="BG764" i="20"/>
  <c r="BG697" i="20"/>
  <c r="BO764" i="20"/>
  <c r="BO697" i="20"/>
  <c r="BD604" i="20"/>
  <c r="AN608" i="20"/>
  <c r="AU610" i="20"/>
  <c r="AN632" i="20"/>
  <c r="BF764" i="20"/>
  <c r="BF697" i="20"/>
  <c r="BN764" i="20"/>
  <c r="BN697" i="20"/>
  <c r="BB789" i="20"/>
  <c r="BB783" i="20"/>
  <c r="BA669" i="20"/>
  <c r="AO681" i="20"/>
  <c r="AS789" i="20"/>
  <c r="AS783" i="20"/>
  <c r="BD681" i="20"/>
  <c r="BA613" i="20"/>
  <c r="BA635" i="20"/>
  <c r="AO660" i="20"/>
  <c r="AO667" i="20"/>
  <c r="AV803" i="20"/>
  <c r="AR669" i="20"/>
  <c r="AN725" i="20"/>
  <c r="AN729" i="20" s="1"/>
  <c r="AO682" i="20"/>
  <c r="AN724" i="20"/>
  <c r="AN721" i="20"/>
  <c r="AN719" i="20"/>
  <c r="AN747" i="20"/>
  <c r="AN718" i="20"/>
  <c r="AN717" i="20"/>
  <c r="AN716" i="20"/>
  <c r="AN713" i="20"/>
  <c r="AN611" i="20"/>
  <c r="AN704" i="20"/>
  <c r="AY783" i="20"/>
  <c r="AY789" i="20"/>
  <c r="BB803" i="20"/>
  <c r="AX604" i="20"/>
  <c r="AO666" i="20"/>
  <c r="AO674" i="20"/>
  <c r="AO680" i="20"/>
  <c r="BJ697" i="20"/>
  <c r="BJ764" i="20"/>
  <c r="BR697" i="20"/>
  <c r="BR764" i="20"/>
  <c r="AP783" i="20"/>
  <c r="AP789" i="20"/>
  <c r="AL724" i="20"/>
  <c r="AL727" i="20"/>
  <c r="AN645" i="20"/>
  <c r="AX635" i="20"/>
  <c r="AN707" i="20"/>
  <c r="BA668" i="20"/>
  <c r="AO669" i="20"/>
  <c r="AP803" i="20"/>
  <c r="AU668" i="20"/>
  <c r="AV789" i="20"/>
  <c r="AV783" i="20"/>
  <c r="BD635" i="20"/>
  <c r="AN662" i="20"/>
  <c r="BD682" i="20"/>
  <c r="AX681" i="20"/>
  <c r="BA682" i="20"/>
  <c r="AY803" i="20"/>
  <c r="BL884" i="20"/>
  <c r="BT884" i="20"/>
  <c r="BJ884" i="20"/>
  <c r="BR884" i="20"/>
  <c r="CX847" i="20"/>
  <c r="DV847" i="20"/>
  <c r="CR866" i="20"/>
  <c r="DP866" i="20"/>
  <c r="CO866" i="20"/>
  <c r="DM866" i="20"/>
  <c r="BO884" i="20"/>
  <c r="CL847" i="20"/>
  <c r="DJ847" i="20"/>
  <c r="CF866" i="20"/>
  <c r="DD866" i="20"/>
  <c r="CU866" i="20"/>
  <c r="W945" i="20"/>
  <c r="K77" i="21"/>
  <c r="K208" i="21" s="1"/>
  <c r="G206" i="21"/>
  <c r="G202" i="21"/>
  <c r="G198" i="21"/>
  <c r="L77" i="21"/>
  <c r="L208" i="21" s="1"/>
  <c r="M77" i="21"/>
  <c r="M208" i="21" s="1"/>
  <c r="G205" i="21"/>
  <c r="G201" i="21"/>
  <c r="G197" i="21"/>
  <c r="N77" i="21"/>
  <c r="N208" i="21" s="1"/>
  <c r="O77" i="21"/>
  <c r="O208" i="21" s="1"/>
  <c r="G77" i="21"/>
  <c r="G208" i="21"/>
  <c r="G204" i="21"/>
  <c r="G200" i="21"/>
  <c r="P77" i="21"/>
  <c r="P208" i="21" s="1"/>
  <c r="H77" i="21"/>
  <c r="H208" i="21" s="1"/>
  <c r="G226" i="21"/>
  <c r="Q77" i="21"/>
  <c r="Q208" i="21" s="1"/>
  <c r="I77" i="21"/>
  <c r="I208" i="21" s="1"/>
  <c r="G203" i="21"/>
  <c r="G199" i="21"/>
  <c r="G123" i="21"/>
  <c r="R77" i="21"/>
  <c r="R208" i="21" s="1"/>
  <c r="J77" i="21"/>
  <c r="J208" i="21" s="1"/>
  <c r="G99" i="22"/>
  <c r="G7" i="22"/>
  <c r="G8" i="22"/>
  <c r="D10" i="22"/>
  <c r="B68" i="22"/>
  <c r="B70" i="22" s="1"/>
  <c r="F7" i="22"/>
  <c r="F8" i="22"/>
  <c r="C10" i="22"/>
  <c r="C7" i="22"/>
  <c r="C8" i="22"/>
  <c r="F9" i="22"/>
  <c r="C9" i="22"/>
  <c r="E4" i="23"/>
  <c r="E9" i="25"/>
  <c r="M13" i="26"/>
  <c r="N87" i="19" s="1"/>
  <c r="M15" i="26"/>
  <c r="N89" i="19" s="1"/>
  <c r="M14" i="26"/>
  <c r="N88" i="19" s="1"/>
  <c r="D7" i="25"/>
  <c r="C383" i="51" s="1"/>
  <c r="D6" i="25"/>
  <c r="C382" i="51" s="1"/>
  <c r="D14" i="25"/>
  <c r="C390" i="51" s="1"/>
  <c r="N16" i="26"/>
  <c r="O90" i="19" s="1"/>
  <c r="D12" i="25"/>
  <c r="E10" i="25"/>
  <c r="D10" i="25"/>
  <c r="C386" i="51" s="1"/>
  <c r="N14" i="26"/>
  <c r="O88" i="19" s="1"/>
  <c r="L25" i="16" l="1"/>
  <c r="Q105" i="19"/>
  <c r="E6" i="25"/>
  <c r="A6" i="25"/>
  <c r="M17" i="26"/>
  <c r="U525" i="20"/>
  <c r="I23" i="16"/>
  <c r="P103" i="19"/>
  <c r="I25" i="16"/>
  <c r="P105" i="19"/>
  <c r="I19" i="16"/>
  <c r="P102" i="19"/>
  <c r="A2" i="1"/>
  <c r="AT5" i="51"/>
  <c r="N5" i="51"/>
  <c r="M5" i="51" s="1"/>
  <c r="Z371" i="51"/>
  <c r="N6" i="51"/>
  <c r="M6" i="51" s="1"/>
  <c r="Z218" i="51"/>
  <c r="Z65" i="51"/>
  <c r="Z524" i="51"/>
  <c r="N7" i="51"/>
  <c r="M7" i="51" s="1"/>
  <c r="Z525" i="51"/>
  <c r="Z526" i="51" s="1"/>
  <c r="Z527" i="51" s="1"/>
  <c r="Z528" i="51" s="1"/>
  <c r="Z529" i="51" s="1"/>
  <c r="Z530" i="51" s="1"/>
  <c r="Z531" i="51" s="1"/>
  <c r="Z532" i="51" s="1"/>
  <c r="Z533" i="51" s="1"/>
  <c r="Z534" i="51" s="1"/>
  <c r="Z535" i="51" s="1"/>
  <c r="Z536" i="51" s="1"/>
  <c r="Z537" i="51" s="1"/>
  <c r="Z538" i="51" s="1"/>
  <c r="Z539" i="51" s="1"/>
  <c r="Z540" i="51" s="1"/>
  <c r="Z541" i="51" s="1"/>
  <c r="Z542" i="51" s="1"/>
  <c r="Z543" i="51" s="1"/>
  <c r="Z544" i="51" s="1"/>
  <c r="Z545" i="51" s="1"/>
  <c r="Z546" i="51" s="1"/>
  <c r="Z547" i="51" s="1"/>
  <c r="Z548" i="51" s="1"/>
  <c r="Z549" i="51" s="1"/>
  <c r="Z550" i="51" s="1"/>
  <c r="Z551" i="51" s="1"/>
  <c r="Z552" i="51" s="1"/>
  <c r="Z553" i="51" s="1"/>
  <c r="Z554" i="51" s="1"/>
  <c r="Z555" i="51" s="1"/>
  <c r="Z556" i="51" s="1"/>
  <c r="Z557" i="51" s="1"/>
  <c r="Z558" i="51" s="1"/>
  <c r="Z559" i="51" s="1"/>
  <c r="Z560" i="51" s="1"/>
  <c r="Z561" i="51" s="1"/>
  <c r="Z562" i="51" s="1"/>
  <c r="Z563" i="51" s="1"/>
  <c r="Z564" i="51" s="1"/>
  <c r="Z565" i="51" s="1"/>
  <c r="Z566" i="51" s="1"/>
  <c r="Z567" i="51" s="1"/>
  <c r="Z568" i="51" s="1"/>
  <c r="Z569" i="51" s="1"/>
  <c r="Z570" i="51" s="1"/>
  <c r="Z571" i="51" s="1"/>
  <c r="Z572" i="51" s="1"/>
  <c r="Z573" i="51" s="1"/>
  <c r="Z574" i="51" s="1"/>
  <c r="Z575" i="51" s="1"/>
  <c r="Z576" i="51" s="1"/>
  <c r="Z577" i="51" s="1"/>
  <c r="Z578" i="51" s="1"/>
  <c r="Z579" i="51" s="1"/>
  <c r="Z580" i="51" s="1"/>
  <c r="Z581" i="51" s="1"/>
  <c r="Z582" i="51" s="1"/>
  <c r="Z583" i="51" s="1"/>
  <c r="Z584" i="51" s="1"/>
  <c r="Z585" i="51" s="1"/>
  <c r="Z586" i="51" s="1"/>
  <c r="Z587" i="51" s="1"/>
  <c r="Z588" i="51" s="1"/>
  <c r="Z589" i="51" s="1"/>
  <c r="Z590" i="51" s="1"/>
  <c r="Z591" i="51" s="1"/>
  <c r="Z592" i="51" s="1"/>
  <c r="Z593" i="51" s="1"/>
  <c r="Z594" i="51" s="1"/>
  <c r="Z595" i="51" s="1"/>
  <c r="Z596" i="51" s="1"/>
  <c r="Z597" i="51" s="1"/>
  <c r="Z598" i="51" s="1"/>
  <c r="Z599" i="51" s="1"/>
  <c r="Z600" i="51" s="1"/>
  <c r="Z601" i="51" s="1"/>
  <c r="Z602" i="51" s="1"/>
  <c r="Z603" i="51" s="1"/>
  <c r="Z604" i="51" s="1"/>
  <c r="Z605" i="51" s="1"/>
  <c r="Z606" i="51" s="1"/>
  <c r="Z607" i="51" s="1"/>
  <c r="Z608" i="51" s="1"/>
  <c r="Z609" i="51" s="1"/>
  <c r="Z610" i="51" s="1"/>
  <c r="Z611" i="51" s="1"/>
  <c r="Z612" i="51" s="1"/>
  <c r="Z613" i="51" s="1"/>
  <c r="Z614" i="51" s="1"/>
  <c r="Z615" i="51" s="1"/>
  <c r="Z616" i="51" s="1"/>
  <c r="Z617" i="51" s="1"/>
  <c r="Z618" i="51" s="1"/>
  <c r="Z619" i="51" s="1"/>
  <c r="Z620" i="51" s="1"/>
  <c r="Z621" i="51" s="1"/>
  <c r="Z622" i="51" s="1"/>
  <c r="Z623" i="51" s="1"/>
  <c r="Z624" i="51" s="1"/>
  <c r="Z625" i="51" s="1"/>
  <c r="Z626" i="51" s="1"/>
  <c r="Z627" i="51" s="1"/>
  <c r="Z628" i="51" s="1"/>
  <c r="Z629" i="51" s="1"/>
  <c r="Z630" i="51" s="1"/>
  <c r="Z631" i="51" s="1"/>
  <c r="Z632" i="51" s="1"/>
  <c r="Z633" i="51" s="1"/>
  <c r="Z634" i="51" s="1"/>
  <c r="Z635" i="51" s="1"/>
  <c r="Z636" i="51" s="1"/>
  <c r="Z637" i="51" s="1"/>
  <c r="Z638" i="51" s="1"/>
  <c r="Z639" i="51" s="1"/>
  <c r="Z640" i="51" s="1"/>
  <c r="Z641" i="51" s="1"/>
  <c r="Z642" i="51" s="1"/>
  <c r="Z643" i="51" s="1"/>
  <c r="Z644" i="51" s="1"/>
  <c r="Z645" i="51" s="1"/>
  <c r="Z646" i="51" s="1"/>
  <c r="Z647" i="51" s="1"/>
  <c r="Z648" i="51" s="1"/>
  <c r="Z649" i="51" s="1"/>
  <c r="Z650" i="51" s="1"/>
  <c r="Z651" i="51" s="1"/>
  <c r="Z652" i="51" s="1"/>
  <c r="Z653" i="51" s="1"/>
  <c r="Z654" i="51" s="1"/>
  <c r="Z655" i="51" s="1"/>
  <c r="Z656" i="51" s="1"/>
  <c r="Z657" i="51" s="1"/>
  <c r="Z658" i="51" s="1"/>
  <c r="Z659" i="51" s="1"/>
  <c r="Z660" i="51" s="1"/>
  <c r="Z661" i="51" s="1"/>
  <c r="Z662" i="51" s="1"/>
  <c r="Z663" i="51" s="1"/>
  <c r="Z664" i="51" s="1"/>
  <c r="Z665" i="51" s="1"/>
  <c r="Z666" i="51" s="1"/>
  <c r="Z667" i="51" s="1"/>
  <c r="Z668" i="51" s="1"/>
  <c r="Z669" i="51" s="1"/>
  <c r="Z670" i="51" s="1"/>
  <c r="Z671" i="51" s="1"/>
  <c r="Z672" i="51" s="1"/>
  <c r="Z673" i="51" s="1"/>
  <c r="Z66" i="51"/>
  <c r="Z67" i="51" s="1"/>
  <c r="Z68" i="51" s="1"/>
  <c r="Z69" i="51" s="1"/>
  <c r="Z70" i="51" s="1"/>
  <c r="Z71" i="51" s="1"/>
  <c r="Z72" i="51" s="1"/>
  <c r="Z73" i="51" s="1"/>
  <c r="Z74" i="51" s="1"/>
  <c r="Z75" i="51" s="1"/>
  <c r="Z76" i="51" s="1"/>
  <c r="Z77" i="51" s="1"/>
  <c r="Z78" i="51" s="1"/>
  <c r="Z79" i="51" s="1"/>
  <c r="Z80" i="51" s="1"/>
  <c r="Z81" i="51" s="1"/>
  <c r="Z82" i="51" s="1"/>
  <c r="Z83" i="51" s="1"/>
  <c r="Z84" i="51" s="1"/>
  <c r="Z85" i="51" s="1"/>
  <c r="Z86" i="51" s="1"/>
  <c r="Z87" i="51" s="1"/>
  <c r="Z88" i="51" s="1"/>
  <c r="Z89" i="51" s="1"/>
  <c r="Z90" i="51" s="1"/>
  <c r="Z91" i="51" s="1"/>
  <c r="Z92" i="51" s="1"/>
  <c r="Z93" i="51" s="1"/>
  <c r="Z94" i="51" s="1"/>
  <c r="Z95" i="51" s="1"/>
  <c r="Z96" i="51" s="1"/>
  <c r="Z97" i="51" s="1"/>
  <c r="Z98" i="51" s="1"/>
  <c r="Z99" i="51" s="1"/>
  <c r="Z100" i="51" s="1"/>
  <c r="Z101" i="51" s="1"/>
  <c r="Z102" i="51" s="1"/>
  <c r="Z103" i="51" s="1"/>
  <c r="Z104" i="51" s="1"/>
  <c r="Z105" i="51" s="1"/>
  <c r="Z106" i="51" s="1"/>
  <c r="Z107" i="51" s="1"/>
  <c r="Z108" i="51" s="1"/>
  <c r="Z109" i="51" s="1"/>
  <c r="Z110" i="51" s="1"/>
  <c r="Z111" i="51" s="1"/>
  <c r="Z112" i="51" s="1"/>
  <c r="Z113" i="51" s="1"/>
  <c r="Z114" i="51" s="1"/>
  <c r="Z115" i="51" s="1"/>
  <c r="Z116" i="51" s="1"/>
  <c r="Z117" i="51" s="1"/>
  <c r="Z118" i="51" s="1"/>
  <c r="Z119" i="51" s="1"/>
  <c r="Z120" i="51" s="1"/>
  <c r="Z121" i="51" s="1"/>
  <c r="Z122" i="51" s="1"/>
  <c r="Z123" i="51" s="1"/>
  <c r="Z124" i="51" s="1"/>
  <c r="Z125" i="51" s="1"/>
  <c r="Z126" i="51" s="1"/>
  <c r="Z127" i="51" s="1"/>
  <c r="Z128" i="51" s="1"/>
  <c r="Z129" i="51" s="1"/>
  <c r="Z130" i="51" s="1"/>
  <c r="Z131" i="51" s="1"/>
  <c r="Z132" i="51" s="1"/>
  <c r="Z133" i="51" s="1"/>
  <c r="Z134" i="51" s="1"/>
  <c r="Z135" i="51" s="1"/>
  <c r="Z136" i="51" s="1"/>
  <c r="Z137" i="51" s="1"/>
  <c r="Z138" i="51" s="1"/>
  <c r="Z139" i="51" s="1"/>
  <c r="Z140" i="51" s="1"/>
  <c r="Z141" i="51" s="1"/>
  <c r="Z142" i="51" s="1"/>
  <c r="Z143" i="51" s="1"/>
  <c r="Z144" i="51" s="1"/>
  <c r="Z145" i="51" s="1"/>
  <c r="Z146" i="51" s="1"/>
  <c r="Z147" i="51" s="1"/>
  <c r="Z148" i="51" s="1"/>
  <c r="Z149" i="51" s="1"/>
  <c r="Z150" i="51" s="1"/>
  <c r="Z151" i="51" s="1"/>
  <c r="Z152" i="51" s="1"/>
  <c r="Z153" i="51" s="1"/>
  <c r="Z154" i="51" s="1"/>
  <c r="Z155" i="51" s="1"/>
  <c r="Z156" i="51" s="1"/>
  <c r="Z157" i="51" s="1"/>
  <c r="Z158" i="51" s="1"/>
  <c r="Z159" i="51" s="1"/>
  <c r="Z160" i="51" s="1"/>
  <c r="Z161" i="51" s="1"/>
  <c r="Z162" i="51" s="1"/>
  <c r="Z163" i="51" s="1"/>
  <c r="Z164" i="51" s="1"/>
  <c r="Z165" i="51" s="1"/>
  <c r="Z166" i="51" s="1"/>
  <c r="Z167" i="51" s="1"/>
  <c r="Z168" i="51" s="1"/>
  <c r="Z169" i="51" s="1"/>
  <c r="Z170" i="51" s="1"/>
  <c r="Z171" i="51" s="1"/>
  <c r="Z172" i="51" s="1"/>
  <c r="Z173" i="51" s="1"/>
  <c r="Z174" i="51" s="1"/>
  <c r="Z175" i="51" s="1"/>
  <c r="Z176" i="51" s="1"/>
  <c r="Z177" i="51" s="1"/>
  <c r="Z178" i="51" s="1"/>
  <c r="Z179" i="51" s="1"/>
  <c r="Z180" i="51" s="1"/>
  <c r="Z181" i="51" s="1"/>
  <c r="Z182" i="51" s="1"/>
  <c r="Z183" i="51" s="1"/>
  <c r="Z184" i="51" s="1"/>
  <c r="Z185" i="51" s="1"/>
  <c r="Z186" i="51" s="1"/>
  <c r="Z187" i="51" s="1"/>
  <c r="Z188" i="51" s="1"/>
  <c r="Z189" i="51" s="1"/>
  <c r="Z190" i="51" s="1"/>
  <c r="Z191" i="51" s="1"/>
  <c r="Z192" i="51" s="1"/>
  <c r="Z193" i="51" s="1"/>
  <c r="Z194" i="51" s="1"/>
  <c r="Z195" i="51" s="1"/>
  <c r="Z196" i="51" s="1"/>
  <c r="Z197" i="51" s="1"/>
  <c r="Z198" i="51" s="1"/>
  <c r="Z199" i="51" s="1"/>
  <c r="Z200" i="51" s="1"/>
  <c r="Z201" i="51" s="1"/>
  <c r="Z202" i="51" s="1"/>
  <c r="Z203" i="51" s="1"/>
  <c r="Z204" i="51" s="1"/>
  <c r="Z205" i="51" s="1"/>
  <c r="Z206" i="51" s="1"/>
  <c r="Z207" i="51" s="1"/>
  <c r="Z208" i="51" s="1"/>
  <c r="Z209" i="51" s="1"/>
  <c r="Z210" i="51" s="1"/>
  <c r="Z211" i="51" s="1"/>
  <c r="Z212" i="51" s="1"/>
  <c r="Z213" i="51" s="1"/>
  <c r="Z214" i="51" s="1"/>
  <c r="N8" i="51"/>
  <c r="M8" i="51" s="1"/>
  <c r="K5" i="51" s="1"/>
  <c r="N9" i="51"/>
  <c r="M9" i="51" s="1"/>
  <c r="AW7" i="51"/>
  <c r="E4" i="58"/>
  <c r="E15" i="20"/>
  <c r="G274" i="16"/>
  <c r="G301" i="16"/>
  <c r="G219" i="16"/>
  <c r="G43" i="16" s="1"/>
  <c r="J247" i="16"/>
  <c r="M9" i="26"/>
  <c r="N83" i="19" s="1"/>
  <c r="G264" i="16"/>
  <c r="G291" i="16"/>
  <c r="G209" i="16"/>
  <c r="G13" i="16" s="1"/>
  <c r="L13" i="16" s="1"/>
  <c r="J237" i="16"/>
  <c r="G297" i="16"/>
  <c r="G215" i="16"/>
  <c r="G346" i="16" s="1"/>
  <c r="E13" i="25"/>
  <c r="B22" i="25" s="1"/>
  <c r="E14" i="25"/>
  <c r="E12" i="25"/>
  <c r="J246" i="16"/>
  <c r="G300" i="16"/>
  <c r="Q97" i="19"/>
  <c r="Q98" i="19" s="1"/>
  <c r="AC19" i="51"/>
  <c r="AC9" i="51"/>
  <c r="AC12" i="51"/>
  <c r="AC4" i="51"/>
  <c r="D7" i="27" s="1"/>
  <c r="AC27" i="51"/>
  <c r="AC5" i="51"/>
  <c r="AC29" i="51"/>
  <c r="AC14" i="51"/>
  <c r="AC24" i="51"/>
  <c r="AC22" i="51"/>
  <c r="AD5" i="51"/>
  <c r="AC28" i="51"/>
  <c r="AC26" i="51"/>
  <c r="AC16" i="51"/>
  <c r="AC6" i="51"/>
  <c r="AC10" i="51"/>
  <c r="AC20" i="51"/>
  <c r="AC18" i="51"/>
  <c r="D9" i="27" s="1"/>
  <c r="BL5" i="51" s="1"/>
  <c r="AC7" i="51"/>
  <c r="D10" i="27" s="1"/>
  <c r="E2" i="1" s="1"/>
  <c r="AC21" i="51"/>
  <c r="AC11" i="51"/>
  <c r="AC8" i="51"/>
  <c r="AD2010" i="51"/>
  <c r="AC15" i="51"/>
  <c r="AC17" i="51"/>
  <c r="D8" i="27" s="1"/>
  <c r="G24" i="26" s="1"/>
  <c r="AC30" i="51"/>
  <c r="AC25" i="51"/>
  <c r="E5" i="25"/>
  <c r="A5" i="25"/>
  <c r="B2" i="2"/>
  <c r="D385" i="51"/>
  <c r="A381" i="51"/>
  <c r="N8" i="26"/>
  <c r="O82" i="19" s="1"/>
  <c r="D382" i="51"/>
  <c r="D390" i="51"/>
  <c r="AV8" i="51"/>
  <c r="BI5" i="51"/>
  <c r="E8" i="25"/>
  <c r="A384" i="51"/>
  <c r="D384" i="51" s="1"/>
  <c r="D381" i="51"/>
  <c r="N15" i="26"/>
  <c r="O89" i="19" s="1"/>
  <c r="C388" i="51"/>
  <c r="D388" i="51" s="1"/>
  <c r="M10" i="26"/>
  <c r="N84" i="19" s="1"/>
  <c r="A383" i="51"/>
  <c r="D383" i="51" s="1"/>
  <c r="E11" i="25"/>
  <c r="A387" i="51"/>
  <c r="D387" i="51" s="1"/>
  <c r="D386" i="51"/>
  <c r="D389" i="51"/>
  <c r="A7" i="25"/>
  <c r="A8" i="25" s="1"/>
  <c r="E7" i="25"/>
  <c r="D2" i="2"/>
  <c r="C2" i="2"/>
  <c r="E2" i="2"/>
  <c r="A2" i="2"/>
  <c r="B2" i="1"/>
  <c r="B2" i="53"/>
  <c r="AN728" i="20"/>
  <c r="S2" i="1"/>
  <c r="N9" i="26"/>
  <c r="O83" i="19" s="1"/>
  <c r="N11" i="26"/>
  <c r="O85" i="19" s="1"/>
  <c r="B8" i="2"/>
  <c r="B5" i="2"/>
  <c r="M16" i="26"/>
  <c r="N90" i="19" s="1"/>
  <c r="N13" i="26"/>
  <c r="O87" i="19" s="1"/>
  <c r="B9" i="2"/>
  <c r="N17" i="26"/>
  <c r="N10" i="26"/>
  <c r="O84" i="19" s="1"/>
  <c r="B6" i="2"/>
  <c r="B4" i="2"/>
  <c r="B3" i="2"/>
  <c r="B7" i="2"/>
  <c r="A9" i="25"/>
  <c r="A10" i="25" s="1"/>
  <c r="A11" i="25" s="1"/>
  <c r="A12" i="25" s="1"/>
  <c r="A13" i="25" s="1"/>
  <c r="M12" i="26"/>
  <c r="N86" i="19" s="1"/>
  <c r="N12" i="26"/>
  <c r="O86" i="19" s="1"/>
  <c r="D2" i="23"/>
  <c r="D2" i="58" s="1"/>
  <c r="A5" i="26"/>
  <c r="C1" i="15"/>
  <c r="B6" i="19"/>
  <c r="K38" i="16"/>
  <c r="K29" i="16"/>
  <c r="K16" i="16"/>
  <c r="K37" i="16"/>
  <c r="K27" i="16"/>
  <c r="K14" i="16"/>
  <c r="R97" i="19"/>
  <c r="R98" i="19" s="1"/>
  <c r="K46" i="16"/>
  <c r="K36" i="16"/>
  <c r="K25" i="16"/>
  <c r="K13" i="16"/>
  <c r="K44" i="16"/>
  <c r="K24" i="16"/>
  <c r="K12" i="16"/>
  <c r="K35" i="16"/>
  <c r="K23" i="16"/>
  <c r="K43" i="16"/>
  <c r="K33" i="16"/>
  <c r="K21" i="16"/>
  <c r="J57" i="16"/>
  <c r="J54" i="16"/>
  <c r="K41" i="16"/>
  <c r="K31" i="16"/>
  <c r="K19" i="16"/>
  <c r="K40" i="16"/>
  <c r="K30" i="16"/>
  <c r="K18" i="16"/>
  <c r="O12" i="16"/>
  <c r="B156" i="16"/>
  <c r="B158" i="16"/>
  <c r="F43" i="16"/>
  <c r="O113" i="19"/>
  <c r="C378" i="16"/>
  <c r="G299" i="16"/>
  <c r="J245" i="16"/>
  <c r="G272" i="16"/>
  <c r="G217" i="16"/>
  <c r="G24" i="16" s="1"/>
  <c r="I13" i="16"/>
  <c r="D14" i="16"/>
  <c r="F16" i="16"/>
  <c r="B21" i="16"/>
  <c r="O99" i="19"/>
  <c r="D378" i="16"/>
  <c r="E378" i="16"/>
  <c r="J273" i="16"/>
  <c r="J218" i="16"/>
  <c r="J25" i="16" s="1"/>
  <c r="M246" i="16"/>
  <c r="J300" i="16"/>
  <c r="G267" i="16"/>
  <c r="G212" i="16"/>
  <c r="G19" i="16" s="1"/>
  <c r="J240" i="16"/>
  <c r="G294" i="16"/>
  <c r="G266" i="16"/>
  <c r="G211" i="16"/>
  <c r="G18" i="16" s="1"/>
  <c r="G293" i="16"/>
  <c r="J239" i="16"/>
  <c r="Q113" i="19"/>
  <c r="L43" i="16"/>
  <c r="B197" i="16"/>
  <c r="B195" i="16"/>
  <c r="I24" i="16"/>
  <c r="P106" i="19"/>
  <c r="B84" i="16"/>
  <c r="B86" i="16"/>
  <c r="F30" i="16"/>
  <c r="O111" i="19"/>
  <c r="I51" i="16"/>
  <c r="G51" i="16"/>
  <c r="J297" i="16"/>
  <c r="J270" i="16"/>
  <c r="M243" i="16"/>
  <c r="J215" i="16"/>
  <c r="J346" i="16" s="1"/>
  <c r="B110" i="16"/>
  <c r="B112" i="16"/>
  <c r="P101" i="19"/>
  <c r="I18" i="16"/>
  <c r="B99" i="16"/>
  <c r="B97" i="16"/>
  <c r="V310" i="16"/>
  <c r="V283" i="16"/>
  <c r="Y256" i="16"/>
  <c r="V228" i="16"/>
  <c r="G298" i="16"/>
  <c r="J244" i="16"/>
  <c r="G271" i="16"/>
  <c r="G216" i="16"/>
  <c r="G23" i="16" s="1"/>
  <c r="M285" i="16"/>
  <c r="M230" i="16"/>
  <c r="P258" i="16"/>
  <c r="M312" i="16"/>
  <c r="B184" i="16"/>
  <c r="B182" i="16"/>
  <c r="G265" i="16"/>
  <c r="J238" i="16"/>
  <c r="G210" i="16"/>
  <c r="G14" i="16" s="1"/>
  <c r="G292" i="16"/>
  <c r="M263" i="16"/>
  <c r="M208" i="16"/>
  <c r="M12" i="16" s="1"/>
  <c r="P236" i="16"/>
  <c r="M290" i="16"/>
  <c r="B138" i="16"/>
  <c r="B136" i="16"/>
  <c r="O106" i="19"/>
  <c r="F24" i="16"/>
  <c r="B171" i="16"/>
  <c r="B169" i="16"/>
  <c r="J250" i="16"/>
  <c r="G277" i="16"/>
  <c r="G222" i="16"/>
  <c r="G304" i="16"/>
  <c r="B123" i="16"/>
  <c r="B125" i="16"/>
  <c r="F19" i="16"/>
  <c r="O102" i="19"/>
  <c r="O101" i="19"/>
  <c r="F18" i="16"/>
  <c r="F37" i="16"/>
  <c r="O109" i="19"/>
  <c r="B257" i="16"/>
  <c r="B255" i="16"/>
  <c r="B254" i="16"/>
  <c r="D423" i="16"/>
  <c r="D426" i="16" s="1"/>
  <c r="D289" i="16"/>
  <c r="D235" i="16"/>
  <c r="D153" i="16"/>
  <c r="D262" i="16"/>
  <c r="D192" i="16"/>
  <c r="D207" i="16"/>
  <c r="D179" i="16"/>
  <c r="D133" i="16"/>
  <c r="D166" i="16"/>
  <c r="D120" i="16"/>
  <c r="J358" i="16"/>
  <c r="D30" i="16"/>
  <c r="D107" i="16"/>
  <c r="D94" i="16"/>
  <c r="D61" i="16"/>
  <c r="D53" i="16"/>
  <c r="D392" i="16" s="1"/>
  <c r="G11" i="16"/>
  <c r="D81" i="16"/>
  <c r="D31" i="16"/>
  <c r="I31" i="16" s="1"/>
  <c r="I43" i="16"/>
  <c r="P113" i="19"/>
  <c r="O325" i="16"/>
  <c r="C443" i="20"/>
  <c r="C253" i="20"/>
  <c r="C265" i="20"/>
  <c r="C264" i="20" s="1"/>
  <c r="V566" i="20"/>
  <c r="V519" i="20"/>
  <c r="V419" i="20"/>
  <c r="W472" i="20"/>
  <c r="U124" i="20"/>
  <c r="V123" i="20"/>
  <c r="BH666" i="20"/>
  <c r="W208" i="20"/>
  <c r="X77" i="20"/>
  <c r="AL729" i="20"/>
  <c r="AL726" i="20"/>
  <c r="AN701" i="20"/>
  <c r="AB431" i="20"/>
  <c r="AC478" i="20"/>
  <c r="C89" i="20"/>
  <c r="D87" i="20"/>
  <c r="AO676" i="20"/>
  <c r="AN735" i="20"/>
  <c r="AN705" i="20"/>
  <c r="AN736" i="20"/>
  <c r="AN683" i="20"/>
  <c r="D93" i="20"/>
  <c r="AN706" i="20"/>
  <c r="AN646" i="20"/>
  <c r="AO645" i="20" s="1"/>
  <c r="AN699" i="20"/>
  <c r="AO662" i="20"/>
  <c r="AN664" i="20"/>
  <c r="BF837" i="20"/>
  <c r="BF895" i="20" s="1"/>
  <c r="BF757" i="20"/>
  <c r="AP714" i="20"/>
  <c r="AN734" i="20"/>
  <c r="AN698" i="20"/>
  <c r="AN598" i="20"/>
  <c r="BG837" i="20"/>
  <c r="BG895" i="20" s="1"/>
  <c r="BG757" i="20"/>
  <c r="H123" i="21"/>
  <c r="G124" i="21"/>
  <c r="B73" i="22"/>
  <c r="G73" i="22"/>
  <c r="B74" i="22"/>
  <c r="G74" i="22"/>
  <c r="D15" i="25"/>
  <c r="C391" i="51" s="1"/>
  <c r="D391" i="51" s="1"/>
  <c r="C20" i="27"/>
  <c r="B20" i="27" s="1"/>
  <c r="J274" i="16" l="1"/>
  <c r="J219" i="16"/>
  <c r="J43" i="16" s="1"/>
  <c r="J301" i="16"/>
  <c r="M247" i="16"/>
  <c r="AC58" i="51"/>
  <c r="AB58" i="51"/>
  <c r="AC61" i="51"/>
  <c r="AB60" i="51"/>
  <c r="AB59" i="51"/>
  <c r="AC59" i="51"/>
  <c r="AC60" i="51"/>
  <c r="AB61" i="51"/>
  <c r="AB44" i="51"/>
  <c r="AB43" i="51"/>
  <c r="AC43" i="51"/>
  <c r="AB46" i="51"/>
  <c r="AB45" i="51"/>
  <c r="AC46" i="51"/>
  <c r="AC45" i="51"/>
  <c r="AC44" i="51"/>
  <c r="G2" i="51"/>
  <c r="K6" i="51"/>
  <c r="K7" i="51"/>
  <c r="F2" i="51"/>
  <c r="F3" i="51" s="1"/>
  <c r="G8" i="23" s="1"/>
  <c r="H2" i="51"/>
  <c r="H3" i="51" s="1"/>
  <c r="K4" i="51"/>
  <c r="P2" i="1"/>
  <c r="AU8" i="51"/>
  <c r="C12" i="27"/>
  <c r="B12" i="27" s="1"/>
  <c r="Z219" i="51"/>
  <c r="Z220" i="51" s="1"/>
  <c r="Z221" i="51" s="1"/>
  <c r="Z222" i="51" s="1"/>
  <c r="Z223" i="51" s="1"/>
  <c r="Z224" i="51" s="1"/>
  <c r="Z225" i="51" s="1"/>
  <c r="Z226" i="51" s="1"/>
  <c r="Z227" i="51" s="1"/>
  <c r="Z228" i="51" s="1"/>
  <c r="Z229" i="51" s="1"/>
  <c r="Z230" i="51" s="1"/>
  <c r="Z231" i="51" s="1"/>
  <c r="Z232" i="51" s="1"/>
  <c r="Z233" i="51" s="1"/>
  <c r="Z234" i="51" s="1"/>
  <c r="Z235" i="51" s="1"/>
  <c r="Z236" i="51" s="1"/>
  <c r="Z237" i="51" s="1"/>
  <c r="Z238" i="51" s="1"/>
  <c r="Z239" i="51" s="1"/>
  <c r="Z240" i="51" s="1"/>
  <c r="Z241" i="51" s="1"/>
  <c r="Z242" i="51" s="1"/>
  <c r="Z243" i="51" s="1"/>
  <c r="Z244" i="51" s="1"/>
  <c r="Z245" i="51" s="1"/>
  <c r="Z246" i="51" s="1"/>
  <c r="Z247" i="51" s="1"/>
  <c r="Z248" i="51" s="1"/>
  <c r="Z249" i="51" s="1"/>
  <c r="Z250" i="51" s="1"/>
  <c r="Z251" i="51" s="1"/>
  <c r="Z252" i="51" s="1"/>
  <c r="Z253" i="51" s="1"/>
  <c r="Z254" i="51" s="1"/>
  <c r="Z255" i="51" s="1"/>
  <c r="Z256" i="51" s="1"/>
  <c r="Z257" i="51" s="1"/>
  <c r="Z258" i="51" s="1"/>
  <c r="Z259" i="51" s="1"/>
  <c r="Z260" i="51" s="1"/>
  <c r="Z261" i="51" s="1"/>
  <c r="Z262" i="51" s="1"/>
  <c r="Z263" i="51" s="1"/>
  <c r="Z264" i="51" s="1"/>
  <c r="Z265" i="51" s="1"/>
  <c r="Z266" i="51" s="1"/>
  <c r="Z267" i="51" s="1"/>
  <c r="Z268" i="51" s="1"/>
  <c r="Z269" i="51" s="1"/>
  <c r="Z270" i="51" s="1"/>
  <c r="Z271" i="51" s="1"/>
  <c r="Z272" i="51" s="1"/>
  <c r="Z273" i="51" s="1"/>
  <c r="Z274" i="51" s="1"/>
  <c r="Z275" i="51" s="1"/>
  <c r="Z276" i="51" s="1"/>
  <c r="Z277" i="51" s="1"/>
  <c r="Z278" i="51" s="1"/>
  <c r="Z279" i="51" s="1"/>
  <c r="Z280" i="51" s="1"/>
  <c r="Z281" i="51" s="1"/>
  <c r="Z282" i="51" s="1"/>
  <c r="Z283" i="51" s="1"/>
  <c r="Z284" i="51" s="1"/>
  <c r="Z285" i="51" s="1"/>
  <c r="Z286" i="51" s="1"/>
  <c r="Z287" i="51" s="1"/>
  <c r="Z288" i="51" s="1"/>
  <c r="Z289" i="51" s="1"/>
  <c r="Z290" i="51" s="1"/>
  <c r="Z291" i="51" s="1"/>
  <c r="Z292" i="51" s="1"/>
  <c r="Z293" i="51" s="1"/>
  <c r="Z294" i="51" s="1"/>
  <c r="Z295" i="51" s="1"/>
  <c r="Z296" i="51" s="1"/>
  <c r="Z297" i="51" s="1"/>
  <c r="Z298" i="51" s="1"/>
  <c r="Z299" i="51" s="1"/>
  <c r="Z300" i="51" s="1"/>
  <c r="Z301" i="51" s="1"/>
  <c r="Z302" i="51" s="1"/>
  <c r="Z303" i="51" s="1"/>
  <c r="Z304" i="51" s="1"/>
  <c r="Z305" i="51" s="1"/>
  <c r="Z306" i="51" s="1"/>
  <c r="Z307" i="51" s="1"/>
  <c r="Z308" i="51" s="1"/>
  <c r="Z309" i="51" s="1"/>
  <c r="Z310" i="51" s="1"/>
  <c r="Z311" i="51" s="1"/>
  <c r="Z312" i="51" s="1"/>
  <c r="Z313" i="51" s="1"/>
  <c r="Z314" i="51" s="1"/>
  <c r="Z315" i="51" s="1"/>
  <c r="Z316" i="51" s="1"/>
  <c r="Z317" i="51" s="1"/>
  <c r="Z318" i="51" s="1"/>
  <c r="Z319" i="51" s="1"/>
  <c r="Z320" i="51" s="1"/>
  <c r="Z321" i="51" s="1"/>
  <c r="Z322" i="51" s="1"/>
  <c r="Z323" i="51" s="1"/>
  <c r="Z324" i="51" s="1"/>
  <c r="Z325" i="51" s="1"/>
  <c r="Z326" i="51" s="1"/>
  <c r="Z327" i="51" s="1"/>
  <c r="Z328" i="51" s="1"/>
  <c r="Z329" i="51" s="1"/>
  <c r="Z330" i="51" s="1"/>
  <c r="Z331" i="51" s="1"/>
  <c r="Z332" i="51" s="1"/>
  <c r="Z333" i="51" s="1"/>
  <c r="Z334" i="51" s="1"/>
  <c r="Z335" i="51" s="1"/>
  <c r="Z336" i="51" s="1"/>
  <c r="Z337" i="51" s="1"/>
  <c r="Z338" i="51" s="1"/>
  <c r="Z339" i="51" s="1"/>
  <c r="Z340" i="51" s="1"/>
  <c r="Z341" i="51" s="1"/>
  <c r="Z342" i="51" s="1"/>
  <c r="Z343" i="51" s="1"/>
  <c r="Z344" i="51" s="1"/>
  <c r="Z345" i="51" s="1"/>
  <c r="Z346" i="51" s="1"/>
  <c r="Z347" i="51" s="1"/>
  <c r="Z348" i="51" s="1"/>
  <c r="Z349" i="51" s="1"/>
  <c r="Z350" i="51" s="1"/>
  <c r="Z351" i="51" s="1"/>
  <c r="Z352" i="51" s="1"/>
  <c r="Z353" i="51" s="1"/>
  <c r="Z354" i="51" s="1"/>
  <c r="Z355" i="51" s="1"/>
  <c r="Z356" i="51" s="1"/>
  <c r="Z357" i="51" s="1"/>
  <c r="Z358" i="51" s="1"/>
  <c r="Z359" i="51" s="1"/>
  <c r="Z360" i="51" s="1"/>
  <c r="Z361" i="51" s="1"/>
  <c r="Z362" i="51" s="1"/>
  <c r="Z363" i="51" s="1"/>
  <c r="Z364" i="51" s="1"/>
  <c r="Z365" i="51" s="1"/>
  <c r="Z366" i="51" s="1"/>
  <c r="Z367" i="51" s="1"/>
  <c r="AC50" i="51"/>
  <c r="AC49" i="51"/>
  <c r="AV5" i="51"/>
  <c r="BK5" i="51"/>
  <c r="BE5" i="51"/>
  <c r="AY5" i="51"/>
  <c r="BQ5" i="51"/>
  <c r="AX5" i="51"/>
  <c r="BC5" i="51"/>
  <c r="AW5" i="51"/>
  <c r="BP5" i="51"/>
  <c r="BA5" i="51"/>
  <c r="BJ5" i="51"/>
  <c r="BD5" i="51"/>
  <c r="BB5" i="51"/>
  <c r="AU5" i="51"/>
  <c r="BO5" i="51"/>
  <c r="BH5" i="51"/>
  <c r="BN5" i="51"/>
  <c r="BF5" i="51"/>
  <c r="BM5" i="51"/>
  <c r="BG5" i="51"/>
  <c r="AZ5" i="51"/>
  <c r="E112" i="20"/>
  <c r="B76" i="22"/>
  <c r="A86" i="22"/>
  <c r="E428" i="20"/>
  <c r="E485" i="20"/>
  <c r="E247" i="20"/>
  <c r="Q945" i="20"/>
  <c r="E438" i="20"/>
  <c r="E238" i="20"/>
  <c r="E532" i="20"/>
  <c r="E270" i="20"/>
  <c r="C15" i="20"/>
  <c r="K76" i="22"/>
  <c r="Q938" i="20"/>
  <c r="E422" i="20"/>
  <c r="E345" i="20"/>
  <c r="E259" i="20"/>
  <c r="E134" i="20"/>
  <c r="E218" i="20"/>
  <c r="H15" i="20"/>
  <c r="AP583" i="20"/>
  <c r="Z372" i="51"/>
  <c r="Z373" i="51" s="1"/>
  <c r="Z374" i="51" s="1"/>
  <c r="Z375" i="51" s="1"/>
  <c r="Z376" i="51" s="1"/>
  <c r="Z377" i="51" s="1"/>
  <c r="Z378" i="51" s="1"/>
  <c r="Z379" i="51" s="1"/>
  <c r="Z380" i="51" s="1"/>
  <c r="Z381" i="51" s="1"/>
  <c r="Z382" i="51" s="1"/>
  <c r="Z383" i="51" s="1"/>
  <c r="Z384" i="51" s="1"/>
  <c r="Z385" i="51" s="1"/>
  <c r="Z386" i="51" s="1"/>
  <c r="Z387" i="51" s="1"/>
  <c r="Z388" i="51" s="1"/>
  <c r="Z389" i="51" s="1"/>
  <c r="Z390" i="51" s="1"/>
  <c r="Z391" i="51" s="1"/>
  <c r="Z392" i="51" s="1"/>
  <c r="Z393" i="51" s="1"/>
  <c r="Z394" i="51" s="1"/>
  <c r="Z395" i="51" s="1"/>
  <c r="Z396" i="51" s="1"/>
  <c r="Z397" i="51" s="1"/>
  <c r="Z398" i="51" s="1"/>
  <c r="Z399" i="51" s="1"/>
  <c r="Z400" i="51" s="1"/>
  <c r="Z401" i="51" s="1"/>
  <c r="Z402" i="51" s="1"/>
  <c r="Z403" i="51" s="1"/>
  <c r="Z404" i="51" s="1"/>
  <c r="Z405" i="51" s="1"/>
  <c r="Z406" i="51" s="1"/>
  <c r="Z407" i="51" s="1"/>
  <c r="Z408" i="51" s="1"/>
  <c r="Z409" i="51" s="1"/>
  <c r="Z410" i="51" s="1"/>
  <c r="Z411" i="51" s="1"/>
  <c r="Z412" i="51" s="1"/>
  <c r="Z413" i="51" s="1"/>
  <c r="Z414" i="51" s="1"/>
  <c r="Z415" i="51" s="1"/>
  <c r="Z416" i="51" s="1"/>
  <c r="Z417" i="51" s="1"/>
  <c r="Z418" i="51" s="1"/>
  <c r="Z419" i="51" s="1"/>
  <c r="Z420" i="51" s="1"/>
  <c r="Z421" i="51" s="1"/>
  <c r="Z422" i="51" s="1"/>
  <c r="Z423" i="51" s="1"/>
  <c r="Z424" i="51" s="1"/>
  <c r="Z425" i="51" s="1"/>
  <c r="Z426" i="51" s="1"/>
  <c r="Z427" i="51" s="1"/>
  <c r="Z428" i="51" s="1"/>
  <c r="Z429" i="51" s="1"/>
  <c r="Z430" i="51" s="1"/>
  <c r="Z431" i="51" s="1"/>
  <c r="Z432" i="51" s="1"/>
  <c r="Z433" i="51" s="1"/>
  <c r="Z434" i="51" s="1"/>
  <c r="Z435" i="51" s="1"/>
  <c r="Z436" i="51" s="1"/>
  <c r="Z437" i="51" s="1"/>
  <c r="Z438" i="51" s="1"/>
  <c r="Z439" i="51" s="1"/>
  <c r="Z440" i="51" s="1"/>
  <c r="Z441" i="51" s="1"/>
  <c r="Z442" i="51" s="1"/>
  <c r="Z443" i="51" s="1"/>
  <c r="Z444" i="51" s="1"/>
  <c r="Z445" i="51" s="1"/>
  <c r="Z446" i="51" s="1"/>
  <c r="Z447" i="51" s="1"/>
  <c r="Z448" i="51" s="1"/>
  <c r="Z449" i="51" s="1"/>
  <c r="Z450" i="51" s="1"/>
  <c r="Z451" i="51" s="1"/>
  <c r="Z452" i="51" s="1"/>
  <c r="Z453" i="51" s="1"/>
  <c r="Z454" i="51" s="1"/>
  <c r="Z455" i="51" s="1"/>
  <c r="Z456" i="51" s="1"/>
  <c r="Z457" i="51" s="1"/>
  <c r="Z458" i="51" s="1"/>
  <c r="Z459" i="51" s="1"/>
  <c r="Z460" i="51" s="1"/>
  <c r="Z461" i="51" s="1"/>
  <c r="Z462" i="51" s="1"/>
  <c r="Z463" i="51" s="1"/>
  <c r="Z464" i="51" s="1"/>
  <c r="Z465" i="51" s="1"/>
  <c r="Z466" i="51" s="1"/>
  <c r="Z467" i="51" s="1"/>
  <c r="Z468" i="51" s="1"/>
  <c r="Z469" i="51" s="1"/>
  <c r="Z470" i="51" s="1"/>
  <c r="Z471" i="51" s="1"/>
  <c r="Z472" i="51" s="1"/>
  <c r="Z473" i="51" s="1"/>
  <c r="Z474" i="51" s="1"/>
  <c r="Z475" i="51" s="1"/>
  <c r="Z476" i="51" s="1"/>
  <c r="Z477" i="51" s="1"/>
  <c r="Z478" i="51" s="1"/>
  <c r="Z479" i="51" s="1"/>
  <c r="Z480" i="51" s="1"/>
  <c r="Z481" i="51" s="1"/>
  <c r="Z482" i="51" s="1"/>
  <c r="Z483" i="51" s="1"/>
  <c r="Z484" i="51" s="1"/>
  <c r="Z485" i="51" s="1"/>
  <c r="Z486" i="51" s="1"/>
  <c r="Z487" i="51" s="1"/>
  <c r="Z488" i="51" s="1"/>
  <c r="Z489" i="51" s="1"/>
  <c r="Z490" i="51" s="1"/>
  <c r="Z491" i="51" s="1"/>
  <c r="Z492" i="51" s="1"/>
  <c r="Z493" i="51" s="1"/>
  <c r="Z494" i="51" s="1"/>
  <c r="Z495" i="51" s="1"/>
  <c r="Z496" i="51" s="1"/>
  <c r="Z497" i="51" s="1"/>
  <c r="Z498" i="51" s="1"/>
  <c r="Z499" i="51" s="1"/>
  <c r="Z500" i="51" s="1"/>
  <c r="Z501" i="51" s="1"/>
  <c r="Z502" i="51" s="1"/>
  <c r="Z503" i="51" s="1"/>
  <c r="Z504" i="51" s="1"/>
  <c r="Z505" i="51" s="1"/>
  <c r="Z506" i="51" s="1"/>
  <c r="Z507" i="51" s="1"/>
  <c r="Z508" i="51" s="1"/>
  <c r="Z509" i="51" s="1"/>
  <c r="Z510" i="51" s="1"/>
  <c r="Z511" i="51" s="1"/>
  <c r="Z512" i="51" s="1"/>
  <c r="Z513" i="51" s="1"/>
  <c r="Z514" i="51" s="1"/>
  <c r="Z515" i="51" s="1"/>
  <c r="Z516" i="51" s="1"/>
  <c r="Z517" i="51" s="1"/>
  <c r="Z518" i="51" s="1"/>
  <c r="Z519" i="51" s="1"/>
  <c r="Z520" i="51" s="1"/>
  <c r="AC53" i="51"/>
  <c r="AB53" i="51"/>
  <c r="AB54" i="51"/>
  <c r="AC55" i="51"/>
  <c r="C19" i="27"/>
  <c r="B19" i="27" s="1"/>
  <c r="C2" i="53"/>
  <c r="AD2011" i="51"/>
  <c r="AD2012" i="51" s="1"/>
  <c r="AD2013" i="51" s="1"/>
  <c r="AD2014" i="51" s="1"/>
  <c r="AD2015" i="51" s="1"/>
  <c r="AD2016" i="51" s="1"/>
  <c r="AD2017" i="51" s="1"/>
  <c r="AD2018" i="51" s="1"/>
  <c r="AD2019" i="51" s="1"/>
  <c r="AD2020" i="51" s="1"/>
  <c r="AD2021" i="51" s="1"/>
  <c r="AD2022" i="51" s="1"/>
  <c r="AD2023" i="51" s="1"/>
  <c r="AD2024" i="51" s="1"/>
  <c r="AD2025" i="51" s="1"/>
  <c r="AD2026" i="51" s="1"/>
  <c r="AD2027" i="51" s="1"/>
  <c r="AD2028" i="51" s="1"/>
  <c r="AN34" i="51"/>
  <c r="AP28" i="51"/>
  <c r="AN33" i="51"/>
  <c r="AP27" i="51"/>
  <c r="AL23" i="51"/>
  <c r="AL37" i="51"/>
  <c r="AN31" i="51"/>
  <c r="AP25" i="51"/>
  <c r="AL21" i="51"/>
  <c r="AL35" i="51"/>
  <c r="AN29" i="51"/>
  <c r="AP23" i="51"/>
  <c r="AL19" i="51"/>
  <c r="AM35" i="51"/>
  <c r="AO29" i="51"/>
  <c r="AK25" i="51"/>
  <c r="AM19" i="51"/>
  <c r="G6" i="25" s="1"/>
  <c r="AN35" i="51"/>
  <c r="AP29" i="51"/>
  <c r="AL25" i="51"/>
  <c r="AN19" i="51"/>
  <c r="AO31" i="51"/>
  <c r="AM31" i="51"/>
  <c r="AK19" i="51"/>
  <c r="AN26" i="51"/>
  <c r="AN30" i="51"/>
  <c r="AN32" i="51"/>
  <c r="AN24" i="51"/>
  <c r="AO25" i="51"/>
  <c r="AK29" i="51"/>
  <c r="AM33" i="51"/>
  <c r="AM32" i="51"/>
  <c r="AK22" i="51"/>
  <c r="AM30" i="51"/>
  <c r="AK20" i="51"/>
  <c r="AM28" i="51"/>
  <c r="AK18" i="51"/>
  <c r="AN28" i="51"/>
  <c r="AL18" i="51"/>
  <c r="AO28" i="51"/>
  <c r="AM18" i="51"/>
  <c r="G5" i="25" s="1"/>
  <c r="AL20" i="51"/>
  <c r="AO23" i="51"/>
  <c r="AM25" i="51"/>
  <c r="G12" i="25" s="1"/>
  <c r="AM21" i="51"/>
  <c r="G8" i="25" s="1"/>
  <c r="AP36" i="51"/>
  <c r="AP35" i="51"/>
  <c r="AN25" i="51"/>
  <c r="AP33" i="51"/>
  <c r="AN23" i="51"/>
  <c r="AP31" i="51"/>
  <c r="AN21" i="51"/>
  <c r="AK33" i="51"/>
  <c r="AO35" i="51"/>
  <c r="AK31" i="51"/>
  <c r="AO34" i="51"/>
  <c r="AK30" i="51"/>
  <c r="AM24" i="51"/>
  <c r="G11" i="25" s="1"/>
  <c r="AO18" i="51"/>
  <c r="AO32" i="51"/>
  <c r="AK28" i="51"/>
  <c r="AM22" i="51"/>
  <c r="G9" i="25" s="1"/>
  <c r="AM36" i="51"/>
  <c r="AO30" i="51"/>
  <c r="AK26" i="51"/>
  <c r="AM20" i="51"/>
  <c r="G7" i="25" s="1"/>
  <c r="AN36" i="51"/>
  <c r="AP30" i="51"/>
  <c r="AL26" i="51"/>
  <c r="AN20" i="51"/>
  <c r="AO36" i="51"/>
  <c r="AK32" i="51"/>
  <c r="AM26" i="51"/>
  <c r="G13" i="25" s="1"/>
  <c r="AO20" i="51"/>
  <c r="AO33" i="51"/>
  <c r="AP20" i="51"/>
  <c r="AM23" i="51"/>
  <c r="G10" i="25" s="1"/>
  <c r="AL30" i="51"/>
  <c r="AO19" i="51"/>
  <c r="AN22" i="51"/>
  <c r="AN18" i="51"/>
  <c r="AP32" i="51"/>
  <c r="AK27" i="51"/>
  <c r="AO27" i="51"/>
  <c r="AO26" i="51"/>
  <c r="AK36" i="51"/>
  <c r="AO24" i="51"/>
  <c r="AK34" i="51"/>
  <c r="AO22" i="51"/>
  <c r="AL34" i="51"/>
  <c r="AP22" i="51"/>
  <c r="AM34" i="51"/>
  <c r="AK24" i="51"/>
  <c r="AP24" i="51"/>
  <c r="AM29" i="51"/>
  <c r="AL28" i="51"/>
  <c r="AL36" i="51"/>
  <c r="AL24" i="51"/>
  <c r="AL32" i="51"/>
  <c r="AL31" i="51"/>
  <c r="AP19" i="51"/>
  <c r="AL29" i="51"/>
  <c r="AN37" i="51"/>
  <c r="AL27" i="51"/>
  <c r="AO37" i="51"/>
  <c r="AM27" i="51"/>
  <c r="G14" i="25" s="1"/>
  <c r="AO21" i="51"/>
  <c r="AP21" i="51"/>
  <c r="AM37" i="51"/>
  <c r="AP34" i="51"/>
  <c r="AP18" i="51"/>
  <c r="AK23" i="51"/>
  <c r="AN27" i="51"/>
  <c r="AK21" i="51"/>
  <c r="AP37" i="51"/>
  <c r="AK35" i="51"/>
  <c r="AL22" i="51"/>
  <c r="AL33" i="51"/>
  <c r="AP26" i="51"/>
  <c r="AK37" i="51"/>
  <c r="AD6" i="51"/>
  <c r="AD7" i="51" s="1"/>
  <c r="AD8" i="51" s="1"/>
  <c r="AD9" i="51" s="1"/>
  <c r="AD10" i="51" s="1"/>
  <c r="AD11" i="51" s="1"/>
  <c r="AD12" i="51" s="1"/>
  <c r="AD13" i="51" s="1"/>
  <c r="AD14" i="51" s="1"/>
  <c r="AD15" i="51" s="1"/>
  <c r="AD16" i="51" s="1"/>
  <c r="AL11" i="51"/>
  <c r="AL7" i="51"/>
  <c r="AM5" i="51"/>
  <c r="AM10" i="51"/>
  <c r="AM8" i="51"/>
  <c r="AM14" i="51"/>
  <c r="AL10" i="51"/>
  <c r="AK6" i="51"/>
  <c r="AM9" i="51"/>
  <c r="AK8" i="51"/>
  <c r="AM11" i="51"/>
  <c r="AK13" i="51"/>
  <c r="AK14" i="51" s="1"/>
  <c r="AL13" i="51"/>
  <c r="AL14" i="51" s="1"/>
  <c r="AK12" i="51"/>
  <c r="AL8" i="51"/>
  <c r="AM7" i="51"/>
  <c r="AM6" i="51"/>
  <c r="AK11" i="51"/>
  <c r="AM12" i="51"/>
  <c r="AM13" i="51"/>
  <c r="AK9" i="51"/>
  <c r="J264" i="16"/>
  <c r="J209" i="16"/>
  <c r="J13" i="16" s="1"/>
  <c r="J291" i="16"/>
  <c r="M237" i="16"/>
  <c r="O2" i="1"/>
  <c r="J2" i="1"/>
  <c r="X2" i="1"/>
  <c r="D2" i="1"/>
  <c r="U2" i="1"/>
  <c r="R2" i="1"/>
  <c r="K2" i="1"/>
  <c r="L2" i="1"/>
  <c r="H2" i="1"/>
  <c r="Q2" i="1"/>
  <c r="M2" i="1"/>
  <c r="N2" i="1"/>
  <c r="W2" i="1"/>
  <c r="G2" i="1"/>
  <c r="C2" i="1"/>
  <c r="T2" i="1"/>
  <c r="I2" i="1"/>
  <c r="D392" i="51"/>
  <c r="B2" i="52"/>
  <c r="C2" i="52"/>
  <c r="A9" i="2"/>
  <c r="D9" i="2"/>
  <c r="C9" i="2"/>
  <c r="E9" i="2"/>
  <c r="C7" i="2"/>
  <c r="D7" i="2"/>
  <c r="A7" i="2"/>
  <c r="E7" i="2"/>
  <c r="N18" i="26"/>
  <c r="N16" i="20"/>
  <c r="M4" i="23"/>
  <c r="G8" i="58"/>
  <c r="A6" i="2"/>
  <c r="C6" i="2"/>
  <c r="D6" i="2"/>
  <c r="E6" i="2"/>
  <c r="A8" i="2"/>
  <c r="C8" i="2"/>
  <c r="D8" i="2"/>
  <c r="E8" i="2"/>
  <c r="A3" i="2"/>
  <c r="D3" i="2"/>
  <c r="E3" i="2"/>
  <c r="C3" i="2"/>
  <c r="D4" i="2"/>
  <c r="E4" i="2"/>
  <c r="C4" i="2"/>
  <c r="A4" i="2"/>
  <c r="E5" i="2"/>
  <c r="C5" i="2"/>
  <c r="D5" i="2"/>
  <c r="A5" i="2"/>
  <c r="B16" i="25"/>
  <c r="A14" i="25"/>
  <c r="AG18" i="19"/>
  <c r="C184" i="19"/>
  <c r="B94" i="19"/>
  <c r="B139" i="19" s="1"/>
  <c r="B45" i="19"/>
  <c r="AG11" i="19"/>
  <c r="N10" i="19"/>
  <c r="B14" i="21"/>
  <c r="B132" i="21" s="1"/>
  <c r="B14" i="20"/>
  <c r="J1" i="17"/>
  <c r="C85" i="19"/>
  <c r="B200" i="16"/>
  <c r="B49" i="16" s="1"/>
  <c r="F49" i="16" s="1"/>
  <c r="L14" i="16"/>
  <c r="G16" i="16"/>
  <c r="D99" i="16"/>
  <c r="D96" i="16"/>
  <c r="D97" i="16" s="1"/>
  <c r="P312" i="16"/>
  <c r="P285" i="16"/>
  <c r="P230" i="16"/>
  <c r="S258" i="16"/>
  <c r="Y310" i="16"/>
  <c r="Y283" i="16"/>
  <c r="AB256" i="16"/>
  <c r="Y228" i="16"/>
  <c r="C327" i="16"/>
  <c r="B256" i="16" s="1"/>
  <c r="B228" i="16" s="1"/>
  <c r="B311" i="16"/>
  <c r="B284" i="16"/>
  <c r="B229" i="16"/>
  <c r="L18" i="16"/>
  <c r="Q101" i="19"/>
  <c r="O25" i="16"/>
  <c r="R105" i="19"/>
  <c r="O43" i="16"/>
  <c r="R113" i="19"/>
  <c r="B201" i="16"/>
  <c r="D171" i="16"/>
  <c r="D168" i="16"/>
  <c r="D169" i="16" s="1"/>
  <c r="D197" i="16"/>
  <c r="D194" i="16"/>
  <c r="D195" i="16" s="1"/>
  <c r="B309" i="16"/>
  <c r="B282" i="16"/>
  <c r="B227" i="16"/>
  <c r="M273" i="16"/>
  <c r="M218" i="16"/>
  <c r="M25" i="16" s="1"/>
  <c r="P246" i="16"/>
  <c r="M300" i="16"/>
  <c r="I14" i="16"/>
  <c r="D16" i="16"/>
  <c r="B141" i="16"/>
  <c r="B48" i="16" s="1"/>
  <c r="F48" i="16" s="1"/>
  <c r="J359" i="16"/>
  <c r="G289" i="16"/>
  <c r="G235" i="16"/>
  <c r="G153" i="16"/>
  <c r="G262" i="16"/>
  <c r="G192" i="16"/>
  <c r="G207" i="16"/>
  <c r="G179" i="16"/>
  <c r="G133" i="16"/>
  <c r="G166" i="16"/>
  <c r="G120" i="16"/>
  <c r="G107" i="16"/>
  <c r="G31" i="16"/>
  <c r="L31" i="16" s="1"/>
  <c r="G94" i="16"/>
  <c r="G30" i="16"/>
  <c r="G61" i="16"/>
  <c r="G53" i="16"/>
  <c r="G392" i="16" s="1"/>
  <c r="J11" i="16"/>
  <c r="G81" i="16"/>
  <c r="D125" i="16"/>
  <c r="D122" i="16"/>
  <c r="D123" i="16" s="1"/>
  <c r="D257" i="16"/>
  <c r="D256" i="16" s="1"/>
  <c r="D228" i="16" s="1"/>
  <c r="D255" i="16"/>
  <c r="D254" i="16"/>
  <c r="B281" i="16"/>
  <c r="B226" i="16"/>
  <c r="B308" i="16"/>
  <c r="J298" i="16"/>
  <c r="M244" i="16"/>
  <c r="J271" i="16"/>
  <c r="J216" i="16"/>
  <c r="J23" i="16" s="1"/>
  <c r="M239" i="16"/>
  <c r="J266" i="16"/>
  <c r="J211" i="16"/>
  <c r="J18" i="16" s="1"/>
  <c r="J293" i="16"/>
  <c r="B142" i="16"/>
  <c r="D83" i="16"/>
  <c r="D84" i="16" s="1"/>
  <c r="D86" i="16"/>
  <c r="D155" i="16"/>
  <c r="D158" i="16"/>
  <c r="J304" i="16"/>
  <c r="M250" i="16"/>
  <c r="J277" i="16"/>
  <c r="J222" i="16"/>
  <c r="P263" i="16"/>
  <c r="P208" i="16"/>
  <c r="S236" i="16"/>
  <c r="P290" i="16"/>
  <c r="B27" i="16"/>
  <c r="F21" i="16"/>
  <c r="N43" i="16"/>
  <c r="N33" i="16"/>
  <c r="N21" i="16"/>
  <c r="P12" i="16"/>
  <c r="N41" i="16"/>
  <c r="N31" i="16"/>
  <c r="N19" i="16"/>
  <c r="N40" i="16"/>
  <c r="N30" i="16"/>
  <c r="N18" i="16"/>
  <c r="R12" i="16"/>
  <c r="S97" i="19"/>
  <c r="S98" i="19" s="1"/>
  <c r="N38" i="16"/>
  <c r="N29" i="16"/>
  <c r="N16" i="16"/>
  <c r="N37" i="16"/>
  <c r="N27" i="16"/>
  <c r="N14" i="16"/>
  <c r="N46" i="16"/>
  <c r="N36" i="16"/>
  <c r="N25" i="16"/>
  <c r="N13" i="16"/>
  <c r="N44" i="16"/>
  <c r="N24" i="16"/>
  <c r="N12" i="16"/>
  <c r="M57" i="16"/>
  <c r="M54" i="16"/>
  <c r="N35" i="16"/>
  <c r="N23" i="16"/>
  <c r="L23" i="16"/>
  <c r="Q103" i="19"/>
  <c r="Q102" i="19"/>
  <c r="L19" i="16"/>
  <c r="O100" i="19"/>
  <c r="O104" i="19"/>
  <c r="O107" i="19" s="1"/>
  <c r="I30" i="16"/>
  <c r="P111" i="19"/>
  <c r="D184" i="16"/>
  <c r="D181" i="16"/>
  <c r="D182" i="16" s="1"/>
  <c r="M297" i="16"/>
  <c r="M270" i="16"/>
  <c r="P243" i="16"/>
  <c r="M215" i="16"/>
  <c r="M346" i="16" s="1"/>
  <c r="J294" i="16"/>
  <c r="J267" i="16"/>
  <c r="J212" i="16"/>
  <c r="J19" i="16" s="1"/>
  <c r="M240" i="16"/>
  <c r="J217" i="16"/>
  <c r="J24" i="16" s="1"/>
  <c r="J299" i="16"/>
  <c r="M245" i="16"/>
  <c r="J272" i="16"/>
  <c r="L24" i="16"/>
  <c r="Q106" i="19"/>
  <c r="D112" i="16"/>
  <c r="D109" i="16"/>
  <c r="D110" i="16" s="1"/>
  <c r="D138" i="16"/>
  <c r="D135" i="16"/>
  <c r="D136" i="16" s="1"/>
  <c r="J265" i="16"/>
  <c r="M238" i="16"/>
  <c r="J210" i="16"/>
  <c r="J14" i="16" s="1"/>
  <c r="J292" i="16"/>
  <c r="J51" i="16"/>
  <c r="L51" i="16"/>
  <c r="O13" i="16"/>
  <c r="E423" i="16"/>
  <c r="E426" i="16" s="1"/>
  <c r="U126" i="20"/>
  <c r="U125" i="20"/>
  <c r="AO646" i="20"/>
  <c r="AO641" i="20"/>
  <c r="AO635" i="20"/>
  <c r="AO623" i="20"/>
  <c r="AO639" i="20"/>
  <c r="AO633" i="20"/>
  <c r="AO629" i="20"/>
  <c r="AO621" i="20"/>
  <c r="AO642" i="20"/>
  <c r="AO636" i="20"/>
  <c r="AO624" i="20"/>
  <c r="AO637" i="20"/>
  <c r="AO625" i="20"/>
  <c r="AO634" i="20"/>
  <c r="AO643" i="20"/>
  <c r="AO627" i="20"/>
  <c r="AO631" i="20"/>
  <c r="AO630" i="20"/>
  <c r="AO619" i="20"/>
  <c r="AO644" i="20"/>
  <c r="AO622" i="20"/>
  <c r="AO620" i="20"/>
  <c r="AO640" i="20"/>
  <c r="AO628" i="20"/>
  <c r="AO638" i="20"/>
  <c r="AO626" i="20"/>
  <c r="AO683" i="20"/>
  <c r="V124" i="20"/>
  <c r="W123" i="20"/>
  <c r="W519" i="20"/>
  <c r="W566" i="20"/>
  <c r="W419" i="20"/>
  <c r="X472" i="20"/>
  <c r="C490" i="20"/>
  <c r="C442" i="20"/>
  <c r="C537" i="20"/>
  <c r="C64" i="20"/>
  <c r="D89" i="20"/>
  <c r="C252" i="20"/>
  <c r="C347" i="20"/>
  <c r="AC431" i="20"/>
  <c r="AD478" i="20"/>
  <c r="BH837" i="20"/>
  <c r="BH895" i="20" s="1"/>
  <c r="BH757" i="20"/>
  <c r="AO632" i="20"/>
  <c r="AN720" i="20"/>
  <c r="AN677" i="20"/>
  <c r="AO664" i="20"/>
  <c r="AN733" i="20"/>
  <c r="AN700" i="20"/>
  <c r="AN616" i="20"/>
  <c r="AO598" i="20" s="1"/>
  <c r="AL730" i="20"/>
  <c r="AL733" i="20" s="1"/>
  <c r="AL734" i="20" s="1"/>
  <c r="AL735" i="20" s="1"/>
  <c r="AL736" i="20" s="1"/>
  <c r="AL737" i="20" s="1"/>
  <c r="AL738" i="20" s="1"/>
  <c r="AL739" i="20" s="1"/>
  <c r="AL728" i="20"/>
  <c r="BI666" i="20"/>
  <c r="X208" i="20"/>
  <c r="Y77" i="20"/>
  <c r="I123" i="21"/>
  <c r="H124" i="21"/>
  <c r="G126" i="21"/>
  <c r="G125" i="21"/>
  <c r="B19" i="25"/>
  <c r="G390" i="51" l="1"/>
  <c r="H14" i="25"/>
  <c r="F14" i="25"/>
  <c r="M30" i="26"/>
  <c r="F9" i="25"/>
  <c r="G385" i="51"/>
  <c r="H9" i="25"/>
  <c r="M25" i="26"/>
  <c r="AR31" i="51"/>
  <c r="AQ31" i="51"/>
  <c r="E602" i="20"/>
  <c r="E594" i="20"/>
  <c r="E586" i="20"/>
  <c r="E578" i="20"/>
  <c r="J4" i="51"/>
  <c r="M4" i="51"/>
  <c r="J5" i="51"/>
  <c r="M274" i="16"/>
  <c r="M219" i="16"/>
  <c r="M43" i="16" s="1"/>
  <c r="P247" i="16"/>
  <c r="M301" i="16"/>
  <c r="AR20" i="51"/>
  <c r="AQ20" i="51"/>
  <c r="AI20" i="51" s="1"/>
  <c r="H7" i="25"/>
  <c r="F7" i="25"/>
  <c r="G383" i="51"/>
  <c r="M23" i="26"/>
  <c r="AQ35" i="51"/>
  <c r="AR35" i="51"/>
  <c r="M264" i="16"/>
  <c r="M291" i="16"/>
  <c r="M209" i="16"/>
  <c r="M13" i="16" s="1"/>
  <c r="P237" i="16"/>
  <c r="AQ37" i="51"/>
  <c r="AR37" i="51"/>
  <c r="AR22" i="51"/>
  <c r="AQ22" i="51"/>
  <c r="AR26" i="51"/>
  <c r="AQ26" i="51"/>
  <c r="AI26" i="51" s="1"/>
  <c r="G386" i="51"/>
  <c r="F10" i="25"/>
  <c r="H10" i="25"/>
  <c r="M26" i="26"/>
  <c r="H13" i="25"/>
  <c r="M29" i="26"/>
  <c r="F13" i="25"/>
  <c r="G389" i="51"/>
  <c r="G384" i="51"/>
  <c r="F8" i="25"/>
  <c r="M24" i="26"/>
  <c r="H8" i="25"/>
  <c r="F5" i="25"/>
  <c r="G381" i="51"/>
  <c r="M21" i="26"/>
  <c r="Q82" i="19" s="1"/>
  <c r="H5" i="25"/>
  <c r="AQ25" i="51"/>
  <c r="AR25" i="51"/>
  <c r="G382" i="51"/>
  <c r="F6" i="25"/>
  <c r="H6" i="25"/>
  <c r="M22" i="26"/>
  <c r="Q940" i="20"/>
  <c r="Q941" i="20"/>
  <c r="AC51" i="51"/>
  <c r="AB48" i="51"/>
  <c r="M27" i="26"/>
  <c r="Q88" i="19" s="1"/>
  <c r="F11" i="25"/>
  <c r="G387" i="51"/>
  <c r="H11" i="25"/>
  <c r="Q947" i="20"/>
  <c r="Q948" i="20"/>
  <c r="AK5" i="51"/>
  <c r="AK10" i="51"/>
  <c r="AL12" i="51"/>
  <c r="AL9" i="51"/>
  <c r="AL5" i="51"/>
  <c r="AK7" i="51"/>
  <c r="AL6" i="51"/>
  <c r="AR27" i="51"/>
  <c r="AQ27" i="51"/>
  <c r="AI27" i="51" s="1"/>
  <c r="AQ30" i="51"/>
  <c r="AI30" i="51" s="1"/>
  <c r="AR30" i="51"/>
  <c r="AR32" i="51"/>
  <c r="AQ32" i="51"/>
  <c r="AI32" i="51" s="1"/>
  <c r="AQ34" i="51"/>
  <c r="AI34" i="51" s="1"/>
  <c r="AR34" i="51"/>
  <c r="H12" i="25"/>
  <c r="M28" i="26"/>
  <c r="Q89" i="19" s="1"/>
  <c r="G388" i="51"/>
  <c r="F12" i="25"/>
  <c r="AQ28" i="51"/>
  <c r="AR28" i="51"/>
  <c r="AB55" i="51"/>
  <c r="AC56" i="51"/>
  <c r="AP763" i="20"/>
  <c r="AP696" i="20"/>
  <c r="AB51" i="51"/>
  <c r="AB50" i="51"/>
  <c r="E2" i="51"/>
  <c r="AR21" i="51"/>
  <c r="AQ21" i="51"/>
  <c r="AI21" i="51" s="1"/>
  <c r="AQ24" i="51"/>
  <c r="AR24" i="51"/>
  <c r="AR19" i="51"/>
  <c r="AQ19" i="51"/>
  <c r="AI19" i="51" s="1"/>
  <c r="AR33" i="51"/>
  <c r="AQ33" i="51"/>
  <c r="AI33" i="51" s="1"/>
  <c r="AQ36" i="51"/>
  <c r="AR36" i="51"/>
  <c r="AQ18" i="51"/>
  <c r="AR18" i="51"/>
  <c r="AQ23" i="51"/>
  <c r="AR23" i="51"/>
  <c r="AR29" i="51"/>
  <c r="AQ29" i="51"/>
  <c r="AI29" i="51" s="1"/>
  <c r="AC54" i="51"/>
  <c r="AB56" i="51"/>
  <c r="N15" i="20"/>
  <c r="R945" i="20"/>
  <c r="H422" i="20"/>
  <c r="H345" i="20"/>
  <c r="H259" i="20"/>
  <c r="AS583" i="20"/>
  <c r="R938" i="20"/>
  <c r="H428" i="20"/>
  <c r="H238" i="20"/>
  <c r="H247" i="20"/>
  <c r="H532" i="20"/>
  <c r="H438" i="20"/>
  <c r="H218" i="20"/>
  <c r="H485" i="20"/>
  <c r="H270" i="20"/>
  <c r="H134" i="20"/>
  <c r="C76" i="22"/>
  <c r="H112" i="20"/>
  <c r="L76" i="22"/>
  <c r="A87" i="22"/>
  <c r="C112" i="20"/>
  <c r="AN583" i="20"/>
  <c r="AN696" i="20" s="1"/>
  <c r="C345" i="20"/>
  <c r="C259" i="20"/>
  <c r="P938" i="20"/>
  <c r="C438" i="20"/>
  <c r="C247" i="20"/>
  <c r="C428" i="20"/>
  <c r="C532" i="20"/>
  <c r="C238" i="20"/>
  <c r="P945" i="20"/>
  <c r="C422" i="20"/>
  <c r="C485" i="20"/>
  <c r="C218" i="20"/>
  <c r="E569" i="20"/>
  <c r="C6" i="22"/>
  <c r="K5" i="22" s="1"/>
  <c r="E522" i="20"/>
  <c r="E475" i="20"/>
  <c r="AC48" i="51"/>
  <c r="AB49" i="51"/>
  <c r="J2" i="51"/>
  <c r="G3" i="51"/>
  <c r="H8" i="23" s="1"/>
  <c r="K2" i="51"/>
  <c r="C4" i="51"/>
  <c r="F4" i="51"/>
  <c r="C16" i="21"/>
  <c r="B89" i="22"/>
  <c r="L913" i="20"/>
  <c r="F1" i="53"/>
  <c r="N95" i="19"/>
  <c r="N45" i="19"/>
  <c r="AM582" i="20"/>
  <c r="B332" i="16"/>
  <c r="C326" i="16" s="1"/>
  <c r="A10" i="16" s="1"/>
  <c r="A3" i="22"/>
  <c r="B132" i="20"/>
  <c r="D201" i="16"/>
  <c r="O14" i="16"/>
  <c r="J16" i="16"/>
  <c r="P57" i="16"/>
  <c r="P54" i="16"/>
  <c r="Q46" i="16"/>
  <c r="Q36" i="16"/>
  <c r="Q25" i="16"/>
  <c r="Q13" i="16"/>
  <c r="Q44" i="16"/>
  <c r="Q24" i="16"/>
  <c r="Q12" i="16"/>
  <c r="Q35" i="16"/>
  <c r="Q23" i="16"/>
  <c r="Q43" i="16"/>
  <c r="Q33" i="16"/>
  <c r="Q21" i="16"/>
  <c r="S12" i="16"/>
  <c r="T97" i="19"/>
  <c r="T98" i="19" s="1"/>
  <c r="Q41" i="16"/>
  <c r="Q31" i="16"/>
  <c r="Q19" i="16"/>
  <c r="Q40" i="16"/>
  <c r="Q30" i="16"/>
  <c r="Q18" i="16"/>
  <c r="U12" i="16"/>
  <c r="Q38" i="16"/>
  <c r="Q29" i="16"/>
  <c r="Q16" i="16"/>
  <c r="Q37" i="16"/>
  <c r="Q27" i="16"/>
  <c r="Q14" i="16"/>
  <c r="R13" i="16"/>
  <c r="M293" i="16"/>
  <c r="P239" i="16"/>
  <c r="M266" i="16"/>
  <c r="M211" i="16"/>
  <c r="M18" i="16" s="1"/>
  <c r="D308" i="16"/>
  <c r="D281" i="16"/>
  <c r="D226" i="16"/>
  <c r="G138" i="16"/>
  <c r="G135" i="16"/>
  <c r="G136" i="16" s="1"/>
  <c r="V258" i="16"/>
  <c r="S312" i="16"/>
  <c r="S285" i="16"/>
  <c r="S230" i="16"/>
  <c r="G21" i="16"/>
  <c r="L16" i="16"/>
  <c r="Q99" i="19"/>
  <c r="D142" i="16"/>
  <c r="O23" i="16"/>
  <c r="R103" i="19"/>
  <c r="C328" i="16"/>
  <c r="B283" i="16" s="1"/>
  <c r="M51" i="16"/>
  <c r="O51" i="16"/>
  <c r="R102" i="19"/>
  <c r="O19" i="16"/>
  <c r="J166" i="16"/>
  <c r="J120" i="16"/>
  <c r="J360" i="16"/>
  <c r="J289" i="16"/>
  <c r="J235" i="16"/>
  <c r="J153" i="16"/>
  <c r="J262" i="16"/>
  <c r="J192" i="16"/>
  <c r="J207" i="16"/>
  <c r="J179" i="16"/>
  <c r="J133" i="16"/>
  <c r="J81" i="16"/>
  <c r="J107" i="16"/>
  <c r="J94" i="16"/>
  <c r="J31" i="16"/>
  <c r="O31" i="16" s="1"/>
  <c r="J61" i="16"/>
  <c r="J53" i="16"/>
  <c r="J392" i="16" s="1"/>
  <c r="J30" i="16"/>
  <c r="M11" i="16"/>
  <c r="G171" i="16"/>
  <c r="G168" i="16"/>
  <c r="G169" i="16" s="1"/>
  <c r="D199" i="16"/>
  <c r="D38" i="16" s="1"/>
  <c r="I38" i="16" s="1"/>
  <c r="F423" i="16"/>
  <c r="F426" i="16" s="1"/>
  <c r="P240" i="16"/>
  <c r="M294" i="16"/>
  <c r="M267" i="16"/>
  <c r="M212" i="16"/>
  <c r="M19" i="16" s="1"/>
  <c r="O18" i="16"/>
  <c r="R101" i="19"/>
  <c r="Y311" i="16"/>
  <c r="G83" i="16"/>
  <c r="G84" i="16" s="1"/>
  <c r="G86" i="16"/>
  <c r="G125" i="16"/>
  <c r="G122" i="16"/>
  <c r="G123" i="16" s="1"/>
  <c r="G257" i="16"/>
  <c r="G256" i="16" s="1"/>
  <c r="G228" i="16" s="1"/>
  <c r="G255" i="16"/>
  <c r="G254" i="16"/>
  <c r="R25" i="16"/>
  <c r="S105" i="19"/>
  <c r="D156" i="16"/>
  <c r="D200" i="16" s="1"/>
  <c r="D49" i="16" s="1"/>
  <c r="I49" i="16" s="1"/>
  <c r="R106" i="19"/>
  <c r="O24" i="16"/>
  <c r="S113" i="19"/>
  <c r="R43" i="16"/>
  <c r="S263" i="16"/>
  <c r="S208" i="16"/>
  <c r="V236" i="16"/>
  <c r="S290" i="16"/>
  <c r="G112" i="16"/>
  <c r="G109" i="16"/>
  <c r="G110" i="16" s="1"/>
  <c r="G155" i="16"/>
  <c r="G158" i="16"/>
  <c r="P273" i="16"/>
  <c r="P218" i="16"/>
  <c r="P25" i="16" s="1"/>
  <c r="S246" i="16"/>
  <c r="P300" i="16"/>
  <c r="AB310" i="16"/>
  <c r="AB283" i="16"/>
  <c r="AE256" i="16"/>
  <c r="AB228" i="16"/>
  <c r="M272" i="16"/>
  <c r="M217" i="16"/>
  <c r="M24" i="16" s="1"/>
  <c r="M299" i="16"/>
  <c r="P245" i="16"/>
  <c r="S243" i="16"/>
  <c r="P215" i="16"/>
  <c r="P346" i="16" s="1"/>
  <c r="P297" i="16"/>
  <c r="P270" i="16"/>
  <c r="F27" i="16"/>
  <c r="B47" i="16"/>
  <c r="M304" i="16"/>
  <c r="P250" i="16"/>
  <c r="M277" i="16"/>
  <c r="M222" i="16"/>
  <c r="M216" i="16"/>
  <c r="M23" i="16" s="1"/>
  <c r="M298" i="16"/>
  <c r="P244" i="16"/>
  <c r="M271" i="16"/>
  <c r="G99" i="16"/>
  <c r="G96" i="16"/>
  <c r="G97" i="16" s="1"/>
  <c r="G197" i="16"/>
  <c r="G194" i="16"/>
  <c r="G195" i="16" s="1"/>
  <c r="D141" i="16"/>
  <c r="D48" i="16" s="1"/>
  <c r="I48" i="16" s="1"/>
  <c r="B35" i="16"/>
  <c r="D309" i="16"/>
  <c r="D282" i="16"/>
  <c r="D227" i="16"/>
  <c r="G184" i="16"/>
  <c r="G181" i="16"/>
  <c r="G182" i="16" s="1"/>
  <c r="M265" i="16"/>
  <c r="P238" i="16"/>
  <c r="M210" i="16"/>
  <c r="M14" i="16" s="1"/>
  <c r="M292" i="16"/>
  <c r="D229" i="16"/>
  <c r="D311" i="16"/>
  <c r="D310" i="16" s="1"/>
  <c r="D284" i="16"/>
  <c r="L30" i="16"/>
  <c r="Q111" i="19"/>
  <c r="D21" i="16"/>
  <c r="I16" i="16"/>
  <c r="P99" i="19"/>
  <c r="C329" i="16"/>
  <c r="B310" i="16" s="1"/>
  <c r="D140" i="16"/>
  <c r="D37" i="16" s="1"/>
  <c r="I37" i="16" s="1"/>
  <c r="W124" i="20"/>
  <c r="X123" i="20"/>
  <c r="AN652" i="20"/>
  <c r="E471" i="20"/>
  <c r="C225" i="20"/>
  <c r="C67" i="20"/>
  <c r="D64" i="20"/>
  <c r="X519" i="20"/>
  <c r="X566" i="20"/>
  <c r="Y472" i="20"/>
  <c r="X419" i="20"/>
  <c r="AO677" i="20"/>
  <c r="AN679" i="20"/>
  <c r="C536" i="20"/>
  <c r="C489" i="20"/>
  <c r="BI837" i="20"/>
  <c r="BI895" i="20" s="1"/>
  <c r="BI757" i="20"/>
  <c r="AE478" i="20"/>
  <c r="AD431" i="20"/>
  <c r="BJ666" i="20"/>
  <c r="Y208" i="20"/>
  <c r="Z77" i="20"/>
  <c r="AN751" i="20"/>
  <c r="AN703" i="20"/>
  <c r="AO613" i="20"/>
  <c r="AO610" i="20"/>
  <c r="AN617" i="20"/>
  <c r="AO600" i="20"/>
  <c r="AO595" i="20"/>
  <c r="AO612" i="20"/>
  <c r="AO606" i="20"/>
  <c r="AO616" i="20"/>
  <c r="AO594" i="20"/>
  <c r="AO586" i="20"/>
  <c r="AO587" i="20"/>
  <c r="AO592" i="20"/>
  <c r="AO591" i="20"/>
  <c r="AO607" i="20"/>
  <c r="AO588" i="20"/>
  <c r="AO596" i="20"/>
  <c r="AO599" i="20"/>
  <c r="AO609" i="20"/>
  <c r="AO614" i="20"/>
  <c r="AO602" i="20"/>
  <c r="AO603" i="20"/>
  <c r="AO590" i="20"/>
  <c r="AO604" i="20"/>
  <c r="AO615" i="20"/>
  <c r="AO608" i="20"/>
  <c r="AO601" i="20"/>
  <c r="AO593" i="20"/>
  <c r="AO611" i="20"/>
  <c r="AO605" i="20"/>
  <c r="AO597" i="20"/>
  <c r="AO589" i="20"/>
  <c r="V125" i="20"/>
  <c r="V126" i="20"/>
  <c r="H126" i="21"/>
  <c r="H125" i="21"/>
  <c r="J123" i="21"/>
  <c r="I124" i="21"/>
  <c r="L3" i="51" l="1"/>
  <c r="L2" i="51"/>
  <c r="P947" i="20"/>
  <c r="P948" i="20"/>
  <c r="R940" i="20"/>
  <c r="R941" i="20"/>
  <c r="H578" i="20"/>
  <c r="H586" i="20"/>
  <c r="H594" i="20"/>
  <c r="H602" i="20"/>
  <c r="AI23" i="51"/>
  <c r="AI36" i="51"/>
  <c r="H382" i="51"/>
  <c r="N22" i="26"/>
  <c r="Q83" i="19" s="1"/>
  <c r="AI25" i="51"/>
  <c r="F381" i="51"/>
  <c r="L5" i="25"/>
  <c r="C2" i="3" s="1"/>
  <c r="H389" i="51"/>
  <c r="N29" i="26"/>
  <c r="Q90" i="19" s="1"/>
  <c r="AI35" i="51"/>
  <c r="H383" i="51"/>
  <c r="N23" i="26"/>
  <c r="Q84" i="19" s="1"/>
  <c r="P301" i="16"/>
  <c r="P274" i="16"/>
  <c r="S247" i="16"/>
  <c r="P219" i="16"/>
  <c r="P43" i="16" s="1"/>
  <c r="H8" i="58"/>
  <c r="I8" i="23"/>
  <c r="Q16" i="20"/>
  <c r="B90" i="22" s="1"/>
  <c r="AS763" i="20"/>
  <c r="AS696" i="20"/>
  <c r="R948" i="20"/>
  <c r="R947" i="20"/>
  <c r="E3" i="51"/>
  <c r="F8" i="23" s="1"/>
  <c r="D2" i="51"/>
  <c r="D3" i="51" s="1"/>
  <c r="E8" i="23" s="1"/>
  <c r="AI28" i="51"/>
  <c r="H388" i="51"/>
  <c r="N28" i="26"/>
  <c r="F387" i="51"/>
  <c r="L11" i="25"/>
  <c r="C8" i="3" s="1"/>
  <c r="F382" i="51"/>
  <c r="I382" i="51" s="1"/>
  <c r="L6" i="25"/>
  <c r="C3" i="3" s="1"/>
  <c r="H381" i="51"/>
  <c r="N21" i="26"/>
  <c r="H384" i="51"/>
  <c r="N24" i="26"/>
  <c r="Q85" i="19" s="1"/>
  <c r="H385" i="51"/>
  <c r="N25" i="26"/>
  <c r="Q86" i="19" s="1"/>
  <c r="F390" i="51"/>
  <c r="L14" i="25"/>
  <c r="C11" i="3" s="1"/>
  <c r="J3" i="51"/>
  <c r="P940" i="20"/>
  <c r="P941" i="20"/>
  <c r="Q937" i="20"/>
  <c r="S938" i="20"/>
  <c r="AY583" i="20"/>
  <c r="N438" i="20"/>
  <c r="N270" i="20"/>
  <c r="T15" i="20"/>
  <c r="E76" i="22"/>
  <c r="A50" i="22" s="1"/>
  <c r="N485" i="20"/>
  <c r="N345" i="20"/>
  <c r="C15" i="21"/>
  <c r="W31" i="21" s="1"/>
  <c r="G15" i="21" s="1"/>
  <c r="A89" i="22"/>
  <c r="M5" i="22" s="1"/>
  <c r="BD851" i="20"/>
  <c r="BE851" i="20" s="1"/>
  <c r="BF851" i="20" s="1"/>
  <c r="BG851" i="20" s="1"/>
  <c r="BH851" i="20" s="1"/>
  <c r="BI851" i="20" s="1"/>
  <c r="BJ851" i="20" s="1"/>
  <c r="BK851" i="20" s="1"/>
  <c r="BL851" i="20" s="1"/>
  <c r="BM851" i="20" s="1"/>
  <c r="BN851" i="20" s="1"/>
  <c r="BO851" i="20" s="1"/>
  <c r="BP851" i="20" s="1"/>
  <c r="BQ851" i="20" s="1"/>
  <c r="BR851" i="20" s="1"/>
  <c r="BS851" i="20" s="1"/>
  <c r="BT851" i="20" s="1"/>
  <c r="N428" i="20"/>
  <c r="N259" i="20"/>
  <c r="N134" i="20"/>
  <c r="C134" i="21" s="1"/>
  <c r="N112" i="20"/>
  <c r="C112" i="21" s="1"/>
  <c r="S945" i="20"/>
  <c r="R944" i="20" s="1"/>
  <c r="N247" i="20"/>
  <c r="N532" i="20"/>
  <c r="N76" i="22"/>
  <c r="N238" i="20"/>
  <c r="N422" i="20"/>
  <c r="N218" i="20"/>
  <c r="C218" i="21" s="1"/>
  <c r="AI18" i="51"/>
  <c r="AK43" i="51" s="1"/>
  <c r="AI24" i="51"/>
  <c r="F388" i="51"/>
  <c r="I388" i="51" s="1"/>
  <c r="L12" i="25"/>
  <c r="C9" i="3" s="1"/>
  <c r="Q949" i="20"/>
  <c r="Q942" i="20"/>
  <c r="F389" i="51"/>
  <c r="I389" i="51" s="1"/>
  <c r="L13" i="25"/>
  <c r="C10" i="3" s="1"/>
  <c r="H386" i="51"/>
  <c r="N26" i="26"/>
  <c r="Q87" i="19" s="1"/>
  <c r="AI37" i="51"/>
  <c r="AI31" i="51"/>
  <c r="H390" i="51"/>
  <c r="N30" i="26"/>
  <c r="Q91" i="19" s="1"/>
  <c r="L5" i="22"/>
  <c r="C11" i="22"/>
  <c r="C578" i="20"/>
  <c r="C594" i="20"/>
  <c r="C586" i="20"/>
  <c r="C602" i="20"/>
  <c r="C475" i="20"/>
  <c r="C569" i="20"/>
  <c r="C522" i="20"/>
  <c r="D6" i="22"/>
  <c r="H569" i="20"/>
  <c r="H522" i="20"/>
  <c r="H475" i="20"/>
  <c r="N27" i="26"/>
  <c r="H387" i="51"/>
  <c r="I387" i="51" s="1"/>
  <c r="F384" i="51"/>
  <c r="I384" i="51" s="1"/>
  <c r="L8" i="25"/>
  <c r="C5" i="3" s="1"/>
  <c r="F386" i="51"/>
  <c r="L10" i="25"/>
  <c r="C7" i="3" s="1"/>
  <c r="AI22" i="51"/>
  <c r="P264" i="16"/>
  <c r="P209" i="16"/>
  <c r="P13" i="16" s="1"/>
  <c r="S237" i="16"/>
  <c r="P291" i="16"/>
  <c r="F383" i="51"/>
  <c r="L7" i="25"/>
  <c r="C4" i="3" s="1"/>
  <c r="F385" i="51"/>
  <c r="I385" i="51" s="1"/>
  <c r="L9" i="25"/>
  <c r="C6" i="3" s="1"/>
  <c r="L1" i="51"/>
  <c r="G6" i="23" s="1"/>
  <c r="F1" i="51"/>
  <c r="F265" i="51"/>
  <c r="F147" i="51"/>
  <c r="F131" i="51"/>
  <c r="F115" i="51"/>
  <c r="F99" i="51"/>
  <c r="F83" i="51"/>
  <c r="G106" i="58" s="1"/>
  <c r="F67" i="51"/>
  <c r="F61" i="51"/>
  <c r="F44" i="51"/>
  <c r="F22" i="51"/>
  <c r="G29" i="58" s="1"/>
  <c r="F211" i="51"/>
  <c r="F195" i="51"/>
  <c r="F233" i="51"/>
  <c r="G287" i="58" s="1"/>
  <c r="F213" i="51"/>
  <c r="F197" i="51"/>
  <c r="F181" i="51"/>
  <c r="F165" i="51"/>
  <c r="F45" i="51"/>
  <c r="G54" i="58" s="1"/>
  <c r="F7" i="51"/>
  <c r="F48" i="51"/>
  <c r="F26" i="51"/>
  <c r="F231" i="51"/>
  <c r="F179" i="51"/>
  <c r="F163" i="51"/>
  <c r="F152" i="51"/>
  <c r="G183" i="58" s="1"/>
  <c r="F39" i="51"/>
  <c r="F173" i="51"/>
  <c r="F81" i="51"/>
  <c r="F123" i="51"/>
  <c r="F331" i="51"/>
  <c r="G410" i="58" s="1"/>
  <c r="F341" i="51"/>
  <c r="F342" i="51"/>
  <c r="F310" i="51"/>
  <c r="G388" i="58" s="1"/>
  <c r="F297" i="51"/>
  <c r="F263" i="51"/>
  <c r="F311" i="51"/>
  <c r="F298" i="51"/>
  <c r="F360" i="51"/>
  <c r="G441" i="58" s="1"/>
  <c r="F328" i="51"/>
  <c r="F329" i="51"/>
  <c r="F370" i="51"/>
  <c r="F314" i="51"/>
  <c r="G392" i="58" s="1"/>
  <c r="F280" i="51"/>
  <c r="F261" i="51"/>
  <c r="F185" i="51"/>
  <c r="F127" i="51"/>
  <c r="F129" i="51"/>
  <c r="F46" i="51"/>
  <c r="F171" i="51"/>
  <c r="F223" i="51"/>
  <c r="G276" i="58" s="1"/>
  <c r="F307" i="51"/>
  <c r="F289" i="51"/>
  <c r="F260" i="51"/>
  <c r="F317" i="51"/>
  <c r="G395" i="58" s="1"/>
  <c r="F246" i="51"/>
  <c r="F276" i="51"/>
  <c r="F351" i="51"/>
  <c r="F264" i="51"/>
  <c r="F372" i="51"/>
  <c r="F278" i="51"/>
  <c r="F353" i="51"/>
  <c r="F305" i="51"/>
  <c r="F295" i="51"/>
  <c r="F258" i="51"/>
  <c r="F338" i="51"/>
  <c r="G417" i="58" s="1"/>
  <c r="F259" i="51"/>
  <c r="F229" i="51"/>
  <c r="F63" i="51"/>
  <c r="F194" i="51"/>
  <c r="F128" i="51"/>
  <c r="F51" i="51"/>
  <c r="F253" i="51"/>
  <c r="F216" i="51"/>
  <c r="F204" i="51"/>
  <c r="F130" i="51"/>
  <c r="F66" i="51"/>
  <c r="F31" i="51"/>
  <c r="G39" i="58" s="1"/>
  <c r="F182" i="51"/>
  <c r="F116" i="51"/>
  <c r="F10" i="51"/>
  <c r="G15" i="58" s="1"/>
  <c r="F257" i="51"/>
  <c r="F235" i="51"/>
  <c r="F125" i="51"/>
  <c r="F93" i="51"/>
  <c r="F236" i="51"/>
  <c r="F189" i="51"/>
  <c r="F75" i="51"/>
  <c r="F139" i="51"/>
  <c r="G168" i="58" s="1"/>
  <c r="F15" i="51"/>
  <c r="G21" i="58" s="1"/>
  <c r="F347" i="51"/>
  <c r="F369" i="51"/>
  <c r="F357" i="51"/>
  <c r="F275" i="51"/>
  <c r="F366" i="51"/>
  <c r="F334" i="51"/>
  <c r="F255" i="51"/>
  <c r="F327" i="51"/>
  <c r="F277" i="51"/>
  <c r="G345" i="58" s="1"/>
  <c r="F240" i="51"/>
  <c r="F352" i="51"/>
  <c r="F320" i="51"/>
  <c r="F299" i="51"/>
  <c r="G371" i="58" s="1"/>
  <c r="F271" i="51"/>
  <c r="F306" i="51"/>
  <c r="F272" i="51"/>
  <c r="G339" i="58" s="1"/>
  <c r="F209" i="51"/>
  <c r="G259" i="58" s="1"/>
  <c r="F177" i="51"/>
  <c r="F119" i="51"/>
  <c r="G145" i="58" s="1"/>
  <c r="F87" i="51"/>
  <c r="F308" i="51"/>
  <c r="F222" i="51"/>
  <c r="F170" i="51"/>
  <c r="F104" i="51"/>
  <c r="G128" i="58" s="1"/>
  <c r="F52" i="51"/>
  <c r="F364" i="51"/>
  <c r="F232" i="51"/>
  <c r="F180" i="51"/>
  <c r="F106" i="51"/>
  <c r="G130" i="58" s="1"/>
  <c r="F234" i="51"/>
  <c r="F158" i="51"/>
  <c r="F92" i="51"/>
  <c r="G116" i="58" s="1"/>
  <c r="F58" i="51"/>
  <c r="G75" i="58" s="1"/>
  <c r="F11" i="51"/>
  <c r="F215" i="51"/>
  <c r="F183" i="51"/>
  <c r="F200" i="51"/>
  <c r="F97" i="51"/>
  <c r="F38" i="51"/>
  <c r="G46" i="58" s="1"/>
  <c r="F375" i="51"/>
  <c r="F323" i="51"/>
  <c r="F333" i="51"/>
  <c r="F262" i="51"/>
  <c r="F268" i="51"/>
  <c r="G335" i="58" s="1"/>
  <c r="F367" i="51"/>
  <c r="F303" i="51"/>
  <c r="G380" i="58" s="1"/>
  <c r="F270" i="51"/>
  <c r="F321" i="51"/>
  <c r="G399" i="58" s="1"/>
  <c r="F250" i="51"/>
  <c r="G312" i="58" s="1"/>
  <c r="F362" i="51"/>
  <c r="F330" i="51"/>
  <c r="G409" i="58" s="1"/>
  <c r="F251" i="51"/>
  <c r="G313" i="58" s="1"/>
  <c r="F221" i="51"/>
  <c r="F205" i="51"/>
  <c r="F145" i="51"/>
  <c r="F91" i="51"/>
  <c r="F187" i="51"/>
  <c r="F239" i="51"/>
  <c r="F363" i="51"/>
  <c r="G444" i="58" s="1"/>
  <c r="F281" i="51"/>
  <c r="F252" i="51"/>
  <c r="F309" i="51"/>
  <c r="F291" i="51"/>
  <c r="F358" i="51"/>
  <c r="G439" i="58" s="1"/>
  <c r="F326" i="51"/>
  <c r="G405" i="58" s="1"/>
  <c r="F343" i="51"/>
  <c r="F293" i="51"/>
  <c r="G365" i="58" s="1"/>
  <c r="F256" i="51"/>
  <c r="G319" i="58" s="1"/>
  <c r="F344" i="51"/>
  <c r="G424" i="58" s="1"/>
  <c r="F312" i="51"/>
  <c r="F345" i="51"/>
  <c r="F300" i="51"/>
  <c r="G372" i="58" s="1"/>
  <c r="F287" i="51"/>
  <c r="G358" i="58" s="1"/>
  <c r="F374" i="51"/>
  <c r="F201" i="51"/>
  <c r="F169" i="51"/>
  <c r="G205" i="58" s="1"/>
  <c r="F143" i="51"/>
  <c r="G173" i="58" s="1"/>
  <c r="F111" i="51"/>
  <c r="F79" i="51"/>
  <c r="G102" i="58" s="1"/>
  <c r="F238" i="51"/>
  <c r="F186" i="51"/>
  <c r="G231" i="58" s="1"/>
  <c r="F120" i="51"/>
  <c r="F40" i="51"/>
  <c r="G48" i="58" s="1"/>
  <c r="F332" i="51"/>
  <c r="G411" i="58" s="1"/>
  <c r="F196" i="51"/>
  <c r="G242" i="58" s="1"/>
  <c r="F122" i="51"/>
  <c r="F23" i="51"/>
  <c r="F274" i="51"/>
  <c r="G341" i="58" s="1"/>
  <c r="F174" i="51"/>
  <c r="G210" i="58" s="1"/>
  <c r="F108" i="51"/>
  <c r="F60" i="51"/>
  <c r="F13" i="51"/>
  <c r="G19" i="58" s="1"/>
  <c r="F241" i="51"/>
  <c r="G302" i="58" s="1"/>
  <c r="F207" i="51"/>
  <c r="F175" i="51"/>
  <c r="G211" i="58" s="1"/>
  <c r="F42" i="51"/>
  <c r="F18" i="51"/>
  <c r="F228" i="51"/>
  <c r="F47" i="51"/>
  <c r="G56" i="58" s="1"/>
  <c r="F225" i="51"/>
  <c r="G278" i="58" s="1"/>
  <c r="F65" i="51"/>
  <c r="F24" i="51"/>
  <c r="F339" i="51"/>
  <c r="F349" i="51"/>
  <c r="F292" i="51"/>
  <c r="F319" i="51"/>
  <c r="F269" i="51"/>
  <c r="F294" i="51"/>
  <c r="F43" i="51"/>
  <c r="G52" i="58" s="1"/>
  <c r="F157" i="51"/>
  <c r="F113" i="51"/>
  <c r="G139" i="58" s="1"/>
  <c r="F107" i="51"/>
  <c r="G131" i="58" s="1"/>
  <c r="F150" i="51"/>
  <c r="F155" i="51"/>
  <c r="F315" i="51"/>
  <c r="G393" i="58" s="1"/>
  <c r="F325" i="51"/>
  <c r="G404" i="58" s="1"/>
  <c r="F254" i="51"/>
  <c r="G317" i="58" s="1"/>
  <c r="F350" i="51"/>
  <c r="F318" i="51"/>
  <c r="G396" i="58" s="1"/>
  <c r="F371" i="51"/>
  <c r="F359" i="51"/>
  <c r="G440" i="58" s="1"/>
  <c r="F368" i="51"/>
  <c r="F336" i="51"/>
  <c r="F304" i="51"/>
  <c r="F373" i="51"/>
  <c r="F361" i="51"/>
  <c r="F337" i="51"/>
  <c r="F313" i="51"/>
  <c r="G391" i="58" s="1"/>
  <c r="F266" i="51"/>
  <c r="F242" i="51"/>
  <c r="F288" i="51"/>
  <c r="G360" i="58" s="1"/>
  <c r="F243" i="51"/>
  <c r="F193" i="51"/>
  <c r="G239" i="58" s="1"/>
  <c r="F161" i="51"/>
  <c r="F135" i="51"/>
  <c r="F103" i="51"/>
  <c r="G127" i="58" s="1"/>
  <c r="F71" i="51"/>
  <c r="F202" i="51"/>
  <c r="F149" i="51"/>
  <c r="G180" i="58" s="1"/>
  <c r="F136" i="51"/>
  <c r="F72" i="51"/>
  <c r="F212" i="51"/>
  <c r="F138" i="51"/>
  <c r="G167" i="58" s="1"/>
  <c r="F74" i="51"/>
  <c r="G97" i="58" s="1"/>
  <c r="F62" i="51"/>
  <c r="G80" i="58" s="1"/>
  <c r="F190" i="51"/>
  <c r="F124" i="51"/>
  <c r="G151" i="58" s="1"/>
  <c r="F199" i="51"/>
  <c r="F167" i="51"/>
  <c r="G203" i="58" s="1"/>
  <c r="F20" i="51"/>
  <c r="F168" i="51"/>
  <c r="G204" i="58" s="1"/>
  <c r="F365" i="51"/>
  <c r="F34" i="51"/>
  <c r="G42" i="58" s="1"/>
  <c r="F50" i="51"/>
  <c r="F206" i="51"/>
  <c r="F76" i="51"/>
  <c r="F29" i="51"/>
  <c r="F9" i="51"/>
  <c r="F191" i="51"/>
  <c r="G237" i="58" s="1"/>
  <c r="F36" i="51"/>
  <c r="G44" i="58" s="1"/>
  <c r="F184" i="51"/>
  <c r="G229" i="58" s="1"/>
  <c r="F142" i="51"/>
  <c r="F78" i="51"/>
  <c r="G101" i="58" s="1"/>
  <c r="F54" i="51"/>
  <c r="G67" i="58" s="1"/>
  <c r="F355" i="51"/>
  <c r="G436" i="58" s="1"/>
  <c r="F244" i="51"/>
  <c r="F346" i="51"/>
  <c r="G426" i="58" s="1"/>
  <c r="F301" i="51"/>
  <c r="F210" i="51"/>
  <c r="F80" i="51"/>
  <c r="F25" i="51"/>
  <c r="F156" i="51"/>
  <c r="F82" i="51"/>
  <c r="G105" i="58" s="1"/>
  <c r="F132" i="51"/>
  <c r="F59" i="51"/>
  <c r="F12" i="51"/>
  <c r="F85" i="51"/>
  <c r="G108" i="58" s="1"/>
  <c r="F17" i="51"/>
  <c r="F118" i="51"/>
  <c r="F55" i="51"/>
  <c r="G69" i="58" s="1"/>
  <c r="F27" i="51"/>
  <c r="F32" i="51"/>
  <c r="F73" i="51"/>
  <c r="F283" i="51"/>
  <c r="F285" i="51"/>
  <c r="F354" i="51"/>
  <c r="F41" i="51"/>
  <c r="F162" i="51"/>
  <c r="F324" i="51"/>
  <c r="F214" i="51"/>
  <c r="F84" i="51"/>
  <c r="G107" i="58" s="1"/>
  <c r="F37" i="51"/>
  <c r="G45" i="58" s="1"/>
  <c r="F219" i="51"/>
  <c r="G272" i="58" s="1"/>
  <c r="F109" i="51"/>
  <c r="F348" i="51"/>
  <c r="G428" i="58" s="1"/>
  <c r="F192" i="51"/>
  <c r="G238" i="58" s="1"/>
  <c r="F94" i="51"/>
  <c r="G118" i="58" s="1"/>
  <c r="F56" i="51"/>
  <c r="F30" i="51"/>
  <c r="G38" i="58" s="1"/>
  <c r="F121" i="51"/>
  <c r="F273" i="51"/>
  <c r="G340" i="58" s="1"/>
  <c r="F237" i="51"/>
  <c r="F245" i="51"/>
  <c r="G307" i="58" s="1"/>
  <c r="F112" i="51"/>
  <c r="G138" i="58" s="1"/>
  <c r="F188" i="51"/>
  <c r="G233" i="58" s="1"/>
  <c r="F114" i="51"/>
  <c r="F247" i="51"/>
  <c r="G309" i="58" s="1"/>
  <c r="F166" i="51"/>
  <c r="G202" i="58" s="1"/>
  <c r="F64" i="51"/>
  <c r="G83" i="58" s="1"/>
  <c r="F133" i="51"/>
  <c r="F69" i="51"/>
  <c r="F220" i="51"/>
  <c r="F134" i="51"/>
  <c r="G162" i="58" s="1"/>
  <c r="F70" i="51"/>
  <c r="F57" i="51"/>
  <c r="F203" i="51"/>
  <c r="G250" i="58" s="1"/>
  <c r="F284" i="51"/>
  <c r="G354" i="58" s="1"/>
  <c r="F279" i="51"/>
  <c r="F322" i="51"/>
  <c r="G400" i="58" s="1"/>
  <c r="F249" i="51"/>
  <c r="G311" i="58" s="1"/>
  <c r="F95" i="51"/>
  <c r="G119" i="58" s="1"/>
  <c r="F340" i="51"/>
  <c r="F88" i="51"/>
  <c r="G111" i="58" s="1"/>
  <c r="F33" i="51"/>
  <c r="G41" i="58" s="1"/>
  <c r="F164" i="51"/>
  <c r="G200" i="58" s="1"/>
  <c r="F90" i="51"/>
  <c r="F218" i="51"/>
  <c r="G271" i="58" s="1"/>
  <c r="F140" i="51"/>
  <c r="G169" i="58" s="1"/>
  <c r="F159" i="51"/>
  <c r="F110" i="51"/>
  <c r="F19" i="51"/>
  <c r="G25" i="58" s="1"/>
  <c r="F89" i="51"/>
  <c r="G112" i="58" s="1"/>
  <c r="F286" i="51"/>
  <c r="F144" i="51"/>
  <c r="F146" i="51"/>
  <c r="F356" i="51"/>
  <c r="G437" i="58" s="1"/>
  <c r="F198" i="51"/>
  <c r="G244" i="58" s="1"/>
  <c r="F68" i="51"/>
  <c r="F21" i="51"/>
  <c r="F227" i="51"/>
  <c r="G280" i="58" s="1"/>
  <c r="F117" i="51"/>
  <c r="G143" i="58" s="1"/>
  <c r="F28" i="51"/>
  <c r="F176" i="51"/>
  <c r="F86" i="51"/>
  <c r="F14" i="51"/>
  <c r="G20" i="58" s="1"/>
  <c r="F137" i="51"/>
  <c r="F335" i="51"/>
  <c r="F217" i="51"/>
  <c r="G270" i="58" s="1"/>
  <c r="F96" i="51"/>
  <c r="G120" i="58" s="1"/>
  <c r="F282" i="51"/>
  <c r="F224" i="51"/>
  <c r="F172" i="51"/>
  <c r="G208" i="58" s="1"/>
  <c r="F98" i="51"/>
  <c r="G122" i="58" s="1"/>
  <c r="F226" i="51"/>
  <c r="F141" i="51"/>
  <c r="F77" i="51"/>
  <c r="G100" i="58" s="1"/>
  <c r="F126" i="51"/>
  <c r="G153" i="58" s="1"/>
  <c r="F35" i="51"/>
  <c r="F49" i="51"/>
  <c r="G61" i="58" s="1"/>
  <c r="F248" i="51"/>
  <c r="F290" i="51"/>
  <c r="G362" i="58" s="1"/>
  <c r="F230" i="51"/>
  <c r="F178" i="51"/>
  <c r="F16" i="51"/>
  <c r="G22" i="58" s="1"/>
  <c r="F151" i="51"/>
  <c r="F6" i="51"/>
  <c r="G11" i="58" s="1"/>
  <c r="F153" i="51"/>
  <c r="F100" i="51"/>
  <c r="G124" i="58" s="1"/>
  <c r="F8" i="51"/>
  <c r="G13" i="58" s="1"/>
  <c r="F101" i="51"/>
  <c r="F316" i="51"/>
  <c r="G394" i="58" s="1"/>
  <c r="F208" i="51"/>
  <c r="F160" i="51"/>
  <c r="F102" i="51"/>
  <c r="F53" i="51"/>
  <c r="F105" i="51"/>
  <c r="G129" i="58" s="1"/>
  <c r="BB835" i="20"/>
  <c r="Q197" i="20"/>
  <c r="BB826" i="20"/>
  <c r="Q205" i="20"/>
  <c r="BB831" i="20"/>
  <c r="Q200" i="20"/>
  <c r="BB834" i="20"/>
  <c r="Q203" i="20"/>
  <c r="BB832" i="20"/>
  <c r="Q206" i="20"/>
  <c r="BB833" i="20"/>
  <c r="Q201" i="20"/>
  <c r="Q154" i="20"/>
  <c r="BB829" i="20"/>
  <c r="Q204" i="20"/>
  <c r="Q160" i="20"/>
  <c r="BB830" i="20"/>
  <c r="Q202" i="20"/>
  <c r="G5" i="58"/>
  <c r="G273" i="58"/>
  <c r="G274" i="58"/>
  <c r="G298" i="58"/>
  <c r="G241" i="58"/>
  <c r="G327" i="58"/>
  <c r="G99" i="58"/>
  <c r="G57" i="58"/>
  <c r="G110" i="58"/>
  <c r="G79" i="58"/>
  <c r="G103" i="58"/>
  <c r="G174" i="58"/>
  <c r="G40" i="58"/>
  <c r="G158" i="58"/>
  <c r="G415" i="58"/>
  <c r="G207" i="58"/>
  <c r="G328" i="58"/>
  <c r="G413" i="58"/>
  <c r="G389" i="58"/>
  <c r="G347" i="58"/>
  <c r="G23" i="58"/>
  <c r="G36" i="58"/>
  <c r="G14" i="58"/>
  <c r="G123" i="58"/>
  <c r="G141" i="58"/>
  <c r="G159" i="58"/>
  <c r="G390" i="58"/>
  <c r="G446" i="58"/>
  <c r="G257" i="58"/>
  <c r="G318" i="58"/>
  <c r="G299" i="58"/>
  <c r="G140" i="58"/>
  <c r="G432" i="58"/>
  <c r="G306" i="58"/>
  <c r="G160" i="58"/>
  <c r="G125" i="58"/>
  <c r="G230" i="58"/>
  <c r="G248" i="58"/>
  <c r="G134" i="58"/>
  <c r="G282" i="58"/>
  <c r="G300" i="58"/>
  <c r="G407" i="58"/>
  <c r="G346" i="58"/>
  <c r="G121" i="58"/>
  <c r="G219" i="58"/>
  <c r="G397" i="58"/>
  <c r="G281" i="58"/>
  <c r="G387" i="58"/>
  <c r="G43" i="58"/>
  <c r="G218" i="58"/>
  <c r="G320" i="58"/>
  <c r="G443" i="58"/>
  <c r="G412" i="58"/>
  <c r="G217" i="58"/>
  <c r="G209" i="58"/>
  <c r="G98" i="58"/>
  <c r="G150" i="58"/>
  <c r="G275" i="58"/>
  <c r="G445" i="58"/>
  <c r="G398" i="58"/>
  <c r="G337" i="58"/>
  <c r="G348" i="58"/>
  <c r="G438" i="58"/>
  <c r="G416" i="58"/>
  <c r="G430" i="58"/>
  <c r="G406" i="58"/>
  <c r="G338" i="58"/>
  <c r="G279" i="58"/>
  <c r="G30" i="58"/>
  <c r="G74" i="58"/>
  <c r="G196" i="58"/>
  <c r="G157" i="58"/>
  <c r="G243" i="58"/>
  <c r="G201" i="58"/>
  <c r="G431" i="58"/>
  <c r="G166" i="58"/>
  <c r="G414" i="58"/>
  <c r="G408" i="58"/>
  <c r="G104" i="58"/>
  <c r="G310" i="58"/>
  <c r="G73" i="58"/>
  <c r="G142" i="58"/>
  <c r="G126" i="58"/>
  <c r="G269" i="58"/>
  <c r="G149" i="58"/>
  <c r="G249" i="58"/>
  <c r="G53" i="58"/>
  <c r="G301" i="58"/>
  <c r="G55" i="58"/>
  <c r="G286" i="58"/>
  <c r="G81" i="58"/>
  <c r="G288" i="58"/>
  <c r="G132" i="58"/>
  <c r="G240" i="58"/>
  <c r="G256" i="58"/>
  <c r="V29" i="21"/>
  <c r="W29" i="21" s="1"/>
  <c r="AM693" i="20"/>
  <c r="AM761" i="20"/>
  <c r="BW845" i="20"/>
  <c r="BZ864" i="20"/>
  <c r="R14" i="16"/>
  <c r="M16" i="16"/>
  <c r="P304" i="16"/>
  <c r="S250" i="16"/>
  <c r="P277" i="16"/>
  <c r="P222" i="16"/>
  <c r="AE228" i="16"/>
  <c r="AE310" i="16"/>
  <c r="AE283" i="16"/>
  <c r="AH256" i="16"/>
  <c r="G308" i="16"/>
  <c r="G281" i="16"/>
  <c r="G226" i="16"/>
  <c r="J254" i="16"/>
  <c r="R111" i="19"/>
  <c r="O30" i="16"/>
  <c r="J184" i="16"/>
  <c r="J181" i="16"/>
  <c r="J182" i="16" s="1"/>
  <c r="J122" i="16"/>
  <c r="J123" i="16" s="1"/>
  <c r="J125" i="16"/>
  <c r="G156" i="16"/>
  <c r="G200" i="16" s="1"/>
  <c r="G49" i="16" s="1"/>
  <c r="L49" i="16" s="1"/>
  <c r="G140" i="16"/>
  <c r="G37" i="16" s="1"/>
  <c r="L37" i="16" s="1"/>
  <c r="P100" i="19"/>
  <c r="P104" i="19"/>
  <c r="P107" i="19" s="1"/>
  <c r="S240" i="16"/>
  <c r="P294" i="16"/>
  <c r="P267" i="16"/>
  <c r="P212" i="16"/>
  <c r="P19" i="16" s="1"/>
  <c r="M207" i="16"/>
  <c r="M179" i="16"/>
  <c r="M133" i="16"/>
  <c r="M166" i="16"/>
  <c r="J361" i="16"/>
  <c r="M289" i="16"/>
  <c r="M235" i="16"/>
  <c r="M153" i="16"/>
  <c r="M262" i="16"/>
  <c r="M192" i="16"/>
  <c r="M31" i="16"/>
  <c r="R31" i="16" s="1"/>
  <c r="M81" i="16"/>
  <c r="M30" i="16"/>
  <c r="M107" i="16"/>
  <c r="M94" i="16"/>
  <c r="M120" i="16"/>
  <c r="M61" i="16"/>
  <c r="M53" i="16"/>
  <c r="M392" i="16" s="1"/>
  <c r="P11" i="16"/>
  <c r="G423" i="16"/>
  <c r="G426" i="16" s="1"/>
  <c r="J138" i="16"/>
  <c r="J135" i="16"/>
  <c r="J136" i="16" s="1"/>
  <c r="Q104" i="19"/>
  <c r="Q107" i="19" s="1"/>
  <c r="Q100" i="19"/>
  <c r="R99" i="19"/>
  <c r="J21" i="16"/>
  <c r="O16" i="16"/>
  <c r="G201" i="16"/>
  <c r="G141" i="16"/>
  <c r="G48" i="16" s="1"/>
  <c r="L48" i="16" s="1"/>
  <c r="V290" i="16"/>
  <c r="V263" i="16"/>
  <c r="V208" i="16"/>
  <c r="V12" i="16" s="1"/>
  <c r="Y236" i="16"/>
  <c r="J83" i="16"/>
  <c r="J84" i="16" s="1"/>
  <c r="J86" i="16"/>
  <c r="P293" i="16"/>
  <c r="S239" i="16"/>
  <c r="P266" i="16"/>
  <c r="P211" i="16"/>
  <c r="P18" i="16" s="1"/>
  <c r="G142" i="16"/>
  <c r="R23" i="16"/>
  <c r="S103" i="19"/>
  <c r="T105" i="19"/>
  <c r="U25" i="16"/>
  <c r="J112" i="16"/>
  <c r="J109" i="16"/>
  <c r="J110" i="16" s="1"/>
  <c r="J257" i="16"/>
  <c r="J256" i="16" s="1"/>
  <c r="J228" i="16" s="1"/>
  <c r="M257" i="16"/>
  <c r="J255" i="16"/>
  <c r="Y258" i="16"/>
  <c r="V312" i="16"/>
  <c r="V285" i="16"/>
  <c r="V230" i="16"/>
  <c r="S106" i="19"/>
  <c r="R24" i="16"/>
  <c r="S300" i="16"/>
  <c r="S273" i="16"/>
  <c r="S218" i="16"/>
  <c r="S25" i="16" s="1"/>
  <c r="V246" i="16"/>
  <c r="S102" i="19"/>
  <c r="R19" i="16"/>
  <c r="J99" i="16"/>
  <c r="J96" i="16"/>
  <c r="J97" i="16" s="1"/>
  <c r="J158" i="16"/>
  <c r="J155" i="16"/>
  <c r="S101" i="19"/>
  <c r="R18" i="16"/>
  <c r="P271" i="16"/>
  <c r="P216" i="16"/>
  <c r="P23" i="16" s="1"/>
  <c r="P298" i="16"/>
  <c r="S244" i="16"/>
  <c r="D251" i="16"/>
  <c r="D223" i="16" s="1"/>
  <c r="D35" i="16" s="1"/>
  <c r="F47" i="16"/>
  <c r="B50" i="16"/>
  <c r="B58" i="16" s="1"/>
  <c r="O119" i="19" s="1"/>
  <c r="B29" i="16"/>
  <c r="D278" i="16"/>
  <c r="D305" i="16"/>
  <c r="T40" i="16"/>
  <c r="T30" i="16"/>
  <c r="T18" i="16"/>
  <c r="X12" i="16"/>
  <c r="S57" i="16"/>
  <c r="S54" i="16"/>
  <c r="T38" i="16"/>
  <c r="T29" i="16"/>
  <c r="T16" i="16"/>
  <c r="T37" i="16"/>
  <c r="T27" i="16"/>
  <c r="T14" i="16"/>
  <c r="T46" i="16"/>
  <c r="T36" i="16"/>
  <c r="T25" i="16"/>
  <c r="T13" i="16"/>
  <c r="T44" i="16"/>
  <c r="T24" i="16"/>
  <c r="T12" i="16"/>
  <c r="U97" i="19"/>
  <c r="U98" i="19" s="1"/>
  <c r="T35" i="16"/>
  <c r="T23" i="16"/>
  <c r="T43" i="16"/>
  <c r="T33" i="16"/>
  <c r="T21" i="16"/>
  <c r="T41" i="16"/>
  <c r="T31" i="16"/>
  <c r="T19" i="16"/>
  <c r="P292" i="16"/>
  <c r="P265" i="16"/>
  <c r="S238" i="16"/>
  <c r="P210" i="16"/>
  <c r="O108" i="19"/>
  <c r="B55" i="16"/>
  <c r="B40" i="16"/>
  <c r="F35" i="16"/>
  <c r="P272" i="16"/>
  <c r="P217" i="16"/>
  <c r="P24" i="16" s="1"/>
  <c r="P299" i="16"/>
  <c r="S245" i="16"/>
  <c r="G229" i="16"/>
  <c r="G311" i="16"/>
  <c r="G284" i="16"/>
  <c r="J197" i="16"/>
  <c r="J194" i="16"/>
  <c r="J195" i="16" s="1"/>
  <c r="U13" i="16"/>
  <c r="P14" i="16"/>
  <c r="U14" i="16" s="1"/>
  <c r="T113" i="19"/>
  <c r="U43" i="16"/>
  <c r="D283" i="16"/>
  <c r="D27" i="16"/>
  <c r="I21" i="16"/>
  <c r="S270" i="16"/>
  <c r="V243" i="16"/>
  <c r="S215" i="16"/>
  <c r="S346" i="16" s="1"/>
  <c r="S297" i="16"/>
  <c r="G309" i="16"/>
  <c r="G282" i="16"/>
  <c r="G227" i="16"/>
  <c r="J168" i="16"/>
  <c r="J169" i="16" s="1"/>
  <c r="J171" i="16"/>
  <c r="P51" i="16"/>
  <c r="R51" i="16"/>
  <c r="G27" i="16"/>
  <c r="L21" i="16"/>
  <c r="G199" i="16"/>
  <c r="G38" i="16" s="1"/>
  <c r="L38" i="16" s="1"/>
  <c r="AB311" i="16"/>
  <c r="AO652" i="20"/>
  <c r="AN655" i="20"/>
  <c r="E565" i="20"/>
  <c r="E518" i="20"/>
  <c r="AN750" i="20"/>
  <c r="BJ837" i="20"/>
  <c r="BJ895" i="20" s="1"/>
  <c r="BJ757" i="20"/>
  <c r="Y566" i="20"/>
  <c r="Z472" i="20"/>
  <c r="Y519" i="20"/>
  <c r="Y419" i="20"/>
  <c r="D63" i="20"/>
  <c r="D62" i="20"/>
  <c r="D61" i="20"/>
  <c r="D60" i="20"/>
  <c r="D66" i="20"/>
  <c r="D65" i="20"/>
  <c r="D67" i="20"/>
  <c r="C70" i="20"/>
  <c r="W125" i="20"/>
  <c r="W126" i="20"/>
  <c r="AF478" i="20"/>
  <c r="AE431" i="20"/>
  <c r="AO679" i="20"/>
  <c r="X124" i="20"/>
  <c r="Y123" i="20"/>
  <c r="BK666" i="20"/>
  <c r="Z208" i="20"/>
  <c r="AA77" i="20"/>
  <c r="J124" i="21"/>
  <c r="K123" i="21"/>
  <c r="I126" i="21"/>
  <c r="I125" i="21"/>
  <c r="R942" i="20" l="1"/>
  <c r="P949" i="20"/>
  <c r="B234" i="21"/>
  <c r="B226" i="21"/>
  <c r="D6" i="3"/>
  <c r="F6" i="3"/>
  <c r="B6" i="3"/>
  <c r="E6" i="3"/>
  <c r="A6" i="3"/>
  <c r="D48" i="22"/>
  <c r="D11" i="22"/>
  <c r="F10" i="3"/>
  <c r="E10" i="3"/>
  <c r="A10" i="3"/>
  <c r="B10" i="3"/>
  <c r="D10" i="3"/>
  <c r="F9" i="3"/>
  <c r="B9" i="3"/>
  <c r="A9" i="3"/>
  <c r="D9" i="3"/>
  <c r="E9" i="3"/>
  <c r="AY763" i="20"/>
  <c r="CA846" i="20"/>
  <c r="CA893" i="20"/>
  <c r="AY696" i="20"/>
  <c r="CA865" i="20"/>
  <c r="P942" i="20"/>
  <c r="R937" i="20" s="1"/>
  <c r="I390" i="51"/>
  <c r="R949" i="20"/>
  <c r="S301" i="16"/>
  <c r="V247" i="16"/>
  <c r="S274" i="16"/>
  <c r="S219" i="16"/>
  <c r="S43" i="16" s="1"/>
  <c r="I383" i="51"/>
  <c r="A2" i="3"/>
  <c r="F2" i="3"/>
  <c r="B2" i="3"/>
  <c r="D2" i="3"/>
  <c r="E2" i="3"/>
  <c r="Q944" i="20"/>
  <c r="S209" i="16"/>
  <c r="S13" i="16" s="1"/>
  <c r="S291" i="16"/>
  <c r="S264" i="16"/>
  <c r="V237" i="16"/>
  <c r="F7" i="3"/>
  <c r="D7" i="3"/>
  <c r="A7" i="3"/>
  <c r="E7" i="3"/>
  <c r="B7" i="3"/>
  <c r="E48" i="22"/>
  <c r="E11" i="22"/>
  <c r="N602" i="20"/>
  <c r="N594" i="20"/>
  <c r="N586" i="20"/>
  <c r="N578" i="20"/>
  <c r="G134" i="21"/>
  <c r="G218" i="21"/>
  <c r="G112" i="21"/>
  <c r="T951" i="20"/>
  <c r="T428" i="20"/>
  <c r="T345" i="20"/>
  <c r="G76" i="22"/>
  <c r="T134" i="20"/>
  <c r="BE583" i="20"/>
  <c r="T938" i="20"/>
  <c r="T422" i="20"/>
  <c r="T311" i="20"/>
  <c r="U15" i="20"/>
  <c r="P76" i="22"/>
  <c r="T385" i="20"/>
  <c r="T351" i="20"/>
  <c r="T218" i="20"/>
  <c r="E15" i="21"/>
  <c r="I913" i="20"/>
  <c r="T259" i="20"/>
  <c r="T946" i="20"/>
  <c r="T270" i="20"/>
  <c r="T112" i="20"/>
  <c r="E112" i="21" s="1"/>
  <c r="S941" i="20"/>
  <c r="S940" i="20"/>
  <c r="I4" i="23"/>
  <c r="O4" i="23" s="1"/>
  <c r="Q15" i="20"/>
  <c r="CL38" i="19"/>
  <c r="M17" i="23"/>
  <c r="M16" i="23" s="1"/>
  <c r="M15" i="23" s="1"/>
  <c r="M14" i="23" s="1"/>
  <c r="M13" i="23" s="1"/>
  <c r="H4" i="58"/>
  <c r="AL51" i="19"/>
  <c r="CA38" i="19"/>
  <c r="CF38" i="19" s="1"/>
  <c r="N4" i="23"/>
  <c r="F8" i="3"/>
  <c r="A8" i="3"/>
  <c r="D8" i="3"/>
  <c r="E8" i="3"/>
  <c r="B8" i="3"/>
  <c r="I8" i="58"/>
  <c r="K16" i="20"/>
  <c r="I381" i="51"/>
  <c r="I392" i="51"/>
  <c r="E4" i="3"/>
  <c r="F4" i="3"/>
  <c r="B4" i="3"/>
  <c r="D4" i="3"/>
  <c r="A4" i="3"/>
  <c r="I386" i="51"/>
  <c r="S948" i="20"/>
  <c r="S947" i="20"/>
  <c r="N522" i="20"/>
  <c r="N569" i="20"/>
  <c r="N475" i="20"/>
  <c r="E6" i="22"/>
  <c r="E8" i="58"/>
  <c r="K4" i="23"/>
  <c r="E16" i="20"/>
  <c r="B86" i="22" s="1"/>
  <c r="K6" i="22" s="1"/>
  <c r="E5" i="3"/>
  <c r="F5" i="3"/>
  <c r="B5" i="3"/>
  <c r="A5" i="3"/>
  <c r="D5" i="3"/>
  <c r="C103" i="22"/>
  <c r="C49" i="22"/>
  <c r="C111" i="22"/>
  <c r="AK42" i="51"/>
  <c r="AK40" i="51"/>
  <c r="AK54" i="51"/>
  <c r="AK46" i="51"/>
  <c r="AK55" i="51"/>
  <c r="AK52" i="51"/>
  <c r="AK53" i="51"/>
  <c r="AK39" i="51"/>
  <c r="AK59" i="51"/>
  <c r="AK44" i="51"/>
  <c r="AK47" i="51"/>
  <c r="AK41" i="51"/>
  <c r="AK51" i="51"/>
  <c r="AK45" i="51"/>
  <c r="AK48" i="51"/>
  <c r="AK56" i="51"/>
  <c r="AK57" i="51"/>
  <c r="AK50" i="51"/>
  <c r="AK58" i="51"/>
  <c r="E11" i="3"/>
  <c r="F11" i="3"/>
  <c r="B11" i="3"/>
  <c r="D11" i="3"/>
  <c r="A11" i="3"/>
  <c r="A3" i="3"/>
  <c r="D3" i="3"/>
  <c r="E3" i="3"/>
  <c r="B3" i="3"/>
  <c r="F3" i="3"/>
  <c r="F8" i="58"/>
  <c r="L4" i="23"/>
  <c r="H16" i="20"/>
  <c r="B87" i="22" s="1"/>
  <c r="L6" i="22" s="1"/>
  <c r="F5" i="51"/>
  <c r="G6" i="58"/>
  <c r="G7" i="23"/>
  <c r="D121" i="22"/>
  <c r="D122" i="22" s="1"/>
  <c r="G369" i="58"/>
  <c r="N69" i="20"/>
  <c r="N36" i="20"/>
  <c r="G189" i="58"/>
  <c r="G353" i="58"/>
  <c r="N66" i="20"/>
  <c r="N88" i="20"/>
  <c r="G450" i="58"/>
  <c r="G26" i="23"/>
  <c r="G26" i="58" s="1"/>
  <c r="G18" i="58"/>
  <c r="G370" i="58"/>
  <c r="G373" i="23"/>
  <c r="G214" i="23"/>
  <c r="G214" i="58" s="1"/>
  <c r="G199" i="58"/>
  <c r="N38" i="20"/>
  <c r="G191" i="58"/>
  <c r="G228" i="58"/>
  <c r="G234" i="23"/>
  <c r="N20" i="20"/>
  <c r="G32" i="58"/>
  <c r="N82" i="20"/>
  <c r="G427" i="58"/>
  <c r="N29" i="20"/>
  <c r="G109" i="58"/>
  <c r="G258" i="58"/>
  <c r="CK47" i="19"/>
  <c r="BZ45" i="19"/>
  <c r="CE45" i="19" s="1"/>
  <c r="G31" i="58"/>
  <c r="BZ57" i="19"/>
  <c r="CE57" i="19" s="1"/>
  <c r="G161" i="58"/>
  <c r="G181" i="58"/>
  <c r="G184" i="23"/>
  <c r="G184" i="58" s="1"/>
  <c r="G253" i="23"/>
  <c r="G247" i="58"/>
  <c r="G245" i="23"/>
  <c r="G236" i="58"/>
  <c r="G135" i="23"/>
  <c r="G115" i="58"/>
  <c r="G260" i="23"/>
  <c r="G255" i="58"/>
  <c r="BZ43" i="19"/>
  <c r="CE43" i="19" s="1"/>
  <c r="G24" i="58"/>
  <c r="G49" i="23"/>
  <c r="BZ47" i="19"/>
  <c r="CE47" i="19" s="1"/>
  <c r="G35" i="58"/>
  <c r="BZ59" i="19"/>
  <c r="CE59" i="19" s="1"/>
  <c r="G144" i="58"/>
  <c r="G303" i="23"/>
  <c r="G297" i="58"/>
  <c r="G76" i="23"/>
  <c r="G66" i="58"/>
  <c r="G192" i="23"/>
  <c r="CK41" i="19"/>
  <c r="N37" i="20"/>
  <c r="G190" i="58"/>
  <c r="G314" i="23"/>
  <c r="G305" i="58"/>
  <c r="G170" i="23"/>
  <c r="G170" i="58" s="1"/>
  <c r="G165" i="58"/>
  <c r="G226" i="23"/>
  <c r="G216" i="58"/>
  <c r="BZ46" i="19"/>
  <c r="CE46" i="19" s="1"/>
  <c r="G47" i="58"/>
  <c r="N54" i="20"/>
  <c r="G277" i="58"/>
  <c r="BZ53" i="19"/>
  <c r="CE53" i="19" s="1"/>
  <c r="G94" i="58"/>
  <c r="N72" i="20"/>
  <c r="G382" i="58"/>
  <c r="G418" i="23"/>
  <c r="G418" i="58" s="1"/>
  <c r="G403" i="58"/>
  <c r="G344" i="58"/>
  <c r="G350" i="23"/>
  <c r="G381" i="58"/>
  <c r="G384" i="23"/>
  <c r="N71" i="20"/>
  <c r="N90" i="20"/>
  <c r="G383" i="58"/>
  <c r="BZ62" i="19"/>
  <c r="CE62" i="19" s="1"/>
  <c r="G117" i="58"/>
  <c r="G176" i="23"/>
  <c r="G172" i="58"/>
  <c r="G266" i="23"/>
  <c r="N49" i="20"/>
  <c r="G264" i="58"/>
  <c r="N81" i="20"/>
  <c r="G421" i="58"/>
  <c r="G433" i="23"/>
  <c r="G433" i="58" s="1"/>
  <c r="G336" i="58"/>
  <c r="G342" i="23"/>
  <c r="G78" i="58"/>
  <c r="G84" i="23"/>
  <c r="G84" i="58" s="1"/>
  <c r="N45" i="20"/>
  <c r="G206" i="58"/>
  <c r="G51" i="58"/>
  <c r="G64" i="23"/>
  <c r="G28" i="58"/>
  <c r="G33" i="23"/>
  <c r="G265" i="58"/>
  <c r="N50" i="20"/>
  <c r="G182" i="58"/>
  <c r="G447" i="23"/>
  <c r="G447" i="58" s="1"/>
  <c r="N76" i="20"/>
  <c r="G435" i="58"/>
  <c r="G88" i="58"/>
  <c r="N86" i="20"/>
  <c r="G442" i="58"/>
  <c r="G322" i="23"/>
  <c r="G322" i="58" s="1"/>
  <c r="G316" i="58"/>
  <c r="G355" i="23"/>
  <c r="G355" i="58" s="1"/>
  <c r="N62" i="20"/>
  <c r="G352" i="58"/>
  <c r="G386" i="58"/>
  <c r="G401" i="23"/>
  <c r="G152" i="58"/>
  <c r="BZ60" i="19"/>
  <c r="CE60" i="19" s="1"/>
  <c r="CK45" i="19"/>
  <c r="G232" i="58"/>
  <c r="N84" i="20"/>
  <c r="G425" i="58"/>
  <c r="G96" i="58"/>
  <c r="BZ55" i="19"/>
  <c r="CE55" i="19" s="1"/>
  <c r="N22" i="20"/>
  <c r="G63" i="58"/>
  <c r="G285" i="58"/>
  <c r="G295" i="23"/>
  <c r="N78" i="20"/>
  <c r="G422" i="58"/>
  <c r="N83" i="20"/>
  <c r="G429" i="58"/>
  <c r="G154" i="23"/>
  <c r="G148" i="58"/>
  <c r="G146" i="23"/>
  <c r="G137" i="58"/>
  <c r="G357" i="58"/>
  <c r="G361" i="23"/>
  <c r="CK42" i="19"/>
  <c r="G195" i="58"/>
  <c r="N23" i="20"/>
  <c r="G37" i="58"/>
  <c r="CK43" i="19"/>
  <c r="G212" i="58"/>
  <c r="N85" i="20"/>
  <c r="G423" i="58"/>
  <c r="G283" i="23"/>
  <c r="G268" i="58"/>
  <c r="G62" i="58"/>
  <c r="BZ44" i="19"/>
  <c r="CE44" i="19" s="1"/>
  <c r="G12" i="58"/>
  <c r="G16" i="23"/>
  <c r="BZ42" i="19"/>
  <c r="G113" i="23"/>
  <c r="G93" i="58"/>
  <c r="N53" i="20"/>
  <c r="G308" i="58"/>
  <c r="X29" i="21"/>
  <c r="W32" i="21"/>
  <c r="G16" i="21" s="1"/>
  <c r="X30" i="21"/>
  <c r="X31" i="21" s="1"/>
  <c r="H15" i="21" s="1"/>
  <c r="BZ54" i="19"/>
  <c r="CE54" i="19" s="1"/>
  <c r="G95" i="58"/>
  <c r="G329" i="23"/>
  <c r="G329" i="58" s="1"/>
  <c r="G325" i="58"/>
  <c r="G194" i="58"/>
  <c r="G197" i="23"/>
  <c r="G86" i="58"/>
  <c r="G163" i="23"/>
  <c r="G156" i="58"/>
  <c r="J156" i="16"/>
  <c r="B59" i="16"/>
  <c r="O118" i="19" s="1"/>
  <c r="J141" i="16"/>
  <c r="J48" i="16" s="1"/>
  <c r="O48" i="16" s="1"/>
  <c r="I35" i="16"/>
  <c r="P108" i="19"/>
  <c r="D55" i="16"/>
  <c r="W35" i="16"/>
  <c r="W23" i="16"/>
  <c r="W43" i="16"/>
  <c r="W33" i="16"/>
  <c r="W21" i="16"/>
  <c r="V57" i="16"/>
  <c r="V54" i="16"/>
  <c r="W41" i="16"/>
  <c r="W31" i="16"/>
  <c r="W19" i="16"/>
  <c r="W40" i="16"/>
  <c r="W30" i="16"/>
  <c r="W18" i="16"/>
  <c r="AA12" i="16"/>
  <c r="W38" i="16"/>
  <c r="W29" i="16"/>
  <c r="W16" i="16"/>
  <c r="W37" i="16"/>
  <c r="W27" i="16"/>
  <c r="W14" i="16"/>
  <c r="V97" i="19"/>
  <c r="V98" i="19" s="1"/>
  <c r="W46" i="16"/>
  <c r="W36" i="16"/>
  <c r="W25" i="16"/>
  <c r="W13" i="16"/>
  <c r="W44" i="16"/>
  <c r="W24" i="16"/>
  <c r="W12" i="16"/>
  <c r="L27" i="16"/>
  <c r="J284" i="16"/>
  <c r="J283" i="16" s="1"/>
  <c r="M256" i="16"/>
  <c r="M228" i="16" s="1"/>
  <c r="J229" i="16"/>
  <c r="J311" i="16"/>
  <c r="J310" i="16" s="1"/>
  <c r="P257" i="16"/>
  <c r="M284" i="16"/>
  <c r="P284" i="16" s="1"/>
  <c r="S284" i="16" s="1"/>
  <c r="V284" i="16" s="1"/>
  <c r="Y284" i="16" s="1"/>
  <c r="AB284" i="16" s="1"/>
  <c r="AE284" i="16" s="1"/>
  <c r="M229" i="16"/>
  <c r="M311" i="16"/>
  <c r="P311" i="16" s="1"/>
  <c r="S311" i="16" s="1"/>
  <c r="V311" i="16" s="1"/>
  <c r="M197" i="16"/>
  <c r="M194" i="16"/>
  <c r="M195" i="16" s="1"/>
  <c r="M181" i="16"/>
  <c r="M182" i="16" s="1"/>
  <c r="M184" i="16"/>
  <c r="S99" i="19"/>
  <c r="M21" i="16"/>
  <c r="R16" i="16"/>
  <c r="P16" i="16"/>
  <c r="J142" i="16"/>
  <c r="I27" i="16"/>
  <c r="T106" i="19"/>
  <c r="U24" i="16"/>
  <c r="J227" i="16"/>
  <c r="J309" i="16"/>
  <c r="J282" i="16"/>
  <c r="P262" i="16"/>
  <c r="P192" i="16"/>
  <c r="P207" i="16"/>
  <c r="P179" i="16"/>
  <c r="P166" i="16"/>
  <c r="P120" i="16"/>
  <c r="J362" i="16"/>
  <c r="P289" i="16"/>
  <c r="P235" i="16"/>
  <c r="P153" i="16"/>
  <c r="P61" i="16"/>
  <c r="P53" i="16"/>
  <c r="P392" i="16" s="1"/>
  <c r="S11" i="16"/>
  <c r="P81" i="16"/>
  <c r="P133" i="16"/>
  <c r="P31" i="16"/>
  <c r="U31" i="16" s="1"/>
  <c r="P30" i="16"/>
  <c r="P107" i="16"/>
  <c r="P94" i="16"/>
  <c r="H423" i="16"/>
  <c r="H426" i="16" s="1"/>
  <c r="M135" i="16"/>
  <c r="M136" i="16" s="1"/>
  <c r="M138" i="16"/>
  <c r="S292" i="16"/>
  <c r="S265" i="16"/>
  <c r="V238" i="16"/>
  <c r="S210" i="16"/>
  <c r="S14" i="16" s="1"/>
  <c r="X14" i="16" s="1"/>
  <c r="X13" i="16"/>
  <c r="Y230" i="16"/>
  <c r="AB258" i="16"/>
  <c r="Y312" i="16"/>
  <c r="Y285" i="16"/>
  <c r="S293" i="16"/>
  <c r="V239" i="16"/>
  <c r="S266" i="16"/>
  <c r="S211" i="16"/>
  <c r="S18" i="16" s="1"/>
  <c r="M83" i="16"/>
  <c r="M84" i="16" s="1"/>
  <c r="M86" i="16"/>
  <c r="M171" i="16"/>
  <c r="M168" i="16"/>
  <c r="M169" i="16" s="1"/>
  <c r="AH228" i="16"/>
  <c r="AH310" i="16"/>
  <c r="AH283" i="16"/>
  <c r="AK256" i="16"/>
  <c r="J201" i="16"/>
  <c r="S272" i="16"/>
  <c r="S217" i="16"/>
  <c r="S24" i="16" s="1"/>
  <c r="S299" i="16"/>
  <c r="V245" i="16"/>
  <c r="U105" i="19"/>
  <c r="X25" i="16"/>
  <c r="S111" i="19"/>
  <c r="R30" i="16"/>
  <c r="V240" i="16"/>
  <c r="S294" i="16"/>
  <c r="S267" i="16"/>
  <c r="S212" i="16"/>
  <c r="S19" i="16" s="1"/>
  <c r="AE311" i="16"/>
  <c r="AH311" i="16" s="1"/>
  <c r="J199" i="16"/>
  <c r="J38" i="16" s="1"/>
  <c r="O38" i="16" s="1"/>
  <c r="V270" i="16"/>
  <c r="Y243" i="16"/>
  <c r="V215" i="16"/>
  <c r="V346" i="16" s="1"/>
  <c r="V297" i="16"/>
  <c r="X43" i="16"/>
  <c r="U113" i="19"/>
  <c r="O117" i="19"/>
  <c r="F50" i="16"/>
  <c r="T103" i="19"/>
  <c r="U23" i="16"/>
  <c r="V300" i="16"/>
  <c r="V273" i="16"/>
  <c r="V218" i="16"/>
  <c r="V25" i="16" s="1"/>
  <c r="Y246" i="16"/>
  <c r="U18" i="16"/>
  <c r="T101" i="19"/>
  <c r="R104" i="19"/>
  <c r="R107" i="19" s="1"/>
  <c r="R100" i="19"/>
  <c r="M112" i="16"/>
  <c r="M109" i="16"/>
  <c r="M110" i="16" s="1"/>
  <c r="S304" i="16"/>
  <c r="V250" i="16"/>
  <c r="S277" i="16"/>
  <c r="S222" i="16"/>
  <c r="J200" i="16"/>
  <c r="J49" i="16" s="1"/>
  <c r="O49" i="16" s="1"/>
  <c r="U51" i="16"/>
  <c r="S51" i="16"/>
  <c r="O110" i="19"/>
  <c r="O112" i="19" s="1"/>
  <c r="O114" i="19" s="1"/>
  <c r="O116" i="19" s="1"/>
  <c r="P115" i="19" s="1"/>
  <c r="F29" i="16"/>
  <c r="B33" i="16"/>
  <c r="AB236" i="16"/>
  <c r="Y290" i="16"/>
  <c r="Y263" i="16"/>
  <c r="Y208" i="16"/>
  <c r="Y12" i="16" s="1"/>
  <c r="J27" i="16"/>
  <c r="O21" i="16"/>
  <c r="M99" i="16"/>
  <c r="M96" i="16"/>
  <c r="M97" i="16" s="1"/>
  <c r="G310" i="16"/>
  <c r="M255" i="16"/>
  <c r="F40" i="16"/>
  <c r="B56" i="16"/>
  <c r="O120" i="19" s="1"/>
  <c r="V244" i="16"/>
  <c r="S271" i="16"/>
  <c r="S216" i="16"/>
  <c r="S23" i="16" s="1"/>
  <c r="S298" i="16"/>
  <c r="M125" i="16"/>
  <c r="M122" i="16"/>
  <c r="M123" i="16" s="1"/>
  <c r="M158" i="16"/>
  <c r="M155" i="16"/>
  <c r="U19" i="16"/>
  <c r="T102" i="19"/>
  <c r="M254" i="16"/>
  <c r="J308" i="16"/>
  <c r="J281" i="16"/>
  <c r="J226" i="16"/>
  <c r="G283" i="16"/>
  <c r="J140" i="16"/>
  <c r="J37" i="16" s="1"/>
  <c r="O37" i="16" s="1"/>
  <c r="X126" i="20"/>
  <c r="X125" i="20"/>
  <c r="Z566" i="20"/>
  <c r="AA472" i="20"/>
  <c r="Z519" i="20"/>
  <c r="Z419" i="20"/>
  <c r="Z123" i="20"/>
  <c r="Y124" i="20"/>
  <c r="BK837" i="20"/>
  <c r="BK895" i="20" s="1"/>
  <c r="BK757" i="20"/>
  <c r="BL666" i="20"/>
  <c r="AA208" i="20"/>
  <c r="AB77" i="20"/>
  <c r="AG478" i="20"/>
  <c r="AF431" i="20"/>
  <c r="AN709" i="20"/>
  <c r="AN710" i="20" s="1"/>
  <c r="AN745" i="20"/>
  <c r="AN708" i="20"/>
  <c r="AO655" i="20"/>
  <c r="AN658" i="20"/>
  <c r="AO650" i="20"/>
  <c r="AO648" i="20"/>
  <c r="AO654" i="20"/>
  <c r="AO651" i="20"/>
  <c r="AO653" i="20"/>
  <c r="AO649" i="20"/>
  <c r="K124" i="21"/>
  <c r="L123" i="21"/>
  <c r="J126" i="21"/>
  <c r="J125" i="21"/>
  <c r="D12" i="22" l="1"/>
  <c r="Q6" i="22"/>
  <c r="AH284" i="16"/>
  <c r="H4" i="51"/>
  <c r="G1" i="53"/>
  <c r="E4" i="51"/>
  <c r="E1" i="53"/>
  <c r="D4" i="51"/>
  <c r="D1" i="53"/>
  <c r="B88" i="22"/>
  <c r="E142" i="19"/>
  <c r="E48" i="19"/>
  <c r="G4" i="51"/>
  <c r="H1" i="53"/>
  <c r="S942" i="20"/>
  <c r="T941" i="20"/>
  <c r="T940" i="20"/>
  <c r="E49" i="19"/>
  <c r="E143" i="19"/>
  <c r="D111" i="22"/>
  <c r="D103" i="22"/>
  <c r="D49" i="22"/>
  <c r="E218" i="21"/>
  <c r="T234" i="20"/>
  <c r="E234" i="21" s="1"/>
  <c r="G234" i="21" s="1"/>
  <c r="U951" i="20"/>
  <c r="U938" i="20"/>
  <c r="U422" i="20"/>
  <c r="U345" i="20"/>
  <c r="V15" i="20"/>
  <c r="V951" i="20" s="1"/>
  <c r="U311" i="20"/>
  <c r="BF583" i="20"/>
  <c r="U351" i="20"/>
  <c r="U218" i="20"/>
  <c r="U234" i="20" s="1"/>
  <c r="U134" i="20"/>
  <c r="U160" i="20" s="1"/>
  <c r="U385" i="20"/>
  <c r="U955" i="20"/>
  <c r="U958" i="20" s="1"/>
  <c r="U428" i="20"/>
  <c r="U259" i="20"/>
  <c r="U270" i="20"/>
  <c r="I914" i="20"/>
  <c r="U112" i="20"/>
  <c r="V955" i="20"/>
  <c r="V958" i="20" s="1"/>
  <c r="CC865" i="20"/>
  <c r="BE696" i="20"/>
  <c r="CC846" i="20"/>
  <c r="BE763" i="20"/>
  <c r="CC893" i="20"/>
  <c r="T475" i="20"/>
  <c r="T569" i="20"/>
  <c r="T522" i="20"/>
  <c r="S949" i="20"/>
  <c r="Q438" i="20"/>
  <c r="Q953" i="20"/>
  <c r="Q112" i="20"/>
  <c r="Q259" i="20"/>
  <c r="Q345" i="20"/>
  <c r="Q428" i="20"/>
  <c r="Q218" i="20"/>
  <c r="Q422" i="20"/>
  <c r="Q134" i="20"/>
  <c r="O76" i="22"/>
  <c r="BB583" i="20"/>
  <c r="Q270" i="20"/>
  <c r="A90" i="22"/>
  <c r="M63" i="22" s="1"/>
  <c r="Q247" i="20"/>
  <c r="Q238" i="20"/>
  <c r="Q485" i="20"/>
  <c r="Q532" i="20"/>
  <c r="F76" i="22"/>
  <c r="E914" i="20"/>
  <c r="U946" i="20"/>
  <c r="T371" i="20"/>
  <c r="T377" i="20" s="1"/>
  <c r="T361" i="20"/>
  <c r="T367" i="20" s="1"/>
  <c r="T260" i="20"/>
  <c r="T248" i="20"/>
  <c r="T357" i="20"/>
  <c r="T382" i="20" s="1"/>
  <c r="T317" i="20"/>
  <c r="T331" i="20"/>
  <c r="T337" i="20" s="1"/>
  <c r="T321" i="20"/>
  <c r="T327" i="20" s="1"/>
  <c r="E134" i="21"/>
  <c r="T160" i="20"/>
  <c r="E160" i="21" s="1"/>
  <c r="G160" i="21" s="1"/>
  <c r="E103" i="22"/>
  <c r="E49" i="22"/>
  <c r="E111" i="22"/>
  <c r="Y237" i="16"/>
  <c r="V291" i="16"/>
  <c r="V264" i="16"/>
  <c r="V209" i="16"/>
  <c r="V13" i="16" s="1"/>
  <c r="C12" i="22"/>
  <c r="P6" i="22"/>
  <c r="I4" i="58"/>
  <c r="CB38" i="19"/>
  <c r="CG38" i="19" s="1"/>
  <c r="CM38" i="19"/>
  <c r="K15" i="20"/>
  <c r="B226" i="20" s="1"/>
  <c r="AM51" i="19"/>
  <c r="T438" i="20"/>
  <c r="T247" i="20"/>
  <c r="T532" i="20"/>
  <c r="T485" i="20"/>
  <c r="T602" i="20"/>
  <c r="T578" i="20"/>
  <c r="T586" i="20"/>
  <c r="T594" i="20"/>
  <c r="V301" i="16"/>
  <c r="V274" i="16"/>
  <c r="Y247" i="16"/>
  <c r="V219" i="16"/>
  <c r="V43" i="16" s="1"/>
  <c r="G7" i="58"/>
  <c r="N17" i="20"/>
  <c r="C69" i="21"/>
  <c r="AY657" i="20"/>
  <c r="AY619" i="20"/>
  <c r="C36" i="21"/>
  <c r="G90" i="23"/>
  <c r="G90" i="58" s="1"/>
  <c r="AY667" i="20"/>
  <c r="N179" i="20"/>
  <c r="C179" i="21" s="1"/>
  <c r="C78" i="21"/>
  <c r="O78" i="20"/>
  <c r="M20" i="22"/>
  <c r="AY673" i="20"/>
  <c r="N178" i="20"/>
  <c r="C178" i="21" s="1"/>
  <c r="C84" i="21"/>
  <c r="O84" i="20"/>
  <c r="AY650" i="20"/>
  <c r="N222" i="20"/>
  <c r="C222" i="21" s="1"/>
  <c r="C62" i="21"/>
  <c r="C54" i="21"/>
  <c r="AY639" i="20"/>
  <c r="N47" i="20"/>
  <c r="G260" i="58"/>
  <c r="G234" i="58"/>
  <c r="N41" i="20"/>
  <c r="N65" i="20"/>
  <c r="G361" i="58"/>
  <c r="AY634" i="20"/>
  <c r="N263" i="20"/>
  <c r="C50" i="21"/>
  <c r="G176" i="58"/>
  <c r="N33" i="20"/>
  <c r="G350" i="58"/>
  <c r="N61" i="20"/>
  <c r="G314" i="58"/>
  <c r="N56" i="20"/>
  <c r="N52" i="20"/>
  <c r="G303" i="58"/>
  <c r="AY588" i="20"/>
  <c r="C20" i="21"/>
  <c r="N44" i="20"/>
  <c r="N40" i="20"/>
  <c r="G197" i="58"/>
  <c r="G16" i="58"/>
  <c r="N18" i="20"/>
  <c r="AY672" i="20"/>
  <c r="N177" i="20"/>
  <c r="C177" i="21" s="1"/>
  <c r="C83" i="21"/>
  <c r="O83" i="20"/>
  <c r="AY628" i="20"/>
  <c r="C45" i="21"/>
  <c r="N43" i="20"/>
  <c r="G253" i="58"/>
  <c r="G373" i="58"/>
  <c r="N68" i="20"/>
  <c r="Y30" i="21"/>
  <c r="Y31" i="21" s="1"/>
  <c r="I15" i="21" s="1"/>
  <c r="Y29" i="21"/>
  <c r="X32" i="21"/>
  <c r="H16" i="21" s="1"/>
  <c r="BZ49" i="19"/>
  <c r="BZ50" i="19" s="1"/>
  <c r="CE42" i="19"/>
  <c r="AY674" i="20"/>
  <c r="O85" i="20"/>
  <c r="C85" i="21"/>
  <c r="G401" i="58"/>
  <c r="N74" i="20"/>
  <c r="N441" i="20" s="1"/>
  <c r="AY675" i="20"/>
  <c r="O86" i="20"/>
  <c r="C86" i="21"/>
  <c r="G330" i="23"/>
  <c r="G330" i="58" s="1"/>
  <c r="G266" i="58"/>
  <c r="G384" i="58"/>
  <c r="G419" i="23"/>
  <c r="G76" i="58"/>
  <c r="AY671" i="20"/>
  <c r="N176" i="20"/>
  <c r="C176" i="21" s="1"/>
  <c r="C82" i="21"/>
  <c r="O82" i="20"/>
  <c r="N28" i="20"/>
  <c r="G177" i="23"/>
  <c r="G177" i="58" s="1"/>
  <c r="BZ61" i="19"/>
  <c r="CE61" i="19" s="1"/>
  <c r="BZ63" i="19"/>
  <c r="CE63" i="19" s="1"/>
  <c r="G113" i="58"/>
  <c r="N31" i="20"/>
  <c r="G154" i="58"/>
  <c r="AY591" i="20"/>
  <c r="C22" i="21"/>
  <c r="G448" i="58"/>
  <c r="N77" i="20"/>
  <c r="M53" i="22"/>
  <c r="AY633" i="20"/>
  <c r="N251" i="20"/>
  <c r="C49" i="21"/>
  <c r="N468" i="20"/>
  <c r="N453" i="20"/>
  <c r="C71" i="21"/>
  <c r="N447" i="20"/>
  <c r="N460" i="20"/>
  <c r="T271" i="20"/>
  <c r="E77" i="22"/>
  <c r="N73" i="20"/>
  <c r="N440" i="20" s="1"/>
  <c r="N449" i="20"/>
  <c r="O79" i="20"/>
  <c r="O92" i="20"/>
  <c r="N454" i="20"/>
  <c r="AY660" i="20"/>
  <c r="O71" i="20"/>
  <c r="O80" i="20"/>
  <c r="N444" i="20"/>
  <c r="O91" i="20"/>
  <c r="N448" i="20"/>
  <c r="N445" i="20"/>
  <c r="N446" i="20"/>
  <c r="M9" i="22"/>
  <c r="AY661" i="20"/>
  <c r="C72" i="21"/>
  <c r="O72" i="20"/>
  <c r="G226" i="58"/>
  <c r="N42" i="20"/>
  <c r="G49" i="58"/>
  <c r="N24" i="20"/>
  <c r="CK46" i="19"/>
  <c r="CK51" i="19" s="1"/>
  <c r="CK54" i="19" s="1"/>
  <c r="N46" i="20"/>
  <c r="G245" i="58"/>
  <c r="AY654" i="20"/>
  <c r="N224" i="20"/>
  <c r="C224" i="21" s="1"/>
  <c r="C66" i="21"/>
  <c r="N30" i="20"/>
  <c r="G163" i="58"/>
  <c r="H218" i="21"/>
  <c r="H234" i="21" s="1"/>
  <c r="H112" i="21"/>
  <c r="H134" i="21"/>
  <c r="G283" i="58"/>
  <c r="N57" i="20"/>
  <c r="AY665" i="20"/>
  <c r="O76" i="20"/>
  <c r="C76" i="21"/>
  <c r="N155" i="20"/>
  <c r="N21" i="20"/>
  <c r="G64" i="58"/>
  <c r="G456" i="23"/>
  <c r="AY680" i="20"/>
  <c r="N195" i="20"/>
  <c r="C195" i="21" s="1"/>
  <c r="N137" i="20"/>
  <c r="C137" i="21" s="1"/>
  <c r="C90" i="21"/>
  <c r="O90" i="20"/>
  <c r="G261" i="23"/>
  <c r="G192" i="58"/>
  <c r="AY621" i="20"/>
  <c r="N262" i="20"/>
  <c r="C38" i="21"/>
  <c r="Q139" i="20"/>
  <c r="O88" i="20"/>
  <c r="T139" i="20"/>
  <c r="E139" i="21" s="1"/>
  <c r="G139" i="21" s="1"/>
  <c r="C88" i="21"/>
  <c r="AY678" i="20"/>
  <c r="C53" i="21"/>
  <c r="AY637" i="20"/>
  <c r="N27" i="20"/>
  <c r="G146" i="58"/>
  <c r="N60" i="20"/>
  <c r="G342" i="58"/>
  <c r="N175" i="20"/>
  <c r="O81" i="20"/>
  <c r="C81" i="21"/>
  <c r="AY670" i="20"/>
  <c r="N32" i="20"/>
  <c r="G135" i="58"/>
  <c r="AY594" i="20"/>
  <c r="C23" i="21"/>
  <c r="N55" i="20"/>
  <c r="G295" i="58"/>
  <c r="G33" i="58"/>
  <c r="N19" i="20"/>
  <c r="N63" i="20"/>
  <c r="G364" i="58"/>
  <c r="AY620" i="20"/>
  <c r="N250" i="20"/>
  <c r="AY603" i="20"/>
  <c r="C29" i="21"/>
  <c r="M156" i="16"/>
  <c r="M200" i="16" s="1"/>
  <c r="M49" i="16" s="1"/>
  <c r="R49" i="16" s="1"/>
  <c r="M201" i="16"/>
  <c r="Z37" i="16"/>
  <c r="Z27" i="16"/>
  <c r="Z14" i="16"/>
  <c r="Z46" i="16"/>
  <c r="Z36" i="16"/>
  <c r="Z25" i="16"/>
  <c r="Z13" i="16"/>
  <c r="Z44" i="16"/>
  <c r="Z24" i="16"/>
  <c r="Z12" i="16"/>
  <c r="Y57" i="16"/>
  <c r="Y54" i="16"/>
  <c r="Z35" i="16"/>
  <c r="Z23" i="16"/>
  <c r="Z43" i="16"/>
  <c r="Z33" i="16"/>
  <c r="Z21" i="16"/>
  <c r="Z41" i="16"/>
  <c r="Z31" i="16"/>
  <c r="Z19" i="16"/>
  <c r="Z40" i="16"/>
  <c r="Z30" i="16"/>
  <c r="Z18" i="16"/>
  <c r="AD12" i="16"/>
  <c r="W97" i="19"/>
  <c r="W98" i="19" s="1"/>
  <c r="Z38" i="16"/>
  <c r="Z29" i="16"/>
  <c r="Z16" i="16"/>
  <c r="Y244" i="16"/>
  <c r="V271" i="16"/>
  <c r="V216" i="16"/>
  <c r="V23" i="16" s="1"/>
  <c r="V298" i="16"/>
  <c r="F33" i="16"/>
  <c r="B41" i="16"/>
  <c r="AE236" i="16"/>
  <c r="AB290" i="16"/>
  <c r="AB263" i="16"/>
  <c r="AB208" i="16"/>
  <c r="AB12" i="16" s="1"/>
  <c r="V292" i="16"/>
  <c r="V265" i="16"/>
  <c r="Y238" i="16"/>
  <c r="V210" i="16"/>
  <c r="V14" i="16" s="1"/>
  <c r="AA14" i="16" s="1"/>
  <c r="P138" i="16"/>
  <c r="P135" i="16"/>
  <c r="P136" i="16" s="1"/>
  <c r="M199" i="16"/>
  <c r="M38" i="16" s="1"/>
  <c r="R38" i="16" s="1"/>
  <c r="M140" i="16"/>
  <c r="M37" i="16" s="1"/>
  <c r="R37" i="16" s="1"/>
  <c r="I423" i="16"/>
  <c r="I426" i="16" s="1"/>
  <c r="S16" i="16"/>
  <c r="X23" i="16"/>
  <c r="U103" i="19"/>
  <c r="X19" i="16"/>
  <c r="U102" i="19"/>
  <c r="V299" i="16"/>
  <c r="Y245" i="16"/>
  <c r="V272" i="16"/>
  <c r="V217" i="16"/>
  <c r="V24" i="16" s="1"/>
  <c r="AK283" i="16"/>
  <c r="AN256" i="16"/>
  <c r="AK228" i="16"/>
  <c r="AK310" i="16"/>
  <c r="AB230" i="16"/>
  <c r="AE258" i="16"/>
  <c r="AB312" i="16"/>
  <c r="AB285" i="16"/>
  <c r="P21" i="16"/>
  <c r="U16" i="16"/>
  <c r="T99" i="19"/>
  <c r="M141" i="16"/>
  <c r="M48" i="16" s="1"/>
  <c r="R48" i="16" s="1"/>
  <c r="AA25" i="16"/>
  <c r="V105" i="19"/>
  <c r="U30" i="16"/>
  <c r="T111" i="19"/>
  <c r="AK311" i="16"/>
  <c r="M142" i="16"/>
  <c r="P255" i="16"/>
  <c r="M227" i="16"/>
  <c r="M309" i="16"/>
  <c r="M282" i="16"/>
  <c r="P112" i="16"/>
  <c r="P109" i="16"/>
  <c r="P110" i="16" s="1"/>
  <c r="P155" i="16"/>
  <c r="P158" i="16"/>
  <c r="P194" i="16"/>
  <c r="P195" i="16" s="1"/>
  <c r="P197" i="16"/>
  <c r="M226" i="16"/>
  <c r="P254" i="16"/>
  <c r="M308" i="16"/>
  <c r="M281" i="16"/>
  <c r="AB246" i="16"/>
  <c r="Y300" i="16"/>
  <c r="Y273" i="16"/>
  <c r="Y218" i="16"/>
  <c r="Y25" i="16" s="1"/>
  <c r="O27" i="16"/>
  <c r="V51" i="16"/>
  <c r="X51" i="16"/>
  <c r="P99" i="16"/>
  <c r="P96" i="16"/>
  <c r="P97" i="16" s="1"/>
  <c r="S257" i="16"/>
  <c r="P229" i="16"/>
  <c r="M283" i="16"/>
  <c r="V222" i="16"/>
  <c r="V304" i="16"/>
  <c r="Y250" i="16"/>
  <c r="V277" i="16"/>
  <c r="V293" i="16"/>
  <c r="Y239" i="16"/>
  <c r="V266" i="16"/>
  <c r="V211" i="16"/>
  <c r="V18" i="16" s="1"/>
  <c r="P184" i="16"/>
  <c r="P181" i="16"/>
  <c r="P182" i="16" s="1"/>
  <c r="V212" i="16"/>
  <c r="V19" i="16" s="1"/>
  <c r="Y240" i="16"/>
  <c r="V294" i="16"/>
  <c r="V267" i="16"/>
  <c r="S262" i="16"/>
  <c r="S192" i="16"/>
  <c r="S207" i="16"/>
  <c r="S179" i="16"/>
  <c r="S133" i="16"/>
  <c r="S166" i="16"/>
  <c r="S120" i="16"/>
  <c r="S289" i="16"/>
  <c r="J363" i="16"/>
  <c r="S235" i="16"/>
  <c r="S153" i="16"/>
  <c r="S61" i="16"/>
  <c r="S53" i="16"/>
  <c r="S392" i="16" s="1"/>
  <c r="V11" i="16"/>
  <c r="J423" i="16" s="1"/>
  <c r="J426" i="16" s="1"/>
  <c r="S81" i="16"/>
  <c r="S107" i="16"/>
  <c r="S31" i="16"/>
  <c r="X31" i="16" s="1"/>
  <c r="S94" i="16"/>
  <c r="S30" i="16"/>
  <c r="P171" i="16"/>
  <c r="P168" i="16"/>
  <c r="P169" i="16" s="1"/>
  <c r="S104" i="19"/>
  <c r="S107" i="19" s="1"/>
  <c r="S100" i="19"/>
  <c r="AA43" i="16"/>
  <c r="V113" i="19"/>
  <c r="Y270" i="16"/>
  <c r="AB243" i="16"/>
  <c r="Y215" i="16"/>
  <c r="Y346" i="16" s="1"/>
  <c r="Y297" i="16"/>
  <c r="X24" i="16"/>
  <c r="U106" i="19"/>
  <c r="X18" i="16"/>
  <c r="U101" i="19"/>
  <c r="P83" i="16"/>
  <c r="P84" i="16" s="1"/>
  <c r="P86" i="16"/>
  <c r="P122" i="16"/>
  <c r="P123" i="16" s="1"/>
  <c r="P125" i="16"/>
  <c r="M27" i="16"/>
  <c r="R21" i="16"/>
  <c r="AA13" i="16"/>
  <c r="M310" i="16"/>
  <c r="AH478" i="20"/>
  <c r="AG431" i="20"/>
  <c r="AA123" i="20"/>
  <c r="Z124" i="20"/>
  <c r="Y126" i="20"/>
  <c r="Y125" i="20"/>
  <c r="AA566" i="20"/>
  <c r="AA519" i="20"/>
  <c r="AA419" i="20"/>
  <c r="AB472" i="20"/>
  <c r="AN749" i="20"/>
  <c r="AN748" i="20"/>
  <c r="BL837" i="20"/>
  <c r="BL895" i="20" s="1"/>
  <c r="BL757" i="20"/>
  <c r="BM666" i="20"/>
  <c r="AB208" i="20"/>
  <c r="AC77" i="20"/>
  <c r="K126" i="21"/>
  <c r="K125" i="21"/>
  <c r="L124" i="21"/>
  <c r="M123" i="21"/>
  <c r="AK284" i="16" l="1"/>
  <c r="M67" i="22"/>
  <c r="M21" i="22"/>
  <c r="R21" i="22" s="1"/>
  <c r="M16" i="22"/>
  <c r="M23" i="22"/>
  <c r="M45" i="22"/>
  <c r="M13" i="22"/>
  <c r="M19" i="22"/>
  <c r="M8" i="22"/>
  <c r="M17" i="22"/>
  <c r="T942" i="20"/>
  <c r="Y291" i="16"/>
  <c r="Y264" i="16"/>
  <c r="Y209" i="16"/>
  <c r="Y13" i="16" s="1"/>
  <c r="AB237" i="16"/>
  <c r="F6" i="22"/>
  <c r="Q475" i="20"/>
  <c r="Q569" i="20"/>
  <c r="Q522" i="20"/>
  <c r="V946" i="20"/>
  <c r="U247" i="20"/>
  <c r="U438" i="20"/>
  <c r="U485" i="20"/>
  <c r="U532" i="20"/>
  <c r="BF763" i="20"/>
  <c r="CF893" i="20"/>
  <c r="BF696" i="20"/>
  <c r="CF846" i="20"/>
  <c r="CF865" i="20"/>
  <c r="U586" i="20"/>
  <c r="U594" i="20"/>
  <c r="U602" i="20"/>
  <c r="U578" i="20"/>
  <c r="J48" i="19"/>
  <c r="J142" i="19"/>
  <c r="J60" i="19"/>
  <c r="J154" i="19"/>
  <c r="L914" i="20"/>
  <c r="J1" i="51"/>
  <c r="E6" i="23" s="1"/>
  <c r="D117" i="51"/>
  <c r="D30" i="51"/>
  <c r="D44" i="51"/>
  <c r="D199" i="51"/>
  <c r="D15" i="51"/>
  <c r="D115" i="51"/>
  <c r="D152" i="51"/>
  <c r="D43" i="51"/>
  <c r="D327" i="51"/>
  <c r="D320" i="51"/>
  <c r="D306" i="51"/>
  <c r="D315" i="51"/>
  <c r="D195" i="51"/>
  <c r="D191" i="51"/>
  <c r="D139" i="51"/>
  <c r="D367" i="51"/>
  <c r="D337" i="51"/>
  <c r="D281" i="51"/>
  <c r="D232" i="51"/>
  <c r="D190" i="51"/>
  <c r="D255" i="51"/>
  <c r="D19" i="51"/>
  <c r="D26" i="51"/>
  <c r="D46" i="51"/>
  <c r="D344" i="51"/>
  <c r="D313" i="51"/>
  <c r="D331" i="51"/>
  <c r="D155" i="51"/>
  <c r="D263" i="51"/>
  <c r="D166" i="51"/>
  <c r="D9" i="51"/>
  <c r="D78" i="51"/>
  <c r="D186" i="51"/>
  <c r="D309" i="51"/>
  <c r="D1" i="51"/>
  <c r="E5" i="58" s="1"/>
  <c r="D101" i="51"/>
  <c r="D14" i="51"/>
  <c r="D235" i="51"/>
  <c r="D183" i="51"/>
  <c r="D147" i="51"/>
  <c r="D61" i="51"/>
  <c r="D175" i="51"/>
  <c r="D205" i="51"/>
  <c r="D298" i="51"/>
  <c r="D373" i="51"/>
  <c r="D375" i="51"/>
  <c r="D244" i="51"/>
  <c r="D163" i="51"/>
  <c r="D157" i="51"/>
  <c r="D357" i="51"/>
  <c r="D303" i="51"/>
  <c r="D287" i="51"/>
  <c r="D348" i="51"/>
  <c r="D180" i="51"/>
  <c r="D153" i="51"/>
  <c r="D168" i="51"/>
  <c r="D135" i="51"/>
  <c r="D222" i="51"/>
  <c r="D91" i="51"/>
  <c r="D312" i="51"/>
  <c r="D300" i="51"/>
  <c r="D316" i="51"/>
  <c r="D129" i="51"/>
  <c r="D156" i="51"/>
  <c r="D92" i="51"/>
  <c r="D220" i="51"/>
  <c r="D193" i="51"/>
  <c r="D207" i="51"/>
  <c r="D291" i="51"/>
  <c r="D248" i="51"/>
  <c r="D374" i="51"/>
  <c r="D260" i="51"/>
  <c r="D227" i="51"/>
  <c r="D349" i="51"/>
  <c r="D336" i="51"/>
  <c r="D279" i="51"/>
  <c r="D301" i="51"/>
  <c r="D211" i="51"/>
  <c r="D224" i="51"/>
  <c r="D182" i="51"/>
  <c r="D11" i="51"/>
  <c r="D94" i="51"/>
  <c r="D159" i="51"/>
  <c r="D335" i="51"/>
  <c r="D272" i="51"/>
  <c r="D365" i="51"/>
  <c r="D293" i="51"/>
  <c r="D345" i="51"/>
  <c r="D314" i="51"/>
  <c r="D171" i="51"/>
  <c r="D32" i="51"/>
  <c r="D31" i="51"/>
  <c r="D13" i="51"/>
  <c r="D54" i="51"/>
  <c r="D34" i="51"/>
  <c r="D341" i="51"/>
  <c r="D292" i="51"/>
  <c r="D76" i="51"/>
  <c r="D318" i="51"/>
  <c r="D269" i="51"/>
  <c r="D130" i="51"/>
  <c r="D10" i="51"/>
  <c r="D217" i="51"/>
  <c r="D238" i="51"/>
  <c r="D197" i="51"/>
  <c r="D334" i="51"/>
  <c r="D241" i="51"/>
  <c r="D80" i="51"/>
  <c r="D164" i="51"/>
  <c r="D111" i="51"/>
  <c r="D28" i="51"/>
  <c r="D73" i="51"/>
  <c r="D62" i="51"/>
  <c r="D201" i="51"/>
  <c r="D50" i="51"/>
  <c r="D321" i="51"/>
  <c r="D66" i="51"/>
  <c r="D95" i="51"/>
  <c r="D332" i="51"/>
  <c r="D200" i="51"/>
  <c r="D119" i="51"/>
  <c r="D213" i="51"/>
  <c r="D98" i="51"/>
  <c r="D29" i="51"/>
  <c r="D79" i="51"/>
  <c r="D45" i="51"/>
  <c r="D133" i="51"/>
  <c r="D67" i="51"/>
  <c r="D36" i="51"/>
  <c r="D131" i="51"/>
  <c r="D317" i="51"/>
  <c r="D338" i="51"/>
  <c r="D245" i="51"/>
  <c r="D141" i="51"/>
  <c r="D286" i="51"/>
  <c r="E357" i="58" s="1"/>
  <c r="D342" i="51"/>
  <c r="D8" i="51"/>
  <c r="D71" i="51"/>
  <c r="D343" i="51"/>
  <c r="D330" i="51"/>
  <c r="D65" i="51"/>
  <c r="D21" i="51"/>
  <c r="D268" i="51"/>
  <c r="D371" i="51"/>
  <c r="D266" i="51"/>
  <c r="D340" i="51"/>
  <c r="D38" i="51"/>
  <c r="D368" i="51"/>
  <c r="D242" i="51"/>
  <c r="D308" i="51"/>
  <c r="D89" i="51"/>
  <c r="D108" i="51"/>
  <c r="D236" i="51"/>
  <c r="D202" i="51"/>
  <c r="D264" i="51"/>
  <c r="D20" i="51"/>
  <c r="D311" i="51"/>
  <c r="D295" i="51"/>
  <c r="D289" i="51"/>
  <c r="D81" i="51"/>
  <c r="D284" i="51"/>
  <c r="D176" i="51"/>
  <c r="D177" i="51"/>
  <c r="D253" i="51"/>
  <c r="D151" i="51"/>
  <c r="D169" i="51"/>
  <c r="D271" i="51"/>
  <c r="D132" i="51"/>
  <c r="D237" i="51"/>
  <c r="D104" i="51"/>
  <c r="D212" i="51"/>
  <c r="D12" i="51"/>
  <c r="D323" i="51"/>
  <c r="D86" i="51"/>
  <c r="D120" i="51"/>
  <c r="D49" i="51"/>
  <c r="D140" i="51"/>
  <c r="D96" i="51"/>
  <c r="D370" i="51"/>
  <c r="D68" i="51"/>
  <c r="D51" i="51"/>
  <c r="D70" i="51"/>
  <c r="D112" i="51"/>
  <c r="D252" i="51"/>
  <c r="D228" i="51"/>
  <c r="D25" i="51"/>
  <c r="D85" i="51"/>
  <c r="D219" i="51"/>
  <c r="D99" i="51"/>
  <c r="D47" i="51"/>
  <c r="D256" i="51"/>
  <c r="D363" i="51"/>
  <c r="D150" i="51"/>
  <c r="D275" i="51"/>
  <c r="D250" i="51"/>
  <c r="D114" i="51"/>
  <c r="D102" i="51"/>
  <c r="D210" i="51"/>
  <c r="D299" i="51"/>
  <c r="D282" i="51"/>
  <c r="D90" i="51"/>
  <c r="D208" i="51"/>
  <c r="D189" i="51"/>
  <c r="D319" i="51"/>
  <c r="D280" i="51"/>
  <c r="D261" i="51"/>
  <c r="D123" i="51"/>
  <c r="D304" i="51"/>
  <c r="D354" i="51"/>
  <c r="D274" i="51"/>
  <c r="D172" i="51"/>
  <c r="D60" i="51"/>
  <c r="D160" i="51"/>
  <c r="D109" i="51"/>
  <c r="D270" i="51"/>
  <c r="D24" i="51"/>
  <c r="D240" i="51"/>
  <c r="D258" i="51"/>
  <c r="D203" i="51"/>
  <c r="D216" i="51"/>
  <c r="D198" i="51"/>
  <c r="D110" i="51"/>
  <c r="D350" i="51"/>
  <c r="D223" i="51"/>
  <c r="D74" i="51"/>
  <c r="D162" i="51"/>
  <c r="D39" i="51"/>
  <c r="D59" i="51"/>
  <c r="D127" i="51"/>
  <c r="D40" i="51"/>
  <c r="D82" i="51"/>
  <c r="D134" i="51"/>
  <c r="D356" i="51"/>
  <c r="D221" i="51"/>
  <c r="D233" i="51"/>
  <c r="D251" i="51"/>
  <c r="D192" i="51"/>
  <c r="D33" i="51"/>
  <c r="D324" i="51"/>
  <c r="D118" i="51"/>
  <c r="D146" i="51"/>
  <c r="D53" i="51"/>
  <c r="D52" i="51"/>
  <c r="D226" i="51"/>
  <c r="D55" i="51"/>
  <c r="D7" i="51"/>
  <c r="D69" i="51"/>
  <c r="D215" i="51"/>
  <c r="D22" i="51"/>
  <c r="D125" i="51"/>
  <c r="D352" i="51"/>
  <c r="D339" i="51"/>
  <c r="D137" i="51"/>
  <c r="D246" i="51"/>
  <c r="D288" i="51"/>
  <c r="D23" i="51"/>
  <c r="D57" i="51"/>
  <c r="D42" i="51"/>
  <c r="D265" i="51"/>
  <c r="D187" i="51"/>
  <c r="D218" i="51"/>
  <c r="D142" i="51"/>
  <c r="D93" i="51"/>
  <c r="D278" i="51"/>
  <c r="D355" i="51"/>
  <c r="D231" i="51"/>
  <c r="D359" i="51"/>
  <c r="D257" i="51"/>
  <c r="D322" i="51"/>
  <c r="D179" i="51"/>
  <c r="D106" i="51"/>
  <c r="D37" i="51"/>
  <c r="D185" i="51"/>
  <c r="D75" i="51"/>
  <c r="D305" i="51"/>
  <c r="D283" i="51"/>
  <c r="D360" i="51"/>
  <c r="D346" i="51"/>
  <c r="D145" i="51"/>
  <c r="D188" i="51"/>
  <c r="D124" i="51"/>
  <c r="D27" i="51"/>
  <c r="D249" i="51"/>
  <c r="D105" i="51"/>
  <c r="D126" i="51"/>
  <c r="D128" i="51"/>
  <c r="D310" i="51"/>
  <c r="D184" i="51"/>
  <c r="D63" i="51"/>
  <c r="D16" i="51"/>
  <c r="D158" i="51"/>
  <c r="D87" i="51"/>
  <c r="D48" i="51"/>
  <c r="D194" i="51"/>
  <c r="D372" i="51"/>
  <c r="D138" i="51"/>
  <c r="D259" i="51"/>
  <c r="E324" i="23" s="1"/>
  <c r="D181" i="51"/>
  <c r="D196" i="51"/>
  <c r="D136" i="51"/>
  <c r="D6" i="51"/>
  <c r="D229" i="51"/>
  <c r="D107" i="51"/>
  <c r="D174" i="51"/>
  <c r="D143" i="51"/>
  <c r="D165" i="51"/>
  <c r="D247" i="51"/>
  <c r="D83" i="51"/>
  <c r="D167" i="51"/>
  <c r="D18" i="51"/>
  <c r="D17" i="51"/>
  <c r="D361" i="51"/>
  <c r="D290" i="51"/>
  <c r="D77" i="51"/>
  <c r="D285" i="51"/>
  <c r="D239" i="51"/>
  <c r="D116" i="51"/>
  <c r="D103" i="51"/>
  <c r="D333" i="51"/>
  <c r="D362" i="51"/>
  <c r="D97" i="51"/>
  <c r="D58" i="51"/>
  <c r="D161" i="51"/>
  <c r="D262" i="51"/>
  <c r="D353" i="51"/>
  <c r="D307" i="51"/>
  <c r="D225" i="51"/>
  <c r="D277" i="51"/>
  <c r="D329" i="51"/>
  <c r="D273" i="51"/>
  <c r="D121" i="51"/>
  <c r="D234" i="51"/>
  <c r="D358" i="51"/>
  <c r="D243" i="51"/>
  <c r="D325" i="51"/>
  <c r="D173" i="51"/>
  <c r="D254" i="51"/>
  <c r="D328" i="51"/>
  <c r="D347" i="51"/>
  <c r="D113" i="51"/>
  <c r="D122" i="51"/>
  <c r="D326" i="51"/>
  <c r="D209" i="51"/>
  <c r="D230" i="51"/>
  <c r="D204" i="51"/>
  <c r="D56" i="51"/>
  <c r="D297" i="51"/>
  <c r="D206" i="51"/>
  <c r="D35" i="51"/>
  <c r="D41" i="51"/>
  <c r="D369" i="51"/>
  <c r="D84" i="51"/>
  <c r="D144" i="51"/>
  <c r="D64" i="51"/>
  <c r="D149" i="51"/>
  <c r="D364" i="51"/>
  <c r="D214" i="51"/>
  <c r="D170" i="51"/>
  <c r="D294" i="51"/>
  <c r="D366" i="51"/>
  <c r="D72" i="51"/>
  <c r="D276" i="51"/>
  <c r="D178" i="51"/>
  <c r="D351" i="51"/>
  <c r="D100" i="51"/>
  <c r="D88" i="51"/>
  <c r="H1" i="51"/>
  <c r="I5" i="23" s="1"/>
  <c r="N1" i="51"/>
  <c r="H195" i="51"/>
  <c r="I241" i="58" s="1"/>
  <c r="H119" i="51"/>
  <c r="I145" i="58" s="1"/>
  <c r="H48" i="51"/>
  <c r="I57" i="58" s="1"/>
  <c r="H251" i="51"/>
  <c r="I313" i="58" s="1"/>
  <c r="H185" i="51"/>
  <c r="I230" i="58" s="1"/>
  <c r="H105" i="51"/>
  <c r="I129" i="58" s="1"/>
  <c r="H34" i="51"/>
  <c r="I42" i="58" s="1"/>
  <c r="H97" i="51"/>
  <c r="I121" i="58" s="1"/>
  <c r="H143" i="51"/>
  <c r="I173" i="58" s="1"/>
  <c r="H273" i="51"/>
  <c r="I340" i="58" s="1"/>
  <c r="H275" i="51"/>
  <c r="H269" i="51"/>
  <c r="I336" i="58" s="1"/>
  <c r="H175" i="51"/>
  <c r="I211" i="58" s="1"/>
  <c r="H187" i="51"/>
  <c r="H260" i="51"/>
  <c r="I325" i="58" s="1"/>
  <c r="H319" i="51"/>
  <c r="I397" i="58" s="1"/>
  <c r="H249" i="51"/>
  <c r="I311" i="58" s="1"/>
  <c r="H208" i="51"/>
  <c r="H144" i="51"/>
  <c r="I174" i="58" s="1"/>
  <c r="H196" i="51"/>
  <c r="I242" i="58" s="1"/>
  <c r="H147" i="51"/>
  <c r="H14" i="51"/>
  <c r="I20" i="58" s="1"/>
  <c r="H239" i="51"/>
  <c r="I300" i="58" s="1"/>
  <c r="H307" i="51"/>
  <c r="H341" i="51"/>
  <c r="H310" i="51"/>
  <c r="I388" i="58" s="1"/>
  <c r="H372" i="51"/>
  <c r="H141" i="51"/>
  <c r="H236" i="51"/>
  <c r="H194" i="51"/>
  <c r="I240" i="58" s="1"/>
  <c r="H106" i="51"/>
  <c r="I130" i="58" s="1"/>
  <c r="H61" i="51"/>
  <c r="I79" i="58" s="1"/>
  <c r="H214" i="51"/>
  <c r="H150" i="51"/>
  <c r="I181" i="58" s="1"/>
  <c r="H347" i="51"/>
  <c r="H352" i="51"/>
  <c r="I432" i="58" s="1"/>
  <c r="H24" i="51"/>
  <c r="H295" i="51"/>
  <c r="H252" i="51"/>
  <c r="H366" i="51"/>
  <c r="H335" i="51"/>
  <c r="I414" i="58" s="1"/>
  <c r="H286" i="51"/>
  <c r="H133" i="51"/>
  <c r="H134" i="51"/>
  <c r="I162" i="58" s="1"/>
  <c r="H280" i="51"/>
  <c r="I348" i="58" s="1"/>
  <c r="H322" i="51"/>
  <c r="I400" i="58" s="1"/>
  <c r="H197" i="51"/>
  <c r="I243" i="58" s="1"/>
  <c r="H155" i="51"/>
  <c r="H242" i="51"/>
  <c r="H369" i="51"/>
  <c r="H284" i="51"/>
  <c r="I354" i="58" s="1"/>
  <c r="H217" i="51"/>
  <c r="H340" i="51"/>
  <c r="H358" i="51"/>
  <c r="I439" i="58" s="1"/>
  <c r="H278" i="51"/>
  <c r="I346" i="58" s="1"/>
  <c r="H93" i="51"/>
  <c r="H56" i="51"/>
  <c r="I73" i="58" s="1"/>
  <c r="H204" i="51"/>
  <c r="H6" i="51"/>
  <c r="H44" i="51"/>
  <c r="I53" i="58" s="1"/>
  <c r="H351" i="51"/>
  <c r="I431" i="58" s="1"/>
  <c r="H299" i="51"/>
  <c r="I371" i="58" s="1"/>
  <c r="H230" i="51"/>
  <c r="H232" i="51"/>
  <c r="I286" i="58" s="1"/>
  <c r="H64" i="51"/>
  <c r="I83" i="58" s="1"/>
  <c r="H227" i="51"/>
  <c r="I280" i="58" s="1"/>
  <c r="H33" i="51"/>
  <c r="I41" i="58" s="1"/>
  <c r="H107" i="51"/>
  <c r="I131" i="58" s="1"/>
  <c r="H179" i="51"/>
  <c r="I217" i="58" s="1"/>
  <c r="H87" i="51"/>
  <c r="I110" i="58" s="1"/>
  <c r="H39" i="51"/>
  <c r="H169" i="51"/>
  <c r="I205" i="58" s="1"/>
  <c r="H73" i="51"/>
  <c r="H17" i="51"/>
  <c r="I23" i="58" s="1"/>
  <c r="H63" i="51"/>
  <c r="I81" i="58" s="1"/>
  <c r="H332" i="51"/>
  <c r="I411" i="58" s="1"/>
  <c r="H297" i="51"/>
  <c r="H117" i="51"/>
  <c r="I143" i="58" s="1"/>
  <c r="H321" i="51"/>
  <c r="I399" i="58" s="1"/>
  <c r="H367" i="51"/>
  <c r="H301" i="51"/>
  <c r="H78" i="51"/>
  <c r="I101" i="58" s="1"/>
  <c r="H16" i="51"/>
  <c r="I22" i="58" s="1"/>
  <c r="H115" i="51"/>
  <c r="I141" i="58" s="1"/>
  <c r="H209" i="51"/>
  <c r="I259" i="58" s="1"/>
  <c r="H250" i="51"/>
  <c r="I312" i="58" s="1"/>
  <c r="H291" i="51"/>
  <c r="H298" i="51"/>
  <c r="I370" i="58" s="1"/>
  <c r="H167" i="51"/>
  <c r="I203" i="58" s="1"/>
  <c r="H184" i="51"/>
  <c r="I229" i="58" s="1"/>
  <c r="H354" i="51"/>
  <c r="H173" i="51"/>
  <c r="I209" i="58" s="1"/>
  <c r="H65" i="51"/>
  <c r="H41" i="51"/>
  <c r="H292" i="51"/>
  <c r="H111" i="51"/>
  <c r="H375" i="51"/>
  <c r="H163" i="51"/>
  <c r="H71" i="51"/>
  <c r="H237" i="51"/>
  <c r="I298" i="58" s="1"/>
  <c r="H137" i="51"/>
  <c r="I166" i="58" s="1"/>
  <c r="H49" i="51"/>
  <c r="I61" i="58" s="1"/>
  <c r="H203" i="51"/>
  <c r="I250" i="58" s="1"/>
  <c r="H345" i="51"/>
  <c r="H325" i="51"/>
  <c r="I404" i="58" s="1"/>
  <c r="H304" i="51"/>
  <c r="I381" i="58" s="1"/>
  <c r="H81" i="51"/>
  <c r="I104" i="58" s="1"/>
  <c r="H331" i="51"/>
  <c r="I410" i="58" s="1"/>
  <c r="H248" i="51"/>
  <c r="I310" i="58" s="1"/>
  <c r="H219" i="51"/>
  <c r="I272" i="58" s="1"/>
  <c r="H362" i="51"/>
  <c r="I443" i="58" s="1"/>
  <c r="H130" i="51"/>
  <c r="I158" i="58" s="1"/>
  <c r="H83" i="51"/>
  <c r="I106" i="58" s="1"/>
  <c r="H95" i="51"/>
  <c r="I119" i="58" s="1"/>
  <c r="H289" i="51"/>
  <c r="H254" i="51"/>
  <c r="I317" i="58" s="1"/>
  <c r="H285" i="51"/>
  <c r="H109" i="51"/>
  <c r="I134" i="58" s="1"/>
  <c r="H118" i="51"/>
  <c r="H172" i="51"/>
  <c r="I208" i="58" s="1"/>
  <c r="H38" i="51"/>
  <c r="I46" i="58" s="1"/>
  <c r="H129" i="51"/>
  <c r="I157" i="58" s="1"/>
  <c r="H337" i="51"/>
  <c r="I416" i="58" s="1"/>
  <c r="H320" i="51"/>
  <c r="I398" i="58" s="1"/>
  <c r="H223" i="51"/>
  <c r="I276" i="58" s="1"/>
  <c r="H323" i="51"/>
  <c r="H334" i="51"/>
  <c r="I413" i="58" s="1"/>
  <c r="H264" i="51"/>
  <c r="H159" i="51"/>
  <c r="H70" i="51"/>
  <c r="H136" i="51"/>
  <c r="H374" i="51"/>
  <c r="H353" i="51"/>
  <c r="H281" i="51"/>
  <c r="H246" i="51"/>
  <c r="H127" i="51"/>
  <c r="H261" i="51"/>
  <c r="H312" i="51"/>
  <c r="I390" i="58" s="1"/>
  <c r="H42" i="51"/>
  <c r="H88" i="51"/>
  <c r="H62" i="51"/>
  <c r="I80" i="58" s="1"/>
  <c r="H314" i="51"/>
  <c r="I392" i="58" s="1"/>
  <c r="H256" i="51"/>
  <c r="I319" i="58" s="1"/>
  <c r="H19" i="51"/>
  <c r="I25" i="58" s="1"/>
  <c r="H156" i="51"/>
  <c r="H13" i="51"/>
  <c r="I19" i="58" s="1"/>
  <c r="H330" i="51"/>
  <c r="I409" i="58" s="1"/>
  <c r="H190" i="51"/>
  <c r="H263" i="51"/>
  <c r="I328" i="58" s="1"/>
  <c r="H110" i="51"/>
  <c r="H186" i="51"/>
  <c r="I231" i="58" s="1"/>
  <c r="H67" i="51"/>
  <c r="I88" i="58" s="1"/>
  <c r="H245" i="51"/>
  <c r="I307" i="58" s="1"/>
  <c r="H192" i="51"/>
  <c r="I238" i="58" s="1"/>
  <c r="H114" i="51"/>
  <c r="I140" i="58" s="1"/>
  <c r="H29" i="51"/>
  <c r="H276" i="51"/>
  <c r="H255" i="51"/>
  <c r="I318" i="58" s="1"/>
  <c r="H198" i="51"/>
  <c r="I244" i="58" s="1"/>
  <c r="H9" i="51"/>
  <c r="I14" i="58" s="1"/>
  <c r="H94" i="51"/>
  <c r="I118" i="58" s="1"/>
  <c r="H272" i="51"/>
  <c r="I339" i="58" s="1"/>
  <c r="H75" i="51"/>
  <c r="I98" i="58" s="1"/>
  <c r="H10" i="51"/>
  <c r="I15" i="58" s="1"/>
  <c r="H176" i="51"/>
  <c r="H23" i="51"/>
  <c r="I30" i="58" s="1"/>
  <c r="H140" i="51"/>
  <c r="I169" i="58" s="1"/>
  <c r="H11" i="51"/>
  <c r="H126" i="51"/>
  <c r="I153" i="58" s="1"/>
  <c r="H180" i="51"/>
  <c r="I218" i="58" s="1"/>
  <c r="H116" i="51"/>
  <c r="I142" i="58" s="1"/>
  <c r="H231" i="51"/>
  <c r="H135" i="51"/>
  <c r="H26" i="51"/>
  <c r="H221" i="51"/>
  <c r="I274" i="58" s="1"/>
  <c r="H121" i="51"/>
  <c r="H32" i="51"/>
  <c r="I40" i="58" s="1"/>
  <c r="H193" i="51"/>
  <c r="I239" i="58" s="1"/>
  <c r="H355" i="51"/>
  <c r="I436" i="58" s="1"/>
  <c r="H350" i="51"/>
  <c r="I430" i="58" s="1"/>
  <c r="H270" i="51"/>
  <c r="I337" i="58" s="1"/>
  <c r="H145" i="51"/>
  <c r="H365" i="51"/>
  <c r="I446" i="58" s="1"/>
  <c r="H360" i="51"/>
  <c r="I441" i="58" s="1"/>
  <c r="H306" i="51"/>
  <c r="H80" i="51"/>
  <c r="I103" i="58" s="1"/>
  <c r="H66" i="51"/>
  <c r="H47" i="51"/>
  <c r="I56" i="58" s="1"/>
  <c r="H361" i="51"/>
  <c r="H356" i="51"/>
  <c r="I437" i="58" s="1"/>
  <c r="H342" i="51"/>
  <c r="H294" i="51"/>
  <c r="H77" i="51"/>
  <c r="I100" i="58" s="1"/>
  <c r="H35" i="51"/>
  <c r="I43" i="58" s="1"/>
  <c r="H31" i="51"/>
  <c r="H15" i="51"/>
  <c r="I21" i="58" s="1"/>
  <c r="H229" i="51"/>
  <c r="I282" i="58" s="1"/>
  <c r="H290" i="51"/>
  <c r="I362" i="58" s="1"/>
  <c r="H243" i="51"/>
  <c r="H313" i="51"/>
  <c r="I391" i="58" s="1"/>
  <c r="H348" i="51"/>
  <c r="I428" i="58" s="1"/>
  <c r="H211" i="51"/>
  <c r="H103" i="51"/>
  <c r="I127" i="58" s="1"/>
  <c r="H18" i="51"/>
  <c r="H201" i="51"/>
  <c r="I248" i="58" s="1"/>
  <c r="H89" i="51"/>
  <c r="I112" i="58" s="1"/>
  <c r="H7" i="51"/>
  <c r="I12" i="58" s="1"/>
  <c r="H79" i="51"/>
  <c r="I102" i="58" s="1"/>
  <c r="H364" i="51"/>
  <c r="I445" i="58" s="1"/>
  <c r="H318" i="51"/>
  <c r="I396" i="58" s="1"/>
  <c r="H207" i="51"/>
  <c r="I257" i="58" s="1"/>
  <c r="H373" i="51"/>
  <c r="H268" i="51"/>
  <c r="H328" i="51"/>
  <c r="I407" i="58" s="1"/>
  <c r="H142" i="51"/>
  <c r="H52" i="51"/>
  <c r="H225" i="51"/>
  <c r="I278" i="58" s="1"/>
  <c r="H174" i="51"/>
  <c r="I210" i="58" s="1"/>
  <c r="H279" i="51"/>
  <c r="I347" i="58" s="1"/>
  <c r="H324" i="51"/>
  <c r="H343" i="51"/>
  <c r="H199" i="51"/>
  <c r="H36" i="51"/>
  <c r="I44" i="58" s="1"/>
  <c r="H120" i="51"/>
  <c r="H205" i="51"/>
  <c r="H226" i="51"/>
  <c r="I279" i="58" s="1"/>
  <c r="H171" i="51"/>
  <c r="I207" i="58" s="1"/>
  <c r="H317" i="51"/>
  <c r="I395" i="58" s="1"/>
  <c r="H161" i="51"/>
  <c r="I196" i="58" s="1"/>
  <c r="H266" i="51"/>
  <c r="H316" i="51"/>
  <c r="I394" i="58" s="1"/>
  <c r="H359" i="51"/>
  <c r="I440" i="58" s="1"/>
  <c r="H241" i="51"/>
  <c r="I302" i="58" s="1"/>
  <c r="H69" i="51"/>
  <c r="H370" i="51"/>
  <c r="H188" i="51"/>
  <c r="I233" i="58" s="1"/>
  <c r="H346" i="51"/>
  <c r="I426" i="58" s="1"/>
  <c r="H271" i="51"/>
  <c r="I338" i="58" s="1"/>
  <c r="H333" i="51"/>
  <c r="I412" i="58" s="1"/>
  <c r="H253" i="51"/>
  <c r="H339" i="51"/>
  <c r="H326" i="51"/>
  <c r="I405" i="58" s="1"/>
  <c r="H183" i="51"/>
  <c r="H86" i="51"/>
  <c r="H138" i="51"/>
  <c r="I167" i="58" s="1"/>
  <c r="H189" i="51"/>
  <c r="H262" i="51"/>
  <c r="I327" i="58" s="1"/>
  <c r="H85" i="51"/>
  <c r="I108" i="58" s="1"/>
  <c r="H104" i="51"/>
  <c r="I128" i="58" s="1"/>
  <c r="H92" i="51"/>
  <c r="I116" i="58" s="1"/>
  <c r="H160" i="51"/>
  <c r="H82" i="51"/>
  <c r="I105" i="58" s="1"/>
  <c r="H132" i="51"/>
  <c r="I160" i="58" s="1"/>
  <c r="H265" i="51"/>
  <c r="H27" i="51"/>
  <c r="H164" i="51"/>
  <c r="I200" i="58" s="1"/>
  <c r="H218" i="51"/>
  <c r="I271" i="58" s="1"/>
  <c r="H277" i="51"/>
  <c r="I345" i="58" s="1"/>
  <c r="H40" i="51"/>
  <c r="I48" i="58" s="1"/>
  <c r="H45" i="51"/>
  <c r="I54" i="58" s="1"/>
  <c r="H287" i="51"/>
  <c r="I358" i="58" s="1"/>
  <c r="H168" i="51"/>
  <c r="I204" i="58" s="1"/>
  <c r="H46" i="51"/>
  <c r="I55" i="58" s="1"/>
  <c r="H124" i="51"/>
  <c r="I151" i="58" s="1"/>
  <c r="H368" i="51"/>
  <c r="H170" i="51"/>
  <c r="H146" i="51"/>
  <c r="H100" i="51"/>
  <c r="I124" i="58" s="1"/>
  <c r="H28" i="51"/>
  <c r="I36" i="58" s="1"/>
  <c r="H151" i="51"/>
  <c r="I182" i="58" s="1"/>
  <c r="H30" i="51"/>
  <c r="I38" i="58" s="1"/>
  <c r="H60" i="51"/>
  <c r="H349" i="51"/>
  <c r="H128" i="51"/>
  <c r="H123" i="51"/>
  <c r="I150" i="58" s="1"/>
  <c r="H371" i="51"/>
  <c r="H101" i="51"/>
  <c r="I125" i="58" s="1"/>
  <c r="H72" i="51"/>
  <c r="H300" i="51"/>
  <c r="I372" i="58" s="1"/>
  <c r="H177" i="51"/>
  <c r="H309" i="51"/>
  <c r="I387" i="58" s="1"/>
  <c r="H288" i="51"/>
  <c r="I360" i="58" s="1"/>
  <c r="H247" i="51"/>
  <c r="I309" i="58" s="1"/>
  <c r="H344" i="51"/>
  <c r="I424" i="58" s="1"/>
  <c r="H213" i="51"/>
  <c r="H212" i="51"/>
  <c r="H258" i="51"/>
  <c r="H112" i="51"/>
  <c r="I138" i="58" s="1"/>
  <c r="H274" i="51"/>
  <c r="I341" i="58" s="1"/>
  <c r="H91" i="51"/>
  <c r="H220" i="51"/>
  <c r="I273" i="58" s="1"/>
  <c r="H153" i="51"/>
  <c r="H222" i="51"/>
  <c r="I275" i="58" s="1"/>
  <c r="H158" i="51"/>
  <c r="H149" i="51"/>
  <c r="H76" i="51"/>
  <c r="I99" i="58" s="1"/>
  <c r="H202" i="51"/>
  <c r="I249" i="58" s="1"/>
  <c r="H12" i="51"/>
  <c r="H311" i="51"/>
  <c r="I389" i="58" s="1"/>
  <c r="H200" i="51"/>
  <c r="H122" i="51"/>
  <c r="I149" i="58" s="1"/>
  <c r="H363" i="51"/>
  <c r="I444" i="58" s="1"/>
  <c r="H20" i="51"/>
  <c r="H327" i="51"/>
  <c r="I406" i="58" s="1"/>
  <c r="H162" i="51"/>
  <c r="H157" i="51"/>
  <c r="H102" i="51"/>
  <c r="I126" i="58" s="1"/>
  <c r="H37" i="51"/>
  <c r="I45" i="58" s="1"/>
  <c r="H152" i="51"/>
  <c r="I183" i="58" s="1"/>
  <c r="H235" i="51"/>
  <c r="H131" i="51"/>
  <c r="I159" i="58" s="1"/>
  <c r="H338" i="51"/>
  <c r="I417" i="58" s="1"/>
  <c r="H84" i="51"/>
  <c r="I107" i="58" s="1"/>
  <c r="H90" i="51"/>
  <c r="H58" i="51"/>
  <c r="I75" i="58" s="1"/>
  <c r="H96" i="51"/>
  <c r="I120" i="58" s="1"/>
  <c r="H59" i="51"/>
  <c r="H98" i="51"/>
  <c r="I122" i="58" s="1"/>
  <c r="H21" i="51"/>
  <c r="I28" i="58" s="1"/>
  <c r="H50" i="51"/>
  <c r="H240" i="51"/>
  <c r="I301" i="58" s="1"/>
  <c r="H54" i="51"/>
  <c r="I67" i="58" s="1"/>
  <c r="H165" i="51"/>
  <c r="I201" i="58" s="1"/>
  <c r="H282" i="51"/>
  <c r="H329" i="51"/>
  <c r="I408" i="58" s="1"/>
  <c r="H215" i="51"/>
  <c r="H25" i="51"/>
  <c r="H182" i="51"/>
  <c r="H178" i="51"/>
  <c r="H257" i="51"/>
  <c r="I320" i="58" s="1"/>
  <c r="H166" i="51"/>
  <c r="I202" i="58" s="1"/>
  <c r="H55" i="51"/>
  <c r="I69" i="58" s="1"/>
  <c r="H43" i="51"/>
  <c r="I52" i="58" s="1"/>
  <c r="H57" i="51"/>
  <c r="H8" i="51"/>
  <c r="I13" i="58" s="1"/>
  <c r="H181" i="51"/>
  <c r="I219" i="58" s="1"/>
  <c r="H305" i="51"/>
  <c r="H224" i="51"/>
  <c r="H293" i="51"/>
  <c r="I365" i="58" s="1"/>
  <c r="H99" i="51"/>
  <c r="I123" i="58" s="1"/>
  <c r="H244" i="51"/>
  <c r="I306" i="58" s="1"/>
  <c r="H233" i="51"/>
  <c r="I287" i="58" s="1"/>
  <c r="H357" i="51"/>
  <c r="I438" i="58" s="1"/>
  <c r="H191" i="51"/>
  <c r="I237" i="58" s="1"/>
  <c r="H210" i="51"/>
  <c r="H113" i="51"/>
  <c r="I139" i="58" s="1"/>
  <c r="H283" i="51"/>
  <c r="H308" i="51"/>
  <c r="H125" i="51"/>
  <c r="H74" i="51"/>
  <c r="I97" i="58" s="1"/>
  <c r="H303" i="51"/>
  <c r="H51" i="51"/>
  <c r="H53" i="51"/>
  <c r="H68" i="51"/>
  <c r="H238" i="51"/>
  <c r="I299" i="58" s="1"/>
  <c r="H108" i="51"/>
  <c r="I132" i="58" s="1"/>
  <c r="H216" i="51"/>
  <c r="I269" i="58" s="1"/>
  <c r="H315" i="51"/>
  <c r="I393" i="58" s="1"/>
  <c r="H22" i="51"/>
  <c r="I29" i="58" s="1"/>
  <c r="H259" i="51"/>
  <c r="I324" i="23" s="1"/>
  <c r="H139" i="51"/>
  <c r="I168" i="58" s="1"/>
  <c r="H228" i="51"/>
  <c r="I281" i="58" s="1"/>
  <c r="H206" i="51"/>
  <c r="I256" i="58" s="1"/>
  <c r="H336" i="51"/>
  <c r="I415" i="58" s="1"/>
  <c r="H234" i="51"/>
  <c r="I288" i="58" s="1"/>
  <c r="M72" i="22"/>
  <c r="M43" i="22"/>
  <c r="T314" i="20"/>
  <c r="U321" i="20"/>
  <c r="U313" i="20"/>
  <c r="U317" i="20"/>
  <c r="U331" i="20"/>
  <c r="U941" i="20"/>
  <c r="U940" i="20"/>
  <c r="C48" i="19"/>
  <c r="C142" i="19"/>
  <c r="Q578" i="20"/>
  <c r="Q586" i="20"/>
  <c r="Q602" i="20"/>
  <c r="Q594" i="20"/>
  <c r="G6" i="22"/>
  <c r="U522" i="20"/>
  <c r="U475" i="20"/>
  <c r="U569" i="20"/>
  <c r="BG583" i="20"/>
  <c r="V385" i="20"/>
  <c r="V428" i="20"/>
  <c r="V270" i="20"/>
  <c r="V218" i="20"/>
  <c r="V234" i="20" s="1"/>
  <c r="V422" i="20"/>
  <c r="V938" i="20"/>
  <c r="V351" i="20"/>
  <c r="V259" i="20"/>
  <c r="W15" i="20"/>
  <c r="W951" i="20" s="1"/>
  <c r="V345" i="20"/>
  <c r="V311" i="20"/>
  <c r="V112" i="20"/>
  <c r="V134" i="20"/>
  <c r="V160" i="20" s="1"/>
  <c r="G1" i="51"/>
  <c r="H5" i="23" s="1"/>
  <c r="G144" i="51"/>
  <c r="H174" i="58" s="1"/>
  <c r="G80" i="51"/>
  <c r="H103" i="58" s="1"/>
  <c r="G194" i="51"/>
  <c r="H240" i="58" s="1"/>
  <c r="G62" i="51"/>
  <c r="H80" i="58" s="1"/>
  <c r="G52" i="51"/>
  <c r="G138" i="51"/>
  <c r="H167" i="58" s="1"/>
  <c r="G104" i="51"/>
  <c r="H128" i="58" s="1"/>
  <c r="G146" i="51"/>
  <c r="G259" i="51"/>
  <c r="G350" i="51"/>
  <c r="H430" i="58" s="1"/>
  <c r="G352" i="51"/>
  <c r="H432" i="58" s="1"/>
  <c r="G337" i="51"/>
  <c r="H416" i="58" s="1"/>
  <c r="G31" i="51"/>
  <c r="G346" i="51"/>
  <c r="H426" i="58" s="1"/>
  <c r="G333" i="51"/>
  <c r="H412" i="58" s="1"/>
  <c r="G351" i="51"/>
  <c r="H431" i="58" s="1"/>
  <c r="G305" i="51"/>
  <c r="G118" i="51"/>
  <c r="G169" i="51"/>
  <c r="H205" i="58" s="1"/>
  <c r="G315" i="51"/>
  <c r="H393" i="58" s="1"/>
  <c r="G233" i="51"/>
  <c r="H287" i="58" s="1"/>
  <c r="G30" i="51"/>
  <c r="H38" i="58" s="1"/>
  <c r="G37" i="51"/>
  <c r="H45" i="58" s="1"/>
  <c r="G244" i="51"/>
  <c r="H306" i="58" s="1"/>
  <c r="G261" i="51"/>
  <c r="G320" i="51"/>
  <c r="H398" i="58" s="1"/>
  <c r="G250" i="51"/>
  <c r="H312" i="58" s="1"/>
  <c r="G79" i="51"/>
  <c r="H102" i="58" s="1"/>
  <c r="G32" i="51"/>
  <c r="H40" i="58" s="1"/>
  <c r="G67" i="51"/>
  <c r="G116" i="51"/>
  <c r="H142" i="58" s="1"/>
  <c r="G186" i="51"/>
  <c r="H231" i="58" s="1"/>
  <c r="G136" i="51"/>
  <c r="G251" i="51"/>
  <c r="H313" i="58" s="1"/>
  <c r="G325" i="51"/>
  <c r="H404" i="58" s="1"/>
  <c r="G343" i="51"/>
  <c r="G286" i="51"/>
  <c r="G168" i="51"/>
  <c r="H204" i="58" s="1"/>
  <c r="G348" i="51"/>
  <c r="H428" i="58" s="1"/>
  <c r="G293" i="51"/>
  <c r="H365" i="58" s="1"/>
  <c r="G273" i="51"/>
  <c r="H340" i="58" s="1"/>
  <c r="G223" i="51"/>
  <c r="H276" i="58" s="1"/>
  <c r="G213" i="51"/>
  <c r="G22" i="51"/>
  <c r="H29" i="58" s="1"/>
  <c r="G108" i="51"/>
  <c r="H132" i="58" s="1"/>
  <c r="G128" i="51"/>
  <c r="G122" i="51"/>
  <c r="H149" i="58" s="1"/>
  <c r="G178" i="51"/>
  <c r="G25" i="51"/>
  <c r="G6" i="51"/>
  <c r="G90" i="51"/>
  <c r="G33" i="51"/>
  <c r="H41" i="58" s="1"/>
  <c r="G370" i="51"/>
  <c r="G316" i="51"/>
  <c r="H394" i="58" s="1"/>
  <c r="G263" i="51"/>
  <c r="H328" i="58" s="1"/>
  <c r="G304" i="51"/>
  <c r="H381" i="58" s="1"/>
  <c r="G258" i="51"/>
  <c r="G120" i="51"/>
  <c r="G356" i="51"/>
  <c r="H437" i="58" s="1"/>
  <c r="G254" i="51"/>
  <c r="H317" i="58" s="1"/>
  <c r="G319" i="51"/>
  <c r="H397" i="58" s="1"/>
  <c r="G271" i="51"/>
  <c r="H338" i="58" s="1"/>
  <c r="G86" i="51"/>
  <c r="G103" i="51"/>
  <c r="H127" i="58" s="1"/>
  <c r="G231" i="51"/>
  <c r="G157" i="51"/>
  <c r="G214" i="51"/>
  <c r="G199" i="51"/>
  <c r="G374" i="51"/>
  <c r="G366" i="51"/>
  <c r="G249" i="51"/>
  <c r="H311" i="58" s="1"/>
  <c r="G220" i="51"/>
  <c r="H273" i="58" s="1"/>
  <c r="G155" i="51"/>
  <c r="G307" i="51"/>
  <c r="G45" i="51"/>
  <c r="H54" i="58" s="1"/>
  <c r="G84" i="51"/>
  <c r="H107" i="58" s="1"/>
  <c r="G27" i="51"/>
  <c r="G130" i="51"/>
  <c r="H158" i="58" s="1"/>
  <c r="G308" i="51"/>
  <c r="G342" i="51"/>
  <c r="G311" i="51"/>
  <c r="H389" i="58" s="1"/>
  <c r="G373" i="51"/>
  <c r="G142" i="51"/>
  <c r="G291" i="51"/>
  <c r="G353" i="51"/>
  <c r="G161" i="51"/>
  <c r="H196" i="58" s="1"/>
  <c r="G171" i="51"/>
  <c r="H207" i="58" s="1"/>
  <c r="G147" i="51"/>
  <c r="G218" i="51"/>
  <c r="H271" i="58" s="1"/>
  <c r="G76" i="51"/>
  <c r="H99" i="58" s="1"/>
  <c r="G281" i="51"/>
  <c r="G180" i="51"/>
  <c r="H218" i="58" s="1"/>
  <c r="G324" i="51"/>
  <c r="G317" i="51"/>
  <c r="H395" i="58" s="1"/>
  <c r="G303" i="51"/>
  <c r="G51" i="51"/>
  <c r="G272" i="51"/>
  <c r="H339" i="58" s="1"/>
  <c r="G283" i="51"/>
  <c r="G285" i="51"/>
  <c r="G266" i="51"/>
  <c r="G229" i="51"/>
  <c r="H282" i="58" s="1"/>
  <c r="G187" i="51"/>
  <c r="G39" i="51"/>
  <c r="G38" i="51"/>
  <c r="H46" i="58" s="1"/>
  <c r="G68" i="51"/>
  <c r="G66" i="51"/>
  <c r="G203" i="51"/>
  <c r="H250" i="58" s="1"/>
  <c r="G234" i="51"/>
  <c r="H288" i="58" s="1"/>
  <c r="G235" i="51"/>
  <c r="G341" i="51"/>
  <c r="G265" i="51"/>
  <c r="G185" i="51"/>
  <c r="H230" i="58" s="1"/>
  <c r="G93" i="51"/>
  <c r="G323" i="51"/>
  <c r="G189" i="51"/>
  <c r="G246" i="51"/>
  <c r="G28" i="51"/>
  <c r="H36" i="58" s="1"/>
  <c r="G160" i="51"/>
  <c r="G347" i="51"/>
  <c r="G252" i="51"/>
  <c r="G42" i="51"/>
  <c r="M1" i="51"/>
  <c r="H6" i="23" s="1"/>
  <c r="G112" i="51"/>
  <c r="H138" i="58" s="1"/>
  <c r="G230" i="51"/>
  <c r="G162" i="51"/>
  <c r="G74" i="51"/>
  <c r="H97" i="58" s="1"/>
  <c r="G106" i="51"/>
  <c r="H130" i="58" s="1"/>
  <c r="G19" i="51"/>
  <c r="H25" i="58" s="1"/>
  <c r="G238" i="51"/>
  <c r="H299" i="58" s="1"/>
  <c r="G306" i="51"/>
  <c r="G245" i="51"/>
  <c r="H307" i="58" s="1"/>
  <c r="G371" i="51"/>
  <c r="G294" i="51"/>
  <c r="G228" i="51"/>
  <c r="H281" i="58" s="1"/>
  <c r="G50" i="51"/>
  <c r="G274" i="51"/>
  <c r="H341" i="58" s="1"/>
  <c r="G326" i="51"/>
  <c r="H405" i="58" s="1"/>
  <c r="G298" i="51"/>
  <c r="H370" i="58" s="1"/>
  <c r="G208" i="51"/>
  <c r="G35" i="51"/>
  <c r="H43" i="58" s="1"/>
  <c r="G63" i="51"/>
  <c r="H81" i="58" s="1"/>
  <c r="G179" i="51"/>
  <c r="H217" i="58" s="1"/>
  <c r="G91" i="51"/>
  <c r="G182" i="51"/>
  <c r="G23" i="51"/>
  <c r="H30" i="58" s="1"/>
  <c r="G322" i="51"/>
  <c r="H400" i="58" s="1"/>
  <c r="G269" i="51"/>
  <c r="H336" i="58" s="1"/>
  <c r="G361" i="51"/>
  <c r="G209" i="51"/>
  <c r="H259" i="58" s="1"/>
  <c r="G145" i="51"/>
  <c r="G197" i="51"/>
  <c r="H243" i="58" s="1"/>
  <c r="G264" i="51"/>
  <c r="G331" i="51"/>
  <c r="H410" i="58" s="1"/>
  <c r="G232" i="51"/>
  <c r="H286" i="58" s="1"/>
  <c r="G362" i="51"/>
  <c r="H443" i="58" s="1"/>
  <c r="G290" i="51"/>
  <c r="H362" i="58" s="1"/>
  <c r="G292" i="51"/>
  <c r="G344" i="51"/>
  <c r="H424" i="58" s="1"/>
  <c r="G295" i="51"/>
  <c r="G82" i="51"/>
  <c r="H105" i="58" s="1"/>
  <c r="G318" i="51"/>
  <c r="H396" i="58" s="1"/>
  <c r="G321" i="51"/>
  <c r="H399" i="58" s="1"/>
  <c r="G95" i="51"/>
  <c r="H119" i="58" s="1"/>
  <c r="G97" i="51"/>
  <c r="H121" i="58" s="1"/>
  <c r="G83" i="51"/>
  <c r="H106" i="58" s="1"/>
  <c r="G256" i="51"/>
  <c r="H319" i="58" s="1"/>
  <c r="G96" i="51"/>
  <c r="H120" i="58" s="1"/>
  <c r="G210" i="51"/>
  <c r="G151" i="51"/>
  <c r="H182" i="58" s="1"/>
  <c r="G16" i="51"/>
  <c r="H22" i="58" s="1"/>
  <c r="G149" i="51"/>
  <c r="G212" i="51"/>
  <c r="G164" i="51"/>
  <c r="H200" i="58" s="1"/>
  <c r="G288" i="51"/>
  <c r="H360" i="58" s="1"/>
  <c r="G275" i="51"/>
  <c r="G277" i="51"/>
  <c r="H345" i="58" s="1"/>
  <c r="G257" i="51"/>
  <c r="H320" i="58" s="1"/>
  <c r="G170" i="51"/>
  <c r="G98" i="51"/>
  <c r="H122" i="58" s="1"/>
  <c r="G365" i="51"/>
  <c r="G276" i="51"/>
  <c r="G270" i="51"/>
  <c r="H337" i="58" s="1"/>
  <c r="G176" i="51"/>
  <c r="G221" i="51"/>
  <c r="H274" i="58" s="1"/>
  <c r="G34" i="51"/>
  <c r="H42" i="58" s="1"/>
  <c r="G105" i="51"/>
  <c r="H129" i="58" s="1"/>
  <c r="G44" i="51"/>
  <c r="H53" i="58" s="1"/>
  <c r="G60" i="51"/>
  <c r="G196" i="51"/>
  <c r="H242" i="58" s="1"/>
  <c r="G332" i="51"/>
  <c r="H411" i="58" s="1"/>
  <c r="G368" i="51"/>
  <c r="G329" i="51"/>
  <c r="H408" i="58" s="1"/>
  <c r="G143" i="51"/>
  <c r="H173" i="58" s="1"/>
  <c r="G81" i="51"/>
  <c r="H104" i="58" s="1"/>
  <c r="G131" i="51"/>
  <c r="H159" i="58" s="1"/>
  <c r="G226" i="51"/>
  <c r="H279" i="58" s="1"/>
  <c r="G175" i="51"/>
  <c r="H211" i="58" s="1"/>
  <c r="G72" i="51"/>
  <c r="G280" i="51"/>
  <c r="H348" i="58" s="1"/>
  <c r="G357" i="51"/>
  <c r="H438" i="58" s="1"/>
  <c r="G255" i="51"/>
  <c r="H318" i="58" s="1"/>
  <c r="G299" i="51"/>
  <c r="H371" i="58" s="1"/>
  <c r="G200" i="51"/>
  <c r="G338" i="51"/>
  <c r="H417" i="58" s="1"/>
  <c r="G268" i="51"/>
  <c r="G53" i="51"/>
  <c r="G26" i="51"/>
  <c r="G225" i="51"/>
  <c r="H278" i="58" s="1"/>
  <c r="G47" i="51"/>
  <c r="H56" i="58" s="1"/>
  <c r="G140" i="51"/>
  <c r="H169" i="58" s="1"/>
  <c r="G29" i="51"/>
  <c r="G202" i="51"/>
  <c r="H249" i="58" s="1"/>
  <c r="G216" i="51"/>
  <c r="H269" i="58" s="1"/>
  <c r="G369" i="51"/>
  <c r="G367" i="51"/>
  <c r="G222" i="51"/>
  <c r="H275" i="58" s="1"/>
  <c r="G354" i="51"/>
  <c r="G364" i="51"/>
  <c r="H445" i="58" s="1"/>
  <c r="G284" i="51"/>
  <c r="H354" i="58" s="1"/>
  <c r="G345" i="51"/>
  <c r="G55" i="51"/>
  <c r="H69" i="58" s="1"/>
  <c r="G111" i="51"/>
  <c r="G113" i="51"/>
  <c r="H139" i="58" s="1"/>
  <c r="G152" i="51"/>
  <c r="H183" i="58" s="1"/>
  <c r="G132" i="51"/>
  <c r="H160" i="58" s="1"/>
  <c r="G219" i="51"/>
  <c r="H272" i="58" s="1"/>
  <c r="G57" i="51"/>
  <c r="G7" i="51"/>
  <c r="H12" i="58" s="1"/>
  <c r="G59" i="51"/>
  <c r="G40" i="51"/>
  <c r="H48" i="58" s="1"/>
  <c r="G360" i="51"/>
  <c r="H441" i="58" s="1"/>
  <c r="G110" i="51"/>
  <c r="G174" i="51"/>
  <c r="H210" i="58" s="1"/>
  <c r="G262" i="51"/>
  <c r="H327" i="58" s="1"/>
  <c r="G211" i="51"/>
  <c r="G14" i="51"/>
  <c r="H20" i="58" s="1"/>
  <c r="G133" i="51"/>
  <c r="G297" i="51"/>
  <c r="G217" i="51"/>
  <c r="G89" i="51"/>
  <c r="H112" i="58" s="1"/>
  <c r="G21" i="51"/>
  <c r="H28" i="58" s="1"/>
  <c r="G64" i="51"/>
  <c r="H83" i="58" s="1"/>
  <c r="G88" i="51"/>
  <c r="H111" i="58" s="1"/>
  <c r="G358" i="51"/>
  <c r="H439" i="58" s="1"/>
  <c r="G114" i="51"/>
  <c r="H140" i="58" s="1"/>
  <c r="G334" i="51"/>
  <c r="H413" i="58" s="1"/>
  <c r="G236" i="51"/>
  <c r="G150" i="51"/>
  <c r="H181" i="58" s="1"/>
  <c r="G15" i="51"/>
  <c r="H21" i="58" s="1"/>
  <c r="G184" i="51"/>
  <c r="H229" i="58" s="1"/>
  <c r="G124" i="51"/>
  <c r="H151" i="58" s="1"/>
  <c r="G327" i="51"/>
  <c r="H406" i="58" s="1"/>
  <c r="G107" i="51"/>
  <c r="H131" i="58" s="1"/>
  <c r="G135" i="51"/>
  <c r="G167" i="51"/>
  <c r="H203" i="58" s="1"/>
  <c r="G94" i="51"/>
  <c r="H118" i="58" s="1"/>
  <c r="G158" i="51"/>
  <c r="G310" i="51"/>
  <c r="H388" i="58" s="1"/>
  <c r="G248" i="51"/>
  <c r="H310" i="58" s="1"/>
  <c r="G43" i="51"/>
  <c r="H52" i="58" s="1"/>
  <c r="G336" i="51"/>
  <c r="H415" i="58" s="1"/>
  <c r="G355" i="51"/>
  <c r="H436" i="58" s="1"/>
  <c r="G173" i="51"/>
  <c r="H209" i="58" s="1"/>
  <c r="G227" i="51"/>
  <c r="H280" i="58" s="1"/>
  <c r="G340" i="51"/>
  <c r="G126" i="51"/>
  <c r="H153" i="58" s="1"/>
  <c r="G71" i="51"/>
  <c r="G24" i="51"/>
  <c r="G159" i="51"/>
  <c r="G134" i="51"/>
  <c r="H162" i="58" s="1"/>
  <c r="G75" i="51"/>
  <c r="H98" i="58" s="1"/>
  <c r="G183" i="51"/>
  <c r="G191" i="51"/>
  <c r="H237" i="58" s="1"/>
  <c r="G253" i="51"/>
  <c r="G372" i="51"/>
  <c r="G243" i="51"/>
  <c r="G278" i="51"/>
  <c r="H346" i="58" s="1"/>
  <c r="G177" i="51"/>
  <c r="G165" i="51"/>
  <c r="H201" i="58" s="1"/>
  <c r="G11" i="51"/>
  <c r="G129" i="51"/>
  <c r="H157" i="58" s="1"/>
  <c r="G117" i="51"/>
  <c r="H143" i="58" s="1"/>
  <c r="G192" i="51"/>
  <c r="H238" i="58" s="1"/>
  <c r="G156" i="51"/>
  <c r="G61" i="51"/>
  <c r="H79" i="58" s="1"/>
  <c r="G17" i="51"/>
  <c r="H23" i="58" s="1"/>
  <c r="G163" i="51"/>
  <c r="G18" i="51"/>
  <c r="G328" i="51"/>
  <c r="H407" i="58" s="1"/>
  <c r="G339" i="51"/>
  <c r="G363" i="51"/>
  <c r="H444" i="58" s="1"/>
  <c r="G279" i="51"/>
  <c r="H347" i="58" s="1"/>
  <c r="G195" i="51"/>
  <c r="H241" i="58" s="1"/>
  <c r="G206" i="51"/>
  <c r="H256" i="58" s="1"/>
  <c r="G20" i="51"/>
  <c r="G287" i="51"/>
  <c r="H358" i="58" s="1"/>
  <c r="G54" i="51"/>
  <c r="H67" i="58" s="1"/>
  <c r="G73" i="51"/>
  <c r="G166" i="51"/>
  <c r="H202" i="58" s="1"/>
  <c r="G172" i="51"/>
  <c r="H208" i="58" s="1"/>
  <c r="G289" i="51"/>
  <c r="G58" i="51"/>
  <c r="H75" i="58" s="1"/>
  <c r="G77" i="51"/>
  <c r="H100" i="58" s="1"/>
  <c r="G153" i="51"/>
  <c r="G349" i="51"/>
  <c r="G282" i="51"/>
  <c r="G239" i="51"/>
  <c r="H300" i="58" s="1"/>
  <c r="G207" i="51"/>
  <c r="H257" i="58" s="1"/>
  <c r="G204" i="51"/>
  <c r="G70" i="51"/>
  <c r="G313" i="51"/>
  <c r="H391" i="58" s="1"/>
  <c r="G188" i="51"/>
  <c r="H233" i="58" s="1"/>
  <c r="G115" i="51"/>
  <c r="H141" i="58" s="1"/>
  <c r="G78" i="51"/>
  <c r="H101" i="58" s="1"/>
  <c r="G8" i="51"/>
  <c r="H13" i="58" s="1"/>
  <c r="G242" i="51"/>
  <c r="G48" i="51"/>
  <c r="H57" i="58" s="1"/>
  <c r="G330" i="51"/>
  <c r="H409" i="58" s="1"/>
  <c r="G12" i="51"/>
  <c r="G9" i="51"/>
  <c r="H14" i="58" s="1"/>
  <c r="G335" i="51"/>
  <c r="H414" i="58" s="1"/>
  <c r="G247" i="51"/>
  <c r="H309" i="58" s="1"/>
  <c r="G49" i="51"/>
  <c r="H61" i="58" s="1"/>
  <c r="G127" i="51"/>
  <c r="G312" i="51"/>
  <c r="H390" i="58" s="1"/>
  <c r="G137" i="51"/>
  <c r="H166" i="58" s="1"/>
  <c r="G87" i="51"/>
  <c r="H110" i="58" s="1"/>
  <c r="G359" i="51"/>
  <c r="H440" i="58" s="1"/>
  <c r="G92" i="51"/>
  <c r="H116" i="58" s="1"/>
  <c r="G119" i="51"/>
  <c r="H145" i="58" s="1"/>
  <c r="G125" i="51"/>
  <c r="G102" i="51"/>
  <c r="H126" i="58" s="1"/>
  <c r="G123" i="51"/>
  <c r="H150" i="58" s="1"/>
  <c r="G56" i="51"/>
  <c r="H73" i="58" s="1"/>
  <c r="G141" i="51"/>
  <c r="G260" i="51"/>
  <c r="G375" i="51"/>
  <c r="G300" i="51"/>
  <c r="H372" i="58" s="1"/>
  <c r="G99" i="51"/>
  <c r="H123" i="58" s="1"/>
  <c r="G181" i="51"/>
  <c r="H219" i="58" s="1"/>
  <c r="G237" i="51"/>
  <c r="H298" i="58" s="1"/>
  <c r="G198" i="51"/>
  <c r="H244" i="58" s="1"/>
  <c r="G139" i="51"/>
  <c r="H168" i="58" s="1"/>
  <c r="G193" i="51"/>
  <c r="H239" i="58" s="1"/>
  <c r="G85" i="51"/>
  <c r="H108" i="58" s="1"/>
  <c r="G121" i="51"/>
  <c r="G224" i="51"/>
  <c r="G201" i="51"/>
  <c r="H248" i="58" s="1"/>
  <c r="G10" i="51"/>
  <c r="H15" i="58" s="1"/>
  <c r="G205" i="51"/>
  <c r="G36" i="51"/>
  <c r="H44" i="58" s="1"/>
  <c r="G314" i="51"/>
  <c r="H392" i="58" s="1"/>
  <c r="G301" i="51"/>
  <c r="G240" i="51"/>
  <c r="H301" i="58" s="1"/>
  <c r="G100" i="51"/>
  <c r="H124" i="58" s="1"/>
  <c r="G13" i="51"/>
  <c r="H19" i="58" s="1"/>
  <c r="G215" i="51"/>
  <c r="G69" i="51"/>
  <c r="G109" i="51"/>
  <c r="H134" i="58" s="1"/>
  <c r="G65" i="51"/>
  <c r="G241" i="51"/>
  <c r="H302" i="58" s="1"/>
  <c r="G46" i="51"/>
  <c r="H55" i="58" s="1"/>
  <c r="G309" i="51"/>
  <c r="H387" i="58" s="1"/>
  <c r="G41" i="51"/>
  <c r="G101" i="51"/>
  <c r="H125" i="58" s="1"/>
  <c r="G190" i="51"/>
  <c r="E1" i="51"/>
  <c r="F5" i="58" s="1"/>
  <c r="K1" i="51"/>
  <c r="F6" i="23" s="1"/>
  <c r="E224" i="51"/>
  <c r="E156" i="51"/>
  <c r="E92" i="51"/>
  <c r="F116" i="58" s="1"/>
  <c r="E206" i="51"/>
  <c r="F256" i="58" s="1"/>
  <c r="E146" i="51"/>
  <c r="E82" i="51"/>
  <c r="F105" i="58" s="1"/>
  <c r="E11" i="51"/>
  <c r="E13" i="51"/>
  <c r="F19" i="58" s="1"/>
  <c r="E12" i="51"/>
  <c r="E218" i="51"/>
  <c r="F271" i="58" s="1"/>
  <c r="E356" i="51"/>
  <c r="F437" i="58" s="1"/>
  <c r="E284" i="51"/>
  <c r="F354" i="58" s="1"/>
  <c r="E249" i="51"/>
  <c r="F311" i="58" s="1"/>
  <c r="E238" i="51"/>
  <c r="F299" i="58" s="1"/>
  <c r="E16" i="51"/>
  <c r="F22" i="58" s="1"/>
  <c r="E311" i="51"/>
  <c r="F389" i="58" s="1"/>
  <c r="E299" i="51"/>
  <c r="F371" i="58" s="1"/>
  <c r="E315" i="51"/>
  <c r="F393" i="58" s="1"/>
  <c r="E96" i="51"/>
  <c r="F120" i="58" s="1"/>
  <c r="E165" i="51"/>
  <c r="F201" i="58" s="1"/>
  <c r="E219" i="51"/>
  <c r="F272" i="58" s="1"/>
  <c r="E192" i="51"/>
  <c r="F238" i="58" s="1"/>
  <c r="E74" i="51"/>
  <c r="F97" i="58" s="1"/>
  <c r="E180" i="51"/>
  <c r="F218" i="58" s="1"/>
  <c r="E318" i="51"/>
  <c r="F396" i="58" s="1"/>
  <c r="E265" i="51"/>
  <c r="E306" i="51"/>
  <c r="E240" i="51"/>
  <c r="F301" i="58" s="1"/>
  <c r="E129" i="51"/>
  <c r="F157" i="58" s="1"/>
  <c r="E205" i="51"/>
  <c r="E183" i="51"/>
  <c r="E126" i="51"/>
  <c r="F153" i="58" s="1"/>
  <c r="E237" i="51"/>
  <c r="F298" i="58" s="1"/>
  <c r="E232" i="51"/>
  <c r="F286" i="58" s="1"/>
  <c r="E276" i="51"/>
  <c r="E256" i="51"/>
  <c r="F319" i="58" s="1"/>
  <c r="E353" i="51"/>
  <c r="E272" i="51"/>
  <c r="F339" i="58" s="1"/>
  <c r="E178" i="51"/>
  <c r="E164" i="51"/>
  <c r="F200" i="58" s="1"/>
  <c r="E263" i="51"/>
  <c r="F328" i="58" s="1"/>
  <c r="E271" i="51"/>
  <c r="F338" i="58" s="1"/>
  <c r="E331" i="51"/>
  <c r="F410" i="58" s="1"/>
  <c r="E357" i="51"/>
  <c r="F438" i="58" s="1"/>
  <c r="E157" i="51"/>
  <c r="E199" i="51"/>
  <c r="E228" i="51"/>
  <c r="F281" i="58" s="1"/>
  <c r="E217" i="51"/>
  <c r="F270" i="58" s="1"/>
  <c r="E68" i="51"/>
  <c r="E253" i="51"/>
  <c r="E327" i="51"/>
  <c r="F406" i="58" s="1"/>
  <c r="E345" i="51"/>
  <c r="E340" i="51"/>
  <c r="E293" i="51"/>
  <c r="F365" i="58" s="1"/>
  <c r="E355" i="51"/>
  <c r="F436" i="58" s="1"/>
  <c r="E188" i="51"/>
  <c r="F233" i="58" s="1"/>
  <c r="E124" i="51"/>
  <c r="F151" i="58" s="1"/>
  <c r="E9" i="51"/>
  <c r="F14" i="58" s="1"/>
  <c r="E174" i="51"/>
  <c r="F210" i="58" s="1"/>
  <c r="E114" i="51"/>
  <c r="F140" i="58" s="1"/>
  <c r="E58" i="51"/>
  <c r="F75" i="58" s="1"/>
  <c r="E6" i="51"/>
  <c r="E198" i="51"/>
  <c r="F244" i="58" s="1"/>
  <c r="E84" i="51"/>
  <c r="F107" i="58" s="1"/>
  <c r="E59" i="51"/>
  <c r="E245" i="51"/>
  <c r="F307" i="58" s="1"/>
  <c r="E336" i="51"/>
  <c r="F415" i="58" s="1"/>
  <c r="E280" i="51"/>
  <c r="F348" i="58" s="1"/>
  <c r="E100" i="51"/>
  <c r="F124" i="58" s="1"/>
  <c r="E342" i="51"/>
  <c r="E264" i="51"/>
  <c r="E329" i="51"/>
  <c r="F408" i="58" s="1"/>
  <c r="E186" i="51"/>
  <c r="F231" i="58" s="1"/>
  <c r="E155" i="51"/>
  <c r="E44" i="51"/>
  <c r="F53" i="58" s="1"/>
  <c r="E141" i="51"/>
  <c r="E365" i="51"/>
  <c r="E234" i="51"/>
  <c r="F288" i="58" s="1"/>
  <c r="E290" i="51"/>
  <c r="F362" i="58" s="1"/>
  <c r="E277" i="51"/>
  <c r="F345" i="58" s="1"/>
  <c r="E279" i="51"/>
  <c r="F347" i="58" s="1"/>
  <c r="E339" i="51"/>
  <c r="E51" i="51"/>
  <c r="E24" i="51"/>
  <c r="E67" i="51"/>
  <c r="E20" i="51"/>
  <c r="E53" i="51"/>
  <c r="E166" i="51"/>
  <c r="F202" i="58" s="1"/>
  <c r="E348" i="51"/>
  <c r="F428" i="58" s="1"/>
  <c r="E335" i="51"/>
  <c r="F414" i="58" s="1"/>
  <c r="E278" i="51"/>
  <c r="F346" i="58" s="1"/>
  <c r="E300" i="51"/>
  <c r="F372" i="58" s="1"/>
  <c r="E273" i="51"/>
  <c r="F340" i="58" s="1"/>
  <c r="E122" i="51"/>
  <c r="F149" i="58" s="1"/>
  <c r="E324" i="51"/>
  <c r="E368" i="51"/>
  <c r="E251" i="51"/>
  <c r="F313" i="58" s="1"/>
  <c r="E222" i="51"/>
  <c r="F275" i="58" s="1"/>
  <c r="E145" i="51"/>
  <c r="E83" i="51"/>
  <c r="F106" i="58" s="1"/>
  <c r="E69" i="51"/>
  <c r="E86" i="51"/>
  <c r="E182" i="51"/>
  <c r="E364" i="51"/>
  <c r="F445" i="58" s="1"/>
  <c r="E292" i="51"/>
  <c r="E294" i="51"/>
  <c r="E106" i="51"/>
  <c r="F130" i="58" s="1"/>
  <c r="E268" i="51"/>
  <c r="E270" i="51"/>
  <c r="F337" i="58" s="1"/>
  <c r="E140" i="51"/>
  <c r="F169" i="58" s="1"/>
  <c r="E190" i="51"/>
  <c r="E66" i="51"/>
  <c r="E258" i="51"/>
  <c r="E262" i="51"/>
  <c r="F327" i="58" s="1"/>
  <c r="E285" i="51"/>
  <c r="E214" i="51"/>
  <c r="E298" i="51"/>
  <c r="F370" i="58" s="1"/>
  <c r="E281" i="51"/>
  <c r="E91" i="51"/>
  <c r="E160" i="51"/>
  <c r="E308" i="51"/>
  <c r="E373" i="51"/>
  <c r="E230" i="51"/>
  <c r="E131" i="51"/>
  <c r="F159" i="58" s="1"/>
  <c r="E94" i="51"/>
  <c r="F118" i="58" s="1"/>
  <c r="E250" i="51"/>
  <c r="F312" i="58" s="1"/>
  <c r="E328" i="51"/>
  <c r="F407" i="58" s="1"/>
  <c r="E307" i="51"/>
  <c r="E216" i="51"/>
  <c r="F269" i="58" s="1"/>
  <c r="E322" i="51"/>
  <c r="F400" i="58" s="1"/>
  <c r="E211" i="51"/>
  <c r="E133" i="51"/>
  <c r="E177" i="51"/>
  <c r="E310" i="51"/>
  <c r="F388" i="58" s="1"/>
  <c r="E313" i="51"/>
  <c r="F391" i="58" s="1"/>
  <c r="E320" i="51"/>
  <c r="F398" i="58" s="1"/>
  <c r="E325" i="51"/>
  <c r="F404" i="58" s="1"/>
  <c r="E7" i="51"/>
  <c r="F12" i="58" s="1"/>
  <c r="E227" i="51"/>
  <c r="F280" i="58" s="1"/>
  <c r="E142" i="51"/>
  <c r="E193" i="51"/>
  <c r="F239" i="58" s="1"/>
  <c r="E231" i="51"/>
  <c r="E291" i="51"/>
  <c r="E103" i="51"/>
  <c r="F127" i="58" s="1"/>
  <c r="E88" i="51"/>
  <c r="F111" i="58" s="1"/>
  <c r="E107" i="51"/>
  <c r="F131" i="58" s="1"/>
  <c r="E333" i="51"/>
  <c r="F412" i="58" s="1"/>
  <c r="E337" i="51"/>
  <c r="F416" i="58" s="1"/>
  <c r="E149" i="51"/>
  <c r="E61" i="51"/>
  <c r="F79" i="58" s="1"/>
  <c r="E176" i="51"/>
  <c r="E151" i="51"/>
  <c r="E72" i="51"/>
  <c r="E139" i="51"/>
  <c r="F168" i="58" s="1"/>
  <c r="E17" i="51"/>
  <c r="F23" i="58" s="1"/>
  <c r="E162" i="51"/>
  <c r="E189" i="51"/>
  <c r="E167" i="51"/>
  <c r="F203" i="58" s="1"/>
  <c r="E221" i="51"/>
  <c r="F274" i="58" s="1"/>
  <c r="E326" i="51"/>
  <c r="F405" i="58" s="1"/>
  <c r="E223" i="51"/>
  <c r="F276" i="58" s="1"/>
  <c r="E22" i="51"/>
  <c r="F29" i="58" s="1"/>
  <c r="E54" i="51"/>
  <c r="F67" i="58" s="1"/>
  <c r="E62" i="51"/>
  <c r="F80" i="58" s="1"/>
  <c r="E338" i="51"/>
  <c r="F417" i="58" s="1"/>
  <c r="E121" i="51"/>
  <c r="E208" i="51"/>
  <c r="E87" i="51"/>
  <c r="F110" i="58" s="1"/>
  <c r="E346" i="51"/>
  <c r="F426" i="58" s="1"/>
  <c r="E244" i="51"/>
  <c r="F306" i="58" s="1"/>
  <c r="E150" i="51"/>
  <c r="E125" i="51"/>
  <c r="E127" i="51"/>
  <c r="E108" i="51"/>
  <c r="F132" i="58" s="1"/>
  <c r="E158" i="51"/>
  <c r="E21" i="51"/>
  <c r="F28" i="58" s="1"/>
  <c r="E242" i="51"/>
  <c r="E196" i="51"/>
  <c r="F242" i="58" s="1"/>
  <c r="E286" i="51"/>
  <c r="E248" i="51"/>
  <c r="F310" i="58" s="1"/>
  <c r="E312" i="51"/>
  <c r="F390" i="58" s="1"/>
  <c r="E128" i="51"/>
  <c r="E341" i="51"/>
  <c r="E185" i="51"/>
  <c r="F230" i="58" s="1"/>
  <c r="E261" i="51"/>
  <c r="E354" i="51"/>
  <c r="E195" i="51"/>
  <c r="F241" i="58" s="1"/>
  <c r="E45" i="51"/>
  <c r="F54" i="58" s="1"/>
  <c r="E27" i="51"/>
  <c r="E358" i="51"/>
  <c r="F439" i="58" s="1"/>
  <c r="E241" i="51"/>
  <c r="F302" i="58" s="1"/>
  <c r="E210" i="51"/>
  <c r="E334" i="51"/>
  <c r="F413" i="58" s="1"/>
  <c r="E363" i="51"/>
  <c r="F444" i="58" s="1"/>
  <c r="E81" i="51"/>
  <c r="F104" i="58" s="1"/>
  <c r="E36" i="51"/>
  <c r="F44" i="58" s="1"/>
  <c r="E23" i="51"/>
  <c r="F30" i="58" s="1"/>
  <c r="E359" i="51"/>
  <c r="F440" i="58" s="1"/>
  <c r="E212" i="51"/>
  <c r="E295" i="51"/>
  <c r="E163" i="51"/>
  <c r="E225" i="51"/>
  <c r="F278" i="58" s="1"/>
  <c r="E215" i="51"/>
  <c r="E110" i="51"/>
  <c r="E255" i="51"/>
  <c r="F318" i="58" s="1"/>
  <c r="E179" i="51"/>
  <c r="F217" i="58" s="1"/>
  <c r="E101" i="51"/>
  <c r="F125" i="58" s="1"/>
  <c r="E26" i="51"/>
  <c r="E105" i="51"/>
  <c r="F129" i="58" s="1"/>
  <c r="E309" i="51"/>
  <c r="F387" i="58" s="1"/>
  <c r="E143" i="51"/>
  <c r="F173" i="58" s="1"/>
  <c r="E362" i="51"/>
  <c r="F443" i="58" s="1"/>
  <c r="E112" i="51"/>
  <c r="F138" i="58" s="1"/>
  <c r="E38" i="51"/>
  <c r="F46" i="58" s="1"/>
  <c r="E19" i="51"/>
  <c r="F25" i="58" s="1"/>
  <c r="E297" i="51"/>
  <c r="E137" i="51"/>
  <c r="F166" i="58" s="1"/>
  <c r="E14" i="51"/>
  <c r="F20" i="58" s="1"/>
  <c r="E200" i="51"/>
  <c r="E120" i="51"/>
  <c r="E115" i="51"/>
  <c r="F141" i="58" s="1"/>
  <c r="E18" i="51"/>
  <c r="E135" i="51"/>
  <c r="E288" i="51"/>
  <c r="F360" i="58" s="1"/>
  <c r="E171" i="51"/>
  <c r="F207" i="58" s="1"/>
  <c r="E93" i="51"/>
  <c r="E201" i="51"/>
  <c r="F248" i="58" s="1"/>
  <c r="E369" i="51"/>
  <c r="E243" i="51"/>
  <c r="E197" i="51"/>
  <c r="F243" i="58" s="1"/>
  <c r="E56" i="51"/>
  <c r="F73" i="58" s="1"/>
  <c r="E10" i="51"/>
  <c r="F15" i="58" s="1"/>
  <c r="E301" i="51"/>
  <c r="E104" i="51"/>
  <c r="F128" i="58" s="1"/>
  <c r="E73" i="51"/>
  <c r="E28" i="51"/>
  <c r="F36" i="58" s="1"/>
  <c r="E63" i="51"/>
  <c r="F81" i="58" s="1"/>
  <c r="E204" i="51"/>
  <c r="E76" i="51"/>
  <c r="F99" i="58" s="1"/>
  <c r="E130" i="51"/>
  <c r="F158" i="58" s="1"/>
  <c r="E8" i="51"/>
  <c r="F13" i="58" s="1"/>
  <c r="E64" i="51"/>
  <c r="F83" i="58" s="1"/>
  <c r="E274" i="51"/>
  <c r="F341" i="58" s="1"/>
  <c r="E287" i="51"/>
  <c r="F358" i="58" s="1"/>
  <c r="E332" i="51"/>
  <c r="F411" i="58" s="1"/>
  <c r="E361" i="51"/>
  <c r="E50" i="51"/>
  <c r="E207" i="51"/>
  <c r="F257" i="58" s="1"/>
  <c r="E138" i="51"/>
  <c r="F167" i="58" s="1"/>
  <c r="E247" i="51"/>
  <c r="F309" i="58" s="1"/>
  <c r="E259" i="51"/>
  <c r="F324" i="23" s="1"/>
  <c r="E65" i="51"/>
  <c r="E117" i="51"/>
  <c r="F143" i="58" s="1"/>
  <c r="E161" i="51"/>
  <c r="F196" i="58" s="1"/>
  <c r="E367" i="51"/>
  <c r="E321" i="51"/>
  <c r="F399" i="58" s="1"/>
  <c r="E60" i="51"/>
  <c r="E269" i="51"/>
  <c r="F336" i="58" s="1"/>
  <c r="E252" i="51"/>
  <c r="E147" i="51"/>
  <c r="E118" i="51"/>
  <c r="E132" i="51"/>
  <c r="F160" i="58" s="1"/>
  <c r="E344" i="51"/>
  <c r="F424" i="58" s="1"/>
  <c r="E350" i="51"/>
  <c r="F430" i="58" s="1"/>
  <c r="E323" i="51"/>
  <c r="E97" i="51"/>
  <c r="F121" i="58" s="1"/>
  <c r="E173" i="51"/>
  <c r="F209" i="58" s="1"/>
  <c r="E85" i="51"/>
  <c r="F108" i="58" s="1"/>
  <c r="E78" i="51"/>
  <c r="F101" i="58" s="1"/>
  <c r="E360" i="51"/>
  <c r="F441" i="58" s="1"/>
  <c r="E152" i="51"/>
  <c r="F183" i="58" s="1"/>
  <c r="E102" i="51"/>
  <c r="F126" i="58" s="1"/>
  <c r="E372" i="51"/>
  <c r="E233" i="51"/>
  <c r="F287" i="58" s="1"/>
  <c r="E235" i="51"/>
  <c r="E79" i="51"/>
  <c r="F102" i="58" s="1"/>
  <c r="E314" i="51"/>
  <c r="F392" i="58" s="1"/>
  <c r="E239" i="51"/>
  <c r="F300" i="58" s="1"/>
  <c r="E109" i="51"/>
  <c r="F134" i="58" s="1"/>
  <c r="E119" i="51"/>
  <c r="F145" i="58" s="1"/>
  <c r="E374" i="51"/>
  <c r="E32" i="51"/>
  <c r="F40" i="58" s="1"/>
  <c r="E191" i="51"/>
  <c r="F237" i="58" s="1"/>
  <c r="E169" i="51"/>
  <c r="F205" i="58" s="1"/>
  <c r="E113" i="51"/>
  <c r="F139" i="58" s="1"/>
  <c r="E43" i="51"/>
  <c r="F52" i="58" s="1"/>
  <c r="E134" i="51"/>
  <c r="F162" i="58" s="1"/>
  <c r="E71" i="51"/>
  <c r="E170" i="51"/>
  <c r="E39" i="51"/>
  <c r="E266" i="51"/>
  <c r="E111" i="51"/>
  <c r="E153" i="51"/>
  <c r="E80" i="51"/>
  <c r="F103" i="58" s="1"/>
  <c r="E123" i="51"/>
  <c r="F150" i="58" s="1"/>
  <c r="E283" i="51"/>
  <c r="E319" i="51"/>
  <c r="F397" i="58" s="1"/>
  <c r="E375" i="51"/>
  <c r="E33" i="51"/>
  <c r="F41" i="58" s="1"/>
  <c r="E49" i="51"/>
  <c r="F61" i="58" s="1"/>
  <c r="E168" i="51"/>
  <c r="F204" i="58" s="1"/>
  <c r="E172" i="51"/>
  <c r="F208" i="58" s="1"/>
  <c r="E226" i="51"/>
  <c r="F279" i="58" s="1"/>
  <c r="E98" i="51"/>
  <c r="F122" i="58" s="1"/>
  <c r="E37" i="51"/>
  <c r="F45" i="58" s="1"/>
  <c r="E90" i="51"/>
  <c r="E366" i="51"/>
  <c r="E347" i="51"/>
  <c r="E343" i="51"/>
  <c r="E330" i="51"/>
  <c r="F409" i="58" s="1"/>
  <c r="E89" i="51"/>
  <c r="F112" i="58" s="1"/>
  <c r="E77" i="51"/>
  <c r="F100" i="58" s="1"/>
  <c r="E29" i="51"/>
  <c r="E352" i="51"/>
  <c r="F432" i="58" s="1"/>
  <c r="E260" i="51"/>
  <c r="F325" i="58" s="1"/>
  <c r="E317" i="51"/>
  <c r="F395" i="58" s="1"/>
  <c r="E236" i="51"/>
  <c r="E116" i="51"/>
  <c r="F142" i="58" s="1"/>
  <c r="E303" i="51"/>
  <c r="E370" i="51"/>
  <c r="E31" i="51"/>
  <c r="F39" i="58" s="1"/>
  <c r="E304" i="51"/>
  <c r="F381" i="58" s="1"/>
  <c r="E40" i="51"/>
  <c r="F48" i="58" s="1"/>
  <c r="E47" i="51"/>
  <c r="F56" i="58" s="1"/>
  <c r="E55" i="51"/>
  <c r="F69" i="58" s="1"/>
  <c r="E282" i="51"/>
  <c r="E257" i="51"/>
  <c r="F320" i="58" s="1"/>
  <c r="E371" i="51"/>
  <c r="E254" i="51"/>
  <c r="F317" i="58" s="1"/>
  <c r="E48" i="51"/>
  <c r="F57" i="58" s="1"/>
  <c r="E99" i="51"/>
  <c r="F123" i="58" s="1"/>
  <c r="E220" i="51"/>
  <c r="F273" i="58" s="1"/>
  <c r="E57" i="51"/>
  <c r="F74" i="58" s="1"/>
  <c r="E136" i="51"/>
  <c r="E30" i="51"/>
  <c r="F38" i="58" s="1"/>
  <c r="E209" i="51"/>
  <c r="F259" i="58" s="1"/>
  <c r="E144" i="51"/>
  <c r="F174" i="58" s="1"/>
  <c r="E181" i="51"/>
  <c r="F219" i="58" s="1"/>
  <c r="E159" i="51"/>
  <c r="E351" i="51"/>
  <c r="F431" i="58" s="1"/>
  <c r="E194" i="51"/>
  <c r="F240" i="58" s="1"/>
  <c r="E187" i="51"/>
  <c r="E246" i="51"/>
  <c r="E41" i="51"/>
  <c r="E202" i="51"/>
  <c r="F249" i="58" s="1"/>
  <c r="E213" i="51"/>
  <c r="E42" i="51"/>
  <c r="E95" i="51"/>
  <c r="F119" i="58" s="1"/>
  <c r="E349" i="51"/>
  <c r="E15" i="51"/>
  <c r="F21" i="58" s="1"/>
  <c r="E70" i="51"/>
  <c r="E25" i="51"/>
  <c r="E52" i="51"/>
  <c r="E46" i="51"/>
  <c r="F55" i="58" s="1"/>
  <c r="E184" i="51"/>
  <c r="F229" i="58" s="1"/>
  <c r="E34" i="51"/>
  <c r="F42" i="58" s="1"/>
  <c r="E316" i="51"/>
  <c r="F394" i="58" s="1"/>
  <c r="E275" i="51"/>
  <c r="E175" i="51"/>
  <c r="F211" i="58" s="1"/>
  <c r="E229" i="51"/>
  <c r="F282" i="58" s="1"/>
  <c r="E305" i="51"/>
  <c r="E289" i="51"/>
  <c r="E203" i="51"/>
  <c r="F250" i="58" s="1"/>
  <c r="E75" i="51"/>
  <c r="F98" i="58" s="1"/>
  <c r="E35" i="51"/>
  <c r="F43" i="58" s="1"/>
  <c r="Y274" i="16"/>
  <c r="AB247" i="16"/>
  <c r="Y219" i="16"/>
  <c r="Y43" i="16" s="1"/>
  <c r="AD43" i="16" s="1"/>
  <c r="Y301" i="16"/>
  <c r="D76" i="22"/>
  <c r="K134" i="20"/>
  <c r="K485" i="20"/>
  <c r="P953" i="20"/>
  <c r="K259" i="20"/>
  <c r="K112" i="20"/>
  <c r="K345" i="20"/>
  <c r="K422" i="20"/>
  <c r="K247" i="20"/>
  <c r="K270" i="20"/>
  <c r="K428" i="20"/>
  <c r="A88" i="22"/>
  <c r="K532" i="20"/>
  <c r="K218" i="20"/>
  <c r="M76" i="22"/>
  <c r="K438" i="20"/>
  <c r="AV583" i="20"/>
  <c r="T342" i="20"/>
  <c r="BB696" i="20"/>
  <c r="BB763" i="20"/>
  <c r="O11" i="19"/>
  <c r="BE789" i="20"/>
  <c r="T354" i="20"/>
  <c r="U248" i="20"/>
  <c r="U249" i="20" s="1"/>
  <c r="U371" i="20"/>
  <c r="U361" i="20"/>
  <c r="U260" i="20"/>
  <c r="T262" i="20" s="1"/>
  <c r="U357" i="20"/>
  <c r="U353" i="20"/>
  <c r="B234" i="20"/>
  <c r="C17" i="21"/>
  <c r="C89" i="22"/>
  <c r="AY584" i="20"/>
  <c r="N135" i="20"/>
  <c r="C135" i="21" s="1"/>
  <c r="N239" i="20"/>
  <c r="CA889" i="20"/>
  <c r="N25" i="20"/>
  <c r="AY596" i="20" s="1"/>
  <c r="G91" i="23"/>
  <c r="G91" i="58" s="1"/>
  <c r="M10" i="22"/>
  <c r="M64" i="22"/>
  <c r="AY651" i="20"/>
  <c r="N223" i="20"/>
  <c r="C223" i="21" s="1"/>
  <c r="C63" i="21"/>
  <c r="M54" i="22"/>
  <c r="C55" i="21"/>
  <c r="AY640" i="20"/>
  <c r="E106" i="22"/>
  <c r="N219" i="20"/>
  <c r="AY648" i="20"/>
  <c r="C60" i="21"/>
  <c r="M61" i="22"/>
  <c r="N495" i="20"/>
  <c r="N542" i="20"/>
  <c r="N554" i="20"/>
  <c r="N507" i="20"/>
  <c r="BB768" i="20"/>
  <c r="BE768" i="20"/>
  <c r="CC868" i="20" s="1"/>
  <c r="AZ678" i="20"/>
  <c r="CA861" i="20"/>
  <c r="C57" i="21"/>
  <c r="M57" i="22"/>
  <c r="AY642" i="20"/>
  <c r="AY595" i="20"/>
  <c r="C24" i="21"/>
  <c r="M31" i="22"/>
  <c r="AZ661" i="20"/>
  <c r="CA849" i="20"/>
  <c r="C31" i="21"/>
  <c r="M37" i="22"/>
  <c r="AY609" i="20"/>
  <c r="N466" i="20"/>
  <c r="T261" i="20"/>
  <c r="C155" i="21"/>
  <c r="AY724" i="20"/>
  <c r="AZ668" i="20"/>
  <c r="AZ669" i="20"/>
  <c r="AZ682" i="20"/>
  <c r="AZ660" i="20"/>
  <c r="AY662" i="20"/>
  <c r="AY716" i="20" s="1"/>
  <c r="AZ681" i="20"/>
  <c r="AY713" i="20"/>
  <c r="AY725" i="20"/>
  <c r="CA848" i="20"/>
  <c r="N543" i="20"/>
  <c r="N496" i="20"/>
  <c r="T272" i="20"/>
  <c r="U271" i="20"/>
  <c r="C28" i="21"/>
  <c r="M35" i="22"/>
  <c r="N462" i="20"/>
  <c r="N461" i="20"/>
  <c r="AY602" i="20"/>
  <c r="AZ674" i="20"/>
  <c r="M47" i="22"/>
  <c r="C44" i="21"/>
  <c r="AY627" i="20"/>
  <c r="AY807" i="20"/>
  <c r="AZ673" i="20"/>
  <c r="CA856" i="20"/>
  <c r="AY804" i="20"/>
  <c r="AY676" i="20"/>
  <c r="AZ676" i="20" s="1"/>
  <c r="AZ670" i="20"/>
  <c r="M32" i="22"/>
  <c r="AY590" i="20"/>
  <c r="N457" i="20"/>
  <c r="C21" i="21"/>
  <c r="M50" i="22"/>
  <c r="C46" i="21"/>
  <c r="AY629" i="20"/>
  <c r="N547" i="20"/>
  <c r="N500" i="20"/>
  <c r="N126" i="20"/>
  <c r="C126" i="21" s="1"/>
  <c r="AY666" i="20"/>
  <c r="N208" i="20"/>
  <c r="C208" i="21" s="1"/>
  <c r="O77" i="20"/>
  <c r="C77" i="21"/>
  <c r="N459" i="20"/>
  <c r="M11" i="22"/>
  <c r="R11" i="22" s="1"/>
  <c r="O74" i="20"/>
  <c r="C74" i="21"/>
  <c r="N456" i="20"/>
  <c r="N470" i="20"/>
  <c r="AY663" i="20"/>
  <c r="AY717" i="20" s="1"/>
  <c r="N467" i="20"/>
  <c r="N458" i="20"/>
  <c r="N469" i="20"/>
  <c r="I134" i="21"/>
  <c r="I112" i="21"/>
  <c r="I218" i="21"/>
  <c r="I234" i="21" s="1"/>
  <c r="M51" i="22"/>
  <c r="C43" i="21"/>
  <c r="AY626" i="20"/>
  <c r="C18" i="21"/>
  <c r="M29" i="22"/>
  <c r="AY586" i="20"/>
  <c r="M46" i="22"/>
  <c r="N48" i="20"/>
  <c r="C40" i="21"/>
  <c r="AY623" i="20"/>
  <c r="M56" i="22"/>
  <c r="C56" i="21"/>
  <c r="AY641" i="20"/>
  <c r="M40" i="22"/>
  <c r="M68" i="22" s="1"/>
  <c r="C33" i="21"/>
  <c r="AY615" i="20"/>
  <c r="AY704" i="20"/>
  <c r="CA890" i="20"/>
  <c r="G331" i="23"/>
  <c r="G331" i="58" s="1"/>
  <c r="G261" i="58"/>
  <c r="AY766" i="20"/>
  <c r="AZ680" i="20"/>
  <c r="CA853" i="20"/>
  <c r="AY824" i="20"/>
  <c r="BD883" i="20" s="1"/>
  <c r="N535" i="20"/>
  <c r="N488" i="20"/>
  <c r="C73" i="21"/>
  <c r="N75" i="20"/>
  <c r="O73" i="20"/>
  <c r="R9" i="22"/>
  <c r="B51" i="22"/>
  <c r="R8" i="22"/>
  <c r="R20" i="22"/>
  <c r="R18" i="22"/>
  <c r="R15" i="22"/>
  <c r="R19" i="22"/>
  <c r="R23" i="22"/>
  <c r="R10" i="22"/>
  <c r="E13" i="22" s="1"/>
  <c r="R16" i="22"/>
  <c r="R17" i="22"/>
  <c r="R13" i="22"/>
  <c r="CA857" i="20"/>
  <c r="AZ675" i="20"/>
  <c r="Z29" i="21"/>
  <c r="Y32" i="21"/>
  <c r="I16" i="21" s="1"/>
  <c r="Z30" i="21"/>
  <c r="Z31" i="21" s="1"/>
  <c r="J15" i="21" s="1"/>
  <c r="N58" i="20"/>
  <c r="C52" i="21"/>
  <c r="AY636" i="20"/>
  <c r="M55" i="22"/>
  <c r="AZ667" i="20"/>
  <c r="AY808" i="20"/>
  <c r="AY784" i="20"/>
  <c r="CA880" i="20" s="1"/>
  <c r="T249" i="20"/>
  <c r="AK62" i="19"/>
  <c r="N455" i="20"/>
  <c r="AY587" i="20"/>
  <c r="C19" i="21"/>
  <c r="M30" i="22"/>
  <c r="G456" i="58"/>
  <c r="G470" i="23"/>
  <c r="AY625" i="20"/>
  <c r="M48" i="22"/>
  <c r="C42" i="21"/>
  <c r="N492" i="20"/>
  <c r="N539" i="20"/>
  <c r="AY805" i="20"/>
  <c r="AZ671" i="20"/>
  <c r="G449" i="23"/>
  <c r="G419" i="58"/>
  <c r="G454" i="23"/>
  <c r="G454" i="58" s="1"/>
  <c r="AY649" i="20"/>
  <c r="N220" i="20"/>
  <c r="C220" i="21" s="1"/>
  <c r="C61" i="21"/>
  <c r="M62" i="22"/>
  <c r="AY612" i="20"/>
  <c r="C32" i="21"/>
  <c r="M39" i="22"/>
  <c r="M36" i="22"/>
  <c r="N78" i="22"/>
  <c r="C27" i="21"/>
  <c r="AY599" i="20"/>
  <c r="N540" i="20"/>
  <c r="N493" i="20"/>
  <c r="N487" i="20"/>
  <c r="N534" i="20"/>
  <c r="N541" i="20"/>
  <c r="N494" i="20"/>
  <c r="N562" i="20"/>
  <c r="N515" i="20"/>
  <c r="C68" i="21"/>
  <c r="AY656" i="20"/>
  <c r="C41" i="21"/>
  <c r="AY624" i="20"/>
  <c r="M49" i="22"/>
  <c r="N180" i="20"/>
  <c r="C180" i="21" s="1"/>
  <c r="C175" i="21"/>
  <c r="G71" i="22"/>
  <c r="E38" i="22"/>
  <c r="CA858" i="20"/>
  <c r="AZ665" i="20"/>
  <c r="H160" i="21"/>
  <c r="H159" i="21"/>
  <c r="C30" i="21"/>
  <c r="M38" i="22"/>
  <c r="AY606" i="20"/>
  <c r="N464" i="20"/>
  <c r="N538" i="20"/>
  <c r="N491" i="20"/>
  <c r="N548" i="20"/>
  <c r="N501" i="20"/>
  <c r="AY806" i="20"/>
  <c r="AZ672" i="20"/>
  <c r="C65" i="21"/>
  <c r="T65" i="20"/>
  <c r="M66" i="22"/>
  <c r="AY653" i="20"/>
  <c r="AY630" i="20"/>
  <c r="C47" i="21"/>
  <c r="P156" i="16"/>
  <c r="P200" i="16" s="1"/>
  <c r="P49" i="16" s="1"/>
  <c r="U49" i="16" s="1"/>
  <c r="P142" i="16"/>
  <c r="AB346" i="16"/>
  <c r="AC41" i="16"/>
  <c r="AC31" i="16"/>
  <c r="AC19" i="16"/>
  <c r="AC40" i="16"/>
  <c r="AC30" i="16"/>
  <c r="AC18" i="16"/>
  <c r="AG12" i="16"/>
  <c r="AC38" i="16"/>
  <c r="AC29" i="16"/>
  <c r="AC16" i="16"/>
  <c r="AC37" i="16"/>
  <c r="AC27" i="16"/>
  <c r="AC14" i="16"/>
  <c r="AB57" i="16"/>
  <c r="AB54" i="16"/>
  <c r="AC46" i="16"/>
  <c r="AC36" i="16"/>
  <c r="AC25" i="16"/>
  <c r="AC13" i="16"/>
  <c r="AC44" i="16"/>
  <c r="AC24" i="16"/>
  <c r="AC12" i="16"/>
  <c r="AC35" i="16"/>
  <c r="AC23" i="16"/>
  <c r="AC43" i="16"/>
  <c r="AC33" i="16"/>
  <c r="AC21" i="16"/>
  <c r="X97" i="19"/>
  <c r="X98" i="19" s="1"/>
  <c r="S99" i="16"/>
  <c r="S96" i="16"/>
  <c r="S97" i="16" s="1"/>
  <c r="S197" i="16"/>
  <c r="S194" i="16"/>
  <c r="S195" i="16" s="1"/>
  <c r="Y267" i="16"/>
  <c r="Y212" i="16"/>
  <c r="Y19" i="16" s="1"/>
  <c r="AB240" i="16"/>
  <c r="Y294" i="16"/>
  <c r="Y211" i="16"/>
  <c r="Y18" i="16" s="1"/>
  <c r="Y293" i="16"/>
  <c r="AB239" i="16"/>
  <c r="Y266" i="16"/>
  <c r="Y51" i="16"/>
  <c r="AA51" i="16"/>
  <c r="X30" i="16"/>
  <c r="U111" i="19"/>
  <c r="S155" i="16"/>
  <c r="S158" i="16"/>
  <c r="AA24" i="16"/>
  <c r="V106" i="19"/>
  <c r="U99" i="19"/>
  <c r="S21" i="16"/>
  <c r="X16" i="16"/>
  <c r="Y292" i="16"/>
  <c r="Y265" i="16"/>
  <c r="AB238" i="16"/>
  <c r="Y210" i="16"/>
  <c r="Y14" i="16" s="1"/>
  <c r="R27" i="16"/>
  <c r="S184" i="16"/>
  <c r="S181" i="16"/>
  <c r="S182" i="16" s="1"/>
  <c r="V101" i="19"/>
  <c r="AA18" i="16"/>
  <c r="AE246" i="16"/>
  <c r="AB300" i="16"/>
  <c r="AB273" i="16"/>
  <c r="AB218" i="16"/>
  <c r="AB25" i="16" s="1"/>
  <c r="P27" i="16"/>
  <c r="U21" i="16"/>
  <c r="B46" i="16"/>
  <c r="F41" i="16"/>
  <c r="S138" i="16"/>
  <c r="S135" i="16"/>
  <c r="S136" i="16" s="1"/>
  <c r="AN283" i="16"/>
  <c r="AN284" i="16" s="1"/>
  <c r="AQ256" i="16"/>
  <c r="AN228" i="16"/>
  <c r="AN310" i="16"/>
  <c r="AN311" i="16" s="1"/>
  <c r="AH236" i="16"/>
  <c r="AE290" i="16"/>
  <c r="AE263" i="16"/>
  <c r="AE208" i="16"/>
  <c r="AE12" i="16" s="1"/>
  <c r="V235" i="16"/>
  <c r="V153" i="16"/>
  <c r="J364" i="16"/>
  <c r="V262" i="16"/>
  <c r="V192" i="16"/>
  <c r="V207" i="16"/>
  <c r="V179" i="16"/>
  <c r="V133" i="16"/>
  <c r="V166" i="16"/>
  <c r="V289" i="16"/>
  <c r="V94" i="16"/>
  <c r="V31" i="16"/>
  <c r="AA31" i="16" s="1"/>
  <c r="V61" i="16"/>
  <c r="V53" i="16"/>
  <c r="V392" i="16" s="1"/>
  <c r="V30" i="16"/>
  <c r="Y11" i="16"/>
  <c r="V81" i="16"/>
  <c r="V120" i="16"/>
  <c r="V107" i="16"/>
  <c r="S171" i="16"/>
  <c r="S168" i="16"/>
  <c r="S169" i="16" s="1"/>
  <c r="T104" i="19"/>
  <c r="T107" i="19" s="1"/>
  <c r="T100" i="19"/>
  <c r="AD13" i="16"/>
  <c r="P140" i="16"/>
  <c r="P37" i="16" s="1"/>
  <c r="U37" i="16" s="1"/>
  <c r="P199" i="16"/>
  <c r="P38" i="16" s="1"/>
  <c r="U38" i="16" s="1"/>
  <c r="AB297" i="16"/>
  <c r="AB270" i="16"/>
  <c r="AE243" i="16"/>
  <c r="AB215" i="16"/>
  <c r="S83" i="16"/>
  <c r="S86" i="16"/>
  <c r="S125" i="16"/>
  <c r="S122" i="16"/>
  <c r="S123" i="16" s="1"/>
  <c r="Y277" i="16"/>
  <c r="Y222" i="16"/>
  <c r="Y304" i="16"/>
  <c r="AB250" i="16"/>
  <c r="V257" i="16"/>
  <c r="S229" i="16"/>
  <c r="W105" i="19"/>
  <c r="AD25" i="16"/>
  <c r="P282" i="16"/>
  <c r="S255" i="16"/>
  <c r="P227" i="16"/>
  <c r="P309" i="16"/>
  <c r="Y298" i="16"/>
  <c r="AB244" i="16"/>
  <c r="Y271" i="16"/>
  <c r="Y216" i="16"/>
  <c r="Y23" i="16" s="1"/>
  <c r="P141" i="16"/>
  <c r="P48" i="16" s="1"/>
  <c r="U48" i="16" s="1"/>
  <c r="S112" i="16"/>
  <c r="S109" i="16"/>
  <c r="S110" i="16" s="1"/>
  <c r="P201" i="16"/>
  <c r="V102" i="19"/>
  <c r="AA19" i="16"/>
  <c r="P226" i="16"/>
  <c r="S254" i="16"/>
  <c r="P308" i="16"/>
  <c r="P281" i="16"/>
  <c r="AE285" i="16"/>
  <c r="AE230" i="16"/>
  <c r="AH258" i="16"/>
  <c r="AE312" i="16"/>
  <c r="Y299" i="16"/>
  <c r="AB245" i="16"/>
  <c r="Y272" i="16"/>
  <c r="Y217" i="16"/>
  <c r="Y24" i="16" s="1"/>
  <c r="V103" i="19"/>
  <c r="AA23" i="16"/>
  <c r="W113" i="19"/>
  <c r="V16" i="16"/>
  <c r="Z126" i="20"/>
  <c r="Z125" i="20"/>
  <c r="BM837" i="20"/>
  <c r="BM895" i="20" s="1"/>
  <c r="BM757" i="20"/>
  <c r="AB419" i="20"/>
  <c r="AB566" i="20"/>
  <c r="AC472" i="20"/>
  <c r="AB519" i="20"/>
  <c r="BN666" i="20"/>
  <c r="AC208" i="20"/>
  <c r="AD77" i="20"/>
  <c r="AI478" i="20"/>
  <c r="AI431" i="20" s="1"/>
  <c r="AH431" i="20"/>
  <c r="AB123" i="20"/>
  <c r="AA124" i="20"/>
  <c r="L125" i="21"/>
  <c r="L126" i="21"/>
  <c r="M124" i="21"/>
  <c r="N123" i="21"/>
  <c r="N26" i="20" l="1"/>
  <c r="H88" i="58"/>
  <c r="M7" i="22"/>
  <c r="H446" i="58"/>
  <c r="W946" i="20"/>
  <c r="M12" i="22"/>
  <c r="R12" i="22" s="1"/>
  <c r="E14" i="22" s="1"/>
  <c r="U261" i="20"/>
  <c r="BZ52" i="19"/>
  <c r="BZ56" i="19"/>
  <c r="CE56" i="19" s="1"/>
  <c r="C25" i="21"/>
  <c r="T263" i="20"/>
  <c r="T50" i="20" s="1"/>
  <c r="K475" i="20"/>
  <c r="K569" i="20"/>
  <c r="K522" i="20"/>
  <c r="H20" i="20"/>
  <c r="F33" i="23"/>
  <c r="F33" i="58" s="1"/>
  <c r="F32" i="58"/>
  <c r="H82" i="20"/>
  <c r="F427" i="58"/>
  <c r="F146" i="23"/>
  <c r="F137" i="58"/>
  <c r="F152" i="58"/>
  <c r="BY60" i="19"/>
  <c r="CD60" i="19" s="1"/>
  <c r="F335" i="58"/>
  <c r="F342" i="23"/>
  <c r="F31" i="58"/>
  <c r="BY45" i="19"/>
  <c r="CD45" i="19" s="1"/>
  <c r="F232" i="58"/>
  <c r="CJ45" i="19"/>
  <c r="F165" i="58"/>
  <c r="F170" i="23"/>
  <c r="F170" i="58" s="1"/>
  <c r="M33" i="22"/>
  <c r="M34" i="22" s="1"/>
  <c r="V260" i="20"/>
  <c r="T355" i="20"/>
  <c r="S28" i="22"/>
  <c r="O6" i="22"/>
  <c r="C105" i="22"/>
  <c r="M6" i="22"/>
  <c r="N6" i="22"/>
  <c r="K72" i="22"/>
  <c r="N72" i="22" s="1"/>
  <c r="K43" i="22"/>
  <c r="N43" i="22" s="1"/>
  <c r="K602" i="20"/>
  <c r="K578" i="20"/>
  <c r="K594" i="20"/>
  <c r="K586" i="20"/>
  <c r="Q952" i="20"/>
  <c r="R952" i="20"/>
  <c r="R951" i="20"/>
  <c r="Q951" i="20"/>
  <c r="F382" i="58"/>
  <c r="H72" i="20"/>
  <c r="F429" i="58"/>
  <c r="H83" i="20"/>
  <c r="F297" i="58"/>
  <c r="F303" i="23"/>
  <c r="F37" i="58"/>
  <c r="H23" i="20"/>
  <c r="H85" i="20"/>
  <c r="F423" i="58"/>
  <c r="H45" i="20"/>
  <c r="F206" i="58"/>
  <c r="F144" i="58"/>
  <c r="BY59" i="19"/>
  <c r="CD59" i="19" s="1"/>
  <c r="F78" i="58"/>
  <c r="F84" i="23"/>
  <c r="F84" i="58" s="1"/>
  <c r="F305" i="58"/>
  <c r="F314" i="23"/>
  <c r="F314" i="58" s="1"/>
  <c r="F199" i="58"/>
  <c r="F214" i="23"/>
  <c r="F214" i="58" s="1"/>
  <c r="BY47" i="19"/>
  <c r="CD47" i="19" s="1"/>
  <c r="F49" i="23"/>
  <c r="F49" i="58" s="1"/>
  <c r="F35" i="58"/>
  <c r="BY54" i="19"/>
  <c r="CD54" i="19" s="1"/>
  <c r="F95" i="58"/>
  <c r="F180" i="58"/>
  <c r="F184" i="23"/>
  <c r="F184" i="58" s="1"/>
  <c r="F401" i="23"/>
  <c r="F386" i="58"/>
  <c r="F88" i="58"/>
  <c r="F446" i="58"/>
  <c r="H38" i="20"/>
  <c r="F191" i="58"/>
  <c r="F18" i="58"/>
  <c r="F26" i="23"/>
  <c r="F26" i="58" s="1"/>
  <c r="H54" i="20"/>
  <c r="F277" i="58"/>
  <c r="H268" i="58"/>
  <c r="H283" i="23"/>
  <c r="H283" i="58" s="1"/>
  <c r="H429" i="58"/>
  <c r="Q83" i="20"/>
  <c r="H194" i="58"/>
  <c r="H197" i="23"/>
  <c r="CA57" i="19"/>
  <c r="CF57" i="19" s="1"/>
  <c r="H161" i="58"/>
  <c r="H435" i="58"/>
  <c r="Q76" i="20"/>
  <c r="H447" i="23"/>
  <c r="H447" i="58" s="1"/>
  <c r="H335" i="58"/>
  <c r="H342" i="23"/>
  <c r="H344" i="58"/>
  <c r="H350" i="23"/>
  <c r="H64" i="23"/>
  <c r="H51" i="58"/>
  <c r="H117" i="58"/>
  <c r="CA62" i="19"/>
  <c r="CF62" i="19" s="1"/>
  <c r="H403" i="58"/>
  <c r="H418" i="23"/>
  <c r="H418" i="58" s="1"/>
  <c r="H49" i="23"/>
  <c r="H49" i="58" s="1"/>
  <c r="H35" i="58"/>
  <c r="E151" i="19"/>
  <c r="CA47" i="19"/>
  <c r="CF47" i="19" s="1"/>
  <c r="Q36" i="20"/>
  <c r="H189" i="58"/>
  <c r="H192" i="23"/>
  <c r="H285" i="58"/>
  <c r="H295" i="23"/>
  <c r="Q20" i="20"/>
  <c r="H33" i="23"/>
  <c r="H32" i="58"/>
  <c r="H165" i="58"/>
  <c r="H170" i="23"/>
  <c r="H170" i="58" s="1"/>
  <c r="Q72" i="20"/>
  <c r="H382" i="58"/>
  <c r="E149" i="19"/>
  <c r="H39" i="58"/>
  <c r="V941" i="20"/>
  <c r="V940" i="20"/>
  <c r="V569" i="20"/>
  <c r="V475" i="20"/>
  <c r="V522" i="20"/>
  <c r="U333" i="20"/>
  <c r="T334" i="20"/>
  <c r="T335" i="20" s="1"/>
  <c r="U337" i="20"/>
  <c r="T315" i="20"/>
  <c r="I329" i="23"/>
  <c r="I329" i="58" s="1"/>
  <c r="K22" i="20"/>
  <c r="I63" i="58"/>
  <c r="I386" i="58"/>
  <c r="I401" i="23"/>
  <c r="K62" i="20"/>
  <c r="I355" i="23"/>
  <c r="I355" i="58" s="1"/>
  <c r="I352" i="58"/>
  <c r="I62" i="58"/>
  <c r="CB44" i="19"/>
  <c r="CG44" i="19" s="1"/>
  <c r="I253" i="23"/>
  <c r="I247" i="58"/>
  <c r="I78" i="58"/>
  <c r="I84" i="23"/>
  <c r="I84" i="58" s="1"/>
  <c r="I109" i="58"/>
  <c r="K29" i="20"/>
  <c r="I316" i="58"/>
  <c r="I322" i="23"/>
  <c r="I322" i="58" s="1"/>
  <c r="I403" i="58"/>
  <c r="I418" i="23"/>
  <c r="I418" i="58" s="1"/>
  <c r="CB43" i="19"/>
  <c r="CG43" i="19" s="1"/>
  <c r="I24" i="58"/>
  <c r="I148" i="58"/>
  <c r="I154" i="23"/>
  <c r="I285" i="58"/>
  <c r="I295" i="23"/>
  <c r="K23" i="20"/>
  <c r="I37" i="58"/>
  <c r="I236" i="58"/>
  <c r="I245" i="23"/>
  <c r="I111" i="58"/>
  <c r="I425" i="58"/>
  <c r="K84" i="20"/>
  <c r="I137" i="58"/>
  <c r="I146" i="23"/>
  <c r="I117" i="58"/>
  <c r="CB62" i="19"/>
  <c r="CG62" i="19" s="1"/>
  <c r="C169" i="19"/>
  <c r="I270" i="58"/>
  <c r="I192" i="23"/>
  <c r="I189" i="58"/>
  <c r="K36" i="20"/>
  <c r="E431" i="58"/>
  <c r="U431" i="23"/>
  <c r="U445" i="23"/>
  <c r="E445" i="58"/>
  <c r="E107" i="58"/>
  <c r="U107" i="23"/>
  <c r="U256" i="23"/>
  <c r="E256" i="58"/>
  <c r="U139" i="23"/>
  <c r="E139" i="58"/>
  <c r="E209" i="58"/>
  <c r="U209" i="23"/>
  <c r="U288" i="23"/>
  <c r="E288" i="58"/>
  <c r="U345" i="23"/>
  <c r="E345" i="58"/>
  <c r="E327" i="58"/>
  <c r="U327" i="23"/>
  <c r="U443" i="23"/>
  <c r="E443" i="58"/>
  <c r="E300" i="58"/>
  <c r="U300" i="23"/>
  <c r="U442" i="23"/>
  <c r="E442" i="58"/>
  <c r="E106" i="58"/>
  <c r="U106" i="23"/>
  <c r="E210" i="58"/>
  <c r="U210" i="23"/>
  <c r="U165" i="23"/>
  <c r="E165" i="58"/>
  <c r="E170" i="23"/>
  <c r="U167" i="23"/>
  <c r="E167" i="58"/>
  <c r="E110" i="58"/>
  <c r="U110" i="23"/>
  <c r="E229" i="58"/>
  <c r="U229" i="23"/>
  <c r="U129" i="23"/>
  <c r="E129" i="58"/>
  <c r="E233" i="58"/>
  <c r="U233" i="23"/>
  <c r="U353" i="23"/>
  <c r="E66" i="20"/>
  <c r="E353" i="58"/>
  <c r="E45" i="58"/>
  <c r="U45" i="23"/>
  <c r="U320" i="23"/>
  <c r="E320" i="58"/>
  <c r="U346" i="23"/>
  <c r="E346" i="58"/>
  <c r="U232" i="23"/>
  <c r="CI45" i="19"/>
  <c r="E232" i="58"/>
  <c r="E30" i="58"/>
  <c r="U30" i="23"/>
  <c r="U268" i="23"/>
  <c r="E268" i="58"/>
  <c r="E283" i="23"/>
  <c r="E279" i="58"/>
  <c r="U279" i="23"/>
  <c r="U144" i="23"/>
  <c r="BX59" i="19"/>
  <c r="CC59" i="19" s="1"/>
  <c r="E144" i="58"/>
  <c r="E313" i="58"/>
  <c r="U313" i="23"/>
  <c r="U162" i="23"/>
  <c r="E162" i="58"/>
  <c r="U276" i="23"/>
  <c r="E276" i="58"/>
  <c r="E269" i="58"/>
  <c r="U269" i="23"/>
  <c r="U31" i="23"/>
  <c r="E31" i="58"/>
  <c r="BX45" i="19"/>
  <c r="CC45" i="19" s="1"/>
  <c r="U78" i="23"/>
  <c r="E78" i="58"/>
  <c r="E84" i="23"/>
  <c r="U381" i="23"/>
  <c r="E381" i="58"/>
  <c r="U397" i="23"/>
  <c r="E397" i="58"/>
  <c r="U352" i="23"/>
  <c r="E355" i="23"/>
  <c r="E62" i="20"/>
  <c r="E352" i="58"/>
  <c r="E140" i="58"/>
  <c r="U140" i="23"/>
  <c r="U444" i="23"/>
  <c r="E444" i="58"/>
  <c r="U272" i="23"/>
  <c r="E272" i="58"/>
  <c r="U61" i="23"/>
  <c r="E61" i="58"/>
  <c r="U18" i="23"/>
  <c r="E26" i="23"/>
  <c r="E18" i="58"/>
  <c r="E160" i="58"/>
  <c r="U160" i="23"/>
  <c r="U316" i="23"/>
  <c r="E316" i="58"/>
  <c r="E322" i="23"/>
  <c r="E104" i="58"/>
  <c r="U104" i="23"/>
  <c r="U132" i="23"/>
  <c r="E132" i="58"/>
  <c r="U409" i="23"/>
  <c r="E409" i="58"/>
  <c r="U422" i="23"/>
  <c r="E78" i="20"/>
  <c r="E422" i="58"/>
  <c r="U417" i="23"/>
  <c r="E417" i="58"/>
  <c r="U37" i="23"/>
  <c r="E37" i="58"/>
  <c r="E23" i="20"/>
  <c r="U247" i="23"/>
  <c r="E247" i="58"/>
  <c r="E253" i="23"/>
  <c r="E399" i="58"/>
  <c r="U399" i="23"/>
  <c r="U96" i="23"/>
  <c r="BX55" i="19"/>
  <c r="CC55" i="19" s="1"/>
  <c r="E96" i="58"/>
  <c r="E103" i="58"/>
  <c r="U103" i="23"/>
  <c r="U299" i="23"/>
  <c r="E299" i="58"/>
  <c r="U336" i="23"/>
  <c r="E336" i="58"/>
  <c r="U421" i="23"/>
  <c r="E81" i="20"/>
  <c r="E421" i="58"/>
  <c r="E433" i="23"/>
  <c r="E39" i="58"/>
  <c r="U39" i="23"/>
  <c r="U425" i="23"/>
  <c r="E425" i="58"/>
  <c r="E84" i="20"/>
  <c r="E414" i="58"/>
  <c r="U414" i="23"/>
  <c r="E347" i="58"/>
  <c r="U347" i="23"/>
  <c r="E325" i="58"/>
  <c r="U325" i="23"/>
  <c r="U257" i="23"/>
  <c r="E257" i="58"/>
  <c r="U190" i="23"/>
  <c r="CI41" i="19"/>
  <c r="E190" i="58"/>
  <c r="E37" i="20"/>
  <c r="E390" i="58"/>
  <c r="U390" i="23"/>
  <c r="U204" i="23"/>
  <c r="E204" i="58"/>
  <c r="U358" i="23"/>
  <c r="E358" i="58"/>
  <c r="U199" i="23"/>
  <c r="E199" i="58"/>
  <c r="E214" i="23"/>
  <c r="U370" i="23"/>
  <c r="E370" i="58"/>
  <c r="U125" i="23"/>
  <c r="E125" i="58"/>
  <c r="U101" i="23"/>
  <c r="E101" i="58"/>
  <c r="E36" i="20"/>
  <c r="E189" i="58"/>
  <c r="U189" i="23"/>
  <c r="E192" i="23"/>
  <c r="E55" i="58"/>
  <c r="U55" i="23"/>
  <c r="U236" i="23"/>
  <c r="E236" i="58"/>
  <c r="E245" i="23"/>
  <c r="E393" i="58"/>
  <c r="U393" i="23"/>
  <c r="U52" i="23"/>
  <c r="E52" i="58"/>
  <c r="D5" i="51"/>
  <c r="B121" i="22"/>
  <c r="B122" i="22" s="1"/>
  <c r="E7" i="23"/>
  <c r="E6" i="58"/>
  <c r="AB291" i="16"/>
  <c r="AB264" i="16"/>
  <c r="AB209" i="16"/>
  <c r="AB13" i="16" s="1"/>
  <c r="AE237" i="16"/>
  <c r="Q85" i="20"/>
  <c r="H423" i="58"/>
  <c r="W270" i="20"/>
  <c r="W112" i="20"/>
  <c r="W428" i="20"/>
  <c r="W351" i="20"/>
  <c r="W311" i="20"/>
  <c r="W422" i="20"/>
  <c r="W134" i="20"/>
  <c r="W160" i="20" s="1"/>
  <c r="W385" i="20"/>
  <c r="W938" i="20"/>
  <c r="W218" i="20"/>
  <c r="W234" i="20" s="1"/>
  <c r="W259" i="20"/>
  <c r="X15" i="20"/>
  <c r="X946" i="20" s="1"/>
  <c r="BH583" i="20"/>
  <c r="W345" i="20"/>
  <c r="V586" i="20"/>
  <c r="V578" i="20"/>
  <c r="V602" i="20"/>
  <c r="V594" i="20"/>
  <c r="V485" i="20"/>
  <c r="V247" i="20"/>
  <c r="V532" i="20"/>
  <c r="V438" i="20"/>
  <c r="H142" i="19"/>
  <c r="H48" i="19"/>
  <c r="H154" i="19"/>
  <c r="H60" i="19"/>
  <c r="K71" i="20"/>
  <c r="I384" i="23"/>
  <c r="I380" i="58"/>
  <c r="K66" i="20"/>
  <c r="I353" i="58"/>
  <c r="I32" i="58"/>
  <c r="K20" i="20"/>
  <c r="I33" i="23"/>
  <c r="I180" i="58"/>
  <c r="I184" i="23"/>
  <c r="I184" i="58" s="1"/>
  <c r="CB47" i="19"/>
  <c r="CG47" i="19" s="1"/>
  <c r="I35" i="58"/>
  <c r="C151" i="19"/>
  <c r="I49" i="23"/>
  <c r="I49" i="58" s="1"/>
  <c r="I195" i="58"/>
  <c r="CM42" i="19"/>
  <c r="I228" i="58"/>
  <c r="I234" i="23"/>
  <c r="I172" i="58"/>
  <c r="I176" i="23"/>
  <c r="I305" i="58"/>
  <c r="I314" i="23"/>
  <c r="C149" i="19"/>
  <c r="I39" i="58"/>
  <c r="K78" i="20"/>
  <c r="I422" i="58"/>
  <c r="I86" i="58"/>
  <c r="I90" i="23"/>
  <c r="I90" i="58" s="1"/>
  <c r="I51" i="58"/>
  <c r="I64" i="23"/>
  <c r="K53" i="20"/>
  <c r="AV637" i="20" s="1"/>
  <c r="I308" i="58"/>
  <c r="K56" i="20"/>
  <c r="I170" i="23"/>
  <c r="I170" i="58" s="1"/>
  <c r="I165" i="58"/>
  <c r="CB59" i="19"/>
  <c r="CG59" i="19" s="1"/>
  <c r="I144" i="58"/>
  <c r="CB53" i="19"/>
  <c r="CG53" i="19" s="1"/>
  <c r="I94" i="58"/>
  <c r="K76" i="20"/>
  <c r="I435" i="58"/>
  <c r="I447" i="23"/>
  <c r="I447" i="58" s="1"/>
  <c r="I47" i="58"/>
  <c r="CB46" i="19"/>
  <c r="CG46" i="19" s="1"/>
  <c r="CB42" i="19"/>
  <c r="I11" i="58"/>
  <c r="I16" i="23"/>
  <c r="I161" i="58"/>
  <c r="CB57" i="19"/>
  <c r="CG57" i="19" s="1"/>
  <c r="I427" i="58"/>
  <c r="K82" i="20"/>
  <c r="U216" i="23"/>
  <c r="E216" i="58"/>
  <c r="E226" i="23"/>
  <c r="E180" i="58"/>
  <c r="U180" i="23"/>
  <c r="E184" i="23"/>
  <c r="U450" i="23"/>
  <c r="E88" i="20"/>
  <c r="E450" i="58"/>
  <c r="E369" i="58"/>
  <c r="E69" i="20"/>
  <c r="U369" i="23"/>
  <c r="E373" i="23"/>
  <c r="E259" i="58"/>
  <c r="U259" i="23"/>
  <c r="U427" i="23"/>
  <c r="E82" i="20"/>
  <c r="E427" i="58"/>
  <c r="E404" i="58"/>
  <c r="U404" i="23"/>
  <c r="U148" i="23"/>
  <c r="E154" i="23"/>
  <c r="E148" i="58"/>
  <c r="U278" i="23"/>
  <c r="E278" i="58"/>
  <c r="E196" i="58"/>
  <c r="U196" i="23"/>
  <c r="U412" i="23"/>
  <c r="E412" i="58"/>
  <c r="E23" i="58"/>
  <c r="U23" i="23"/>
  <c r="E309" i="58"/>
  <c r="U309" i="23"/>
  <c r="U131" i="23"/>
  <c r="E131" i="58"/>
  <c r="E242" i="58"/>
  <c r="U242" i="23"/>
  <c r="U388" i="23"/>
  <c r="E388" i="58"/>
  <c r="E311" i="58"/>
  <c r="U311" i="23"/>
  <c r="U382" i="23"/>
  <c r="E72" i="20"/>
  <c r="E382" i="58"/>
  <c r="U130" i="23"/>
  <c r="E130" i="58"/>
  <c r="U440" i="23"/>
  <c r="E440" i="58"/>
  <c r="U117" i="23"/>
  <c r="BX62" i="19"/>
  <c r="CC62" i="19" s="1"/>
  <c r="E117" i="58"/>
  <c r="U360" i="23"/>
  <c r="E360" i="58"/>
  <c r="E432" i="58"/>
  <c r="U432" i="23"/>
  <c r="U403" i="23"/>
  <c r="E418" i="23"/>
  <c r="E403" i="58"/>
  <c r="U287" i="23"/>
  <c r="E287" i="58"/>
  <c r="U105" i="23"/>
  <c r="E105" i="58"/>
  <c r="U47" i="23"/>
  <c r="BX46" i="19"/>
  <c r="CC46" i="19" s="1"/>
  <c r="E47" i="58"/>
  <c r="U430" i="23"/>
  <c r="E430" i="58"/>
  <c r="E250" i="58"/>
  <c r="U250" i="23"/>
  <c r="U337" i="23"/>
  <c r="E337" i="58"/>
  <c r="U208" i="23"/>
  <c r="E208" i="58"/>
  <c r="U150" i="23"/>
  <c r="E150" i="58"/>
  <c r="E371" i="58"/>
  <c r="U371" i="23"/>
  <c r="U312" i="23"/>
  <c r="E312" i="58"/>
  <c r="U319" i="23"/>
  <c r="E319" i="58"/>
  <c r="U108" i="23"/>
  <c r="E108" i="58"/>
  <c r="U138" i="23"/>
  <c r="E138" i="58"/>
  <c r="U264" i="23"/>
  <c r="E266" i="23"/>
  <c r="E49" i="20"/>
  <c r="E264" i="58"/>
  <c r="U338" i="23"/>
  <c r="E338" i="58"/>
  <c r="E112" i="58"/>
  <c r="U112" i="23"/>
  <c r="U46" i="23"/>
  <c r="E46" i="58"/>
  <c r="E335" i="58"/>
  <c r="U335" i="23"/>
  <c r="E342" i="23"/>
  <c r="U423" i="23"/>
  <c r="E85" i="20"/>
  <c r="E423" i="58"/>
  <c r="E361" i="23"/>
  <c r="U395" i="23"/>
  <c r="E395" i="58"/>
  <c r="U161" i="23"/>
  <c r="BX57" i="19"/>
  <c r="CC57" i="19" s="1"/>
  <c r="E161" i="58"/>
  <c r="U122" i="23"/>
  <c r="E122" i="58"/>
  <c r="E411" i="58"/>
  <c r="U411" i="23"/>
  <c r="U62" i="23"/>
  <c r="BX44" i="19"/>
  <c r="CC44" i="19" s="1"/>
  <c r="E62" i="58"/>
  <c r="E36" i="58"/>
  <c r="U36" i="23"/>
  <c r="E302" i="58"/>
  <c r="U302" i="23"/>
  <c r="E270" i="58"/>
  <c r="U270" i="23"/>
  <c r="U396" i="23"/>
  <c r="E396" i="58"/>
  <c r="E42" i="58"/>
  <c r="U42" i="23"/>
  <c r="U40" i="23"/>
  <c r="E40" i="58"/>
  <c r="E365" i="58"/>
  <c r="U365" i="23"/>
  <c r="U194" i="23"/>
  <c r="E194" i="58"/>
  <c r="E197" i="23"/>
  <c r="U277" i="23"/>
  <c r="E54" i="20"/>
  <c r="E277" i="58"/>
  <c r="E415" i="58"/>
  <c r="U415" i="23"/>
  <c r="U239" i="23"/>
  <c r="E239" i="58"/>
  <c r="U157" i="23"/>
  <c r="E157" i="58"/>
  <c r="U115" i="23"/>
  <c r="E115" i="58"/>
  <c r="E135" i="23"/>
  <c r="E380" i="58"/>
  <c r="U380" i="23"/>
  <c r="E71" i="20"/>
  <c r="E384" i="23"/>
  <c r="U306" i="23"/>
  <c r="E306" i="58"/>
  <c r="U255" i="23"/>
  <c r="E255" i="58"/>
  <c r="E260" i="23"/>
  <c r="U228" i="23"/>
  <c r="E234" i="23"/>
  <c r="E228" i="58"/>
  <c r="U14" i="23"/>
  <c r="E14" i="58"/>
  <c r="U410" i="23"/>
  <c r="E410" i="58"/>
  <c r="E286" i="58"/>
  <c r="U286" i="23"/>
  <c r="E168" i="58"/>
  <c r="U168" i="23"/>
  <c r="U383" i="23"/>
  <c r="E90" i="20"/>
  <c r="E383" i="58"/>
  <c r="U183" i="23"/>
  <c r="E183" i="58"/>
  <c r="U53" i="23"/>
  <c r="E53" i="58"/>
  <c r="BY53" i="19"/>
  <c r="CD53" i="19" s="1"/>
  <c r="F94" i="58"/>
  <c r="F369" i="58"/>
  <c r="H69" i="20"/>
  <c r="F373" i="23"/>
  <c r="F373" i="58" s="1"/>
  <c r="BY57" i="19"/>
  <c r="CD57" i="19" s="1"/>
  <c r="F161" i="58"/>
  <c r="F195" i="58"/>
  <c r="CJ42" i="19"/>
  <c r="E5" i="51"/>
  <c r="C121" i="22"/>
  <c r="C122" i="22" s="1"/>
  <c r="F7" i="23"/>
  <c r="F6" i="58"/>
  <c r="H24" i="58"/>
  <c r="CA43" i="19"/>
  <c r="CF43" i="19" s="1"/>
  <c r="H190" i="58"/>
  <c r="CL41" i="19"/>
  <c r="Q37" i="20"/>
  <c r="H305" i="58"/>
  <c r="H314" i="23"/>
  <c r="H228" i="58"/>
  <c r="H234" i="23"/>
  <c r="CA45" i="19"/>
  <c r="CF45" i="19" s="1"/>
  <c r="H31" i="58"/>
  <c r="Q84" i="20"/>
  <c r="H425" i="58"/>
  <c r="H84" i="23"/>
  <c r="H84" i="58" s="1"/>
  <c r="H78" i="58"/>
  <c r="Q49" i="20"/>
  <c r="H266" i="23"/>
  <c r="H264" i="58"/>
  <c r="H442" i="58"/>
  <c r="Q86" i="20"/>
  <c r="Q53" i="20"/>
  <c r="H308" i="58"/>
  <c r="Q56" i="20"/>
  <c r="H63" i="58"/>
  <c r="Q22" i="20"/>
  <c r="Q21" i="20"/>
  <c r="H364" i="58"/>
  <c r="Q63" i="20"/>
  <c r="H422" i="58"/>
  <c r="Q78" i="20"/>
  <c r="H226" i="23"/>
  <c r="H216" i="58"/>
  <c r="T250" i="20"/>
  <c r="T251" i="20" s="1"/>
  <c r="U377" i="20"/>
  <c r="U373" i="20"/>
  <c r="T374" i="20"/>
  <c r="T375" i="20" s="1"/>
  <c r="CI61" i="19"/>
  <c r="AI46" i="19"/>
  <c r="AH11" i="19"/>
  <c r="AI11" i="19" s="1"/>
  <c r="AJ11" i="19" s="1"/>
  <c r="AK11" i="19" s="1"/>
  <c r="AL11" i="19" s="1"/>
  <c r="AM11" i="19" s="1"/>
  <c r="AN11" i="19" s="1"/>
  <c r="AO11" i="19" s="1"/>
  <c r="AP11" i="19" s="1"/>
  <c r="AQ11" i="19" s="1"/>
  <c r="AR11" i="19" s="1"/>
  <c r="AS11" i="19" s="1"/>
  <c r="AT11" i="19" s="1"/>
  <c r="AB301" i="16"/>
  <c r="AB274" i="16"/>
  <c r="AB219" i="16"/>
  <c r="AB43" i="16" s="1"/>
  <c r="AE247" i="16"/>
  <c r="F93" i="58"/>
  <c r="F113" i="23"/>
  <c r="F64" i="23"/>
  <c r="H21" i="20" s="1"/>
  <c r="F51" i="58"/>
  <c r="H53" i="20"/>
  <c r="F308" i="58"/>
  <c r="F194" i="58"/>
  <c r="F197" i="23"/>
  <c r="F380" i="58"/>
  <c r="H71" i="20"/>
  <c r="F384" i="23"/>
  <c r="F329" i="23"/>
  <c r="F329" i="58" s="1"/>
  <c r="F62" i="58"/>
  <c r="BY44" i="19"/>
  <c r="CD44" i="19" s="1"/>
  <c r="BY55" i="19"/>
  <c r="CD55" i="19" s="1"/>
  <c r="F96" i="58"/>
  <c r="F247" i="58"/>
  <c r="F253" i="23"/>
  <c r="F283" i="23"/>
  <c r="F283" i="58" s="1"/>
  <c r="F268" i="58"/>
  <c r="F266" i="23"/>
  <c r="H49" i="20"/>
  <c r="F264" i="58"/>
  <c r="F421" i="58"/>
  <c r="F433" i="23"/>
  <c r="F433" i="58" s="1"/>
  <c r="H81" i="20"/>
  <c r="F181" i="58"/>
  <c r="L72" i="22"/>
  <c r="O72" i="22" s="1"/>
  <c r="CJ47" i="19"/>
  <c r="F258" i="58"/>
  <c r="CJ43" i="19"/>
  <c r="F212" i="58"/>
  <c r="F115" i="58"/>
  <c r="F135" i="23"/>
  <c r="F245" i="23"/>
  <c r="F236" i="58"/>
  <c r="F418" i="23"/>
  <c r="F418" i="58" s="1"/>
  <c r="F403" i="58"/>
  <c r="F66" i="58"/>
  <c r="F76" i="23"/>
  <c r="F63" i="58"/>
  <c r="H22" i="20"/>
  <c r="F216" i="58"/>
  <c r="F226" i="23"/>
  <c r="F344" i="58"/>
  <c r="F350" i="23"/>
  <c r="F228" i="58"/>
  <c r="F234" i="23"/>
  <c r="F383" i="58"/>
  <c r="H90" i="20"/>
  <c r="H277" i="58"/>
  <c r="Q54" i="20"/>
  <c r="CA60" i="19"/>
  <c r="CF60" i="19" s="1"/>
  <c r="H152" i="58"/>
  <c r="H18" i="58"/>
  <c r="H26" i="23"/>
  <c r="H26" i="58" s="1"/>
  <c r="H199" i="58"/>
  <c r="H214" i="23"/>
  <c r="H214" i="58" s="1"/>
  <c r="CA53" i="19"/>
  <c r="CF53" i="19" s="1"/>
  <c r="H94" i="58"/>
  <c r="H303" i="23"/>
  <c r="H297" i="58"/>
  <c r="E169" i="19"/>
  <c r="H270" i="58"/>
  <c r="H74" i="58"/>
  <c r="E152" i="19"/>
  <c r="Q23" i="20"/>
  <c r="H37" i="58"/>
  <c r="Q24" i="20"/>
  <c r="H253" i="23"/>
  <c r="H247" i="58"/>
  <c r="CL43" i="19"/>
  <c r="H212" i="58"/>
  <c r="H180" i="58"/>
  <c r="H184" i="23"/>
  <c r="H184" i="58" s="1"/>
  <c r="H115" i="58"/>
  <c r="H135" i="23"/>
  <c r="H258" i="58"/>
  <c r="CL47" i="19"/>
  <c r="H62" i="58"/>
  <c r="CA44" i="19"/>
  <c r="CF44" i="19" s="1"/>
  <c r="H427" i="58"/>
  <c r="Q82" i="20"/>
  <c r="CA46" i="19"/>
  <c r="CF46" i="19" s="1"/>
  <c r="H47" i="58"/>
  <c r="E150" i="19"/>
  <c r="H380" i="58"/>
  <c r="H384" i="23"/>
  <c r="Q71" i="20"/>
  <c r="AL62" i="19" s="1"/>
  <c r="BM63" i="19" s="1"/>
  <c r="H176" i="23"/>
  <c r="H172" i="58"/>
  <c r="H386" i="58"/>
  <c r="H401" i="23"/>
  <c r="Q29" i="20"/>
  <c r="H109" i="58"/>
  <c r="Q50" i="20"/>
  <c r="H265" i="58"/>
  <c r="W955" i="20"/>
  <c r="W958" i="20" s="1"/>
  <c r="BG763" i="20"/>
  <c r="CI865" i="20"/>
  <c r="CI846" i="20"/>
  <c r="BG696" i="20"/>
  <c r="CI893" i="20"/>
  <c r="U942" i="20"/>
  <c r="K54" i="20"/>
  <c r="I277" i="58"/>
  <c r="C152" i="19"/>
  <c r="I74" i="58"/>
  <c r="I268" i="58"/>
  <c r="I283" i="23"/>
  <c r="I283" i="58" s="1"/>
  <c r="K38" i="20"/>
  <c r="I191" i="58"/>
  <c r="I18" i="58"/>
  <c r="I26" i="23"/>
  <c r="I26" i="58" s="1"/>
  <c r="I115" i="58"/>
  <c r="I135" i="23"/>
  <c r="I266" i="23"/>
  <c r="I264" i="58"/>
  <c r="K49" i="20"/>
  <c r="CB54" i="19"/>
  <c r="CG54" i="19" s="1"/>
  <c r="I95" i="58"/>
  <c r="I156" i="58"/>
  <c r="I163" i="23"/>
  <c r="K45" i="20"/>
  <c r="I206" i="58"/>
  <c r="I93" i="58"/>
  <c r="I113" i="23"/>
  <c r="I199" i="58"/>
  <c r="I214" i="23"/>
  <c r="I214" i="58" s="1"/>
  <c r="I450" i="58"/>
  <c r="K88" i="20"/>
  <c r="CM47" i="19"/>
  <c r="I258" i="58"/>
  <c r="CM45" i="19"/>
  <c r="I232" i="58"/>
  <c r="U111" i="23"/>
  <c r="E111" i="58"/>
  <c r="U344" i="23"/>
  <c r="E350" i="23"/>
  <c r="E344" i="58"/>
  <c r="U206" i="23"/>
  <c r="E45" i="20"/>
  <c r="E206" i="58"/>
  <c r="U83" i="23"/>
  <c r="E83" i="58"/>
  <c r="U73" i="23"/>
  <c r="E73" i="58"/>
  <c r="E405" i="58"/>
  <c r="U405" i="23"/>
  <c r="E407" i="58"/>
  <c r="U407" i="23"/>
  <c r="U305" i="23"/>
  <c r="E305" i="58"/>
  <c r="E314" i="23"/>
  <c r="U340" i="23"/>
  <c r="E340" i="58"/>
  <c r="U75" i="23"/>
  <c r="E75" i="58"/>
  <c r="E127" i="58"/>
  <c r="U127" i="23"/>
  <c r="E100" i="58"/>
  <c r="U100" i="23"/>
  <c r="U24" i="23"/>
  <c r="BX43" i="19"/>
  <c r="CC43" i="19" s="1"/>
  <c r="E24" i="58"/>
  <c r="E201" i="58"/>
  <c r="U201" i="23"/>
  <c r="U282" i="23"/>
  <c r="E282" i="58"/>
  <c r="E219" i="58"/>
  <c r="U219" i="23"/>
  <c r="U240" i="23"/>
  <c r="E240" i="58"/>
  <c r="U22" i="23"/>
  <c r="E22" i="58"/>
  <c r="U156" i="23"/>
  <c r="E163" i="23"/>
  <c r="E156" i="58"/>
  <c r="U35" i="23"/>
  <c r="BX47" i="19"/>
  <c r="CC47" i="19" s="1"/>
  <c r="E35" i="58"/>
  <c r="E49" i="23"/>
  <c r="E426" i="58"/>
  <c r="U426" i="23"/>
  <c r="U98" i="23"/>
  <c r="E98" i="58"/>
  <c r="E217" i="58"/>
  <c r="U217" i="23"/>
  <c r="U285" i="23"/>
  <c r="E285" i="58"/>
  <c r="E295" i="23"/>
  <c r="U172" i="23"/>
  <c r="E172" i="58"/>
  <c r="E176" i="23"/>
  <c r="U51" i="23"/>
  <c r="E64" i="23"/>
  <c r="E51" i="58"/>
  <c r="U308" i="23"/>
  <c r="E53" i="20"/>
  <c r="E308" i="58"/>
  <c r="U152" i="23"/>
  <c r="E152" i="58"/>
  <c r="BX60" i="19"/>
  <c r="CC60" i="19" s="1"/>
  <c r="U12" i="23"/>
  <c r="E12" i="58"/>
  <c r="U66" i="23"/>
  <c r="E76" i="23"/>
  <c r="E66" i="58"/>
  <c r="U41" i="23"/>
  <c r="E41" i="58"/>
  <c r="U274" i="23"/>
  <c r="E274" i="58"/>
  <c r="U48" i="23"/>
  <c r="E48" i="58"/>
  <c r="E134" i="58"/>
  <c r="U134" i="23"/>
  <c r="E341" i="58"/>
  <c r="U341" i="23"/>
  <c r="U326" i="23"/>
  <c r="U258" i="23"/>
  <c r="E258" i="58"/>
  <c r="CI47" i="19"/>
  <c r="U56" i="23"/>
  <c r="E56" i="58"/>
  <c r="U32" i="23"/>
  <c r="E33" i="23"/>
  <c r="E20" i="20"/>
  <c r="E32" i="58"/>
  <c r="U93" i="23"/>
  <c r="E113" i="23"/>
  <c r="E93" i="58"/>
  <c r="U120" i="23"/>
  <c r="E120" i="58"/>
  <c r="U109" i="23"/>
  <c r="E109" i="58"/>
  <c r="E29" i="20"/>
  <c r="E128" i="58"/>
  <c r="U128" i="23"/>
  <c r="E205" i="58"/>
  <c r="U205" i="23"/>
  <c r="U212" i="23"/>
  <c r="CI43" i="19"/>
  <c r="E212" i="58"/>
  <c r="E249" i="58"/>
  <c r="U249" i="23"/>
  <c r="U386" i="23"/>
  <c r="E401" i="23"/>
  <c r="E386" i="58"/>
  <c r="U28" i="23"/>
  <c r="E28" i="58"/>
  <c r="U94" i="23"/>
  <c r="BX53" i="19"/>
  <c r="CC53" i="19" s="1"/>
  <c r="E94" i="58"/>
  <c r="U159" i="23"/>
  <c r="E159" i="58"/>
  <c r="E54" i="58"/>
  <c r="U54" i="23"/>
  <c r="U265" i="23"/>
  <c r="E50" i="20"/>
  <c r="E265" i="58"/>
  <c r="E119" i="58"/>
  <c r="U119" i="23"/>
  <c r="E248" i="58"/>
  <c r="U248" i="23"/>
  <c r="U137" i="23"/>
  <c r="E137" i="58"/>
  <c r="E146" i="23"/>
  <c r="E413" i="58"/>
  <c r="U413" i="23"/>
  <c r="U15" i="23"/>
  <c r="E15" i="58"/>
  <c r="E99" i="58"/>
  <c r="U99" i="23"/>
  <c r="E67" i="58"/>
  <c r="U67" i="23"/>
  <c r="U207" i="23"/>
  <c r="E207" i="58"/>
  <c r="E118" i="58"/>
  <c r="U118" i="23"/>
  <c r="U429" i="23"/>
  <c r="E83" i="20"/>
  <c r="E429" i="58"/>
  <c r="E310" i="58"/>
  <c r="U310" i="23"/>
  <c r="U273" i="23"/>
  <c r="E273" i="58"/>
  <c r="U394" i="23"/>
  <c r="E394" i="58"/>
  <c r="U275" i="23"/>
  <c r="E275" i="58"/>
  <c r="E218" i="58"/>
  <c r="U218" i="23"/>
  <c r="E438" i="58"/>
  <c r="U438" i="23"/>
  <c r="E211" i="58"/>
  <c r="U211" i="23"/>
  <c r="U387" i="23"/>
  <c r="E387" i="58"/>
  <c r="U202" i="23"/>
  <c r="E202" i="58"/>
  <c r="E391" i="58"/>
  <c r="U391" i="23"/>
  <c r="E25" i="58"/>
  <c r="U25" i="23"/>
  <c r="U237" i="23"/>
  <c r="E237" i="58"/>
  <c r="U398" i="23"/>
  <c r="E398" i="58"/>
  <c r="U141" i="23"/>
  <c r="E141" i="58"/>
  <c r="E38" i="58"/>
  <c r="U38" i="23"/>
  <c r="P11" i="19"/>
  <c r="BF789" i="20"/>
  <c r="U363" i="20"/>
  <c r="T364" i="20"/>
  <c r="T365" i="20" s="1"/>
  <c r="U367" i="20"/>
  <c r="H66" i="20"/>
  <c r="F353" i="58"/>
  <c r="F450" i="58"/>
  <c r="H88" i="20"/>
  <c r="L43" i="22"/>
  <c r="O43" i="22" s="1"/>
  <c r="F182" i="58"/>
  <c r="F172" i="58"/>
  <c r="F176" i="23"/>
  <c r="F86" i="58"/>
  <c r="F425" i="58"/>
  <c r="H84" i="20"/>
  <c r="H325" i="58"/>
  <c r="H329" i="23"/>
  <c r="H329" i="58" s="1"/>
  <c r="AV763" i="20"/>
  <c r="AV696" i="20"/>
  <c r="F265" i="58"/>
  <c r="H50" i="20"/>
  <c r="H62" i="20"/>
  <c r="F352" i="58"/>
  <c r="F355" i="23"/>
  <c r="F355" i="58" s="1"/>
  <c r="BY46" i="19"/>
  <c r="CD46" i="19" s="1"/>
  <c r="F47" i="58"/>
  <c r="F442" i="58"/>
  <c r="F117" i="58"/>
  <c r="BY62" i="19"/>
  <c r="CD62" i="19" s="1"/>
  <c r="F24" i="58"/>
  <c r="BY43" i="19"/>
  <c r="CD43" i="19" s="1"/>
  <c r="F435" i="58"/>
  <c r="H76" i="20"/>
  <c r="F156" i="58"/>
  <c r="F163" i="23"/>
  <c r="F154" i="23"/>
  <c r="F148" i="58"/>
  <c r="F285" i="58"/>
  <c r="F295" i="23"/>
  <c r="F109" i="58"/>
  <c r="H29" i="20"/>
  <c r="H36" i="20"/>
  <c r="F189" i="58"/>
  <c r="F192" i="23"/>
  <c r="H78" i="20"/>
  <c r="F422" i="58"/>
  <c r="F11" i="58"/>
  <c r="F16" i="23"/>
  <c r="BY42" i="19"/>
  <c r="F316" i="58"/>
  <c r="F322" i="23"/>
  <c r="F322" i="58" s="1"/>
  <c r="F260" i="23"/>
  <c r="F255" i="58"/>
  <c r="F190" i="58"/>
  <c r="H37" i="20"/>
  <c r="CJ41" i="19"/>
  <c r="H245" i="23"/>
  <c r="H236" i="58"/>
  <c r="H255" i="58"/>
  <c r="H260" i="23"/>
  <c r="H148" i="58"/>
  <c r="H154" i="23"/>
  <c r="H93" i="58"/>
  <c r="H113" i="23"/>
  <c r="Q62" i="20"/>
  <c r="H352" i="58"/>
  <c r="H355" i="23"/>
  <c r="H355" i="58" s="1"/>
  <c r="CA55" i="19"/>
  <c r="CF55" i="19" s="1"/>
  <c r="H96" i="58"/>
  <c r="H316" i="58"/>
  <c r="H322" i="23"/>
  <c r="H322" i="58" s="1"/>
  <c r="Q69" i="20"/>
  <c r="H369" i="58"/>
  <c r="H373" i="23"/>
  <c r="H373" i="58" s="1"/>
  <c r="H137" i="58"/>
  <c r="H146" i="23"/>
  <c r="Q88" i="20"/>
  <c r="H450" i="58"/>
  <c r="H66" i="58"/>
  <c r="H76" i="23"/>
  <c r="CA54" i="19"/>
  <c r="CF54" i="19" s="1"/>
  <c r="H95" i="58"/>
  <c r="Q45" i="20"/>
  <c r="H206" i="58"/>
  <c r="Q44" i="20"/>
  <c r="H383" i="58"/>
  <c r="Q90" i="20"/>
  <c r="G5" i="51"/>
  <c r="E121" i="22"/>
  <c r="E122" i="22" s="1"/>
  <c r="I6" i="23"/>
  <c r="H6" i="58"/>
  <c r="H7" i="23"/>
  <c r="H7" i="58" s="1"/>
  <c r="H195" i="58"/>
  <c r="CL42" i="19"/>
  <c r="H433" i="23"/>
  <c r="H433" i="58" s="1"/>
  <c r="H421" i="58"/>
  <c r="Q81" i="20"/>
  <c r="H90" i="23"/>
  <c r="H90" i="58" s="1"/>
  <c r="H86" i="58"/>
  <c r="CL45" i="19"/>
  <c r="H232" i="58"/>
  <c r="E166" i="19"/>
  <c r="H353" i="58"/>
  <c r="Q66" i="20"/>
  <c r="Q38" i="20"/>
  <c r="H191" i="58"/>
  <c r="H11" i="58"/>
  <c r="CA42" i="19"/>
  <c r="H16" i="23"/>
  <c r="H156" i="58"/>
  <c r="H163" i="23"/>
  <c r="CA59" i="19"/>
  <c r="CF59" i="19" s="1"/>
  <c r="H144" i="58"/>
  <c r="V313" i="20"/>
  <c r="V321" i="20"/>
  <c r="V317" i="20"/>
  <c r="U314" i="20"/>
  <c r="V331" i="20"/>
  <c r="V361" i="20"/>
  <c r="V371" i="20"/>
  <c r="V357" i="20"/>
  <c r="V353" i="20"/>
  <c r="U354" i="20"/>
  <c r="V248" i="20"/>
  <c r="U327" i="20"/>
  <c r="U323" i="20"/>
  <c r="BF782" i="20" s="1"/>
  <c r="T324" i="20"/>
  <c r="T325" i="20" s="1"/>
  <c r="I66" i="58"/>
  <c r="I76" i="23"/>
  <c r="CB60" i="19"/>
  <c r="CG60" i="19" s="1"/>
  <c r="I152" i="58"/>
  <c r="K72" i="20"/>
  <c r="I382" i="58"/>
  <c r="I216" i="58"/>
  <c r="I226" i="23"/>
  <c r="K50" i="20"/>
  <c r="I265" i="58"/>
  <c r="K83" i="20"/>
  <c r="I429" i="58"/>
  <c r="I255" i="58"/>
  <c r="I260" i="23"/>
  <c r="I423" i="58"/>
  <c r="K85" i="20"/>
  <c r="I335" i="58"/>
  <c r="I342" i="23"/>
  <c r="I442" i="58"/>
  <c r="K86" i="20"/>
  <c r="K90" i="20"/>
  <c r="I383" i="58"/>
  <c r="CM43" i="19"/>
  <c r="I212" i="58"/>
  <c r="I344" i="58"/>
  <c r="I350" i="23"/>
  <c r="K37" i="20"/>
  <c r="CM41" i="19"/>
  <c r="I190" i="58"/>
  <c r="I197" i="23"/>
  <c r="I194" i="58"/>
  <c r="K69" i="20"/>
  <c r="AV657" i="20" s="1"/>
  <c r="I369" i="58"/>
  <c r="I373" i="23"/>
  <c r="I373" i="58" s="1"/>
  <c r="I96" i="58"/>
  <c r="CB55" i="19"/>
  <c r="CG55" i="19" s="1"/>
  <c r="I31" i="58"/>
  <c r="CB45" i="19"/>
  <c r="CG45" i="19" s="1"/>
  <c r="I303" i="23"/>
  <c r="I297" i="58"/>
  <c r="I421" i="58"/>
  <c r="K81" i="20"/>
  <c r="I433" i="23"/>
  <c r="I433" i="58" s="1"/>
  <c r="U124" i="23"/>
  <c r="E124" i="58"/>
  <c r="U95" i="23"/>
  <c r="BX54" i="19"/>
  <c r="CC54" i="19" s="1"/>
  <c r="E95" i="58"/>
  <c r="U174" i="23"/>
  <c r="E174" i="58"/>
  <c r="E43" i="58"/>
  <c r="U43" i="23"/>
  <c r="U149" i="23"/>
  <c r="E149" i="58"/>
  <c r="U317" i="23"/>
  <c r="E317" i="58"/>
  <c r="U439" i="23"/>
  <c r="E439" i="58"/>
  <c r="E408" i="58"/>
  <c r="U408" i="23"/>
  <c r="U121" i="23"/>
  <c r="E121" i="58"/>
  <c r="E142" i="58"/>
  <c r="U142" i="23"/>
  <c r="E362" i="58"/>
  <c r="U362" i="23"/>
  <c r="E203" i="58"/>
  <c r="U203" i="23"/>
  <c r="E173" i="58"/>
  <c r="U173" i="23"/>
  <c r="E11" i="58"/>
  <c r="U11" i="23"/>
  <c r="E16" i="23"/>
  <c r="BX42" i="19"/>
  <c r="U324" i="23"/>
  <c r="E329" i="23"/>
  <c r="E57" i="58"/>
  <c r="U57" i="23"/>
  <c r="U81" i="23"/>
  <c r="E81" i="58"/>
  <c r="U153" i="23"/>
  <c r="E153" i="58"/>
  <c r="E151" i="58"/>
  <c r="U151" i="23"/>
  <c r="E441" i="58"/>
  <c r="U441" i="23"/>
  <c r="E230" i="58"/>
  <c r="U230" i="23"/>
  <c r="U400" i="23"/>
  <c r="E400" i="58"/>
  <c r="E436" i="58"/>
  <c r="U436" i="23"/>
  <c r="E271" i="58"/>
  <c r="U271" i="23"/>
  <c r="E74" i="58"/>
  <c r="U74" i="23"/>
  <c r="E166" i="58"/>
  <c r="U166" i="23"/>
  <c r="U29" i="23"/>
  <c r="E29" i="58"/>
  <c r="U69" i="23"/>
  <c r="E69" i="58"/>
  <c r="U238" i="23"/>
  <c r="E238" i="58"/>
  <c r="U437" i="23"/>
  <c r="E437" i="58"/>
  <c r="U97" i="23"/>
  <c r="E97" i="58"/>
  <c r="U244" i="23"/>
  <c r="E244" i="58"/>
  <c r="U301" i="23"/>
  <c r="E301" i="58"/>
  <c r="U195" i="23"/>
  <c r="E195" i="58"/>
  <c r="CI42" i="19"/>
  <c r="U435" i="23"/>
  <c r="E76" i="20"/>
  <c r="E435" i="58"/>
  <c r="E447" i="23"/>
  <c r="E348" i="58"/>
  <c r="U348" i="23"/>
  <c r="U126" i="23"/>
  <c r="E126" i="58"/>
  <c r="U181" i="23"/>
  <c r="E181" i="58"/>
  <c r="E123" i="58"/>
  <c r="U123" i="23"/>
  <c r="U281" i="23"/>
  <c r="E281" i="58"/>
  <c r="U63" i="23"/>
  <c r="E63" i="58"/>
  <c r="E22" i="20"/>
  <c r="U169" i="23"/>
  <c r="E169" i="58"/>
  <c r="U298" i="23"/>
  <c r="E298" i="58"/>
  <c r="U182" i="23"/>
  <c r="E182" i="58"/>
  <c r="U354" i="23"/>
  <c r="E354" i="58"/>
  <c r="U389" i="23"/>
  <c r="E389" i="58"/>
  <c r="U297" i="23"/>
  <c r="E297" i="58"/>
  <c r="E303" i="23"/>
  <c r="E13" i="58"/>
  <c r="U13" i="23"/>
  <c r="E307" i="58"/>
  <c r="U307" i="23"/>
  <c r="E44" i="58"/>
  <c r="U44" i="23"/>
  <c r="E102" i="58"/>
  <c r="U102" i="23"/>
  <c r="U145" i="23"/>
  <c r="E145" i="58"/>
  <c r="U86" i="23"/>
  <c r="E86" i="58"/>
  <c r="E80" i="58"/>
  <c r="U80" i="23"/>
  <c r="E200" i="58"/>
  <c r="U200" i="23"/>
  <c r="U243" i="23"/>
  <c r="E243" i="58"/>
  <c r="E158" i="58"/>
  <c r="U158" i="23"/>
  <c r="U19" i="23"/>
  <c r="E19" i="58"/>
  <c r="E392" i="58"/>
  <c r="U392" i="23"/>
  <c r="U339" i="23"/>
  <c r="E339" i="58"/>
  <c r="U280" i="23"/>
  <c r="E280" i="58"/>
  <c r="E116" i="58"/>
  <c r="U116" i="23"/>
  <c r="E372" i="58"/>
  <c r="U372" i="23"/>
  <c r="E428" i="58"/>
  <c r="U428" i="23"/>
  <c r="U191" i="23"/>
  <c r="E38" i="20"/>
  <c r="E191" i="58"/>
  <c r="E79" i="58"/>
  <c r="U79" i="23"/>
  <c r="E20" i="58"/>
  <c r="U20" i="23"/>
  <c r="E231" i="58"/>
  <c r="U231" i="23"/>
  <c r="E328" i="58"/>
  <c r="U328" i="23"/>
  <c r="E424" i="58"/>
  <c r="U424" i="23"/>
  <c r="E318" i="58"/>
  <c r="U318" i="23"/>
  <c r="E416" i="58"/>
  <c r="U416" i="23"/>
  <c r="U241" i="23"/>
  <c r="E241" i="58"/>
  <c r="E406" i="58"/>
  <c r="U406" i="23"/>
  <c r="E21" i="58"/>
  <c r="U21" i="23"/>
  <c r="U143" i="23"/>
  <c r="E143" i="58"/>
  <c r="AY697" i="20"/>
  <c r="AY764" i="20"/>
  <c r="G178" i="23"/>
  <c r="AY730" i="20"/>
  <c r="E28" i="22" s="1"/>
  <c r="BE653" i="20"/>
  <c r="T228" i="20"/>
  <c r="E228" i="21" s="1"/>
  <c r="G228" i="21" s="1"/>
  <c r="E65" i="21"/>
  <c r="U65" i="20"/>
  <c r="AY638" i="20"/>
  <c r="N136" i="20"/>
  <c r="N93" i="20"/>
  <c r="N87" i="20"/>
  <c r="N450" i="20" s="1"/>
  <c r="O75" i="20"/>
  <c r="E79" i="22"/>
  <c r="C75" i="21"/>
  <c r="N81" i="22"/>
  <c r="N253" i="20"/>
  <c r="N265" i="20"/>
  <c r="N264" i="20" s="1"/>
  <c r="N443" i="20"/>
  <c r="AY631" i="20"/>
  <c r="N513" i="20"/>
  <c r="N560" i="20"/>
  <c r="AY608" i="20"/>
  <c r="CA891" i="20"/>
  <c r="CC886" i="20"/>
  <c r="N550" i="20"/>
  <c r="N503" i="20"/>
  <c r="AZ666" i="20"/>
  <c r="AY837" i="20"/>
  <c r="BD895" i="20" s="1"/>
  <c r="AY605" i="20"/>
  <c r="M41" i="22"/>
  <c r="T38" i="20"/>
  <c r="M58" i="22"/>
  <c r="N511" i="20"/>
  <c r="N558" i="20"/>
  <c r="AI62" i="19"/>
  <c r="G451" i="23"/>
  <c r="G449" i="58"/>
  <c r="T153" i="20"/>
  <c r="E153" i="21" s="1"/>
  <c r="G153" i="21" s="1"/>
  <c r="BE782" i="20"/>
  <c r="CC882" i="20" s="1"/>
  <c r="CH882" i="20" s="1"/>
  <c r="AA30" i="21"/>
  <c r="AA31" i="21" s="1"/>
  <c r="K15" i="21" s="1"/>
  <c r="AA29" i="21"/>
  <c r="Z32" i="21"/>
  <c r="J16" i="21" s="1"/>
  <c r="M52" i="22"/>
  <c r="N564" i="20"/>
  <c r="N517" i="20"/>
  <c r="AY743" i="20"/>
  <c r="N80" i="22"/>
  <c r="N59" i="20"/>
  <c r="C58" i="21"/>
  <c r="AY702" i="20"/>
  <c r="C48" i="21"/>
  <c r="N79" i="22"/>
  <c r="AY727" i="20"/>
  <c r="AZ663" i="20"/>
  <c r="CA851" i="20"/>
  <c r="CA874" i="20"/>
  <c r="N509" i="20"/>
  <c r="N556" i="20"/>
  <c r="N553" i="20"/>
  <c r="N506" i="20"/>
  <c r="AY601" i="20"/>
  <c r="N505" i="20"/>
  <c r="N552" i="20"/>
  <c r="AY597" i="20"/>
  <c r="AY809" i="20"/>
  <c r="J134" i="21"/>
  <c r="J218" i="21"/>
  <c r="J234" i="21" s="1"/>
  <c r="J112" i="21"/>
  <c r="I159" i="21"/>
  <c r="I160" i="21"/>
  <c r="AY589" i="20"/>
  <c r="N77" i="22"/>
  <c r="N34" i="20"/>
  <c r="C26" i="21"/>
  <c r="N516" i="20"/>
  <c r="N563" i="20"/>
  <c r="AY593" i="20"/>
  <c r="AY726" i="20" s="1"/>
  <c r="AY728" i="20" s="1"/>
  <c r="BE788" i="20"/>
  <c r="CC884" i="20" s="1"/>
  <c r="T159" i="20"/>
  <c r="E159" i="21" s="1"/>
  <c r="G159" i="21" s="1"/>
  <c r="T276" i="20"/>
  <c r="CA850" i="20"/>
  <c r="CB850" i="20" s="1"/>
  <c r="CB858" i="20"/>
  <c r="CB857" i="20"/>
  <c r="CB856" i="20"/>
  <c r="CB853" i="20"/>
  <c r="CB848" i="20"/>
  <c r="CB849" i="20"/>
  <c r="CB851" i="20"/>
  <c r="CB861" i="20"/>
  <c r="AY611" i="20"/>
  <c r="C219" i="21"/>
  <c r="N502" i="20"/>
  <c r="N549" i="20"/>
  <c r="N561" i="20"/>
  <c r="N514" i="20"/>
  <c r="N555" i="20"/>
  <c r="N508" i="20"/>
  <c r="E25" i="22"/>
  <c r="CA899" i="20"/>
  <c r="AY614" i="20"/>
  <c r="CA875" i="20"/>
  <c r="AY644" i="20"/>
  <c r="N551" i="20"/>
  <c r="N504" i="20"/>
  <c r="U272" i="20"/>
  <c r="V271" i="20"/>
  <c r="AZ662" i="20"/>
  <c r="AY664" i="20"/>
  <c r="AY718" i="20" s="1"/>
  <c r="O17" i="19"/>
  <c r="CI65" i="19" s="1"/>
  <c r="CH868" i="20"/>
  <c r="AY707" i="20"/>
  <c r="S156" i="16"/>
  <c r="S200" i="16" s="1"/>
  <c r="S49" i="16" s="1"/>
  <c r="X49" i="16" s="1"/>
  <c r="S201" i="16"/>
  <c r="AF44" i="16"/>
  <c r="AF24" i="16"/>
  <c r="AF12" i="16"/>
  <c r="Y97" i="19"/>
  <c r="Y98" i="19" s="1"/>
  <c r="AF35" i="16"/>
  <c r="AF23" i="16"/>
  <c r="AF43" i="16"/>
  <c r="AF33" i="16"/>
  <c r="AF21" i="16"/>
  <c r="AF41" i="16"/>
  <c r="AF31" i="16"/>
  <c r="AF19" i="16"/>
  <c r="AF40" i="16"/>
  <c r="AF30" i="16"/>
  <c r="AF18" i="16"/>
  <c r="AJ12" i="16"/>
  <c r="AE57" i="16"/>
  <c r="AE54" i="16"/>
  <c r="AF38" i="16"/>
  <c r="AF29" i="16"/>
  <c r="AF16" i="16"/>
  <c r="AF37" i="16"/>
  <c r="AF27" i="16"/>
  <c r="AF14" i="16"/>
  <c r="AF46" i="16"/>
  <c r="AF36" i="16"/>
  <c r="AF25" i="16"/>
  <c r="AF13" i="16"/>
  <c r="AD14" i="16"/>
  <c r="Y16" i="16"/>
  <c r="AQ284" i="16"/>
  <c r="AB266" i="16"/>
  <c r="AB211" i="16"/>
  <c r="AB18" i="16" s="1"/>
  <c r="AB293" i="16"/>
  <c r="AE239" i="16"/>
  <c r="AG13" i="16"/>
  <c r="AB51" i="16"/>
  <c r="AD51" i="16"/>
  <c r="AH208" i="16"/>
  <c r="AH12" i="16" s="1"/>
  <c r="AK236" i="16"/>
  <c r="AH290" i="16"/>
  <c r="AH263" i="16"/>
  <c r="W106" i="19"/>
  <c r="AD24" i="16"/>
  <c r="W103" i="19"/>
  <c r="AD23" i="16"/>
  <c r="AE297" i="16"/>
  <c r="AE270" i="16"/>
  <c r="AH243" i="16"/>
  <c r="AE215" i="16"/>
  <c r="AE346" i="16" s="1"/>
  <c r="V111" i="19"/>
  <c r="AA30" i="16"/>
  <c r="V184" i="16"/>
  <c r="V181" i="16"/>
  <c r="V182" i="16" s="1"/>
  <c r="B351" i="16"/>
  <c r="O122" i="19"/>
  <c r="D44" i="16"/>
  <c r="F46" i="16"/>
  <c r="U100" i="19"/>
  <c r="U104" i="19"/>
  <c r="U107" i="19" s="1"/>
  <c r="AD19" i="16"/>
  <c r="W102" i="19"/>
  <c r="AG43" i="16"/>
  <c r="X113" i="19"/>
  <c r="AB299" i="16"/>
  <c r="AE245" i="16"/>
  <c r="AB272" i="16"/>
  <c r="AB217" i="16"/>
  <c r="AB24" i="16" s="1"/>
  <c r="S281" i="16"/>
  <c r="S226" i="16"/>
  <c r="V254" i="16"/>
  <c r="S308" i="16"/>
  <c r="AB298" i="16"/>
  <c r="AE244" i="16"/>
  <c r="AB271" i="16"/>
  <c r="AB216" i="16"/>
  <c r="AB23" i="16" s="1"/>
  <c r="U27" i="16"/>
  <c r="AE218" i="16"/>
  <c r="AE25" i="16" s="1"/>
  <c r="AH246" i="16"/>
  <c r="AE300" i="16"/>
  <c r="AE273" i="16"/>
  <c r="Y289" i="16"/>
  <c r="Y235" i="16"/>
  <c r="Y153" i="16"/>
  <c r="J365" i="16"/>
  <c r="Y262" i="16"/>
  <c r="Y192" i="16"/>
  <c r="Y207" i="16"/>
  <c r="Y179" i="16"/>
  <c r="Y166" i="16"/>
  <c r="Y120" i="16"/>
  <c r="Y107" i="16"/>
  <c r="Y94" i="16"/>
  <c r="Y61" i="16"/>
  <c r="Y53" i="16"/>
  <c r="Y392" i="16" s="1"/>
  <c r="AB11" i="16"/>
  <c r="Y133" i="16"/>
  <c r="Y31" i="16"/>
  <c r="AD31" i="16" s="1"/>
  <c r="Y81" i="16"/>
  <c r="Y30" i="16"/>
  <c r="K423" i="16"/>
  <c r="K426" i="16" s="1"/>
  <c r="V138" i="16"/>
  <c r="V135" i="16"/>
  <c r="V136" i="16" s="1"/>
  <c r="AG25" i="16"/>
  <c r="X105" i="19"/>
  <c r="S27" i="16"/>
  <c r="X21" i="16"/>
  <c r="AB267" i="16"/>
  <c r="AB212" i="16"/>
  <c r="AB19" i="16" s="1"/>
  <c r="AE240" i="16"/>
  <c r="AB294" i="16"/>
  <c r="S282" i="16"/>
  <c r="V255" i="16"/>
  <c r="S227" i="16"/>
  <c r="S309" i="16"/>
  <c r="V86" i="16"/>
  <c r="V83" i="16"/>
  <c r="V171" i="16"/>
  <c r="V168" i="16"/>
  <c r="V169" i="16" s="1"/>
  <c r="S140" i="16"/>
  <c r="S37" i="16" s="1"/>
  <c r="X37" i="16" s="1"/>
  <c r="AB210" i="16"/>
  <c r="AB292" i="16"/>
  <c r="AB265" i="16"/>
  <c r="AE238" i="16"/>
  <c r="V197" i="16"/>
  <c r="V194" i="16"/>
  <c r="V195" i="16" s="1"/>
  <c r="AH285" i="16"/>
  <c r="AH230" i="16"/>
  <c r="AK258" i="16"/>
  <c r="AH312" i="16"/>
  <c r="V125" i="16"/>
  <c r="V122" i="16"/>
  <c r="V123" i="16" s="1"/>
  <c r="V155" i="16"/>
  <c r="V158" i="16"/>
  <c r="AQ283" i="16"/>
  <c r="AT256" i="16"/>
  <c r="AQ228" i="16"/>
  <c r="AQ310" i="16"/>
  <c r="AQ311" i="16" s="1"/>
  <c r="W101" i="19"/>
  <c r="AD18" i="16"/>
  <c r="S84" i="16"/>
  <c r="S141" i="16" s="1"/>
  <c r="S48" i="16" s="1"/>
  <c r="X48" i="16" s="1"/>
  <c r="S199" i="16"/>
  <c r="S38" i="16" s="1"/>
  <c r="X38" i="16" s="1"/>
  <c r="V21" i="16"/>
  <c r="AA16" i="16"/>
  <c r="V99" i="19"/>
  <c r="Y257" i="16"/>
  <c r="V229" i="16"/>
  <c r="AB277" i="16"/>
  <c r="AB222" i="16"/>
  <c r="AB304" i="16"/>
  <c r="AE250" i="16"/>
  <c r="V112" i="16"/>
  <c r="V109" i="16"/>
  <c r="V110" i="16" s="1"/>
  <c r="V96" i="16"/>
  <c r="V97" i="16" s="1"/>
  <c r="V99" i="16"/>
  <c r="S142" i="16"/>
  <c r="AC519" i="20"/>
  <c r="AC566" i="20"/>
  <c r="AC419" i="20"/>
  <c r="AD472" i="20"/>
  <c r="AB124" i="20"/>
  <c r="AC123" i="20"/>
  <c r="BN837" i="20"/>
  <c r="BN895" i="20" s="1"/>
  <c r="BN757" i="20"/>
  <c r="AA126" i="20"/>
  <c r="AA125" i="20"/>
  <c r="BO666" i="20"/>
  <c r="AD208" i="20"/>
  <c r="AE77" i="20"/>
  <c r="N124" i="21"/>
  <c r="O123" i="21"/>
  <c r="M125" i="21"/>
  <c r="M126" i="21"/>
  <c r="AY737" i="20" l="1"/>
  <c r="AY741" i="20"/>
  <c r="E44" i="22" s="1"/>
  <c r="N439" i="20"/>
  <c r="N533" i="20" s="1"/>
  <c r="AJ62" i="19"/>
  <c r="M22" i="22"/>
  <c r="M14" i="22"/>
  <c r="R14" i="22" s="1"/>
  <c r="N544" i="20"/>
  <c r="N497" i="20"/>
  <c r="M24" i="22"/>
  <c r="R24" i="22" s="1"/>
  <c r="E16" i="22" s="1"/>
  <c r="R22" i="22"/>
  <c r="N486" i="20"/>
  <c r="Q463" i="20"/>
  <c r="Q472" i="20"/>
  <c r="Q465" i="20"/>
  <c r="CA901" i="20"/>
  <c r="BZ67" i="19"/>
  <c r="BZ68" i="19" s="1"/>
  <c r="BZ64" i="19"/>
  <c r="K24" i="20"/>
  <c r="AV595" i="20" s="1"/>
  <c r="K68" i="20"/>
  <c r="AV656" i="20" s="1"/>
  <c r="Q68" i="20"/>
  <c r="BB656" i="20" s="1"/>
  <c r="BD656" i="20" s="1"/>
  <c r="U355" i="20"/>
  <c r="CE52" i="19"/>
  <c r="CE64" i="19" s="1"/>
  <c r="CK55" i="19" s="1"/>
  <c r="CK56" i="19" s="1"/>
  <c r="AK58" i="19" s="1"/>
  <c r="X955" i="20"/>
  <c r="X958" i="20" s="1"/>
  <c r="U88" i="23"/>
  <c r="U154" i="20"/>
  <c r="F90" i="23"/>
  <c r="F90" i="58" s="1"/>
  <c r="H56" i="20"/>
  <c r="E88" i="58"/>
  <c r="G178" i="58"/>
  <c r="E90" i="23"/>
  <c r="M42" i="22"/>
  <c r="R34" i="22" s="1"/>
  <c r="U342" i="20"/>
  <c r="H24" i="20"/>
  <c r="H19" i="20"/>
  <c r="AS587" i="20" s="1"/>
  <c r="U315" i="20"/>
  <c r="BX49" i="19"/>
  <c r="BX50" i="19" s="1"/>
  <c r="CC42" i="19"/>
  <c r="AV620" i="20"/>
  <c r="K250" i="20"/>
  <c r="M37" i="20"/>
  <c r="P37" i="20"/>
  <c r="AS620" i="20"/>
  <c r="H250" i="20"/>
  <c r="H30" i="20"/>
  <c r="F163" i="58"/>
  <c r="M50" i="20"/>
  <c r="AS634" i="20"/>
  <c r="H263" i="20"/>
  <c r="P50" i="20"/>
  <c r="U163" i="23"/>
  <c r="U155" i="23" s="1"/>
  <c r="E30" i="20"/>
  <c r="E163" i="58"/>
  <c r="BB634" i="20"/>
  <c r="BD634" i="20" s="1"/>
  <c r="Q263" i="20"/>
  <c r="S50" i="20"/>
  <c r="H384" i="58"/>
  <c r="H419" i="23"/>
  <c r="Q52" i="20"/>
  <c r="H303" i="58"/>
  <c r="F266" i="58"/>
  <c r="F330" i="23"/>
  <c r="F330" i="58" s="1"/>
  <c r="BB590" i="20"/>
  <c r="Q143" i="20"/>
  <c r="S21" i="20"/>
  <c r="Q457" i="20"/>
  <c r="AS657" i="20"/>
  <c r="BA657" i="20" s="1"/>
  <c r="M69" i="20"/>
  <c r="P69" i="20"/>
  <c r="U384" i="23"/>
  <c r="E419" i="23"/>
  <c r="E384" i="58"/>
  <c r="U197" i="23"/>
  <c r="U193" i="23" s="1"/>
  <c r="E197" i="58"/>
  <c r="E40" i="20"/>
  <c r="F72" i="20"/>
  <c r="J72" i="20"/>
  <c r="K9" i="22"/>
  <c r="G72" i="20"/>
  <c r="AP661" i="20"/>
  <c r="G69" i="20"/>
  <c r="J69" i="20"/>
  <c r="AP657" i="20"/>
  <c r="U226" i="23"/>
  <c r="U215" i="23" s="1"/>
  <c r="E226" i="58"/>
  <c r="E42" i="20"/>
  <c r="K19" i="20"/>
  <c r="I33" i="58"/>
  <c r="C148" i="19"/>
  <c r="W941" i="20"/>
  <c r="W940" i="20"/>
  <c r="AP673" i="20"/>
  <c r="F84" i="20"/>
  <c r="G84" i="20"/>
  <c r="E178" i="20"/>
  <c r="J84" i="20"/>
  <c r="U253" i="23"/>
  <c r="U246" i="23" s="1"/>
  <c r="E253" i="58"/>
  <c r="E43" i="20"/>
  <c r="K158" i="20"/>
  <c r="AV619" i="20"/>
  <c r="K152" i="20"/>
  <c r="I401" i="58"/>
  <c r="K74" i="20"/>
  <c r="K459" i="20" s="1"/>
  <c r="V479" i="20"/>
  <c r="V477" i="20"/>
  <c r="V476" i="20"/>
  <c r="Q60" i="20"/>
  <c r="H342" i="58"/>
  <c r="E12" i="22"/>
  <c r="R6" i="22"/>
  <c r="F71" i="22"/>
  <c r="T380" i="20"/>
  <c r="T39" i="20" s="1"/>
  <c r="F146" i="58"/>
  <c r="H27" i="20"/>
  <c r="U303" i="23"/>
  <c r="U296" i="23" s="1"/>
  <c r="E52" i="20"/>
  <c r="E303" i="58"/>
  <c r="AP665" i="20"/>
  <c r="J76" i="20"/>
  <c r="F76" i="20"/>
  <c r="K19" i="22"/>
  <c r="G76" i="20"/>
  <c r="U16" i="23"/>
  <c r="E16" i="58"/>
  <c r="B10" i="23"/>
  <c r="E18" i="20"/>
  <c r="E91" i="23"/>
  <c r="I197" i="58"/>
  <c r="K40" i="20"/>
  <c r="I350" i="58"/>
  <c r="K61" i="20"/>
  <c r="I342" i="58"/>
  <c r="K60" i="20"/>
  <c r="I260" i="58"/>
  <c r="K47" i="20"/>
  <c r="I76" i="58"/>
  <c r="K25" i="20"/>
  <c r="H91" i="23"/>
  <c r="Q18" i="20"/>
  <c r="H16" i="58"/>
  <c r="BB621" i="20"/>
  <c r="BD621" i="20" s="1"/>
  <c r="Q262" i="20"/>
  <c r="S38" i="20"/>
  <c r="BB670" i="20"/>
  <c r="Q175" i="20"/>
  <c r="S81" i="20"/>
  <c r="R81" i="20"/>
  <c r="BB627" i="20"/>
  <c r="Q148" i="20"/>
  <c r="S44" i="20"/>
  <c r="BB678" i="20"/>
  <c r="R88" i="20"/>
  <c r="Q31" i="20"/>
  <c r="H154" i="58"/>
  <c r="AS619" i="20"/>
  <c r="H158" i="20"/>
  <c r="M36" i="20"/>
  <c r="H152" i="20"/>
  <c r="N158" i="20"/>
  <c r="C158" i="21" s="1"/>
  <c r="L45" i="22"/>
  <c r="P36" i="20"/>
  <c r="N152" i="20"/>
  <c r="H86" i="20"/>
  <c r="L20" i="22" s="1"/>
  <c r="G29" i="20"/>
  <c r="AP603" i="20"/>
  <c r="E192" i="20"/>
  <c r="J29" i="20"/>
  <c r="U64" i="23"/>
  <c r="U50" i="23" s="1"/>
  <c r="E21" i="20"/>
  <c r="H143" i="20" s="1"/>
  <c r="E64" i="58"/>
  <c r="E456" i="23"/>
  <c r="K44" i="20"/>
  <c r="K57" i="20"/>
  <c r="Q11" i="19"/>
  <c r="BG789" i="20"/>
  <c r="R82" i="20"/>
  <c r="BB671" i="20"/>
  <c r="S82" i="20"/>
  <c r="Q176" i="20"/>
  <c r="Q144" i="20"/>
  <c r="BB594" i="20"/>
  <c r="S23" i="20"/>
  <c r="Q57" i="20"/>
  <c r="M22" i="20"/>
  <c r="N194" i="20"/>
  <c r="C194" i="21" s="1"/>
  <c r="AS591" i="20"/>
  <c r="P22" i="20"/>
  <c r="H194" i="20"/>
  <c r="H32" i="20"/>
  <c r="F135" i="58"/>
  <c r="M56" i="20"/>
  <c r="AS641" i="20"/>
  <c r="L56" i="22"/>
  <c r="P56" i="20"/>
  <c r="N170" i="20"/>
  <c r="C170" i="21" s="1"/>
  <c r="H28" i="20"/>
  <c r="F177" i="23"/>
  <c r="F177" i="58" s="1"/>
  <c r="BY63" i="19"/>
  <c r="CD63" i="19" s="1"/>
  <c r="BY61" i="19"/>
  <c r="CD61" i="19" s="1"/>
  <c r="F113" i="58"/>
  <c r="BF783" i="20"/>
  <c r="CF882" i="20" s="1"/>
  <c r="CK882" i="20" s="1"/>
  <c r="Q194" i="20"/>
  <c r="BB591" i="20"/>
  <c r="S22" i="20"/>
  <c r="BB637" i="20"/>
  <c r="S53" i="20"/>
  <c r="Q167" i="20"/>
  <c r="H266" i="58"/>
  <c r="H330" i="23"/>
  <c r="H330" i="58" s="1"/>
  <c r="Q41" i="20"/>
  <c r="H234" i="58"/>
  <c r="BB620" i="20"/>
  <c r="BD620" i="20" s="1"/>
  <c r="S37" i="20"/>
  <c r="Q250" i="20"/>
  <c r="U234" i="23"/>
  <c r="U227" i="23" s="1"/>
  <c r="E234" i="58"/>
  <c r="E41" i="20"/>
  <c r="F91" i="20"/>
  <c r="F92" i="20"/>
  <c r="AP660" i="20"/>
  <c r="E468" i="20"/>
  <c r="E446" i="20"/>
  <c r="E73" i="20"/>
  <c r="E440" i="20" s="1"/>
  <c r="E447" i="20"/>
  <c r="J71" i="20"/>
  <c r="AJ56" i="19" s="1"/>
  <c r="E454" i="20"/>
  <c r="K8" i="22"/>
  <c r="E449" i="20"/>
  <c r="F80" i="20"/>
  <c r="E439" i="20"/>
  <c r="B77" i="22"/>
  <c r="E453" i="20"/>
  <c r="E448" i="20"/>
  <c r="E460" i="20"/>
  <c r="F79" i="20"/>
  <c r="F71" i="20"/>
  <c r="E445" i="20"/>
  <c r="G71" i="20"/>
  <c r="AI56" i="19" s="1"/>
  <c r="E444" i="20"/>
  <c r="E65" i="20"/>
  <c r="E361" i="58"/>
  <c r="U342" i="23"/>
  <c r="U334" i="23" s="1"/>
  <c r="E60" i="20"/>
  <c r="E342" i="58"/>
  <c r="U154" i="23"/>
  <c r="U147" i="23" s="1"/>
  <c r="E31" i="20"/>
  <c r="E154" i="58"/>
  <c r="U184" i="23"/>
  <c r="U179" i="23" s="1"/>
  <c r="E184" i="58"/>
  <c r="CB49" i="19"/>
  <c r="CB50" i="19" s="1"/>
  <c r="CG42" i="19"/>
  <c r="K63" i="20"/>
  <c r="I364" i="58"/>
  <c r="AV588" i="20"/>
  <c r="K193" i="20"/>
  <c r="X112" i="20"/>
  <c r="X345" i="20"/>
  <c r="X422" i="20"/>
  <c r="X270" i="20"/>
  <c r="X134" i="20"/>
  <c r="X160" i="20" s="1"/>
  <c r="X311" i="20"/>
  <c r="X938" i="20"/>
  <c r="X385" i="20"/>
  <c r="X351" i="20"/>
  <c r="Y15" i="20"/>
  <c r="Y951" i="20" s="1"/>
  <c r="BI583" i="20"/>
  <c r="X259" i="20"/>
  <c r="X428" i="20"/>
  <c r="X218" i="20"/>
  <c r="X234" i="20" s="1"/>
  <c r="W485" i="20"/>
  <c r="W532" i="20"/>
  <c r="W438" i="20"/>
  <c r="W247" i="20"/>
  <c r="W361" i="20"/>
  <c r="W357" i="20"/>
  <c r="W353" i="20"/>
  <c r="V354" i="20"/>
  <c r="V355" i="20" s="1"/>
  <c r="W371" i="20"/>
  <c r="U192" i="23"/>
  <c r="U188" i="23" s="1"/>
  <c r="E261" i="23"/>
  <c r="E192" i="58"/>
  <c r="U433" i="23"/>
  <c r="U420" i="23" s="1"/>
  <c r="E433" i="58"/>
  <c r="U26" i="23"/>
  <c r="U17" i="23" s="1"/>
  <c r="E26" i="58"/>
  <c r="U355" i="23"/>
  <c r="U351" i="23" s="1"/>
  <c r="E355" i="58"/>
  <c r="G66" i="20"/>
  <c r="K67" i="22"/>
  <c r="J66" i="20"/>
  <c r="E224" i="20"/>
  <c r="AP654" i="20"/>
  <c r="U170" i="23"/>
  <c r="U164" i="23" s="1"/>
  <c r="E170" i="58"/>
  <c r="I154" i="58"/>
  <c r="K31" i="20"/>
  <c r="K192" i="20"/>
  <c r="AV603" i="20"/>
  <c r="T340" i="20"/>
  <c r="T37" i="20" s="1"/>
  <c r="H33" i="58"/>
  <c r="E148" i="19"/>
  <c r="H192" i="58"/>
  <c r="H261" i="23"/>
  <c r="H456" i="23"/>
  <c r="H64" i="58"/>
  <c r="Q177" i="20"/>
  <c r="BB672" i="20"/>
  <c r="S83" i="20"/>
  <c r="R83" i="20"/>
  <c r="H57" i="20"/>
  <c r="L57" i="22" s="1"/>
  <c r="M45" i="20"/>
  <c r="N162" i="20"/>
  <c r="C162" i="21" s="1"/>
  <c r="P45" i="20"/>
  <c r="AS628" i="20"/>
  <c r="H162" i="20"/>
  <c r="M23" i="20"/>
  <c r="P23" i="20"/>
  <c r="N144" i="20"/>
  <c r="C144" i="21" s="1"/>
  <c r="AS594" i="20"/>
  <c r="H144" i="20"/>
  <c r="M83" i="20"/>
  <c r="P83" i="20"/>
  <c r="H177" i="20"/>
  <c r="I83" i="20"/>
  <c r="AS672" i="20"/>
  <c r="E90" i="58"/>
  <c r="L81" i="20"/>
  <c r="K175" i="20"/>
  <c r="AV670" i="20"/>
  <c r="K177" i="20"/>
  <c r="AV672" i="20"/>
  <c r="L83" i="20"/>
  <c r="V333" i="20"/>
  <c r="U334" i="20"/>
  <c r="U335" i="20" s="1"/>
  <c r="V337" i="20"/>
  <c r="H5" i="51"/>
  <c r="F121" i="22"/>
  <c r="F122" i="22" s="1"/>
  <c r="I7" i="23"/>
  <c r="I6" i="58"/>
  <c r="H55" i="20"/>
  <c r="F295" i="58"/>
  <c r="K30" i="20"/>
  <c r="I163" i="58"/>
  <c r="AV633" i="20"/>
  <c r="K159" i="20"/>
  <c r="K251" i="20"/>
  <c r="K153" i="20"/>
  <c r="AV621" i="20"/>
  <c r="K262" i="20"/>
  <c r="M90" i="20"/>
  <c r="AS680" i="20"/>
  <c r="H137" i="20"/>
  <c r="L13" i="22"/>
  <c r="H195" i="20"/>
  <c r="P90" i="20"/>
  <c r="I90" i="20"/>
  <c r="H61" i="20"/>
  <c r="F350" i="58"/>
  <c r="H457" i="20"/>
  <c r="L32" i="22"/>
  <c r="AS590" i="20"/>
  <c r="N143" i="20"/>
  <c r="C143" i="21" s="1"/>
  <c r="P21" i="20"/>
  <c r="F245" i="58"/>
  <c r="H46" i="20"/>
  <c r="CJ46" i="19"/>
  <c r="CJ51" i="19" s="1"/>
  <c r="CJ54" i="19" s="1"/>
  <c r="M71" i="20"/>
  <c r="AM56" i="19" s="1"/>
  <c r="H448" i="20"/>
  <c r="H445" i="20"/>
  <c r="I91" i="20"/>
  <c r="H454" i="20"/>
  <c r="I92" i="20"/>
  <c r="AS660" i="20"/>
  <c r="I79" i="20"/>
  <c r="H460" i="20"/>
  <c r="H453" i="20"/>
  <c r="I80" i="20"/>
  <c r="I71" i="20"/>
  <c r="H468" i="20"/>
  <c r="H449" i="20"/>
  <c r="C77" i="22"/>
  <c r="L8" i="22"/>
  <c r="H73" i="20"/>
  <c r="H440" i="20" s="1"/>
  <c r="H439" i="20"/>
  <c r="H444" i="20"/>
  <c r="H446" i="20"/>
  <c r="H447" i="20"/>
  <c r="P71" i="20"/>
  <c r="AK56" i="19" s="1"/>
  <c r="F456" i="23"/>
  <c r="F64" i="58"/>
  <c r="Q179" i="20"/>
  <c r="S78" i="20"/>
  <c r="R78" i="20"/>
  <c r="BB667" i="20"/>
  <c r="U135" i="23"/>
  <c r="U114" i="23" s="1"/>
  <c r="E32" i="20"/>
  <c r="E135" i="58"/>
  <c r="U266" i="23"/>
  <c r="U263" i="23" s="1"/>
  <c r="E330" i="23"/>
  <c r="E330" i="58" s="1"/>
  <c r="E266" i="58"/>
  <c r="AV665" i="20"/>
  <c r="K155" i="20"/>
  <c r="L76" i="20"/>
  <c r="K33" i="20"/>
  <c r="I176" i="58"/>
  <c r="AV654" i="20"/>
  <c r="K224" i="20"/>
  <c r="CL846" i="20"/>
  <c r="CL893" i="20"/>
  <c r="BH696" i="20"/>
  <c r="CL865" i="20"/>
  <c r="BH763" i="20"/>
  <c r="W331" i="20"/>
  <c r="W317" i="20"/>
  <c r="V314" i="20"/>
  <c r="W313" i="20"/>
  <c r="W321" i="20"/>
  <c r="E7" i="58"/>
  <c r="E17" i="20"/>
  <c r="U245" i="23"/>
  <c r="U235" i="23" s="1"/>
  <c r="CI46" i="19"/>
  <c r="CI51" i="19" s="1"/>
  <c r="CI54" i="19" s="1"/>
  <c r="E46" i="20"/>
  <c r="E245" i="58"/>
  <c r="J36" i="20"/>
  <c r="G36" i="20"/>
  <c r="E152" i="20"/>
  <c r="E158" i="20"/>
  <c r="AP619" i="20"/>
  <c r="K45" i="22"/>
  <c r="J37" i="20"/>
  <c r="G37" i="20"/>
  <c r="E250" i="20"/>
  <c r="AP620" i="20"/>
  <c r="E222" i="20"/>
  <c r="K63" i="22"/>
  <c r="N63" i="22" s="1"/>
  <c r="G62" i="20"/>
  <c r="J62" i="20"/>
  <c r="AP650" i="20"/>
  <c r="K27" i="20"/>
  <c r="I146" i="58"/>
  <c r="K183" i="20"/>
  <c r="N183" i="20"/>
  <c r="P24" i="20"/>
  <c r="AS595" i="20"/>
  <c r="AV812" i="20" s="1"/>
  <c r="L31" i="22"/>
  <c r="M24" i="20"/>
  <c r="U262" i="20"/>
  <c r="W260" i="20"/>
  <c r="X260" i="20" s="1"/>
  <c r="Y260" i="20" s="1"/>
  <c r="V261" i="20"/>
  <c r="AB14" i="16"/>
  <c r="G464" i="23"/>
  <c r="U153" i="20"/>
  <c r="AP591" i="20"/>
  <c r="E194" i="20"/>
  <c r="J22" i="20"/>
  <c r="G22" i="20"/>
  <c r="U329" i="23"/>
  <c r="U323" i="23" s="1"/>
  <c r="E329" i="58"/>
  <c r="L90" i="20"/>
  <c r="AV680" i="20"/>
  <c r="K137" i="20"/>
  <c r="K195" i="20"/>
  <c r="K263" i="20"/>
  <c r="AV634" i="20"/>
  <c r="AV661" i="20"/>
  <c r="L72" i="20"/>
  <c r="U250" i="20"/>
  <c r="U251" i="20" s="1"/>
  <c r="V249" i="20"/>
  <c r="U374" i="20"/>
  <c r="U375" i="20" s="1"/>
  <c r="V377" i="20"/>
  <c r="V373" i="20"/>
  <c r="CA49" i="19"/>
  <c r="CA50" i="19" s="1"/>
  <c r="CF42" i="19"/>
  <c r="BB654" i="20"/>
  <c r="BD654" i="20" s="1"/>
  <c r="Q224" i="20"/>
  <c r="S66" i="20"/>
  <c r="T66" i="20"/>
  <c r="H76" i="58"/>
  <c r="Q25" i="20"/>
  <c r="Q27" i="20"/>
  <c r="H146" i="58"/>
  <c r="BB650" i="20"/>
  <c r="BD650" i="20" s="1"/>
  <c r="Q222" i="20"/>
  <c r="S62" i="20"/>
  <c r="H245" i="58"/>
  <c r="E165" i="19"/>
  <c r="CL46" i="19"/>
  <c r="CL51" i="19" s="1"/>
  <c r="CL54" i="19" s="1"/>
  <c r="CL56" i="19" s="1"/>
  <c r="AL58" i="19" s="1"/>
  <c r="Q46" i="20"/>
  <c r="BY49" i="19"/>
  <c r="BY50" i="19" s="1"/>
  <c r="CD42" i="19"/>
  <c r="M78" i="20"/>
  <c r="AS667" i="20"/>
  <c r="L21" i="22"/>
  <c r="P78" i="20"/>
  <c r="I78" i="20"/>
  <c r="M29" i="20"/>
  <c r="AS603" i="20"/>
  <c r="P29" i="20"/>
  <c r="N192" i="20"/>
  <c r="H192" i="20"/>
  <c r="F447" i="23"/>
  <c r="F447" i="58" s="1"/>
  <c r="M66" i="20"/>
  <c r="AS654" i="20"/>
  <c r="H224" i="20"/>
  <c r="L67" i="22"/>
  <c r="O67" i="22" s="1"/>
  <c r="P66" i="20"/>
  <c r="U146" i="23"/>
  <c r="U136" i="23" s="1"/>
  <c r="E146" i="58"/>
  <c r="E27" i="20"/>
  <c r="AP634" i="20"/>
  <c r="G50" i="20"/>
  <c r="J50" i="20"/>
  <c r="E263" i="20"/>
  <c r="U401" i="23"/>
  <c r="U385" i="23" s="1"/>
  <c r="E74" i="20"/>
  <c r="E441" i="20" s="1"/>
  <c r="E401" i="58"/>
  <c r="AP588" i="20"/>
  <c r="E193" i="20"/>
  <c r="J20" i="20"/>
  <c r="G20" i="20"/>
  <c r="E25" i="20"/>
  <c r="K33" i="22" s="1"/>
  <c r="U76" i="23"/>
  <c r="U65" i="23" s="1"/>
  <c r="E76" i="58"/>
  <c r="J53" i="20"/>
  <c r="G53" i="20"/>
  <c r="E167" i="20"/>
  <c r="AP637" i="20"/>
  <c r="U295" i="23"/>
  <c r="U284" i="23" s="1"/>
  <c r="E55" i="20"/>
  <c r="E295" i="58"/>
  <c r="U350" i="23"/>
  <c r="U343" i="23" s="1"/>
  <c r="E350" i="58"/>
  <c r="E61" i="20"/>
  <c r="I361" i="23"/>
  <c r="I357" i="58"/>
  <c r="I330" i="23"/>
  <c r="I330" i="58" s="1"/>
  <c r="I266" i="58"/>
  <c r="BB603" i="20"/>
  <c r="S29" i="20"/>
  <c r="Q192" i="20"/>
  <c r="Q33" i="20"/>
  <c r="H176" i="58"/>
  <c r="Q43" i="20"/>
  <c r="H253" i="58"/>
  <c r="H448" i="58"/>
  <c r="Q77" i="20"/>
  <c r="S54" i="20"/>
  <c r="Q168" i="20"/>
  <c r="BB639" i="20"/>
  <c r="H41" i="20"/>
  <c r="F234" i="58"/>
  <c r="H42" i="20"/>
  <c r="F226" i="58"/>
  <c r="F357" i="58"/>
  <c r="F361" i="23"/>
  <c r="U357" i="23"/>
  <c r="H77" i="20"/>
  <c r="F448" i="58"/>
  <c r="H40" i="20"/>
  <c r="F197" i="58"/>
  <c r="K167" i="20"/>
  <c r="M53" i="20"/>
  <c r="N167" i="20"/>
  <c r="C167" i="21" s="1"/>
  <c r="AS637" i="20"/>
  <c r="P53" i="20"/>
  <c r="H167" i="20"/>
  <c r="BB651" i="20"/>
  <c r="BD651" i="20" s="1"/>
  <c r="Q223" i="20"/>
  <c r="S63" i="20"/>
  <c r="R86" i="20"/>
  <c r="BB675" i="20"/>
  <c r="BD675" i="20" s="1"/>
  <c r="S86" i="20"/>
  <c r="Q153" i="20"/>
  <c r="S49" i="20"/>
  <c r="BB633" i="20"/>
  <c r="Q251" i="20"/>
  <c r="Q159" i="20"/>
  <c r="BB673" i="20"/>
  <c r="Q178" i="20"/>
  <c r="S84" i="20"/>
  <c r="R84" i="20"/>
  <c r="H68" i="20"/>
  <c r="AP680" i="20"/>
  <c r="K13" i="22"/>
  <c r="E137" i="20"/>
  <c r="J90" i="20"/>
  <c r="F90" i="20"/>
  <c r="E195" i="20"/>
  <c r="G90" i="20"/>
  <c r="G54" i="20"/>
  <c r="AP639" i="20"/>
  <c r="E168" i="20"/>
  <c r="J54" i="20"/>
  <c r="U418" i="23"/>
  <c r="U402" i="23" s="1"/>
  <c r="E418" i="58"/>
  <c r="AP671" i="20"/>
  <c r="J82" i="20"/>
  <c r="F82" i="20"/>
  <c r="K17" i="22"/>
  <c r="G82" i="20"/>
  <c r="E176" i="20"/>
  <c r="U373" i="23"/>
  <c r="E68" i="20"/>
  <c r="E373" i="58"/>
  <c r="C150" i="19"/>
  <c r="K21" i="20"/>
  <c r="I64" i="58"/>
  <c r="I456" i="23"/>
  <c r="I314" i="58"/>
  <c r="C170" i="19"/>
  <c r="K41" i="20"/>
  <c r="I234" i="58"/>
  <c r="I384" i="58"/>
  <c r="I419" i="23"/>
  <c r="X951" i="20"/>
  <c r="W569" i="20"/>
  <c r="W522" i="20"/>
  <c r="W475" i="20"/>
  <c r="BB674" i="20"/>
  <c r="S85" i="20"/>
  <c r="R85" i="20"/>
  <c r="U283" i="23"/>
  <c r="U267" i="23" s="1"/>
  <c r="E283" i="58"/>
  <c r="E57" i="20"/>
  <c r="I261" i="23"/>
  <c r="I192" i="58"/>
  <c r="K178" i="20"/>
  <c r="AV673" i="20"/>
  <c r="L84" i="20"/>
  <c r="C166" i="19"/>
  <c r="K46" i="20"/>
  <c r="I245" i="58"/>
  <c r="C165" i="19"/>
  <c r="CM46" i="19"/>
  <c r="CM51" i="19" s="1"/>
  <c r="CM54" i="19" s="1"/>
  <c r="CM56" i="19" s="1"/>
  <c r="AM58" i="19" s="1"/>
  <c r="K144" i="20"/>
  <c r="AV594" i="20"/>
  <c r="K43" i="20"/>
  <c r="I253" i="58"/>
  <c r="V942" i="20"/>
  <c r="H357" i="58"/>
  <c r="H361" i="23"/>
  <c r="BB588" i="20"/>
  <c r="Q193" i="20"/>
  <c r="S20" i="20"/>
  <c r="Q61" i="20"/>
  <c r="H350" i="58"/>
  <c r="T381" i="20"/>
  <c r="T51" i="20" s="1"/>
  <c r="M82" i="20"/>
  <c r="I82" i="20"/>
  <c r="P82" i="20"/>
  <c r="AS671" i="20"/>
  <c r="H176" i="20"/>
  <c r="L17" i="22"/>
  <c r="M20" i="20"/>
  <c r="P20" i="20"/>
  <c r="N193" i="20"/>
  <c r="C193" i="21" s="1"/>
  <c r="AS588" i="20"/>
  <c r="H193" i="20"/>
  <c r="G465" i="23"/>
  <c r="J38" i="20"/>
  <c r="G38" i="20"/>
  <c r="AP621" i="20"/>
  <c r="E262" i="20"/>
  <c r="U364" i="23"/>
  <c r="E63" i="20"/>
  <c r="E364" i="58"/>
  <c r="U447" i="23"/>
  <c r="U434" i="23" s="1"/>
  <c r="E447" i="58"/>
  <c r="K52" i="20"/>
  <c r="I303" i="58"/>
  <c r="AV675" i="20"/>
  <c r="L86" i="20"/>
  <c r="AV674" i="20"/>
  <c r="L85" i="20"/>
  <c r="I226" i="58"/>
  <c r="K42" i="20"/>
  <c r="U364" i="20"/>
  <c r="U365" i="20" s="1"/>
  <c r="V363" i="20"/>
  <c r="V154" i="20" s="1"/>
  <c r="V367" i="20"/>
  <c r="V327" i="20"/>
  <c r="V323" i="20"/>
  <c r="U324" i="20"/>
  <c r="U325" i="20" s="1"/>
  <c r="Q30" i="20"/>
  <c r="H163" i="58"/>
  <c r="Q195" i="20"/>
  <c r="R90" i="20"/>
  <c r="Q137" i="20"/>
  <c r="BB680" i="20"/>
  <c r="S90" i="20"/>
  <c r="Q162" i="20"/>
  <c r="BB628" i="20"/>
  <c r="S45" i="20"/>
  <c r="BB657" i="20"/>
  <c r="BD657" i="20" s="1"/>
  <c r="T69" i="20"/>
  <c r="S69" i="20"/>
  <c r="Q28" i="20"/>
  <c r="H177" i="23"/>
  <c r="H177" i="58" s="1"/>
  <c r="CA63" i="19"/>
  <c r="CF63" i="19" s="1"/>
  <c r="CA61" i="19"/>
  <c r="CF61" i="19" s="1"/>
  <c r="H113" i="58"/>
  <c r="Q47" i="20"/>
  <c r="H260" i="58"/>
  <c r="H47" i="20"/>
  <c r="F260" i="58"/>
  <c r="F16" i="58"/>
  <c r="H18" i="20"/>
  <c r="F192" i="58"/>
  <c r="F261" i="23"/>
  <c r="H31" i="20"/>
  <c r="F154" i="58"/>
  <c r="M76" i="20"/>
  <c r="H155" i="20"/>
  <c r="I76" i="20"/>
  <c r="L19" i="22"/>
  <c r="AS665" i="20"/>
  <c r="P76" i="20"/>
  <c r="M62" i="20"/>
  <c r="AS650" i="20"/>
  <c r="L63" i="22"/>
  <c r="O63" i="22" s="1"/>
  <c r="P62" i="20"/>
  <c r="H222" i="20"/>
  <c r="M84" i="20"/>
  <c r="P84" i="20"/>
  <c r="I84" i="20"/>
  <c r="H178" i="20"/>
  <c r="AS673" i="20"/>
  <c r="H33" i="20"/>
  <c r="F176" i="58"/>
  <c r="M88" i="20"/>
  <c r="K139" i="20"/>
  <c r="AS678" i="20"/>
  <c r="N139" i="20"/>
  <c r="C139" i="21" s="1"/>
  <c r="L23" i="22"/>
  <c r="I88" i="20"/>
  <c r="P88" i="20"/>
  <c r="U382" i="20"/>
  <c r="O96" i="19"/>
  <c r="CJ61" i="19"/>
  <c r="AL46" i="19"/>
  <c r="F83" i="20"/>
  <c r="AP672" i="20"/>
  <c r="J83" i="20"/>
  <c r="G83" i="20"/>
  <c r="E177" i="20"/>
  <c r="U446" i="23"/>
  <c r="E446" i="58"/>
  <c r="E86" i="20"/>
  <c r="U113" i="23"/>
  <c r="U92" i="23" s="1"/>
  <c r="BX61" i="19"/>
  <c r="CC61" i="19" s="1"/>
  <c r="E28" i="20"/>
  <c r="BX63" i="19"/>
  <c r="CC63" i="19" s="1"/>
  <c r="E177" i="23"/>
  <c r="E113" i="58"/>
  <c r="U33" i="23"/>
  <c r="U27" i="23" s="1"/>
  <c r="E19" i="20"/>
  <c r="E33" i="58"/>
  <c r="U176" i="23"/>
  <c r="U171" i="23" s="1"/>
  <c r="E33" i="20"/>
  <c r="E176" i="58"/>
  <c r="U49" i="23"/>
  <c r="U34" i="23" s="1"/>
  <c r="E24" i="20"/>
  <c r="E49" i="58"/>
  <c r="U314" i="23"/>
  <c r="U304" i="23" s="1"/>
  <c r="E56" i="20"/>
  <c r="E314" i="58"/>
  <c r="E162" i="20"/>
  <c r="J45" i="20"/>
  <c r="G45" i="20"/>
  <c r="AP628" i="20"/>
  <c r="AV678" i="20"/>
  <c r="L88" i="20"/>
  <c r="K28" i="20"/>
  <c r="I113" i="58"/>
  <c r="CB61" i="19"/>
  <c r="CG61" i="19" s="1"/>
  <c r="CB63" i="19"/>
  <c r="CG63" i="19" s="1"/>
  <c r="I177" i="23"/>
  <c r="I177" i="58" s="1"/>
  <c r="K162" i="20"/>
  <c r="AV628" i="20"/>
  <c r="K32" i="20"/>
  <c r="I135" i="58"/>
  <c r="AV639" i="20"/>
  <c r="K168" i="20"/>
  <c r="Q74" i="20"/>
  <c r="Q469" i="20" s="1"/>
  <c r="H401" i="58"/>
  <c r="R79" i="20"/>
  <c r="Q439" i="20"/>
  <c r="R80" i="20"/>
  <c r="R71" i="20"/>
  <c r="Q449" i="20"/>
  <c r="Q445" i="20"/>
  <c r="R92" i="20"/>
  <c r="Q460" i="20"/>
  <c r="Q73" i="20"/>
  <c r="Q440" i="20" s="1"/>
  <c r="Q453" i="20"/>
  <c r="R91" i="20"/>
  <c r="Q454" i="20"/>
  <c r="F77" i="22"/>
  <c r="BB660" i="20"/>
  <c r="Q444" i="20"/>
  <c r="Q447" i="20"/>
  <c r="Q448" i="20"/>
  <c r="Q468" i="20"/>
  <c r="Q446" i="20"/>
  <c r="S71" i="20"/>
  <c r="AL56" i="19" s="1"/>
  <c r="H135" i="58"/>
  <c r="Q32" i="20"/>
  <c r="BB595" i="20"/>
  <c r="Q183" i="20"/>
  <c r="S24" i="20"/>
  <c r="F76" i="58"/>
  <c r="H25" i="20"/>
  <c r="H63" i="20"/>
  <c r="F364" i="58"/>
  <c r="M81" i="20"/>
  <c r="I81" i="20"/>
  <c r="L16" i="22"/>
  <c r="AS670" i="20"/>
  <c r="P81" i="20"/>
  <c r="H175" i="20"/>
  <c r="M49" i="20"/>
  <c r="H251" i="20"/>
  <c r="N153" i="20"/>
  <c r="C153" i="21" s="1"/>
  <c r="AS633" i="20"/>
  <c r="L53" i="22"/>
  <c r="N159" i="20"/>
  <c r="C159" i="21" s="1"/>
  <c r="P49" i="20"/>
  <c r="H159" i="20"/>
  <c r="H153" i="20"/>
  <c r="F253" i="58"/>
  <c r="H43" i="20"/>
  <c r="F384" i="58"/>
  <c r="F419" i="23"/>
  <c r="AH247" i="16"/>
  <c r="AE219" i="16"/>
  <c r="AE43" i="16" s="1"/>
  <c r="AE274" i="16"/>
  <c r="AE301" i="16"/>
  <c r="H226" i="58"/>
  <c r="Q42" i="20"/>
  <c r="BB641" i="20"/>
  <c r="Q170" i="20"/>
  <c r="S56" i="20"/>
  <c r="E170" i="19"/>
  <c r="H314" i="58"/>
  <c r="F7" i="58"/>
  <c r="H17" i="20"/>
  <c r="U260" i="23"/>
  <c r="U254" i="23" s="1"/>
  <c r="E47" i="20"/>
  <c r="E260" i="58"/>
  <c r="J85" i="20"/>
  <c r="G85" i="20"/>
  <c r="F85" i="20"/>
  <c r="AP674" i="20"/>
  <c r="E153" i="20"/>
  <c r="E159" i="20"/>
  <c r="G49" i="20"/>
  <c r="J49" i="20"/>
  <c r="AP633" i="20"/>
  <c r="E251" i="20"/>
  <c r="K53" i="22"/>
  <c r="K23" i="22"/>
  <c r="H139" i="20"/>
  <c r="G88" i="20"/>
  <c r="J88" i="20"/>
  <c r="AP678" i="20"/>
  <c r="F88" i="20"/>
  <c r="K176" i="20"/>
  <c r="AV671" i="20"/>
  <c r="L82" i="20"/>
  <c r="I16" i="58"/>
  <c r="K18" i="20"/>
  <c r="I91" i="23"/>
  <c r="K170" i="20"/>
  <c r="AV641" i="20"/>
  <c r="L78" i="20"/>
  <c r="AV667" i="20"/>
  <c r="K179" i="20"/>
  <c r="L80" i="20"/>
  <c r="D77" i="22"/>
  <c r="K453" i="20"/>
  <c r="L91" i="20"/>
  <c r="K73" i="20"/>
  <c r="K440" i="20" s="1"/>
  <c r="K444" i="20"/>
  <c r="AV660" i="20"/>
  <c r="L71" i="20"/>
  <c r="K439" i="20"/>
  <c r="K468" i="20"/>
  <c r="K446" i="20"/>
  <c r="L79" i="20"/>
  <c r="K447" i="20"/>
  <c r="K445" i="20"/>
  <c r="K460" i="20"/>
  <c r="L92" i="20"/>
  <c r="K454" i="20"/>
  <c r="K449" i="20"/>
  <c r="K448" i="20"/>
  <c r="AE264" i="16"/>
  <c r="AE209" i="16"/>
  <c r="AE13" i="16" s="1"/>
  <c r="AE291" i="16"/>
  <c r="AH237" i="16"/>
  <c r="U448" i="23"/>
  <c r="E448" i="58"/>
  <c r="E77" i="20"/>
  <c r="U214" i="23"/>
  <c r="U198" i="23" s="1"/>
  <c r="E214" i="58"/>
  <c r="E44" i="20"/>
  <c r="J81" i="20"/>
  <c r="K16" i="22"/>
  <c r="E175" i="20"/>
  <c r="G81" i="20"/>
  <c r="F81" i="20"/>
  <c r="AP670" i="20"/>
  <c r="AP594" i="20"/>
  <c r="J23" i="20"/>
  <c r="G23" i="20"/>
  <c r="E144" i="20"/>
  <c r="K21" i="22"/>
  <c r="G78" i="20"/>
  <c r="AP667" i="20"/>
  <c r="F78" i="20"/>
  <c r="J78" i="20"/>
  <c r="E155" i="20"/>
  <c r="E322" i="58"/>
  <c r="U322" i="23"/>
  <c r="U315" i="23" s="1"/>
  <c r="U84" i="23"/>
  <c r="U77" i="23" s="1"/>
  <c r="E84" i="58"/>
  <c r="K77" i="20"/>
  <c r="I448" i="58"/>
  <c r="I295" i="58"/>
  <c r="K55" i="20"/>
  <c r="AV650" i="20"/>
  <c r="K222" i="20"/>
  <c r="AV591" i="20"/>
  <c r="K194" i="20"/>
  <c r="T341" i="20"/>
  <c r="R72" i="20"/>
  <c r="BB661" i="20"/>
  <c r="Q19" i="20"/>
  <c r="Q55" i="20"/>
  <c r="H295" i="58"/>
  <c r="BB619" i="20"/>
  <c r="Q158" i="20"/>
  <c r="S36" i="20"/>
  <c r="Q152" i="20"/>
  <c r="R76" i="20"/>
  <c r="Q155" i="20"/>
  <c r="BB665" i="20"/>
  <c r="H197" i="58"/>
  <c r="Q40" i="20"/>
  <c r="M54" i="20"/>
  <c r="AS639" i="20"/>
  <c r="P54" i="20"/>
  <c r="N168" i="20"/>
  <c r="C168" i="21" s="1"/>
  <c r="H168" i="20"/>
  <c r="M38" i="20"/>
  <c r="P38" i="20"/>
  <c r="H262" i="20"/>
  <c r="AS621" i="20"/>
  <c r="H74" i="20"/>
  <c r="H469" i="20" s="1"/>
  <c r="F401" i="58"/>
  <c r="H44" i="20"/>
  <c r="M85" i="20"/>
  <c r="I85" i="20"/>
  <c r="AS674" i="20"/>
  <c r="P85" i="20"/>
  <c r="H52" i="20"/>
  <c r="F303" i="58"/>
  <c r="M72" i="20"/>
  <c r="I72" i="20"/>
  <c r="AS661" i="20"/>
  <c r="L9" i="22"/>
  <c r="P72" i="20"/>
  <c r="W248" i="20"/>
  <c r="X248" i="20" s="1"/>
  <c r="H60" i="20"/>
  <c r="F342" i="58"/>
  <c r="G466" i="23"/>
  <c r="S88" i="20"/>
  <c r="S76" i="20"/>
  <c r="S72" i="20"/>
  <c r="M59" i="22"/>
  <c r="O27" i="19"/>
  <c r="CH884" i="20"/>
  <c r="BA63" i="19"/>
  <c r="AQ62" i="19" s="1"/>
  <c r="AW63" i="19"/>
  <c r="AP62" i="19" s="1"/>
  <c r="AT62" i="19" s="1"/>
  <c r="AU62" i="19" s="1"/>
  <c r="BE63" i="19"/>
  <c r="AR62" i="19" s="1"/>
  <c r="BI63" i="19"/>
  <c r="AS62" i="19" s="1"/>
  <c r="E26" i="22"/>
  <c r="E29" i="22" s="1"/>
  <c r="CA900" i="20"/>
  <c r="O47" i="20"/>
  <c r="C59" i="21"/>
  <c r="O38" i="20"/>
  <c r="O39" i="20"/>
  <c r="O44" i="20"/>
  <c r="O41" i="20"/>
  <c r="O51" i="20"/>
  <c r="O37" i="20"/>
  <c r="O46" i="20"/>
  <c r="O98" i="20"/>
  <c r="O54" i="20"/>
  <c r="O53" i="20"/>
  <c r="O49" i="20"/>
  <c r="O36" i="20"/>
  <c r="E81" i="22"/>
  <c r="O45" i="20"/>
  <c r="O40" i="20"/>
  <c r="O59" i="20"/>
  <c r="O50" i="20"/>
  <c r="O52" i="20"/>
  <c r="O55" i="20"/>
  <c r="O56" i="20"/>
  <c r="O42" i="20"/>
  <c r="O57" i="20"/>
  <c r="O43" i="20"/>
  <c r="K112" i="21"/>
  <c r="K134" i="21"/>
  <c r="K218" i="21"/>
  <c r="K234" i="21" s="1"/>
  <c r="J159" i="21"/>
  <c r="J160" i="21"/>
  <c r="E50" i="21"/>
  <c r="BE634" i="20"/>
  <c r="AY701" i="20"/>
  <c r="O48" i="20"/>
  <c r="O97" i="20"/>
  <c r="O28" i="20"/>
  <c r="N35" i="20"/>
  <c r="O29" i="20"/>
  <c r="O20" i="20"/>
  <c r="O27" i="20"/>
  <c r="O26" i="20"/>
  <c r="O23" i="20"/>
  <c r="C34" i="21"/>
  <c r="O21" i="20"/>
  <c r="O30" i="20"/>
  <c r="O24" i="20"/>
  <c r="O34" i="20"/>
  <c r="O22" i="20"/>
  <c r="O33" i="20"/>
  <c r="O31" i="20"/>
  <c r="E107" i="22"/>
  <c r="O32" i="20"/>
  <c r="O19" i="20"/>
  <c r="O25" i="20"/>
  <c r="E80" i="22"/>
  <c r="O18" i="20"/>
  <c r="N89" i="20"/>
  <c r="O87" i="20"/>
  <c r="C87" i="21"/>
  <c r="N83" i="22"/>
  <c r="E39" i="22"/>
  <c r="CA896" i="20"/>
  <c r="U159" i="20"/>
  <c r="BF788" i="20"/>
  <c r="CF884" i="20" s="1"/>
  <c r="T305" i="20"/>
  <c r="U276" i="20"/>
  <c r="AY699" i="20"/>
  <c r="BE621" i="20"/>
  <c r="E38" i="21"/>
  <c r="O32" i="19"/>
  <c r="AY645" i="20"/>
  <c r="Q65" i="21"/>
  <c r="P65" i="21"/>
  <c r="N65" i="21"/>
  <c r="O65" i="21"/>
  <c r="L65" i="21"/>
  <c r="M65" i="21"/>
  <c r="H65" i="21"/>
  <c r="G65" i="21"/>
  <c r="R65" i="21"/>
  <c r="R228" i="21" s="1"/>
  <c r="J65" i="21"/>
  <c r="I65" i="21"/>
  <c r="K65" i="21"/>
  <c r="AY729" i="20"/>
  <c r="AY698" i="20"/>
  <c r="AY734" i="20"/>
  <c r="E23" i="22" s="1"/>
  <c r="AY598" i="20"/>
  <c r="V272" i="20"/>
  <c r="W271" i="20"/>
  <c r="CA852" i="20"/>
  <c r="CB852" i="20" s="1"/>
  <c r="AY632" i="20"/>
  <c r="N138" i="20"/>
  <c r="C136" i="21"/>
  <c r="U228" i="20"/>
  <c r="V65" i="20"/>
  <c r="BF653" i="20"/>
  <c r="AZ664" i="20"/>
  <c r="AY677" i="20"/>
  <c r="AY765" i="20"/>
  <c r="AY767" i="20" s="1"/>
  <c r="AY720" i="20"/>
  <c r="N252" i="20"/>
  <c r="N347" i="20"/>
  <c r="N346" i="20" s="1"/>
  <c r="AB29" i="21"/>
  <c r="AA32" i="21"/>
  <c r="K16" i="21" s="1"/>
  <c r="AB30" i="21"/>
  <c r="AB31" i="21" s="1"/>
  <c r="L15" i="21" s="1"/>
  <c r="G451" i="58"/>
  <c r="G363" i="23"/>
  <c r="N490" i="20"/>
  <c r="N442" i="20"/>
  <c r="N537" i="20"/>
  <c r="AK52" i="19"/>
  <c r="O93" i="20"/>
  <c r="AK54" i="19" s="1"/>
  <c r="C93" i="21"/>
  <c r="AY683" i="20"/>
  <c r="O58" i="20"/>
  <c r="V156" i="16"/>
  <c r="V200" i="16" s="1"/>
  <c r="V49" i="16" s="1"/>
  <c r="AA49" i="16" s="1"/>
  <c r="V199" i="16"/>
  <c r="V38" i="16" s="1"/>
  <c r="AA38" i="16" s="1"/>
  <c r="AG14" i="16"/>
  <c r="AB16" i="16"/>
  <c r="AI38" i="16"/>
  <c r="AI29" i="16"/>
  <c r="AI16" i="16"/>
  <c r="AI37" i="16"/>
  <c r="AI27" i="16"/>
  <c r="AI14" i="16"/>
  <c r="Z97" i="19"/>
  <c r="Z98" i="19" s="1"/>
  <c r="AI46" i="16"/>
  <c r="AI36" i="16"/>
  <c r="AI25" i="16"/>
  <c r="AI13" i="16"/>
  <c r="AI44" i="16"/>
  <c r="AI24" i="16"/>
  <c r="AI12" i="16"/>
  <c r="AI35" i="16"/>
  <c r="AI23" i="16"/>
  <c r="AI43" i="16"/>
  <c r="AI33" i="16"/>
  <c r="AI21" i="16"/>
  <c r="AH57" i="16"/>
  <c r="AH54" i="16"/>
  <c r="AI41" i="16"/>
  <c r="AI31" i="16"/>
  <c r="AI19" i="16"/>
  <c r="AI40" i="16"/>
  <c r="AI30" i="16"/>
  <c r="AI18" i="16"/>
  <c r="AM12" i="16"/>
  <c r="AT310" i="16"/>
  <c r="AT311" i="16" s="1"/>
  <c r="AT283" i="16"/>
  <c r="AT284" i="16" s="1"/>
  <c r="AT228" i="16"/>
  <c r="AH273" i="16"/>
  <c r="AH218" i="16"/>
  <c r="AH25" i="16" s="1"/>
  <c r="AK246" i="16"/>
  <c r="AH300" i="16"/>
  <c r="I44" i="16"/>
  <c r="D47" i="16"/>
  <c r="AE265" i="16"/>
  <c r="AH238" i="16"/>
  <c r="AE210" i="16"/>
  <c r="AE292" i="16"/>
  <c r="AB289" i="16"/>
  <c r="AB235" i="16"/>
  <c r="AB153" i="16"/>
  <c r="J366" i="16"/>
  <c r="AB262" i="16"/>
  <c r="AB192" i="16"/>
  <c r="AB207" i="16"/>
  <c r="AB179" i="16"/>
  <c r="AB133" i="16"/>
  <c r="AB166" i="16"/>
  <c r="AB120" i="16"/>
  <c r="AB30" i="16"/>
  <c r="AB107" i="16"/>
  <c r="AB94" i="16"/>
  <c r="AB61" i="16"/>
  <c r="AB53" i="16"/>
  <c r="AB392" i="16" s="1"/>
  <c r="AE11" i="16"/>
  <c r="AB81" i="16"/>
  <c r="AB31" i="16"/>
  <c r="AG31" i="16" s="1"/>
  <c r="L423" i="16"/>
  <c r="L426" i="16" s="1"/>
  <c r="V84" i="16"/>
  <c r="V141" i="16" s="1"/>
  <c r="V48" i="16" s="1"/>
  <c r="AA48" i="16" s="1"/>
  <c r="AE267" i="16"/>
  <c r="AE212" i="16"/>
  <c r="AE19" i="16" s="1"/>
  <c r="AH240" i="16"/>
  <c r="AE294" i="16"/>
  <c r="Y138" i="16"/>
  <c r="Y135" i="16"/>
  <c r="Y136" i="16" s="1"/>
  <c r="Y184" i="16"/>
  <c r="Y181" i="16"/>
  <c r="Y182" i="16" s="1"/>
  <c r="AE298" i="16"/>
  <c r="AH244" i="16"/>
  <c r="AE271" i="16"/>
  <c r="AE216" i="16"/>
  <c r="AE23" i="16" s="1"/>
  <c r="AE299" i="16"/>
  <c r="AH245" i="16"/>
  <c r="AE272" i="16"/>
  <c r="AE217" i="16"/>
  <c r="AE24" i="16" s="1"/>
  <c r="X101" i="19"/>
  <c r="AG18" i="16"/>
  <c r="Y171" i="16"/>
  <c r="Y168" i="16"/>
  <c r="Y169" i="16" s="1"/>
  <c r="AG51" i="16"/>
  <c r="AE51" i="16"/>
  <c r="V27" i="16"/>
  <c r="AA21" i="16"/>
  <c r="V282" i="16"/>
  <c r="Y255" i="16"/>
  <c r="V227" i="16"/>
  <c r="V309" i="16"/>
  <c r="X27" i="16"/>
  <c r="Y86" i="16"/>
  <c r="Y83" i="16"/>
  <c r="Y122" i="16"/>
  <c r="Y123" i="16" s="1"/>
  <c r="Y125" i="16"/>
  <c r="AG23" i="16"/>
  <c r="X103" i="19"/>
  <c r="AG24" i="16"/>
  <c r="X106" i="19"/>
  <c r="AE266" i="16"/>
  <c r="AE211" i="16"/>
  <c r="AE18" i="16" s="1"/>
  <c r="AE293" i="16"/>
  <c r="AH239" i="16"/>
  <c r="Y197" i="16"/>
  <c r="Y194" i="16"/>
  <c r="Y195" i="16" s="1"/>
  <c r="AH250" i="16"/>
  <c r="AE277" i="16"/>
  <c r="AE222" i="16"/>
  <c r="AE304" i="16"/>
  <c r="AD30" i="16"/>
  <c r="W111" i="19"/>
  <c r="Y112" i="16"/>
  <c r="Y109" i="16"/>
  <c r="Y110" i="16" s="1"/>
  <c r="Y155" i="16"/>
  <c r="Y158" i="16"/>
  <c r="V104" i="19"/>
  <c r="V107" i="19" s="1"/>
  <c r="V100" i="19"/>
  <c r="Y99" i="16"/>
  <c r="Y96" i="16"/>
  <c r="Y97" i="16" s="1"/>
  <c r="AK263" i="16"/>
  <c r="AK208" i="16"/>
  <c r="AK12" i="16" s="1"/>
  <c r="AN236" i="16"/>
  <c r="AK290" i="16"/>
  <c r="Y21" i="16"/>
  <c r="AD16" i="16"/>
  <c r="W99" i="19"/>
  <c r="Y113" i="19"/>
  <c r="AJ43" i="16"/>
  <c r="V201" i="16"/>
  <c r="AB257" i="16"/>
  <c r="Y229" i="16"/>
  <c r="AK285" i="16"/>
  <c r="AK230" i="16"/>
  <c r="AN258" i="16"/>
  <c r="AK312" i="16"/>
  <c r="AG19" i="16"/>
  <c r="X102" i="19"/>
  <c r="AJ25" i="16"/>
  <c r="Y105" i="19"/>
  <c r="V281" i="16"/>
  <c r="V226" i="16"/>
  <c r="Y254" i="16"/>
  <c r="V308" i="16"/>
  <c r="AH297" i="16"/>
  <c r="AH270" i="16"/>
  <c r="AK243" i="16"/>
  <c r="AH215" i="16"/>
  <c r="AH346" i="16" s="1"/>
  <c r="AJ13" i="16"/>
  <c r="AE14" i="16"/>
  <c r="AJ14" i="16" s="1"/>
  <c r="V140" i="16"/>
  <c r="V37" i="16" s="1"/>
  <c r="AA37" i="16" s="1"/>
  <c r="V142" i="16"/>
  <c r="BO837" i="20"/>
  <c r="BO895" i="20" s="1"/>
  <c r="BO757" i="20"/>
  <c r="AB126" i="20"/>
  <c r="AB125" i="20"/>
  <c r="AD566" i="20"/>
  <c r="AD419" i="20"/>
  <c r="AE472" i="20"/>
  <c r="AD519" i="20"/>
  <c r="BP666" i="20"/>
  <c r="AE208" i="20"/>
  <c r="AF77" i="20"/>
  <c r="AC124" i="20"/>
  <c r="AD123" i="20"/>
  <c r="N126" i="21"/>
  <c r="N125" i="21"/>
  <c r="P123" i="21"/>
  <c r="O124" i="21"/>
  <c r="H179" i="20" l="1"/>
  <c r="BC665" i="20"/>
  <c r="Q441" i="20"/>
  <c r="Q535" i="20" s="1"/>
  <c r="Q467" i="20"/>
  <c r="Q470" i="20"/>
  <c r="Q517" i="20" s="1"/>
  <c r="K441" i="20"/>
  <c r="K535" i="20" s="1"/>
  <c r="K467" i="20"/>
  <c r="H441" i="20"/>
  <c r="T441" i="20" s="1"/>
  <c r="BC661" i="20"/>
  <c r="T454" i="20"/>
  <c r="T401" i="20" s="1"/>
  <c r="T448" i="20"/>
  <c r="U448" i="20" s="1"/>
  <c r="T444" i="20"/>
  <c r="T460" i="20"/>
  <c r="E18" i="22"/>
  <c r="E104" i="22"/>
  <c r="T447" i="20"/>
  <c r="T439" i="20"/>
  <c r="T449" i="20"/>
  <c r="T440" i="20"/>
  <c r="Q510" i="20"/>
  <c r="Q557" i="20"/>
  <c r="Q566" i="20"/>
  <c r="Q519" i="20"/>
  <c r="AY747" i="20"/>
  <c r="N82" i="22" s="1"/>
  <c r="AY719" i="20"/>
  <c r="T446" i="20"/>
  <c r="T468" i="20"/>
  <c r="T453" i="20"/>
  <c r="T445" i="20"/>
  <c r="Q559" i="20"/>
  <c r="Q512" i="20"/>
  <c r="N67" i="22"/>
  <c r="Q271" i="20"/>
  <c r="N53" i="22"/>
  <c r="AV791" i="20"/>
  <c r="R33" i="22"/>
  <c r="R31" i="22"/>
  <c r="R37" i="22"/>
  <c r="R39" i="22"/>
  <c r="K180" i="20"/>
  <c r="K470" i="20"/>
  <c r="K564" i="20" s="1"/>
  <c r="Q459" i="20"/>
  <c r="Q553" i="20" s="1"/>
  <c r="Q458" i="20"/>
  <c r="Q505" i="20" s="1"/>
  <c r="K456" i="20"/>
  <c r="K503" i="20" s="1"/>
  <c r="Q456" i="20"/>
  <c r="Q503" i="20" s="1"/>
  <c r="K469" i="20"/>
  <c r="K563" i="20" s="1"/>
  <c r="H58" i="20"/>
  <c r="L80" i="22" s="1"/>
  <c r="Q48" i="20"/>
  <c r="S48" i="20" s="1"/>
  <c r="BM59" i="19"/>
  <c r="BA59" i="19" s="1"/>
  <c r="AQ58" i="19" s="1"/>
  <c r="K48" i="20"/>
  <c r="M79" i="22" s="1"/>
  <c r="S68" i="20"/>
  <c r="K58" i="20"/>
  <c r="M80" i="22" s="1"/>
  <c r="H455" i="20"/>
  <c r="AV773" i="20"/>
  <c r="L30" i="22"/>
  <c r="D51" i="22"/>
  <c r="R32" i="22"/>
  <c r="T49" i="20"/>
  <c r="BE633" i="20" s="1"/>
  <c r="R35" i="22"/>
  <c r="R42" i="22"/>
  <c r="R36" i="22"/>
  <c r="R30" i="22"/>
  <c r="M19" i="20"/>
  <c r="N142" i="20"/>
  <c r="C142" i="21" s="1"/>
  <c r="V342" i="20"/>
  <c r="R41" i="22"/>
  <c r="R40" i="22"/>
  <c r="U90" i="23"/>
  <c r="U85" i="23" s="1"/>
  <c r="R38" i="22"/>
  <c r="R29" i="22"/>
  <c r="P19" i="20"/>
  <c r="F91" i="23"/>
  <c r="F178" i="23" s="1"/>
  <c r="H271" i="20"/>
  <c r="AX657" i="20"/>
  <c r="H467" i="20"/>
  <c r="H514" i="20" s="1"/>
  <c r="U341" i="20"/>
  <c r="H470" i="20"/>
  <c r="H517" i="20" s="1"/>
  <c r="U381" i="20"/>
  <c r="U51" i="20" s="1"/>
  <c r="BF635" i="20" s="1"/>
  <c r="W942" i="20"/>
  <c r="AV823" i="20"/>
  <c r="H156" i="20"/>
  <c r="V382" i="20"/>
  <c r="U380" i="20"/>
  <c r="U39" i="20" s="1"/>
  <c r="BF622" i="20" s="1"/>
  <c r="H180" i="20"/>
  <c r="B469" i="20"/>
  <c r="B563" i="20" s="1"/>
  <c r="Z260" i="20"/>
  <c r="BE620" i="20"/>
  <c r="E37" i="21"/>
  <c r="Y248" i="20"/>
  <c r="Z248" i="20" s="1"/>
  <c r="AA248" i="20" s="1"/>
  <c r="AB248" i="20" s="1"/>
  <c r="AS589" i="20"/>
  <c r="BA587" i="20"/>
  <c r="AY771" i="20"/>
  <c r="BD852" i="20" s="1"/>
  <c r="H563" i="20"/>
  <c r="H516" i="20"/>
  <c r="L10" i="22"/>
  <c r="Q10" i="22" s="1"/>
  <c r="D13" i="22" s="1"/>
  <c r="M74" i="20"/>
  <c r="L11" i="22"/>
  <c r="Q11" i="22" s="1"/>
  <c r="P74" i="20"/>
  <c r="I74" i="20"/>
  <c r="AS663" i="20"/>
  <c r="AS730" i="20" s="1"/>
  <c r="D28" i="22" s="1"/>
  <c r="BB787" i="20"/>
  <c r="BB704" i="20"/>
  <c r="BB781" i="20"/>
  <c r="BD619" i="20"/>
  <c r="AP627" i="20"/>
  <c r="J44" i="20"/>
  <c r="G44" i="20"/>
  <c r="E148" i="20"/>
  <c r="K47" i="22"/>
  <c r="N47" i="22" s="1"/>
  <c r="K548" i="20"/>
  <c r="K501" i="20"/>
  <c r="K541" i="20"/>
  <c r="K494" i="20"/>
  <c r="K533" i="20"/>
  <c r="K486" i="20"/>
  <c r="K534" i="20"/>
  <c r="K487" i="20"/>
  <c r="AR678" i="20"/>
  <c r="AU678" i="20"/>
  <c r="AS768" i="20"/>
  <c r="AQ678" i="20"/>
  <c r="AU674" i="20"/>
  <c r="AR674" i="20"/>
  <c r="AQ674" i="20"/>
  <c r="F454" i="23"/>
  <c r="F454" i="58" s="1"/>
  <c r="F419" i="58"/>
  <c r="F449" i="23"/>
  <c r="K271" i="20"/>
  <c r="N271" i="20"/>
  <c r="AX670" i="20"/>
  <c r="AT670" i="20"/>
  <c r="AS804" i="20"/>
  <c r="BA670" i="20"/>
  <c r="Q488" i="20"/>
  <c r="BC675" i="20"/>
  <c r="BB662" i="20"/>
  <c r="BB716" i="20" s="1"/>
  <c r="BD660" i="20"/>
  <c r="BC681" i="20"/>
  <c r="BC668" i="20"/>
  <c r="BC660" i="20"/>
  <c r="BC669" i="20"/>
  <c r="BC682" i="20"/>
  <c r="BB724" i="20"/>
  <c r="BB713" i="20"/>
  <c r="BB714" i="20" s="1"/>
  <c r="BB725" i="20"/>
  <c r="K461" i="20"/>
  <c r="K462" i="20"/>
  <c r="AV602" i="20"/>
  <c r="K94" i="20"/>
  <c r="K95" i="20"/>
  <c r="K182" i="20" s="1"/>
  <c r="H183" i="20"/>
  <c r="E183" i="20"/>
  <c r="G24" i="20"/>
  <c r="J24" i="20"/>
  <c r="K31" i="22"/>
  <c r="N31" i="22" s="1"/>
  <c r="AP595" i="20"/>
  <c r="AR672" i="20"/>
  <c r="AQ672" i="20"/>
  <c r="AU672" i="20"/>
  <c r="AP806" i="20"/>
  <c r="K188" i="20"/>
  <c r="M31" i="20"/>
  <c r="K465" i="20"/>
  <c r="AS609" i="20"/>
  <c r="L37" i="22"/>
  <c r="N465" i="20"/>
  <c r="H466" i="20"/>
  <c r="P31" i="20"/>
  <c r="N188" i="20"/>
  <c r="C188" i="21" s="1"/>
  <c r="H188" i="20"/>
  <c r="E69" i="21"/>
  <c r="U69" i="20"/>
  <c r="BE657" i="20"/>
  <c r="BB791" i="20"/>
  <c r="BD628" i="20"/>
  <c r="S30" i="20"/>
  <c r="Q464" i="20"/>
  <c r="Q187" i="20"/>
  <c r="BB606" i="20"/>
  <c r="E48" i="20"/>
  <c r="AX671" i="20"/>
  <c r="AT671" i="20"/>
  <c r="BA671" i="20"/>
  <c r="AS805" i="20"/>
  <c r="AV807" i="20"/>
  <c r="AW673" i="20"/>
  <c r="AP642" i="20"/>
  <c r="K57" i="22"/>
  <c r="N57" i="22" s="1"/>
  <c r="J57" i="20"/>
  <c r="E171" i="20"/>
  <c r="G57" i="20"/>
  <c r="I470" i="23"/>
  <c r="I456" i="58"/>
  <c r="AR671" i="20"/>
  <c r="AQ671" i="20"/>
  <c r="AU671" i="20"/>
  <c r="AP805" i="20"/>
  <c r="AS666" i="20"/>
  <c r="H126" i="20"/>
  <c r="H208" i="20"/>
  <c r="I77" i="20"/>
  <c r="P77" i="20"/>
  <c r="M77" i="20"/>
  <c r="BB797" i="20"/>
  <c r="BD639" i="20"/>
  <c r="S33" i="20"/>
  <c r="BB615" i="20"/>
  <c r="T33" i="20"/>
  <c r="AP649" i="20"/>
  <c r="E220" i="20"/>
  <c r="J61" i="20"/>
  <c r="K62" i="22"/>
  <c r="G61" i="20"/>
  <c r="H169" i="20"/>
  <c r="G55" i="20"/>
  <c r="K54" i="22"/>
  <c r="AP640" i="20"/>
  <c r="J55" i="20"/>
  <c r="E169" i="20"/>
  <c r="J25" i="20"/>
  <c r="G25" i="20"/>
  <c r="AP596" i="20"/>
  <c r="E184" i="20"/>
  <c r="AP822" i="20"/>
  <c r="AU588" i="20"/>
  <c r="AR588" i="20"/>
  <c r="H186" i="20"/>
  <c r="J27" i="20"/>
  <c r="G27" i="20"/>
  <c r="AP599" i="20"/>
  <c r="E186" i="20"/>
  <c r="K36" i="22"/>
  <c r="K78" i="22"/>
  <c r="AX603" i="20"/>
  <c r="BA603" i="20"/>
  <c r="AY821" i="20"/>
  <c r="AS821" i="20"/>
  <c r="BG783" i="20"/>
  <c r="AV824" i="20"/>
  <c r="AV766" i="20"/>
  <c r="AW680" i="20"/>
  <c r="U38" i="20"/>
  <c r="BF621" i="20" s="1"/>
  <c r="U263" i="20"/>
  <c r="M78" i="22"/>
  <c r="K186" i="20"/>
  <c r="AV599" i="20"/>
  <c r="E135" i="20"/>
  <c r="C17" i="20"/>
  <c r="E239" i="20"/>
  <c r="C86" i="22"/>
  <c r="K7" i="22" s="1"/>
  <c r="AP584" i="20"/>
  <c r="H494" i="20"/>
  <c r="H541" i="20"/>
  <c r="H533" i="20"/>
  <c r="H486" i="20"/>
  <c r="H496" i="20"/>
  <c r="H543" i="20"/>
  <c r="H487" i="20"/>
  <c r="H534" i="20"/>
  <c r="O32" i="22"/>
  <c r="T32" i="22"/>
  <c r="S32" i="22"/>
  <c r="AW670" i="20"/>
  <c r="AV804" i="20"/>
  <c r="AV676" i="20"/>
  <c r="AW676" i="20" s="1"/>
  <c r="BA628" i="20"/>
  <c r="AX628" i="20"/>
  <c r="AY791" i="20"/>
  <c r="BD868" i="20" s="1"/>
  <c r="BC672" i="20"/>
  <c r="BB806" i="20"/>
  <c r="BD672" i="20"/>
  <c r="H331" i="23"/>
  <c r="H331" i="58" s="1"/>
  <c r="H261" i="58"/>
  <c r="Y946" i="20"/>
  <c r="Y422" i="20"/>
  <c r="Y270" i="20"/>
  <c r="Y134" i="20"/>
  <c r="Y160" i="20" s="1"/>
  <c r="BJ583" i="20"/>
  <c r="Y311" i="20"/>
  <c r="Y351" i="20"/>
  <c r="Y112" i="20"/>
  <c r="Y428" i="20"/>
  <c r="Y218" i="20"/>
  <c r="Y234" i="20" s="1"/>
  <c r="Y259" i="20"/>
  <c r="Y385" i="20"/>
  <c r="Z15" i="20"/>
  <c r="Z946" i="20" s="1"/>
  <c r="Y938" i="20"/>
  <c r="Y345" i="20"/>
  <c r="X321" i="20"/>
  <c r="W314" i="20"/>
  <c r="X331" i="20"/>
  <c r="X313" i="20"/>
  <c r="X317" i="20"/>
  <c r="H465" i="20"/>
  <c r="E466" i="20"/>
  <c r="E188" i="20"/>
  <c r="G31" i="20"/>
  <c r="AP609" i="20"/>
  <c r="J31" i="20"/>
  <c r="K37" i="22"/>
  <c r="N37" i="22" s="1"/>
  <c r="E491" i="20"/>
  <c r="E538" i="20"/>
  <c r="E547" i="20"/>
  <c r="E500" i="20"/>
  <c r="E543" i="20"/>
  <c r="E496" i="20"/>
  <c r="E493" i="20"/>
  <c r="E540" i="20"/>
  <c r="BB823" i="20"/>
  <c r="BD591" i="20"/>
  <c r="M28" i="20"/>
  <c r="H462" i="20"/>
  <c r="H461" i="20"/>
  <c r="L35" i="22"/>
  <c r="AS602" i="20"/>
  <c r="N95" i="20"/>
  <c r="N94" i="20"/>
  <c r="C94" i="21" s="1"/>
  <c r="P28" i="20"/>
  <c r="H95" i="20"/>
  <c r="H182" i="20" s="1"/>
  <c r="H94" i="20"/>
  <c r="AX641" i="20"/>
  <c r="BA641" i="20"/>
  <c r="AY799" i="20"/>
  <c r="BD875" i="20" s="1"/>
  <c r="AV627" i="20"/>
  <c r="K148" i="20"/>
  <c r="Q188" i="20"/>
  <c r="BB609" i="20"/>
  <c r="S31" i="20"/>
  <c r="Q466" i="20"/>
  <c r="Q180" i="20"/>
  <c r="V315" i="20"/>
  <c r="W315" i="20" s="1"/>
  <c r="G52" i="20"/>
  <c r="K55" i="22"/>
  <c r="E58" i="20"/>
  <c r="J52" i="20"/>
  <c r="AP636" i="20"/>
  <c r="E166" i="20"/>
  <c r="E458" i="20"/>
  <c r="V524" i="20"/>
  <c r="V430" i="20"/>
  <c r="V571" i="20"/>
  <c r="AV781" i="20"/>
  <c r="AV704" i="20"/>
  <c r="AV787" i="20"/>
  <c r="K187" i="20"/>
  <c r="M30" i="20"/>
  <c r="K463" i="20"/>
  <c r="H464" i="20"/>
  <c r="N463" i="20"/>
  <c r="P30" i="20"/>
  <c r="N187" i="20"/>
  <c r="C187" i="21" s="1"/>
  <c r="L38" i="22"/>
  <c r="AS606" i="20"/>
  <c r="H187" i="20"/>
  <c r="H456" i="20"/>
  <c r="H458" i="20"/>
  <c r="AT661" i="20"/>
  <c r="BA661" i="20"/>
  <c r="AX661" i="20"/>
  <c r="M52" i="20"/>
  <c r="P52" i="20"/>
  <c r="N166" i="20"/>
  <c r="L55" i="22"/>
  <c r="AS636" i="20"/>
  <c r="H166" i="20"/>
  <c r="AX621" i="20"/>
  <c r="BA621" i="20"/>
  <c r="AX639" i="20"/>
  <c r="BA639" i="20"/>
  <c r="AY797" i="20"/>
  <c r="BD873" i="20" s="1"/>
  <c r="AS797" i="20"/>
  <c r="Q156" i="20"/>
  <c r="AU594" i="20"/>
  <c r="AP773" i="20"/>
  <c r="AR594" i="20"/>
  <c r="L73" i="20"/>
  <c r="K75" i="20"/>
  <c r="K547" i="20"/>
  <c r="K500" i="20"/>
  <c r="AV784" i="20"/>
  <c r="AW667" i="20"/>
  <c r="AV808" i="20"/>
  <c r="I178" i="23"/>
  <c r="I91" i="58"/>
  <c r="CB52" i="19"/>
  <c r="CB56" i="19"/>
  <c r="CG56" i="19" s="1"/>
  <c r="AW671" i="20"/>
  <c r="AV805" i="20"/>
  <c r="J47" i="20"/>
  <c r="E164" i="20"/>
  <c r="G47" i="20"/>
  <c r="AP630" i="20"/>
  <c r="BB799" i="20"/>
  <c r="BD641" i="20"/>
  <c r="O53" i="22"/>
  <c r="T53" i="22"/>
  <c r="S53" i="22"/>
  <c r="M63" i="20"/>
  <c r="H223" i="20"/>
  <c r="P63" i="20"/>
  <c r="L64" i="22"/>
  <c r="O64" i="22" s="1"/>
  <c r="AS651" i="20"/>
  <c r="Q495" i="20"/>
  <c r="Q542" i="20"/>
  <c r="Q547" i="20"/>
  <c r="Q500" i="20"/>
  <c r="Q492" i="20"/>
  <c r="Q539" i="20"/>
  <c r="BB663" i="20"/>
  <c r="BB730" i="20" s="1"/>
  <c r="S74" i="20"/>
  <c r="R74" i="20"/>
  <c r="AV612" i="20"/>
  <c r="E170" i="20"/>
  <c r="H170" i="20"/>
  <c r="G56" i="20"/>
  <c r="J56" i="20"/>
  <c r="K56" i="22"/>
  <c r="N56" i="22" s="1"/>
  <c r="AP641" i="20"/>
  <c r="E177" i="58"/>
  <c r="U177" i="23"/>
  <c r="F261" i="58"/>
  <c r="F331" i="23"/>
  <c r="F331" i="58" s="1"/>
  <c r="BB630" i="20"/>
  <c r="S47" i="20"/>
  <c r="Q164" i="20"/>
  <c r="AW674" i="20"/>
  <c r="AU621" i="20"/>
  <c r="AR621" i="20"/>
  <c r="AX588" i="20"/>
  <c r="BA588" i="20"/>
  <c r="AY822" i="20"/>
  <c r="BD853" i="20" s="1"/>
  <c r="AS822" i="20"/>
  <c r="E51" i="21"/>
  <c r="BE635" i="20"/>
  <c r="AV629" i="20"/>
  <c r="BC674" i="20"/>
  <c r="BD674" i="20"/>
  <c r="AV624" i="20"/>
  <c r="K146" i="20"/>
  <c r="G68" i="20"/>
  <c r="J68" i="20"/>
  <c r="AP656" i="20"/>
  <c r="AR639" i="20"/>
  <c r="AP797" i="20"/>
  <c r="AU639" i="20"/>
  <c r="AR680" i="20"/>
  <c r="AP824" i="20"/>
  <c r="AU680" i="20"/>
  <c r="AQ680" i="20"/>
  <c r="AP766" i="20"/>
  <c r="AV796" i="20"/>
  <c r="AX637" i="20"/>
  <c r="BA637" i="20"/>
  <c r="AY796" i="20"/>
  <c r="BD872" i="20" s="1"/>
  <c r="AS796" i="20"/>
  <c r="M42" i="20"/>
  <c r="L48" i="22"/>
  <c r="P42" i="20"/>
  <c r="N147" i="20"/>
  <c r="C147" i="21" s="1"/>
  <c r="AS625" i="20"/>
  <c r="H147" i="20"/>
  <c r="Q196" i="20"/>
  <c r="H196" i="20"/>
  <c r="E66" i="21"/>
  <c r="BE654" i="20"/>
  <c r="U66" i="20"/>
  <c r="T224" i="20"/>
  <c r="E224" i="21" s="1"/>
  <c r="G224" i="21" s="1"/>
  <c r="K553" i="20"/>
  <c r="K506" i="20"/>
  <c r="C183" i="21"/>
  <c r="AR650" i="20"/>
  <c r="AU650" i="20"/>
  <c r="E156" i="20"/>
  <c r="AP629" i="20"/>
  <c r="K50" i="22"/>
  <c r="E163" i="20"/>
  <c r="J46" i="20"/>
  <c r="G46" i="20"/>
  <c r="BD667" i="20"/>
  <c r="BB784" i="20"/>
  <c r="BB808" i="20"/>
  <c r="BC667" i="20"/>
  <c r="M73" i="20"/>
  <c r="H75" i="20"/>
  <c r="P73" i="20"/>
  <c r="I73" i="20"/>
  <c r="H535" i="20"/>
  <c r="AX660" i="20"/>
  <c r="AT660" i="20"/>
  <c r="AT681" i="20"/>
  <c r="AS724" i="20"/>
  <c r="BA660" i="20"/>
  <c r="AS713" i="20"/>
  <c r="AS725" i="20"/>
  <c r="AS662" i="20"/>
  <c r="AS716" i="20" s="1"/>
  <c r="AT669" i="20"/>
  <c r="AT682" i="20"/>
  <c r="AT668" i="20"/>
  <c r="H551" i="20"/>
  <c r="H504" i="20"/>
  <c r="AX680" i="20"/>
  <c r="AS824" i="20"/>
  <c r="AS766" i="20"/>
  <c r="AT680" i="20"/>
  <c r="BA680" i="20"/>
  <c r="AV788" i="20"/>
  <c r="AV782" i="20"/>
  <c r="K169" i="20"/>
  <c r="AS640" i="20"/>
  <c r="L54" i="22"/>
  <c r="M55" i="20"/>
  <c r="N169" i="20"/>
  <c r="C169" i="21" s="1"/>
  <c r="P55" i="20"/>
  <c r="AX672" i="20"/>
  <c r="AS806" i="20"/>
  <c r="BA672" i="20"/>
  <c r="AT672" i="20"/>
  <c r="M57" i="20"/>
  <c r="AS642" i="20"/>
  <c r="N171" i="20"/>
  <c r="C171" i="21" s="1"/>
  <c r="P57" i="20"/>
  <c r="H171" i="20"/>
  <c r="AV821" i="20"/>
  <c r="W377" i="20"/>
  <c r="V374" i="20"/>
  <c r="V375" i="20" s="1"/>
  <c r="W373" i="20"/>
  <c r="V364" i="20"/>
  <c r="W367" i="20"/>
  <c r="W382" i="20" s="1"/>
  <c r="W363" i="20"/>
  <c r="X475" i="20"/>
  <c r="X522" i="20"/>
  <c r="X569" i="20"/>
  <c r="X357" i="20"/>
  <c r="X353" i="20"/>
  <c r="X361" i="20"/>
  <c r="W354" i="20"/>
  <c r="W355" i="20" s="1"/>
  <c r="X371" i="20"/>
  <c r="AV651" i="20"/>
  <c r="K223" i="20"/>
  <c r="P16" i="22"/>
  <c r="P21" i="22"/>
  <c r="P13" i="22"/>
  <c r="P23" i="22"/>
  <c r="P9" i="22"/>
  <c r="P8" i="22"/>
  <c r="P18" i="22"/>
  <c r="P19" i="22"/>
  <c r="P15" i="22"/>
  <c r="P17" i="22"/>
  <c r="E515" i="20"/>
  <c r="E562" i="20"/>
  <c r="BB624" i="20"/>
  <c r="S41" i="20"/>
  <c r="Q146" i="20"/>
  <c r="Q171" i="20"/>
  <c r="BB642" i="20"/>
  <c r="BB644" i="20" s="1"/>
  <c r="BD644" i="20" s="1"/>
  <c r="S57" i="20"/>
  <c r="E456" i="58"/>
  <c r="E470" i="23"/>
  <c r="AS675" i="20"/>
  <c r="AS808" i="20" s="1"/>
  <c r="I86" i="20"/>
  <c r="P86" i="20"/>
  <c r="M86" i="20"/>
  <c r="T45" i="22"/>
  <c r="D38" i="22"/>
  <c r="S45" i="22"/>
  <c r="O45" i="22"/>
  <c r="BB777" i="20"/>
  <c r="BD627" i="20"/>
  <c r="BB676" i="20"/>
  <c r="BC670" i="20"/>
  <c r="BD670" i="20"/>
  <c r="BB804" i="20"/>
  <c r="U340" i="20"/>
  <c r="U37" i="20" s="1"/>
  <c r="BF620" i="20" s="1"/>
  <c r="AV630" i="20"/>
  <c r="AV649" i="20"/>
  <c r="K220" i="20"/>
  <c r="BX56" i="19"/>
  <c r="CC56" i="19" s="1"/>
  <c r="BX52" i="19"/>
  <c r="E91" i="58"/>
  <c r="E178" i="23"/>
  <c r="E39" i="21"/>
  <c r="BE622" i="20"/>
  <c r="V432" i="20"/>
  <c r="V573" i="20"/>
  <c r="V572" i="20" s="1"/>
  <c r="V478" i="20"/>
  <c r="V431" i="20" s="1"/>
  <c r="V526" i="20"/>
  <c r="V525" i="20" s="1"/>
  <c r="AR673" i="20"/>
  <c r="AP807" i="20"/>
  <c r="AU673" i="20"/>
  <c r="AQ673" i="20"/>
  <c r="AU661" i="20"/>
  <c r="AQ661" i="20"/>
  <c r="AR661" i="20"/>
  <c r="E187" i="20"/>
  <c r="K38" i="22"/>
  <c r="N38" i="22" s="1"/>
  <c r="H463" i="20"/>
  <c r="E464" i="20"/>
  <c r="J30" i="20"/>
  <c r="G30" i="20"/>
  <c r="AP606" i="20"/>
  <c r="BA634" i="20"/>
  <c r="AX634" i="20"/>
  <c r="O30" i="22"/>
  <c r="T30" i="22"/>
  <c r="S30" i="22"/>
  <c r="M60" i="20"/>
  <c r="AS648" i="20"/>
  <c r="H219" i="20"/>
  <c r="L61" i="22"/>
  <c r="O61" i="22" s="1"/>
  <c r="D106" i="22"/>
  <c r="P60" i="20"/>
  <c r="H561" i="20"/>
  <c r="P44" i="20"/>
  <c r="M44" i="20"/>
  <c r="L47" i="22"/>
  <c r="AS627" i="20"/>
  <c r="N148" i="20"/>
  <c r="C148" i="21" s="1"/>
  <c r="H148" i="20"/>
  <c r="O57" i="22"/>
  <c r="S57" i="22"/>
  <c r="T57" i="22"/>
  <c r="Q169" i="20"/>
  <c r="S55" i="20"/>
  <c r="BB640" i="20"/>
  <c r="K126" i="20"/>
  <c r="L77" i="20"/>
  <c r="AV666" i="20"/>
  <c r="K208" i="20"/>
  <c r="AR667" i="20"/>
  <c r="AP784" i="20"/>
  <c r="AU667" i="20"/>
  <c r="AQ667" i="20"/>
  <c r="AP804" i="20"/>
  <c r="AQ670" i="20"/>
  <c r="AR670" i="20"/>
  <c r="AU670" i="20"/>
  <c r="AH209" i="16"/>
  <c r="AH13" i="16" s="1"/>
  <c r="AK237" i="16"/>
  <c r="AH291" i="16"/>
  <c r="AH264" i="16"/>
  <c r="K542" i="20"/>
  <c r="K495" i="20"/>
  <c r="K554" i="20"/>
  <c r="K507" i="20"/>
  <c r="K493" i="20"/>
  <c r="K540" i="20"/>
  <c r="AW668" i="20"/>
  <c r="AV713" i="20"/>
  <c r="AV724" i="20"/>
  <c r="AV662" i="20"/>
  <c r="AV716" i="20" s="1"/>
  <c r="AW681" i="20"/>
  <c r="AV725" i="20"/>
  <c r="AW682" i="20"/>
  <c r="AW669" i="20"/>
  <c r="AW660" i="20"/>
  <c r="K26" i="20"/>
  <c r="K212" i="20"/>
  <c r="AV586" i="20"/>
  <c r="BB625" i="20"/>
  <c r="S42" i="20"/>
  <c r="Q147" i="20"/>
  <c r="M43" i="20"/>
  <c r="P43" i="20"/>
  <c r="N161" i="20"/>
  <c r="AS626" i="20"/>
  <c r="L51" i="22"/>
  <c r="H161" i="20"/>
  <c r="AX633" i="20"/>
  <c r="BA633" i="20"/>
  <c r="AY788" i="20"/>
  <c r="CA884" i="20" s="1"/>
  <c r="CE884" i="20" s="1"/>
  <c r="AY782" i="20"/>
  <c r="CA882" i="20" s="1"/>
  <c r="CE882" i="20" s="1"/>
  <c r="AS782" i="20"/>
  <c r="AS788" i="20"/>
  <c r="L33" i="22"/>
  <c r="N33" i="22" s="1"/>
  <c r="M25" i="20"/>
  <c r="H184" i="20"/>
  <c r="P25" i="20"/>
  <c r="AS596" i="20"/>
  <c r="AS597" i="20" s="1"/>
  <c r="N184" i="20"/>
  <c r="C184" i="21" s="1"/>
  <c r="BD595" i="20"/>
  <c r="BB812" i="20"/>
  <c r="Q493" i="20"/>
  <c r="Q540" i="20"/>
  <c r="Q541" i="20"/>
  <c r="Q494" i="20"/>
  <c r="Q548" i="20"/>
  <c r="Q501" i="20"/>
  <c r="R73" i="20"/>
  <c r="S73" i="20"/>
  <c r="Q75" i="20"/>
  <c r="Q543" i="20"/>
  <c r="Q496" i="20"/>
  <c r="Q533" i="20"/>
  <c r="Q486" i="20"/>
  <c r="AW678" i="20"/>
  <c r="J19" i="20"/>
  <c r="E142" i="20"/>
  <c r="G19" i="20"/>
  <c r="K30" i="22"/>
  <c r="N30" i="22" s="1"/>
  <c r="AP587" i="20"/>
  <c r="H142" i="20"/>
  <c r="E455" i="20"/>
  <c r="E179" i="20"/>
  <c r="E180" i="20" s="1"/>
  <c r="AP675" i="20"/>
  <c r="F86" i="20"/>
  <c r="J86" i="20"/>
  <c r="G86" i="20"/>
  <c r="AX678" i="20"/>
  <c r="AT678" i="20"/>
  <c r="AY768" i="20"/>
  <c r="CA868" i="20" s="1"/>
  <c r="CE868" i="20" s="1"/>
  <c r="BA678" i="20"/>
  <c r="AV768" i="20"/>
  <c r="M33" i="20"/>
  <c r="P33" i="20"/>
  <c r="L40" i="22"/>
  <c r="AS615" i="20"/>
  <c r="AX665" i="20"/>
  <c r="AT665" i="20"/>
  <c r="BA665" i="20"/>
  <c r="Q462" i="20"/>
  <c r="Q461" i="20"/>
  <c r="BB602" i="20"/>
  <c r="Q94" i="20"/>
  <c r="S28" i="20"/>
  <c r="Q95" i="20"/>
  <c r="Q182" i="20" s="1"/>
  <c r="K147" i="20"/>
  <c r="AV625" i="20"/>
  <c r="AV776" i="20" s="1"/>
  <c r="AV636" i="20"/>
  <c r="K166" i="20"/>
  <c r="K64" i="22"/>
  <c r="N64" i="22" s="1"/>
  <c r="G63" i="20"/>
  <c r="E223" i="20"/>
  <c r="E227" i="20" s="1"/>
  <c r="E216" i="20" s="1"/>
  <c r="E215" i="20" s="1"/>
  <c r="AP651" i="20"/>
  <c r="J63" i="20"/>
  <c r="BD588" i="20"/>
  <c r="BB822" i="20"/>
  <c r="W479" i="20"/>
  <c r="W477" i="20"/>
  <c r="I454" i="23"/>
  <c r="I454" i="58" s="1"/>
  <c r="I449" i="23"/>
  <c r="I419" i="58"/>
  <c r="K457" i="20"/>
  <c r="AV590" i="20"/>
  <c r="K143" i="20"/>
  <c r="M68" i="20"/>
  <c r="AS656" i="20"/>
  <c r="P68" i="20"/>
  <c r="BB807" i="20"/>
  <c r="BD673" i="20"/>
  <c r="BC673" i="20"/>
  <c r="BD633" i="20"/>
  <c r="BB788" i="20"/>
  <c r="BB782" i="20"/>
  <c r="M40" i="20"/>
  <c r="L46" i="22"/>
  <c r="N145" i="20"/>
  <c r="C145" i="21" s="1"/>
  <c r="P40" i="20"/>
  <c r="AS623" i="20"/>
  <c r="H145" i="20"/>
  <c r="H65" i="20"/>
  <c r="J65" i="20" s="1"/>
  <c r="F361" i="58"/>
  <c r="BB626" i="20"/>
  <c r="Q161" i="20"/>
  <c r="S43" i="20"/>
  <c r="AP796" i="20"/>
  <c r="AU637" i="20"/>
  <c r="AR637" i="20"/>
  <c r="G74" i="20"/>
  <c r="B467" i="20"/>
  <c r="E459" i="20"/>
  <c r="E469" i="20"/>
  <c r="T469" i="20" s="1"/>
  <c r="AP663" i="20"/>
  <c r="AP726" i="20" s="1"/>
  <c r="F74" i="20"/>
  <c r="K11" i="22"/>
  <c r="P11" i="22" s="1"/>
  <c r="B458" i="20"/>
  <c r="J74" i="20"/>
  <c r="B470" i="20"/>
  <c r="AX654" i="20"/>
  <c r="BA654" i="20"/>
  <c r="N196" i="20"/>
  <c r="C196" i="21" s="1"/>
  <c r="C192" i="21"/>
  <c r="AX667" i="20"/>
  <c r="AS784" i="20"/>
  <c r="BA667" i="20"/>
  <c r="AT667" i="20"/>
  <c r="S46" i="20"/>
  <c r="BB629" i="20"/>
  <c r="Q163" i="20"/>
  <c r="BB599" i="20"/>
  <c r="O78" i="22"/>
  <c r="Q186" i="20"/>
  <c r="S27" i="20"/>
  <c r="K561" i="20"/>
  <c r="K514" i="20"/>
  <c r="E467" i="20"/>
  <c r="T467" i="20" s="1"/>
  <c r="O31" i="22"/>
  <c r="S31" i="22"/>
  <c r="T31" i="22"/>
  <c r="AR620" i="20"/>
  <c r="AU620" i="20"/>
  <c r="C38" i="22"/>
  <c r="N45" i="22"/>
  <c r="W327" i="20"/>
  <c r="V324" i="20"/>
  <c r="V325" i="20" s="1"/>
  <c r="W323" i="20"/>
  <c r="W337" i="20"/>
  <c r="W333" i="20"/>
  <c r="V334" i="20"/>
  <c r="V335" i="20" s="1"/>
  <c r="AW665" i="20"/>
  <c r="F470" i="23"/>
  <c r="F456" i="58"/>
  <c r="H493" i="20"/>
  <c r="H540" i="20"/>
  <c r="Q9" i="22"/>
  <c r="Q19" i="22"/>
  <c r="Q18" i="22"/>
  <c r="Q13" i="22"/>
  <c r="Q17" i="22"/>
  <c r="Q20" i="22"/>
  <c r="Q16" i="22"/>
  <c r="Q23" i="22"/>
  <c r="Q21" i="22"/>
  <c r="Q8" i="22"/>
  <c r="Q15" i="22"/>
  <c r="H515" i="20"/>
  <c r="H562" i="20"/>
  <c r="H547" i="20"/>
  <c r="H500" i="20"/>
  <c r="H492" i="20"/>
  <c r="H539" i="20"/>
  <c r="K163" i="20"/>
  <c r="M46" i="20"/>
  <c r="AS629" i="20"/>
  <c r="P46" i="20"/>
  <c r="L50" i="22"/>
  <c r="N163" i="20"/>
  <c r="C163" i="21" s="1"/>
  <c r="H163" i="20"/>
  <c r="M21" i="20"/>
  <c r="AV806" i="20"/>
  <c r="AW672" i="20"/>
  <c r="K196" i="20"/>
  <c r="X247" i="20"/>
  <c r="X485" i="20"/>
  <c r="X438" i="20"/>
  <c r="X532" i="20"/>
  <c r="K66" i="22"/>
  <c r="AP653" i="20"/>
  <c r="E228" i="20"/>
  <c r="H472" i="20"/>
  <c r="G65" i="20"/>
  <c r="E534" i="20"/>
  <c r="E487" i="20"/>
  <c r="E554" i="20"/>
  <c r="E507" i="20"/>
  <c r="E486" i="20"/>
  <c r="E533" i="20"/>
  <c r="E541" i="20"/>
  <c r="E494" i="20"/>
  <c r="AP713" i="20"/>
  <c r="AP725" i="20"/>
  <c r="AP724" i="20"/>
  <c r="AQ682" i="20"/>
  <c r="AQ668" i="20"/>
  <c r="AP662" i="20"/>
  <c r="AP716" i="20" s="1"/>
  <c r="AQ660" i="20"/>
  <c r="AQ681" i="20"/>
  <c r="AR660" i="20"/>
  <c r="AP717" i="20"/>
  <c r="AU660" i="20"/>
  <c r="AQ669" i="20"/>
  <c r="J41" i="20"/>
  <c r="AP624" i="20"/>
  <c r="E146" i="20"/>
  <c r="G41" i="20"/>
  <c r="K49" i="22"/>
  <c r="BD637" i="20"/>
  <c r="BB796" i="20"/>
  <c r="AX591" i="20"/>
  <c r="BA591" i="20"/>
  <c r="AY823" i="20"/>
  <c r="BD855" i="20" s="1"/>
  <c r="AS823" i="20"/>
  <c r="CK61" i="19"/>
  <c r="AM46" i="19"/>
  <c r="P96" i="19"/>
  <c r="E196" i="20"/>
  <c r="H48" i="20"/>
  <c r="AS787" i="20"/>
  <c r="AX619" i="20"/>
  <c r="AS781" i="20"/>
  <c r="AY787" i="20"/>
  <c r="CA883" i="20" s="1"/>
  <c r="CE883" i="20" s="1"/>
  <c r="AY781" i="20"/>
  <c r="BA619" i="20"/>
  <c r="AS704" i="20"/>
  <c r="BC678" i="20"/>
  <c r="S18" i="20"/>
  <c r="Q26" i="20"/>
  <c r="BB586" i="20"/>
  <c r="C2" i="20"/>
  <c r="Q212" i="20"/>
  <c r="E26" i="20"/>
  <c r="AP586" i="20"/>
  <c r="K29" i="22"/>
  <c r="J18" i="20"/>
  <c r="AU665" i="20"/>
  <c r="AQ665" i="20"/>
  <c r="AR665" i="20"/>
  <c r="E470" i="20"/>
  <c r="Q219" i="20"/>
  <c r="S60" i="20"/>
  <c r="BB648" i="20"/>
  <c r="T60" i="20"/>
  <c r="K458" i="20"/>
  <c r="AV663" i="20"/>
  <c r="AW663" i="20" s="1"/>
  <c r="L74" i="20"/>
  <c r="J43" i="20"/>
  <c r="E161" i="20"/>
  <c r="K51" i="22"/>
  <c r="AP626" i="20"/>
  <c r="G43" i="20"/>
  <c r="AM62" i="19"/>
  <c r="AV587" i="20"/>
  <c r="AX587" i="20" s="1"/>
  <c r="K455" i="20"/>
  <c r="K142" i="20"/>
  <c r="AU657" i="20"/>
  <c r="AR657" i="20"/>
  <c r="J40" i="20"/>
  <c r="AP623" i="20"/>
  <c r="G40" i="20"/>
  <c r="K46" i="22"/>
  <c r="E145" i="20"/>
  <c r="U419" i="23"/>
  <c r="E449" i="23"/>
  <c r="E454" i="23"/>
  <c r="E419" i="58"/>
  <c r="BB593" i="20"/>
  <c r="BD590" i="20"/>
  <c r="BB772" i="20"/>
  <c r="BB636" i="20"/>
  <c r="S52" i="20"/>
  <c r="Q166" i="20"/>
  <c r="AX620" i="20"/>
  <c r="BA620" i="20"/>
  <c r="H459" i="20"/>
  <c r="AX674" i="20"/>
  <c r="AT674" i="20"/>
  <c r="BA674" i="20"/>
  <c r="S40" i="20"/>
  <c r="BB623" i="20"/>
  <c r="Q145" i="20"/>
  <c r="BB587" i="20"/>
  <c r="Q142" i="20"/>
  <c r="Q455" i="20"/>
  <c r="S19" i="20"/>
  <c r="AV640" i="20"/>
  <c r="AP666" i="20"/>
  <c r="E126" i="20"/>
  <c r="F77" i="20"/>
  <c r="G77" i="20"/>
  <c r="E208" i="20"/>
  <c r="J77" i="20"/>
  <c r="K543" i="20"/>
  <c r="K496" i="20"/>
  <c r="K492" i="20"/>
  <c r="K539" i="20"/>
  <c r="K515" i="20"/>
  <c r="K562" i="20"/>
  <c r="K538" i="20"/>
  <c r="K491" i="20"/>
  <c r="AV799" i="20"/>
  <c r="AP782" i="20"/>
  <c r="AU633" i="20"/>
  <c r="AR633" i="20"/>
  <c r="AP788" i="20"/>
  <c r="C87" i="22"/>
  <c r="L7" i="22" s="1"/>
  <c r="O16" i="22" s="1"/>
  <c r="H135" i="20"/>
  <c r="H239" i="20"/>
  <c r="AS584" i="20"/>
  <c r="AH301" i="16"/>
  <c r="AH274" i="16"/>
  <c r="AK247" i="16"/>
  <c r="AH219" i="16"/>
  <c r="AH43" i="16" s="1"/>
  <c r="BB612" i="20"/>
  <c r="S32" i="20"/>
  <c r="Q189" i="20"/>
  <c r="Q515" i="20"/>
  <c r="Q562" i="20"/>
  <c r="Q538" i="20"/>
  <c r="Q491" i="20"/>
  <c r="Q534" i="20"/>
  <c r="Q487" i="20"/>
  <c r="Q507" i="20"/>
  <c r="Q554" i="20"/>
  <c r="AV797" i="20"/>
  <c r="AS791" i="20"/>
  <c r="AP791" i="20"/>
  <c r="AR628" i="20"/>
  <c r="AU628" i="20"/>
  <c r="J33" i="20"/>
  <c r="G33" i="20"/>
  <c r="AP615" i="20"/>
  <c r="K40" i="22"/>
  <c r="E95" i="20"/>
  <c r="E182" i="20" s="1"/>
  <c r="G28" i="20"/>
  <c r="K35" i="22"/>
  <c r="E94" i="20"/>
  <c r="E461" i="20"/>
  <c r="AP602" i="20"/>
  <c r="E462" i="20"/>
  <c r="J28" i="20"/>
  <c r="AX673" i="20"/>
  <c r="AT673" i="20"/>
  <c r="AS807" i="20"/>
  <c r="BA673" i="20"/>
  <c r="AX650" i="20"/>
  <c r="BA650" i="20"/>
  <c r="M18" i="20"/>
  <c r="P18" i="20"/>
  <c r="N212" i="20"/>
  <c r="C212" i="21" s="1"/>
  <c r="AS586" i="20"/>
  <c r="L29" i="22"/>
  <c r="H26" i="20"/>
  <c r="H212" i="20"/>
  <c r="K164" i="20"/>
  <c r="AS630" i="20"/>
  <c r="N164" i="20"/>
  <c r="C164" i="21" s="1"/>
  <c r="H164" i="20"/>
  <c r="P47" i="20"/>
  <c r="M47" i="20"/>
  <c r="BB766" i="20"/>
  <c r="BB824" i="20"/>
  <c r="BD680" i="20"/>
  <c r="BC680" i="20"/>
  <c r="AW675" i="20"/>
  <c r="Q220" i="20"/>
  <c r="S61" i="20"/>
  <c r="BB649" i="20"/>
  <c r="BD649" i="20" s="1"/>
  <c r="T61" i="20"/>
  <c r="H361" i="58"/>
  <c r="Q65" i="20"/>
  <c r="AV626" i="20"/>
  <c r="K161" i="20"/>
  <c r="I331" i="23"/>
  <c r="I331" i="58" s="1"/>
  <c r="I261" i="58"/>
  <c r="Q58" i="20"/>
  <c r="M41" i="20"/>
  <c r="AS624" i="20"/>
  <c r="L49" i="22"/>
  <c r="N146" i="20"/>
  <c r="P41" i="20"/>
  <c r="H146" i="20"/>
  <c r="Q208" i="20"/>
  <c r="BB666" i="20"/>
  <c r="Q126" i="20"/>
  <c r="S77" i="20"/>
  <c r="R77" i="20"/>
  <c r="BB821" i="20"/>
  <c r="BD603" i="20"/>
  <c r="I361" i="58"/>
  <c r="K65" i="20"/>
  <c r="AU634" i="20"/>
  <c r="AR634" i="20"/>
  <c r="S25" i="20"/>
  <c r="Q184" i="20"/>
  <c r="Q185" i="20" s="1"/>
  <c r="BB596" i="20"/>
  <c r="BG782" i="20"/>
  <c r="V153" i="20"/>
  <c r="AW661" i="20"/>
  <c r="AU591" i="20"/>
  <c r="AR591" i="20"/>
  <c r="AP823" i="20"/>
  <c r="E456" i="20"/>
  <c r="AA260" i="20"/>
  <c r="AB260" i="20" s="1"/>
  <c r="AX595" i="20"/>
  <c r="BA595" i="20"/>
  <c r="AY812" i="20"/>
  <c r="AU619" i="20"/>
  <c r="AP787" i="20"/>
  <c r="AP781" i="20"/>
  <c r="AR619" i="20"/>
  <c r="AP704" i="20"/>
  <c r="R11" i="19"/>
  <c r="Q96" i="19" s="1"/>
  <c r="BH789" i="20"/>
  <c r="AV615" i="20"/>
  <c r="E189" i="20"/>
  <c r="J32" i="20"/>
  <c r="K39" i="22"/>
  <c r="N39" i="22" s="1"/>
  <c r="G32" i="20"/>
  <c r="AP612" i="20"/>
  <c r="BM57" i="19"/>
  <c r="H538" i="20"/>
  <c r="H491" i="20"/>
  <c r="H554" i="20"/>
  <c r="H507" i="20"/>
  <c r="H501" i="20"/>
  <c r="H548" i="20"/>
  <c r="H542" i="20"/>
  <c r="H495" i="20"/>
  <c r="AX590" i="20"/>
  <c r="AS593" i="20"/>
  <c r="AY772" i="20"/>
  <c r="BD854" i="20" s="1"/>
  <c r="BA590" i="20"/>
  <c r="M61" i="20"/>
  <c r="H220" i="20"/>
  <c r="L62" i="22"/>
  <c r="O62" i="22" s="1"/>
  <c r="AS649" i="20"/>
  <c r="P61" i="20"/>
  <c r="K464" i="20"/>
  <c r="AV606" i="20"/>
  <c r="I7" i="58"/>
  <c r="K17" i="20"/>
  <c r="AX594" i="20"/>
  <c r="AY773" i="20"/>
  <c r="BD856" i="20" s="1"/>
  <c r="BA594" i="20"/>
  <c r="AS773" i="20"/>
  <c r="H456" i="58"/>
  <c r="H470" i="23"/>
  <c r="K466" i="20"/>
  <c r="AV609" i="20"/>
  <c r="AU654" i="20"/>
  <c r="AR654" i="20"/>
  <c r="U261" i="23"/>
  <c r="E261" i="58"/>
  <c r="E331" i="23"/>
  <c r="Y955" i="20"/>
  <c r="Y958" i="20" s="1"/>
  <c r="CO893" i="20"/>
  <c r="BI763" i="20"/>
  <c r="CO865" i="20"/>
  <c r="BI696" i="20"/>
  <c r="CO846" i="20"/>
  <c r="X941" i="20"/>
  <c r="X940" i="20"/>
  <c r="AV822" i="20"/>
  <c r="E219" i="20"/>
  <c r="K61" i="22"/>
  <c r="N61" i="22" s="1"/>
  <c r="G60" i="20"/>
  <c r="AP648" i="20"/>
  <c r="C106" i="22"/>
  <c r="J60" i="20"/>
  <c r="U361" i="23"/>
  <c r="U356" i="23" s="1"/>
  <c r="E539" i="20"/>
  <c r="E492" i="20"/>
  <c r="E542" i="20"/>
  <c r="E495" i="20"/>
  <c r="E548" i="20"/>
  <c r="E501" i="20"/>
  <c r="F73" i="20"/>
  <c r="G73" i="20"/>
  <c r="J73" i="20"/>
  <c r="E75" i="20"/>
  <c r="E535" i="20"/>
  <c r="E488" i="20"/>
  <c r="O56" i="22"/>
  <c r="S56" i="22"/>
  <c r="T56" i="22"/>
  <c r="K189" i="20"/>
  <c r="P32" i="20"/>
  <c r="M32" i="20"/>
  <c r="N189" i="20"/>
  <c r="C189" i="21" s="1"/>
  <c r="L39" i="22"/>
  <c r="AS612" i="20"/>
  <c r="H189" i="20"/>
  <c r="BB773" i="20"/>
  <c r="BD594" i="20"/>
  <c r="BB805" i="20"/>
  <c r="BC671" i="20"/>
  <c r="BD671" i="20"/>
  <c r="K171" i="20"/>
  <c r="AV642" i="20"/>
  <c r="J21" i="20"/>
  <c r="E143" i="20"/>
  <c r="AP590" i="20"/>
  <c r="G21" i="20"/>
  <c r="E457" i="20"/>
  <c r="T457" i="20" s="1"/>
  <c r="K32" i="22"/>
  <c r="N32" i="22" s="1"/>
  <c r="AP821" i="20"/>
  <c r="AR603" i="20"/>
  <c r="AU603" i="20"/>
  <c r="C152" i="21"/>
  <c r="N156" i="20"/>
  <c r="CA52" i="19"/>
  <c r="H91" i="58"/>
  <c r="CA56" i="19"/>
  <c r="CF56" i="19" s="1"/>
  <c r="H178" i="23"/>
  <c r="K184" i="20"/>
  <c r="K185" i="20" s="1"/>
  <c r="AV596" i="20"/>
  <c r="AV648" i="20"/>
  <c r="AV707" i="20" s="1"/>
  <c r="K219" i="20"/>
  <c r="AV623" i="20"/>
  <c r="AV774" i="20" s="1"/>
  <c r="K145" i="20"/>
  <c r="M27" i="20"/>
  <c r="AS599" i="20"/>
  <c r="N186" i="20"/>
  <c r="L36" i="22"/>
  <c r="P27" i="20"/>
  <c r="L78" i="22"/>
  <c r="V429" i="20"/>
  <c r="V523" i="20"/>
  <c r="W476" i="20"/>
  <c r="V570" i="20"/>
  <c r="K156" i="20"/>
  <c r="AP625" i="20"/>
  <c r="E147" i="20"/>
  <c r="G42" i="20"/>
  <c r="K48" i="22"/>
  <c r="J42" i="20"/>
  <c r="K10" i="22"/>
  <c r="P10" i="22" s="1"/>
  <c r="C13" i="22" s="1"/>
  <c r="Q504" i="20"/>
  <c r="Q551" i="20"/>
  <c r="H449" i="23"/>
  <c r="H454" i="23"/>
  <c r="H454" i="58" s="1"/>
  <c r="H419" i="58"/>
  <c r="K20" i="22"/>
  <c r="P20" i="22" s="1"/>
  <c r="P228" i="21"/>
  <c r="N228" i="21"/>
  <c r="Q514" i="20"/>
  <c r="Q561" i="20"/>
  <c r="E27" i="22"/>
  <c r="BD665" i="20"/>
  <c r="BD678" i="20"/>
  <c r="BD661" i="20"/>
  <c r="R48" i="22"/>
  <c r="R58" i="22"/>
  <c r="R55" i="22"/>
  <c r="R54" i="22"/>
  <c r="R59" i="22"/>
  <c r="R49" i="22"/>
  <c r="R50" i="22"/>
  <c r="R47" i="22"/>
  <c r="R45" i="22"/>
  <c r="R51" i="22"/>
  <c r="R46" i="22"/>
  <c r="R52" i="22"/>
  <c r="E37" i="22" s="1"/>
  <c r="R53" i="22"/>
  <c r="R57" i="22"/>
  <c r="R56" i="22"/>
  <c r="Q563" i="20"/>
  <c r="Q516" i="20"/>
  <c r="Q228" i="21"/>
  <c r="J228" i="21"/>
  <c r="O228" i="21"/>
  <c r="C35" i="21"/>
  <c r="AY746" i="20"/>
  <c r="AZ683" i="20"/>
  <c r="E112" i="22"/>
  <c r="AY744" i="20"/>
  <c r="AB32" i="21"/>
  <c r="L16" i="21" s="1"/>
  <c r="AC30" i="21"/>
  <c r="AC31" i="21" s="1"/>
  <c r="M15" i="21" s="1"/>
  <c r="AC29" i="21"/>
  <c r="AY679" i="20"/>
  <c r="AY721" i="20" s="1"/>
  <c r="AZ677" i="20"/>
  <c r="CA860" i="20"/>
  <c r="CB860" i="20" s="1"/>
  <c r="CA854" i="20"/>
  <c r="X271" i="20"/>
  <c r="W272" i="20"/>
  <c r="V276" i="20"/>
  <c r="U305" i="20"/>
  <c r="Q50" i="21"/>
  <c r="I50" i="21"/>
  <c r="G50" i="21"/>
  <c r="M50" i="21"/>
  <c r="H50" i="21"/>
  <c r="L50" i="21"/>
  <c r="J50" i="21"/>
  <c r="O50" i="21"/>
  <c r="K50" i="21"/>
  <c r="R50" i="21"/>
  <c r="P50" i="21"/>
  <c r="N50" i="21"/>
  <c r="I228" i="21"/>
  <c r="BG788" i="20"/>
  <c r="CI884" i="20" s="1"/>
  <c r="V159" i="20"/>
  <c r="N536" i="20"/>
  <c r="N489" i="20"/>
  <c r="H38" i="21"/>
  <c r="J38" i="21"/>
  <c r="I38" i="21"/>
  <c r="O38" i="21"/>
  <c r="K38" i="21"/>
  <c r="G38" i="21"/>
  <c r="P38" i="21"/>
  <c r="R38" i="21"/>
  <c r="M38" i="21"/>
  <c r="N38" i="21"/>
  <c r="Q38" i="21"/>
  <c r="L38" i="21"/>
  <c r="O89" i="20"/>
  <c r="AK60" i="19" s="1"/>
  <c r="E78" i="22"/>
  <c r="C89" i="21"/>
  <c r="K228" i="21"/>
  <c r="L218" i="21"/>
  <c r="L234" i="21" s="1"/>
  <c r="L112" i="21"/>
  <c r="L134" i="21"/>
  <c r="AY646" i="20"/>
  <c r="AZ632" i="20" s="1"/>
  <c r="AY706" i="20"/>
  <c r="L228" i="21"/>
  <c r="AY736" i="20"/>
  <c r="E21" i="22" s="1"/>
  <c r="AY735" i="20"/>
  <c r="E20" i="22" s="1"/>
  <c r="AY705" i="20"/>
  <c r="K159" i="21"/>
  <c r="K160" i="21"/>
  <c r="M228" i="21"/>
  <c r="C138" i="21"/>
  <c r="W249" i="20"/>
  <c r="V250" i="20"/>
  <c r="G363" i="58"/>
  <c r="N64" i="20"/>
  <c r="G366" i="23"/>
  <c r="G461" i="23"/>
  <c r="W65" i="20"/>
  <c r="BG653" i="20"/>
  <c r="V228" i="20"/>
  <c r="AY700" i="20"/>
  <c r="AY616" i="20"/>
  <c r="AY733" i="20"/>
  <c r="E22" i="22" s="1"/>
  <c r="P27" i="19"/>
  <c r="CK884" i="20"/>
  <c r="H228" i="21"/>
  <c r="Y156" i="16"/>
  <c r="Y200" i="16" s="1"/>
  <c r="Y49" i="16" s="1"/>
  <c r="AD49" i="16" s="1"/>
  <c r="Y84" i="16"/>
  <c r="Y141" i="16" s="1"/>
  <c r="Y48" i="16" s="1"/>
  <c r="AD48" i="16" s="1"/>
  <c r="AL43" i="16"/>
  <c r="AL33" i="16"/>
  <c r="AL21" i="16"/>
  <c r="AL41" i="16"/>
  <c r="AL31" i="16"/>
  <c r="AL19" i="16"/>
  <c r="AL40" i="16"/>
  <c r="AL30" i="16"/>
  <c r="AL18" i="16"/>
  <c r="AP12" i="16"/>
  <c r="AA97" i="19"/>
  <c r="AA98" i="19" s="1"/>
  <c r="AL38" i="16"/>
  <c r="AL29" i="16"/>
  <c r="AL16" i="16"/>
  <c r="AL37" i="16"/>
  <c r="AL27" i="16"/>
  <c r="AL14" i="16"/>
  <c r="AL46" i="16"/>
  <c r="AL36" i="16"/>
  <c r="AL25" i="16"/>
  <c r="AL13" i="16"/>
  <c r="AL44" i="16"/>
  <c r="AL24" i="16"/>
  <c r="AL12" i="16"/>
  <c r="AK57" i="16"/>
  <c r="AK54" i="16"/>
  <c r="AL35" i="16"/>
  <c r="AL23" i="16"/>
  <c r="AH51" i="16"/>
  <c r="AJ51" i="16"/>
  <c r="AB112" i="16"/>
  <c r="AB109" i="16"/>
  <c r="AB110" i="16" s="1"/>
  <c r="AJ24" i="16"/>
  <c r="Y106" i="19"/>
  <c r="AB99" i="16"/>
  <c r="AB96" i="16"/>
  <c r="AB97" i="16" s="1"/>
  <c r="AB197" i="16"/>
  <c r="AB194" i="16"/>
  <c r="AB195" i="16" s="1"/>
  <c r="AH265" i="16"/>
  <c r="AK238" i="16"/>
  <c r="AH210" i="16"/>
  <c r="AH292" i="16"/>
  <c r="AB21" i="16"/>
  <c r="AG16" i="16"/>
  <c r="X99" i="19"/>
  <c r="W100" i="19"/>
  <c r="W104" i="19"/>
  <c r="W107" i="19" s="1"/>
  <c r="AA27" i="16"/>
  <c r="AH14" i="16"/>
  <c r="AM14" i="16" s="1"/>
  <c r="AM13" i="16"/>
  <c r="AE16" i="16"/>
  <c r="Y281" i="16"/>
  <c r="Y226" i="16"/>
  <c r="AB254" i="16"/>
  <c r="Y308" i="16"/>
  <c r="AN312" i="16"/>
  <c r="AN285" i="16"/>
  <c r="AN230" i="16"/>
  <c r="AQ258" i="16"/>
  <c r="AH298" i="16"/>
  <c r="AK244" i="16"/>
  <c r="AH271" i="16"/>
  <c r="AH216" i="16"/>
  <c r="AH23" i="16" s="1"/>
  <c r="AB184" i="16"/>
  <c r="AB181" i="16"/>
  <c r="AB182" i="16" s="1"/>
  <c r="AM25" i="16"/>
  <c r="Z105" i="19"/>
  <c r="Y199" i="16"/>
  <c r="Y38" i="16" s="1"/>
  <c r="AD38" i="16" s="1"/>
  <c r="Y142" i="16"/>
  <c r="AE289" i="16"/>
  <c r="AE235" i="16"/>
  <c r="AE153" i="16"/>
  <c r="J367" i="16"/>
  <c r="AE262" i="16"/>
  <c r="AE192" i="16"/>
  <c r="AE207" i="16"/>
  <c r="AE179" i="16"/>
  <c r="AE133" i="16"/>
  <c r="AE166" i="16"/>
  <c r="AE120" i="16"/>
  <c r="AE107" i="16"/>
  <c r="AE31" i="16"/>
  <c r="AJ31" i="16" s="1"/>
  <c r="AE94" i="16"/>
  <c r="AE30" i="16"/>
  <c r="AJ30" i="16" s="1"/>
  <c r="AE61" i="16"/>
  <c r="AE53" i="16"/>
  <c r="AE392" i="16" s="1"/>
  <c r="AH11" i="16"/>
  <c r="AE81" i="16"/>
  <c r="M423" i="16"/>
  <c r="M426" i="16" s="1"/>
  <c r="AB138" i="16"/>
  <c r="AB135" i="16"/>
  <c r="AB136" i="16" s="1"/>
  <c r="AK273" i="16"/>
  <c r="AK218" i="16"/>
  <c r="AK25" i="16" s="1"/>
  <c r="AN246" i="16"/>
  <c r="AK300" i="16"/>
  <c r="AM43" i="16"/>
  <c r="Z113" i="19"/>
  <c r="Y140" i="16"/>
  <c r="Y37" i="16" s="1"/>
  <c r="AD37" i="16" s="1"/>
  <c r="AD21" i="16"/>
  <c r="Y27" i="16"/>
  <c r="AH304" i="16"/>
  <c r="AK250" i="16"/>
  <c r="AH277" i="16"/>
  <c r="AH222" i="16"/>
  <c r="AJ18" i="16"/>
  <c r="Y101" i="19"/>
  <c r="Y309" i="16"/>
  <c r="Y282" i="16"/>
  <c r="AB255" i="16"/>
  <c r="Y227" i="16"/>
  <c r="AJ23" i="16"/>
  <c r="Y103" i="19"/>
  <c r="Y102" i="19"/>
  <c r="AJ19" i="16"/>
  <c r="AB83" i="16"/>
  <c r="AB86" i="16"/>
  <c r="AB171" i="16"/>
  <c r="AB168" i="16"/>
  <c r="AB169" i="16" s="1"/>
  <c r="Y201" i="16"/>
  <c r="AN263" i="16"/>
  <c r="AN208" i="16"/>
  <c r="AN12" i="16" s="1"/>
  <c r="AQ236" i="16"/>
  <c r="AN290" i="16"/>
  <c r="AH294" i="16"/>
  <c r="AH267" i="16"/>
  <c r="AH212" i="16"/>
  <c r="AH19" i="16" s="1"/>
  <c r="AK240" i="16"/>
  <c r="AB125" i="16"/>
  <c r="AB122" i="16"/>
  <c r="AB123" i="16" s="1"/>
  <c r="AB155" i="16"/>
  <c r="AB158" i="16"/>
  <c r="AK297" i="16"/>
  <c r="AK270" i="16"/>
  <c r="AN243" i="16"/>
  <c r="AK215" i="16"/>
  <c r="AK346" i="16" s="1"/>
  <c r="AB229" i="16"/>
  <c r="AE257" i="16"/>
  <c r="AK239" i="16"/>
  <c r="AH266" i="16"/>
  <c r="AH211" i="16"/>
  <c r="AH18" i="16" s="1"/>
  <c r="AH293" i="16"/>
  <c r="AH217" i="16"/>
  <c r="AH24" i="16" s="1"/>
  <c r="AH299" i="16"/>
  <c r="AK245" i="16"/>
  <c r="AH272" i="16"/>
  <c r="AG30" i="16"/>
  <c r="X111" i="19"/>
  <c r="D29" i="16"/>
  <c r="D36" i="16"/>
  <c r="I47" i="16"/>
  <c r="D50" i="16"/>
  <c r="D58" i="16" s="1"/>
  <c r="P119" i="19" s="1"/>
  <c r="G251" i="16"/>
  <c r="G223" i="16" s="1"/>
  <c r="G35" i="16" s="1"/>
  <c r="G278" i="16"/>
  <c r="G305" i="16"/>
  <c r="BQ666" i="20"/>
  <c r="AF208" i="20"/>
  <c r="AG77" i="20"/>
  <c r="AE519" i="20"/>
  <c r="AE566" i="20"/>
  <c r="AE419" i="20"/>
  <c r="AF472" i="20"/>
  <c r="AC126" i="20"/>
  <c r="AC125" i="20"/>
  <c r="AD124" i="20"/>
  <c r="AE123" i="20"/>
  <c r="BP837" i="20"/>
  <c r="BP895" i="20" s="1"/>
  <c r="BP757" i="20"/>
  <c r="Q123" i="21"/>
  <c r="P124" i="21"/>
  <c r="O126" i="21"/>
  <c r="O125" i="21"/>
  <c r="K517" i="20" l="1"/>
  <c r="T395" i="20"/>
  <c r="T495" i="20"/>
  <c r="CB854" i="20"/>
  <c r="CA895" i="20"/>
  <c r="Q564" i="20"/>
  <c r="K550" i="20"/>
  <c r="T548" i="20"/>
  <c r="T542" i="20"/>
  <c r="U454" i="20"/>
  <c r="U501" i="20" s="1"/>
  <c r="T501" i="20"/>
  <c r="AV730" i="20"/>
  <c r="T470" i="20"/>
  <c r="T517" i="20" s="1"/>
  <c r="K488" i="20"/>
  <c r="AV717" i="20"/>
  <c r="AS717" i="20"/>
  <c r="BB717" i="20"/>
  <c r="BB727" i="20"/>
  <c r="BB729" i="20" s="1"/>
  <c r="AV727" i="20"/>
  <c r="AV729" i="20" s="1"/>
  <c r="H488" i="20"/>
  <c r="T458" i="20"/>
  <c r="T505" i="20" s="1"/>
  <c r="Q550" i="20"/>
  <c r="T456" i="20"/>
  <c r="T550" i="20" s="1"/>
  <c r="T459" i="20"/>
  <c r="T506" i="20" s="1"/>
  <c r="T405" i="20"/>
  <c r="T514" i="20"/>
  <c r="U467" i="20"/>
  <c r="T561" i="20"/>
  <c r="T414" i="20"/>
  <c r="T563" i="20"/>
  <c r="T516" i="20"/>
  <c r="U469" i="20"/>
  <c r="T416" i="20"/>
  <c r="T404" i="20"/>
  <c r="U457" i="20"/>
  <c r="U404" i="20" s="1"/>
  <c r="T504" i="20"/>
  <c r="T551" i="20"/>
  <c r="T464" i="20"/>
  <c r="T411" i="20" s="1"/>
  <c r="T462" i="20"/>
  <c r="T509" i="20" s="1"/>
  <c r="T493" i="20"/>
  <c r="T540" i="20"/>
  <c r="U446" i="20"/>
  <c r="T393" i="20"/>
  <c r="T387" i="20"/>
  <c r="T487" i="20"/>
  <c r="T534" i="20"/>
  <c r="U440" i="20"/>
  <c r="T455" i="20"/>
  <c r="H502" i="20"/>
  <c r="H549" i="20"/>
  <c r="T461" i="20"/>
  <c r="U441" i="20"/>
  <c r="T388" i="20"/>
  <c r="T535" i="20"/>
  <c r="T488" i="20"/>
  <c r="T466" i="20"/>
  <c r="U445" i="20"/>
  <c r="T492" i="20"/>
  <c r="T539" i="20"/>
  <c r="T392" i="20"/>
  <c r="T496" i="20"/>
  <c r="U449" i="20"/>
  <c r="T543" i="20"/>
  <c r="T396" i="20"/>
  <c r="T547" i="20"/>
  <c r="T500" i="20"/>
  <c r="U453" i="20"/>
  <c r="T400" i="20"/>
  <c r="T386" i="20"/>
  <c r="T71" i="20" s="1"/>
  <c r="T533" i="20"/>
  <c r="U439" i="20"/>
  <c r="T486" i="20"/>
  <c r="U542" i="20"/>
  <c r="U395" i="20"/>
  <c r="U495" i="20"/>
  <c r="V448" i="20"/>
  <c r="T407" i="20"/>
  <c r="T28" i="20" s="1"/>
  <c r="T554" i="20"/>
  <c r="T507" i="20"/>
  <c r="U460" i="20"/>
  <c r="T463" i="20"/>
  <c r="T465" i="20"/>
  <c r="T562" i="20"/>
  <c r="U468" i="20"/>
  <c r="T415" i="20"/>
  <c r="T515" i="20"/>
  <c r="T394" i="20"/>
  <c r="T541" i="20"/>
  <c r="T494" i="20"/>
  <c r="U447" i="20"/>
  <c r="U444" i="20"/>
  <c r="T491" i="20"/>
  <c r="T538" i="20"/>
  <c r="T391" i="20"/>
  <c r="N62" i="22"/>
  <c r="N55" i="22"/>
  <c r="H59" i="20"/>
  <c r="P58" i="20"/>
  <c r="N51" i="22"/>
  <c r="N50" i="22"/>
  <c r="N49" i="22"/>
  <c r="N48" i="22"/>
  <c r="K516" i="20"/>
  <c r="N36" i="22"/>
  <c r="Q552" i="20"/>
  <c r="E471" i="23"/>
  <c r="C16" i="27" s="1"/>
  <c r="B16" i="27" s="1"/>
  <c r="U91" i="23"/>
  <c r="Q506" i="20"/>
  <c r="E49" i="21"/>
  <c r="O49" i="21" s="1"/>
  <c r="BB726" i="20"/>
  <c r="BB728" i="20" s="1"/>
  <c r="M58" i="20"/>
  <c r="AV800" i="20"/>
  <c r="L58" i="22"/>
  <c r="O58" i="22" s="1"/>
  <c r="BI59" i="19"/>
  <c r="AS58" i="19" s="1"/>
  <c r="BE59" i="19"/>
  <c r="AR58" i="19" s="1"/>
  <c r="O79" i="22"/>
  <c r="AW59" i="19"/>
  <c r="AP58" i="19" s="1"/>
  <c r="AT58" i="19" s="1"/>
  <c r="AU58" i="19" s="1"/>
  <c r="K59" i="20"/>
  <c r="L58" i="20" s="1"/>
  <c r="F91" i="58"/>
  <c r="BY56" i="19"/>
  <c r="CD56" i="19" s="1"/>
  <c r="BY52" i="19"/>
  <c r="AV726" i="20"/>
  <c r="AV728" i="20" s="1"/>
  <c r="O13" i="22"/>
  <c r="N19" i="22"/>
  <c r="N20" i="22"/>
  <c r="Q172" i="20"/>
  <c r="Z955" i="20"/>
  <c r="Z958" i="20" s="1"/>
  <c r="H149" i="20"/>
  <c r="H150" i="20" s="1"/>
  <c r="N9" i="22"/>
  <c r="E221" i="20"/>
  <c r="AP785" i="20"/>
  <c r="H564" i="20"/>
  <c r="CI882" i="20"/>
  <c r="CN882" i="20" s="1"/>
  <c r="Z951" i="20"/>
  <c r="U49" i="20"/>
  <c r="BF633" i="20" s="1"/>
  <c r="AV790" i="20"/>
  <c r="W342" i="20"/>
  <c r="AP728" i="20"/>
  <c r="BH783" i="20"/>
  <c r="B416" i="20"/>
  <c r="E165" i="20"/>
  <c r="Q165" i="20"/>
  <c r="L52" i="22"/>
  <c r="N21" i="22"/>
  <c r="AC248" i="20"/>
  <c r="AD248" i="20" s="1"/>
  <c r="AE248" i="20" s="1"/>
  <c r="AF248" i="20" s="1"/>
  <c r="B516" i="20"/>
  <c r="CC890" i="20"/>
  <c r="BB825" i="20"/>
  <c r="K165" i="20"/>
  <c r="AV798" i="20"/>
  <c r="V380" i="20"/>
  <c r="V39" i="20" s="1"/>
  <c r="BG622" i="20" s="1"/>
  <c r="W154" i="20"/>
  <c r="AC260" i="20"/>
  <c r="AD260" i="20" s="1"/>
  <c r="AE260" i="20" s="1"/>
  <c r="I48" i="20"/>
  <c r="I38" i="20"/>
  <c r="C81" i="22"/>
  <c r="I51" i="20"/>
  <c r="I39" i="20"/>
  <c r="I57" i="20"/>
  <c r="I43" i="20"/>
  <c r="I59" i="20"/>
  <c r="I37" i="20"/>
  <c r="P59" i="20"/>
  <c r="I55" i="20"/>
  <c r="I52" i="20"/>
  <c r="I44" i="20"/>
  <c r="I36" i="20"/>
  <c r="I45" i="20"/>
  <c r="I50" i="20"/>
  <c r="I54" i="20"/>
  <c r="I42" i="20"/>
  <c r="I47" i="20"/>
  <c r="I49" i="20"/>
  <c r="I98" i="20"/>
  <c r="I56" i="20"/>
  <c r="I53" i="20"/>
  <c r="I40" i="20"/>
  <c r="I46" i="20"/>
  <c r="I41" i="20"/>
  <c r="M59" i="20"/>
  <c r="I58" i="20"/>
  <c r="AR625" i="20"/>
  <c r="AP776" i="20"/>
  <c r="AU625" i="20"/>
  <c r="O36" i="22"/>
  <c r="S36" i="22"/>
  <c r="T36" i="22"/>
  <c r="K221" i="20"/>
  <c r="K230" i="20" s="1"/>
  <c r="K207" i="20" s="1"/>
  <c r="K209" i="20" s="1"/>
  <c r="K210" i="20" s="1"/>
  <c r="CA67" i="19"/>
  <c r="CA68" i="19" s="1"/>
  <c r="CF52" i="19"/>
  <c r="CA64" i="19"/>
  <c r="F75" i="20"/>
  <c r="B79" i="22"/>
  <c r="J75" i="20"/>
  <c r="G75" i="20"/>
  <c r="E136" i="20"/>
  <c r="E138" i="20" s="1"/>
  <c r="E87" i="20"/>
  <c r="E450" i="20" s="1"/>
  <c r="E93" i="20"/>
  <c r="AV608" i="20"/>
  <c r="AV816" i="20"/>
  <c r="AX649" i="20"/>
  <c r="BA649" i="20"/>
  <c r="BE57" i="19"/>
  <c r="AR56" i="19" s="1"/>
  <c r="BA57" i="19"/>
  <c r="AQ56" i="19" s="1"/>
  <c r="AW57" i="19"/>
  <c r="AP56" i="19" s="1"/>
  <c r="AT56" i="19" s="1"/>
  <c r="AU56" i="19" s="1"/>
  <c r="BI57" i="19"/>
  <c r="AS56" i="19" s="1"/>
  <c r="AV702" i="20"/>
  <c r="BD877" i="20"/>
  <c r="AX586" i="20"/>
  <c r="AY841" i="20"/>
  <c r="CA886" i="20"/>
  <c r="CE886" i="20" s="1"/>
  <c r="BA586" i="20"/>
  <c r="AS598" i="20"/>
  <c r="AS841" i="20"/>
  <c r="O19" i="22"/>
  <c r="E509" i="20"/>
  <c r="E556" i="20"/>
  <c r="K41" i="22"/>
  <c r="N35" i="22"/>
  <c r="AP702" i="20"/>
  <c r="AR615" i="20"/>
  <c r="AU615" i="20"/>
  <c r="AN247" i="16"/>
  <c r="AK219" i="16"/>
  <c r="AK43" i="16" s="1"/>
  <c r="AK301" i="16"/>
  <c r="AK274" i="16"/>
  <c r="AQ666" i="20"/>
  <c r="AP837" i="20"/>
  <c r="AU666" i="20"/>
  <c r="AR666" i="20"/>
  <c r="BB771" i="20"/>
  <c r="BD587" i="20"/>
  <c r="BB589" i="20"/>
  <c r="BB699" i="20"/>
  <c r="BD593" i="20"/>
  <c r="AS774" i="20"/>
  <c r="AU623" i="20"/>
  <c r="AP774" i="20"/>
  <c r="AR623" i="20"/>
  <c r="K552" i="20"/>
  <c r="K505" i="20"/>
  <c r="Q221" i="20"/>
  <c r="Q230" i="20" s="1"/>
  <c r="Q207" i="20" s="1"/>
  <c r="Q209" i="20" s="1"/>
  <c r="Q210" i="20" s="1"/>
  <c r="J26" i="20"/>
  <c r="K77" i="22"/>
  <c r="G26" i="20"/>
  <c r="E34" i="20"/>
  <c r="S26" i="20"/>
  <c r="O77" i="22"/>
  <c r="Q34" i="20"/>
  <c r="R26" i="20" s="1"/>
  <c r="AU624" i="20"/>
  <c r="AP775" i="20"/>
  <c r="AR624" i="20"/>
  <c r="H566" i="20"/>
  <c r="H519" i="20"/>
  <c r="B417" i="20"/>
  <c r="B517" i="20"/>
  <c r="B564" i="20"/>
  <c r="B514" i="20"/>
  <c r="B561" i="20"/>
  <c r="B414" i="20"/>
  <c r="K504" i="20"/>
  <c r="K551" i="20"/>
  <c r="W524" i="20"/>
  <c r="W571" i="20"/>
  <c r="W430" i="20"/>
  <c r="Q509" i="20"/>
  <c r="Q556" i="20"/>
  <c r="AX615" i="20"/>
  <c r="BA615" i="20"/>
  <c r="AS702" i="20"/>
  <c r="AU675" i="20"/>
  <c r="AQ675" i="20"/>
  <c r="AR675" i="20"/>
  <c r="AP676" i="20"/>
  <c r="AP808" i="20"/>
  <c r="AP809" i="20" s="1"/>
  <c r="AS771" i="20"/>
  <c r="AP589" i="20"/>
  <c r="AP771" i="20"/>
  <c r="AR587" i="20"/>
  <c r="AU587" i="20"/>
  <c r="AX626" i="20"/>
  <c r="AY790" i="20"/>
  <c r="BA626" i="20"/>
  <c r="AS790" i="20"/>
  <c r="AV841" i="20"/>
  <c r="AW662" i="20"/>
  <c r="AV664" i="20"/>
  <c r="AV718" i="20" s="1"/>
  <c r="BB715" i="20"/>
  <c r="AY715" i="20"/>
  <c r="N16" i="22"/>
  <c r="O47" i="22"/>
  <c r="S47" i="22"/>
  <c r="T47" i="22"/>
  <c r="AP608" i="20"/>
  <c r="AU606" i="20"/>
  <c r="AP816" i="20"/>
  <c r="AR606" i="20"/>
  <c r="H557" i="20"/>
  <c r="H510" i="20"/>
  <c r="U178" i="23"/>
  <c r="E178" i="58"/>
  <c r="AV793" i="20"/>
  <c r="BA675" i="20"/>
  <c r="AT675" i="20"/>
  <c r="AX675" i="20"/>
  <c r="X377" i="20"/>
  <c r="W374" i="20"/>
  <c r="W375" i="20" s="1"/>
  <c r="X373" i="20"/>
  <c r="AX640" i="20"/>
  <c r="BA640" i="20"/>
  <c r="AY798" i="20"/>
  <c r="BD874" i="20" s="1"/>
  <c r="AS798" i="20"/>
  <c r="D25" i="22"/>
  <c r="AP792" i="20"/>
  <c r="AP631" i="20"/>
  <c r="AU629" i="20"/>
  <c r="AR629" i="20"/>
  <c r="N185" i="20"/>
  <c r="C185" i="21" s="1"/>
  <c r="N17" i="22"/>
  <c r="M51" i="21"/>
  <c r="N51" i="21"/>
  <c r="R51" i="21"/>
  <c r="Q51" i="21"/>
  <c r="P51" i="21"/>
  <c r="O51" i="21"/>
  <c r="L51" i="21"/>
  <c r="J51" i="21"/>
  <c r="K51" i="21"/>
  <c r="G51" i="21"/>
  <c r="I51" i="21"/>
  <c r="H51" i="21"/>
  <c r="BC663" i="20"/>
  <c r="BD663" i="20"/>
  <c r="AX651" i="20"/>
  <c r="BA651" i="20"/>
  <c r="CB67" i="19"/>
  <c r="CB68" i="19" s="1"/>
  <c r="CG52" i="19"/>
  <c r="CB64" i="19"/>
  <c r="K87" i="20"/>
  <c r="K450" i="20" s="1"/>
  <c r="D79" i="22"/>
  <c r="L75" i="20"/>
  <c r="K93" i="20"/>
  <c r="K136" i="20"/>
  <c r="K138" i="20" s="1"/>
  <c r="C166" i="21"/>
  <c r="N172" i="20"/>
  <c r="C172" i="21" s="1"/>
  <c r="H550" i="20"/>
  <c r="H503" i="20"/>
  <c r="AX606" i="20"/>
  <c r="AS608" i="20"/>
  <c r="AY816" i="20"/>
  <c r="BD879" i="20" s="1"/>
  <c r="BA606" i="20"/>
  <c r="AS816" i="20"/>
  <c r="N557" i="20"/>
  <c r="N510" i="20"/>
  <c r="AV785" i="20"/>
  <c r="E552" i="20"/>
  <c r="E505" i="20"/>
  <c r="G58" i="20"/>
  <c r="J58" i="20"/>
  <c r="E59" i="20"/>
  <c r="K80" i="22"/>
  <c r="C95" i="21"/>
  <c r="N182" i="20"/>
  <c r="H509" i="20"/>
  <c r="H556" i="20"/>
  <c r="AP817" i="20"/>
  <c r="AR609" i="20"/>
  <c r="AU609" i="20"/>
  <c r="AP611" i="20"/>
  <c r="H559" i="20"/>
  <c r="H512" i="20"/>
  <c r="X333" i="20"/>
  <c r="X337" i="20"/>
  <c r="W334" i="20"/>
  <c r="W335" i="20" s="1"/>
  <c r="Y353" i="20"/>
  <c r="Y357" i="20"/>
  <c r="Y371" i="20"/>
  <c r="X354" i="20"/>
  <c r="Y361" i="20"/>
  <c r="AV815" i="20"/>
  <c r="AV601" i="20"/>
  <c r="BD882" i="20"/>
  <c r="AY825" i="20"/>
  <c r="N54" i="22"/>
  <c r="K58" i="22"/>
  <c r="BE615" i="20"/>
  <c r="BE702" i="20" s="1"/>
  <c r="U33" i="20"/>
  <c r="E33" i="21"/>
  <c r="N559" i="20"/>
  <c r="N512" i="20"/>
  <c r="H185" i="20"/>
  <c r="AV605" i="20"/>
  <c r="AV684" i="20"/>
  <c r="AV685" i="20"/>
  <c r="AV811" i="20" s="1"/>
  <c r="BC662" i="20"/>
  <c r="BB664" i="20"/>
  <c r="BB718" i="20" s="1"/>
  <c r="BD662" i="20"/>
  <c r="AR627" i="20"/>
  <c r="AP777" i="20"/>
  <c r="AU627" i="20"/>
  <c r="Q265" i="20"/>
  <c r="Q264" i="20" s="1"/>
  <c r="O81" i="22"/>
  <c r="Q443" i="20"/>
  <c r="Q253" i="20"/>
  <c r="AX663" i="20"/>
  <c r="AT663" i="20"/>
  <c r="BA663" i="20"/>
  <c r="AS726" i="20"/>
  <c r="AS728" i="20" s="1"/>
  <c r="BA589" i="20"/>
  <c r="AS734" i="20"/>
  <c r="D23" i="22" s="1"/>
  <c r="AS698" i="20"/>
  <c r="C186" i="21"/>
  <c r="N190" i="20"/>
  <c r="C190" i="21" s="1"/>
  <c r="H466" i="23"/>
  <c r="H178" i="58"/>
  <c r="H465" i="23"/>
  <c r="Q17" i="20"/>
  <c r="J166" i="19" s="1"/>
  <c r="H464" i="23"/>
  <c r="C156" i="21"/>
  <c r="AP825" i="20"/>
  <c r="AS772" i="20"/>
  <c r="AP593" i="20"/>
  <c r="AR590" i="20"/>
  <c r="AU590" i="20"/>
  <c r="AP772" i="20"/>
  <c r="AX612" i="20"/>
  <c r="BA612" i="20"/>
  <c r="AY818" i="20"/>
  <c r="BD881" i="20" s="1"/>
  <c r="AS614" i="20"/>
  <c r="AS818" i="20"/>
  <c r="AP707" i="20"/>
  <c r="AR648" i="20"/>
  <c r="AU648" i="20"/>
  <c r="AV611" i="20"/>
  <c r="AV817" i="20"/>
  <c r="AV584" i="20"/>
  <c r="K135" i="20"/>
  <c r="C88" i="22"/>
  <c r="K558" i="20"/>
  <c r="K511" i="20"/>
  <c r="AP614" i="20"/>
  <c r="AP818" i="20"/>
  <c r="AR612" i="20"/>
  <c r="AU612" i="20"/>
  <c r="E550" i="20"/>
  <c r="E503" i="20"/>
  <c r="BD596" i="20"/>
  <c r="BB813" i="20"/>
  <c r="BB814" i="20" s="1"/>
  <c r="BD666" i="20"/>
  <c r="BC666" i="20"/>
  <c r="BB837" i="20"/>
  <c r="N149" i="20"/>
  <c r="C146" i="21"/>
  <c r="S58" i="20"/>
  <c r="O80" i="22"/>
  <c r="Q59" i="20"/>
  <c r="R58" i="20" s="1"/>
  <c r="E61" i="21"/>
  <c r="T220" i="20"/>
  <c r="E220" i="21" s="1"/>
  <c r="G220" i="21" s="1"/>
  <c r="BE649" i="20"/>
  <c r="U61" i="20"/>
  <c r="O20" i="22"/>
  <c r="AP685" i="20"/>
  <c r="AP811" i="20" s="1"/>
  <c r="AR602" i="20"/>
  <c r="AP605" i="20"/>
  <c r="AU602" i="20"/>
  <c r="AP684" i="20"/>
  <c r="BB795" i="20"/>
  <c r="BB638" i="20"/>
  <c r="BD636" i="20"/>
  <c r="E60" i="21"/>
  <c r="T219" i="20"/>
  <c r="BE648" i="20"/>
  <c r="U60" i="20"/>
  <c r="E517" i="20"/>
  <c r="E564" i="20"/>
  <c r="CA881" i="20"/>
  <c r="AY785" i="20"/>
  <c r="O50" i="22"/>
  <c r="T50" i="22"/>
  <c r="S50" i="22"/>
  <c r="E561" i="20"/>
  <c r="E514" i="20"/>
  <c r="Q190" i="20"/>
  <c r="Q191" i="20" s="1"/>
  <c r="J146" i="19"/>
  <c r="BD629" i="20"/>
  <c r="BB792" i="20"/>
  <c r="BB631" i="20"/>
  <c r="AP730" i="20"/>
  <c r="C28" i="22" s="1"/>
  <c r="AQ663" i="20"/>
  <c r="AU663" i="20"/>
  <c r="AR663" i="20"/>
  <c r="K228" i="20"/>
  <c r="M65" i="20"/>
  <c r="L66" i="22"/>
  <c r="O66" i="22" s="1"/>
  <c r="N472" i="20"/>
  <c r="K472" i="20"/>
  <c r="P65" i="20"/>
  <c r="N228" i="20"/>
  <c r="AS653" i="20"/>
  <c r="AU653" i="20" s="1"/>
  <c r="H228" i="20"/>
  <c r="X479" i="20"/>
  <c r="W573" i="20"/>
  <c r="W572" i="20" s="1"/>
  <c r="W478" i="20"/>
  <c r="W431" i="20" s="1"/>
  <c r="W432" i="20"/>
  <c r="W526" i="20"/>
  <c r="W525" i="20" s="1"/>
  <c r="AU651" i="20"/>
  <c r="AR651" i="20"/>
  <c r="L68" i="22"/>
  <c r="O68" i="22" s="1"/>
  <c r="O40" i="22"/>
  <c r="AS785" i="20"/>
  <c r="N165" i="20"/>
  <c r="C165" i="21" s="1"/>
  <c r="C161" i="21"/>
  <c r="BD640" i="20"/>
  <c r="BB798" i="20"/>
  <c r="BD676" i="20"/>
  <c r="BC676" i="20"/>
  <c r="BD642" i="20"/>
  <c r="BB800" i="20"/>
  <c r="BB775" i="20"/>
  <c r="BD624" i="20"/>
  <c r="N8" i="22"/>
  <c r="X355" i="20"/>
  <c r="AV714" i="20"/>
  <c r="AS743" i="20"/>
  <c r="AY714" i="20"/>
  <c r="M75" i="20"/>
  <c r="I75" i="20"/>
  <c r="H136" i="20"/>
  <c r="H138" i="20" s="1"/>
  <c r="AS740" i="20" s="1"/>
  <c r="H87" i="20"/>
  <c r="H450" i="20" s="1"/>
  <c r="P75" i="20"/>
  <c r="C79" i="22"/>
  <c r="H93" i="20"/>
  <c r="L66" i="21"/>
  <c r="L224" i="21" s="1"/>
  <c r="J66" i="21"/>
  <c r="J224" i="21" s="1"/>
  <c r="I66" i="21"/>
  <c r="I224" i="21" s="1"/>
  <c r="K66" i="21"/>
  <c r="K224" i="21" s="1"/>
  <c r="H66" i="21"/>
  <c r="H224" i="21" s="1"/>
  <c r="G66" i="21"/>
  <c r="R66" i="21"/>
  <c r="R224" i="21" s="1"/>
  <c r="N66" i="21"/>
  <c r="N224" i="21" s="1"/>
  <c r="Q66" i="21"/>
  <c r="Q224" i="21" s="1"/>
  <c r="M66" i="21"/>
  <c r="M224" i="21" s="1"/>
  <c r="O66" i="21"/>
  <c r="O224" i="21" s="1"/>
  <c r="P66" i="21"/>
  <c r="P224" i="21" s="1"/>
  <c r="O48" i="22"/>
  <c r="T48" i="22"/>
  <c r="S48" i="22"/>
  <c r="AR656" i="20"/>
  <c r="AU656" i="20"/>
  <c r="K149" i="20"/>
  <c r="K150" i="20" s="1"/>
  <c r="O17" i="22"/>
  <c r="AV818" i="20"/>
  <c r="AV614" i="20"/>
  <c r="AR630" i="20"/>
  <c r="AU630" i="20"/>
  <c r="AP793" i="20"/>
  <c r="H172" i="20"/>
  <c r="O38" i="22"/>
  <c r="S38" i="22"/>
  <c r="T38" i="22"/>
  <c r="H558" i="20"/>
  <c r="H511" i="20"/>
  <c r="E172" i="20"/>
  <c r="Q513" i="20"/>
  <c r="Q560" i="20"/>
  <c r="AX602" i="20"/>
  <c r="AS605" i="20"/>
  <c r="AY685" i="20"/>
  <c r="AY811" i="20" s="1"/>
  <c r="AY684" i="20"/>
  <c r="BA602" i="20"/>
  <c r="AS684" i="20"/>
  <c r="AS685" i="20"/>
  <c r="AS811" i="20" s="1"/>
  <c r="Y940" i="20"/>
  <c r="Y941" i="20"/>
  <c r="Y321" i="20"/>
  <c r="Y317" i="20"/>
  <c r="X314" i="20"/>
  <c r="X315" i="20" s="1"/>
  <c r="Y331" i="20"/>
  <c r="Y313" i="20"/>
  <c r="V340" i="20"/>
  <c r="V37" i="20" s="1"/>
  <c r="BG620" i="20" s="1"/>
  <c r="AN584" i="20"/>
  <c r="C239" i="20"/>
  <c r="C16" i="20"/>
  <c r="K190" i="20"/>
  <c r="K191" i="20" s="1"/>
  <c r="H146" i="19"/>
  <c r="E190" i="20"/>
  <c r="H190" i="20"/>
  <c r="BB702" i="20"/>
  <c r="BD615" i="20"/>
  <c r="K79" i="22"/>
  <c r="G48" i="20"/>
  <c r="J48" i="20"/>
  <c r="Q558" i="20"/>
  <c r="Q511" i="20"/>
  <c r="F464" i="23"/>
  <c r="F466" i="23"/>
  <c r="F465" i="23"/>
  <c r="F178" i="58"/>
  <c r="O37" i="22"/>
  <c r="S37" i="22"/>
  <c r="T37" i="22"/>
  <c r="K556" i="20"/>
  <c r="K509" i="20"/>
  <c r="AS809" i="20"/>
  <c r="N23" i="22"/>
  <c r="L12" i="22"/>
  <c r="Q12" i="22" s="1"/>
  <c r="D14" i="22" s="1"/>
  <c r="O10" i="22"/>
  <c r="M37" i="21"/>
  <c r="Q37" i="21"/>
  <c r="O37" i="21"/>
  <c r="G37" i="21"/>
  <c r="R37" i="21"/>
  <c r="K37" i="21"/>
  <c r="P37" i="21"/>
  <c r="J37" i="21"/>
  <c r="L37" i="21"/>
  <c r="I37" i="21"/>
  <c r="N37" i="21"/>
  <c r="H37" i="21"/>
  <c r="N10" i="22"/>
  <c r="K12" i="22"/>
  <c r="P12" i="22" s="1"/>
  <c r="C14" i="22" s="1"/>
  <c r="AX599" i="20"/>
  <c r="AS601" i="20"/>
  <c r="AY815" i="20"/>
  <c r="BA599" i="20"/>
  <c r="AS815" i="20"/>
  <c r="O39" i="22"/>
  <c r="T39" i="22"/>
  <c r="S39" i="22"/>
  <c r="X942" i="20"/>
  <c r="K560" i="20"/>
  <c r="K513" i="20"/>
  <c r="AS727" i="20"/>
  <c r="D26" i="22" s="1"/>
  <c r="AS699" i="20"/>
  <c r="BA593" i="20"/>
  <c r="BA597" i="20"/>
  <c r="AV653" i="20"/>
  <c r="O49" i="22"/>
  <c r="S49" i="22"/>
  <c r="T49" i="22"/>
  <c r="M26" i="20"/>
  <c r="P26" i="20"/>
  <c r="L77" i="22"/>
  <c r="H34" i="20"/>
  <c r="I26" i="20" s="1"/>
  <c r="E508" i="20"/>
  <c r="E555" i="20"/>
  <c r="BD612" i="20"/>
  <c r="BB614" i="20"/>
  <c r="BD614" i="20" s="1"/>
  <c r="BB818" i="20"/>
  <c r="O18" i="22"/>
  <c r="O15" i="22"/>
  <c r="Q549" i="20"/>
  <c r="Q502" i="20"/>
  <c r="BB774" i="20"/>
  <c r="BD623" i="20"/>
  <c r="E454" i="58"/>
  <c r="U454" i="23"/>
  <c r="N46" i="22"/>
  <c r="K52" i="22"/>
  <c r="K549" i="20"/>
  <c r="K502" i="20"/>
  <c r="AR626" i="20"/>
  <c r="AP790" i="20"/>
  <c r="AU626" i="20"/>
  <c r="BD648" i="20"/>
  <c r="BB707" i="20"/>
  <c r="N29" i="22"/>
  <c r="K34" i="22"/>
  <c r="L79" i="22"/>
  <c r="P48" i="20"/>
  <c r="M48" i="20"/>
  <c r="AP664" i="20"/>
  <c r="AP718" i="20" s="1"/>
  <c r="AQ662" i="20"/>
  <c r="AU662" i="20"/>
  <c r="AR662" i="20"/>
  <c r="C25" i="22"/>
  <c r="AR653" i="20"/>
  <c r="O8" i="22"/>
  <c r="B505" i="20"/>
  <c r="B552" i="20"/>
  <c r="B405" i="20"/>
  <c r="E563" i="20"/>
  <c r="E516" i="20"/>
  <c r="O46" i="22"/>
  <c r="T46" i="22"/>
  <c r="S46" i="22"/>
  <c r="I449" i="58"/>
  <c r="I451" i="23"/>
  <c r="K172" i="20"/>
  <c r="BB605" i="20"/>
  <c r="BD602" i="20"/>
  <c r="BB685" i="20"/>
  <c r="BB811" i="20" s="1"/>
  <c r="BB684" i="20"/>
  <c r="E549" i="20"/>
  <c r="E502" i="20"/>
  <c r="S75" i="20"/>
  <c r="F79" i="22"/>
  <c r="Q136" i="20"/>
  <c r="Q138" i="20" s="1"/>
  <c r="R75" i="20"/>
  <c r="Q93" i="20"/>
  <c r="Q87" i="20"/>
  <c r="Q450" i="20" s="1"/>
  <c r="H165" i="20"/>
  <c r="BB776" i="20"/>
  <c r="BD625" i="20"/>
  <c r="K34" i="20"/>
  <c r="M77" i="22"/>
  <c r="AN237" i="16"/>
  <c r="AK291" i="16"/>
  <c r="AK264" i="16"/>
  <c r="AK209" i="16"/>
  <c r="AK13" i="16" s="1"/>
  <c r="AW666" i="20"/>
  <c r="AV837" i="20"/>
  <c r="N221" i="20"/>
  <c r="H221" i="20"/>
  <c r="H230" i="20" s="1"/>
  <c r="H207" i="20" s="1"/>
  <c r="H209" i="20" s="1"/>
  <c r="H210" i="20" s="1"/>
  <c r="BX67" i="19"/>
  <c r="BX68" i="19" s="1"/>
  <c r="BX64" i="19"/>
  <c r="CC52" i="19"/>
  <c r="CC64" i="19" s="1"/>
  <c r="CI55" i="19" s="1"/>
  <c r="CI56" i="19" s="1"/>
  <c r="AI58" i="19" s="1"/>
  <c r="BB809" i="20"/>
  <c r="X367" i="20"/>
  <c r="X382" i="20" s="1"/>
  <c r="X363" i="20"/>
  <c r="BI783" i="20" s="1"/>
  <c r="W364" i="20"/>
  <c r="V365" i="20"/>
  <c r="V381" i="20" s="1"/>
  <c r="V51" i="20" s="1"/>
  <c r="BG635" i="20" s="1"/>
  <c r="AV825" i="20"/>
  <c r="AX642" i="20"/>
  <c r="BA642" i="20"/>
  <c r="AY800" i="20"/>
  <c r="BD876" i="20" s="1"/>
  <c r="AS800" i="20"/>
  <c r="O21" i="22"/>
  <c r="AY776" i="20"/>
  <c r="BD859" i="20" s="1"/>
  <c r="AX625" i="20"/>
  <c r="BA625" i="20"/>
  <c r="AS776" i="20"/>
  <c r="AV775" i="20"/>
  <c r="AV792" i="20"/>
  <c r="AV631" i="20"/>
  <c r="AS799" i="20"/>
  <c r="AP799" i="20"/>
  <c r="AU641" i="20"/>
  <c r="AR641" i="20"/>
  <c r="AP644" i="20"/>
  <c r="I466" i="23"/>
  <c r="I465" i="23"/>
  <c r="I178" i="58"/>
  <c r="I464" i="23"/>
  <c r="AX636" i="20"/>
  <c r="AS638" i="20"/>
  <c r="AY795" i="20"/>
  <c r="BA636" i="20"/>
  <c r="K557" i="20"/>
  <c r="K510" i="20"/>
  <c r="AS795" i="20"/>
  <c r="AU636" i="20"/>
  <c r="AR636" i="20"/>
  <c r="AP795" i="20"/>
  <c r="AP638" i="20"/>
  <c r="O35" i="22"/>
  <c r="T35" i="22"/>
  <c r="S35" i="22"/>
  <c r="L41" i="22"/>
  <c r="O41" i="22" s="1"/>
  <c r="X327" i="20"/>
  <c r="X323" i="20"/>
  <c r="W324" i="20"/>
  <c r="W325" i="20" s="1"/>
  <c r="BK583" i="20"/>
  <c r="Z345" i="20"/>
  <c r="Z385" i="20"/>
  <c r="AA15" i="20"/>
  <c r="AA955" i="20" s="1"/>
  <c r="AA958" i="20" s="1"/>
  <c r="Z428" i="20"/>
  <c r="Z311" i="20"/>
  <c r="Z259" i="20"/>
  <c r="Z422" i="20"/>
  <c r="Z218" i="20"/>
  <c r="Z234" i="20" s="1"/>
  <c r="Z112" i="20"/>
  <c r="Z938" i="20"/>
  <c r="Z270" i="20"/>
  <c r="Z134" i="20"/>
  <c r="Z160" i="20" s="1"/>
  <c r="Z351" i="20"/>
  <c r="Y569" i="20"/>
  <c r="Y522" i="20"/>
  <c r="Y475" i="20"/>
  <c r="CR865" i="20"/>
  <c r="CR846" i="20"/>
  <c r="BJ696" i="20"/>
  <c r="CR893" i="20"/>
  <c r="BJ763" i="20"/>
  <c r="AP764" i="20"/>
  <c r="AP697" i="20"/>
  <c r="AP601" i="20"/>
  <c r="AU599" i="20"/>
  <c r="AP815" i="20"/>
  <c r="AR599" i="20"/>
  <c r="AP813" i="20"/>
  <c r="AR596" i="20"/>
  <c r="AU596" i="20"/>
  <c r="AT666" i="20"/>
  <c r="AS837" i="20"/>
  <c r="AX666" i="20"/>
  <c r="BA666" i="20"/>
  <c r="AP800" i="20"/>
  <c r="AR642" i="20"/>
  <c r="AU642" i="20"/>
  <c r="V69" i="20"/>
  <c r="BF657" i="20"/>
  <c r="AX609" i="20"/>
  <c r="AY817" i="20"/>
  <c r="BD880" i="20" s="1"/>
  <c r="AS611" i="20"/>
  <c r="BA609" i="20"/>
  <c r="AS817" i="20"/>
  <c r="O23" i="22"/>
  <c r="K508" i="20"/>
  <c r="K555" i="20"/>
  <c r="O9" i="22"/>
  <c r="H451" i="23"/>
  <c r="H449" i="58"/>
  <c r="X476" i="20"/>
  <c r="W523" i="20"/>
  <c r="W429" i="20"/>
  <c r="W570" i="20"/>
  <c r="AV813" i="20"/>
  <c r="AV814" i="20" s="1"/>
  <c r="AV597" i="20"/>
  <c r="AX597" i="20" s="1"/>
  <c r="E551" i="20"/>
  <c r="E504" i="20"/>
  <c r="S11" i="19"/>
  <c r="R96" i="19" s="1"/>
  <c r="BI789" i="20"/>
  <c r="U331" i="23"/>
  <c r="E331" i="58"/>
  <c r="E253" i="20"/>
  <c r="E265" i="20"/>
  <c r="E264" i="20" s="1"/>
  <c r="E443" i="20"/>
  <c r="K81" i="22"/>
  <c r="AX624" i="20"/>
  <c r="BA624" i="20"/>
  <c r="AY775" i="20"/>
  <c r="AS775" i="20"/>
  <c r="BB653" i="20"/>
  <c r="Q228" i="20"/>
  <c r="S65" i="20"/>
  <c r="AY793" i="20"/>
  <c r="BD870" i="20" s="1"/>
  <c r="AX630" i="20"/>
  <c r="BA630" i="20"/>
  <c r="AS793" i="20"/>
  <c r="T29" i="22"/>
  <c r="O29" i="22"/>
  <c r="S29" i="22"/>
  <c r="L34" i="22"/>
  <c r="N40" i="22"/>
  <c r="K68" i="22"/>
  <c r="N68" i="22" s="1"/>
  <c r="AS697" i="20"/>
  <c r="AS764" i="20"/>
  <c r="AV644" i="20"/>
  <c r="H506" i="20"/>
  <c r="H553" i="20"/>
  <c r="U449" i="23"/>
  <c r="E451" i="23"/>
  <c r="E449" i="58"/>
  <c r="AV589" i="20"/>
  <c r="AX589" i="20" s="1"/>
  <c r="AV771" i="20"/>
  <c r="AP841" i="20"/>
  <c r="AU586" i="20"/>
  <c r="AR586" i="20"/>
  <c r="BB841" i="20"/>
  <c r="BD586" i="20"/>
  <c r="H265" i="20"/>
  <c r="H264" i="20" s="1"/>
  <c r="H443" i="20"/>
  <c r="H253" i="20"/>
  <c r="L81" i="22"/>
  <c r="E149" i="20"/>
  <c r="E150" i="20" s="1"/>
  <c r="AS714" i="20"/>
  <c r="AP743" i="20"/>
  <c r="AX629" i="20"/>
  <c r="AS631" i="20"/>
  <c r="AS632" i="20" s="1"/>
  <c r="AY792" i="20"/>
  <c r="BD869" i="20" s="1"/>
  <c r="BA629" i="20"/>
  <c r="AS792" i="20"/>
  <c r="BB601" i="20"/>
  <c r="BD601" i="20" s="1"/>
  <c r="BB815" i="20"/>
  <c r="BD599" i="20"/>
  <c r="N11" i="22"/>
  <c r="E553" i="20"/>
  <c r="E506" i="20"/>
  <c r="BB790" i="20"/>
  <c r="BD626" i="20"/>
  <c r="BA623" i="20"/>
  <c r="AY774" i="20"/>
  <c r="BD857" i="20" s="1"/>
  <c r="AX623" i="20"/>
  <c r="BA656" i="20"/>
  <c r="AX656" i="20"/>
  <c r="AV593" i="20"/>
  <c r="AV772" i="20"/>
  <c r="AV638" i="20"/>
  <c r="AV795" i="20"/>
  <c r="Q555" i="20"/>
  <c r="Q508" i="20"/>
  <c r="BB597" i="20"/>
  <c r="BD597" i="20" s="1"/>
  <c r="AX596" i="20"/>
  <c r="AS813" i="20"/>
  <c r="AY813" i="20"/>
  <c r="BD878" i="20" s="1"/>
  <c r="BA596" i="20"/>
  <c r="O33" i="22"/>
  <c r="T33" i="22"/>
  <c r="S33" i="22"/>
  <c r="O51" i="22"/>
  <c r="S51" i="22"/>
  <c r="T51" i="22"/>
  <c r="BA627" i="20"/>
  <c r="AX627" i="20"/>
  <c r="AY777" i="20"/>
  <c r="BD860" i="20" s="1"/>
  <c r="AS777" i="20"/>
  <c r="AX648" i="20"/>
  <c r="AS707" i="20"/>
  <c r="BA648" i="20"/>
  <c r="E511" i="20"/>
  <c r="E558" i="20"/>
  <c r="P39" i="21"/>
  <c r="M39" i="21"/>
  <c r="J39" i="21"/>
  <c r="H39" i="21"/>
  <c r="G39" i="21"/>
  <c r="Q39" i="21"/>
  <c r="K39" i="21"/>
  <c r="I39" i="21"/>
  <c r="N39" i="21"/>
  <c r="O39" i="21"/>
  <c r="R39" i="21"/>
  <c r="L39" i="21"/>
  <c r="Q149" i="20"/>
  <c r="Q150" i="20" s="1"/>
  <c r="X477" i="20"/>
  <c r="O54" i="22"/>
  <c r="S54" i="22"/>
  <c r="T54" i="22"/>
  <c r="AX662" i="20"/>
  <c r="AT662" i="20"/>
  <c r="AS664" i="20"/>
  <c r="AS718" i="20" s="1"/>
  <c r="BA662" i="20"/>
  <c r="U224" i="20"/>
  <c r="BF654" i="20"/>
  <c r="V66" i="20"/>
  <c r="BD630" i="20"/>
  <c r="BB793" i="20"/>
  <c r="AV809" i="20"/>
  <c r="O55" i="22"/>
  <c r="T55" i="22"/>
  <c r="S55" i="22"/>
  <c r="H552" i="20"/>
  <c r="H505" i="20"/>
  <c r="M81" i="22"/>
  <c r="K443" i="20"/>
  <c r="K253" i="20"/>
  <c r="K265" i="20"/>
  <c r="K264" i="20" s="1"/>
  <c r="V341" i="20"/>
  <c r="BB611" i="20"/>
  <c r="BD611" i="20" s="1"/>
  <c r="BD609" i="20"/>
  <c r="BB817" i="20"/>
  <c r="AV777" i="20"/>
  <c r="AS644" i="20"/>
  <c r="H555" i="20"/>
  <c r="H508" i="20"/>
  <c r="E513" i="20"/>
  <c r="E560" i="20"/>
  <c r="Y485" i="20"/>
  <c r="Y532" i="20"/>
  <c r="Y438" i="20"/>
  <c r="Y247" i="20"/>
  <c r="N15" i="22"/>
  <c r="N18" i="22"/>
  <c r="V262" i="20"/>
  <c r="U50" i="20"/>
  <c r="BF634" i="20" s="1"/>
  <c r="W261" i="20"/>
  <c r="BH782" i="20" s="1"/>
  <c r="CL882" i="20" s="1"/>
  <c r="CQ882" i="20" s="1"/>
  <c r="AS825" i="20"/>
  <c r="AP798" i="20"/>
  <c r="AR640" i="20"/>
  <c r="AU640" i="20"/>
  <c r="AR649" i="20"/>
  <c r="AU649" i="20"/>
  <c r="N13" i="22"/>
  <c r="BB608" i="20"/>
  <c r="BD608" i="20" s="1"/>
  <c r="BD606" i="20"/>
  <c r="BB816" i="20"/>
  <c r="I69" i="21"/>
  <c r="G69" i="21"/>
  <c r="P69" i="21"/>
  <c r="O69" i="21"/>
  <c r="J69" i="21"/>
  <c r="Q69" i="21"/>
  <c r="K69" i="21"/>
  <c r="L69" i="21"/>
  <c r="N69" i="21"/>
  <c r="M69" i="21"/>
  <c r="H69" i="21"/>
  <c r="R69" i="21"/>
  <c r="CD52" i="19"/>
  <c r="CD64" i="19" s="1"/>
  <c r="CJ55" i="19" s="1"/>
  <c r="CJ56" i="19" s="1"/>
  <c r="AJ58" i="19" s="1"/>
  <c r="H513" i="20"/>
  <c r="H560" i="20"/>
  <c r="K512" i="20"/>
  <c r="K559" i="20"/>
  <c r="AP812" i="20"/>
  <c r="AU595" i="20"/>
  <c r="AP597" i="20"/>
  <c r="AR595" i="20"/>
  <c r="AS812" i="20"/>
  <c r="E185" i="20"/>
  <c r="AS676" i="20"/>
  <c r="F451" i="23"/>
  <c r="F449" i="58"/>
  <c r="BB785" i="20"/>
  <c r="O11" i="22"/>
  <c r="J71" i="19"/>
  <c r="AZ679" i="20"/>
  <c r="AY756" i="20"/>
  <c r="V305" i="20"/>
  <c r="W276" i="20"/>
  <c r="K49" i="21"/>
  <c r="AZ598" i="20"/>
  <c r="AZ607" i="20"/>
  <c r="AZ586" i="20"/>
  <c r="AZ606" i="20"/>
  <c r="AZ611" i="20"/>
  <c r="AY703" i="20"/>
  <c r="AZ593" i="20"/>
  <c r="AZ613" i="20"/>
  <c r="AZ591" i="20"/>
  <c r="AZ615" i="20"/>
  <c r="AZ601" i="20"/>
  <c r="AY617" i="20"/>
  <c r="AY755" i="20" s="1"/>
  <c r="AZ608" i="20"/>
  <c r="AZ599" i="20"/>
  <c r="AZ604" i="20"/>
  <c r="AZ588" i="20"/>
  <c r="AZ587" i="20"/>
  <c r="AZ614" i="20"/>
  <c r="AZ610" i="20"/>
  <c r="AZ592" i="20"/>
  <c r="AZ596" i="20"/>
  <c r="AZ605" i="20"/>
  <c r="AZ594" i="20"/>
  <c r="AZ612" i="20"/>
  <c r="AZ590" i="20"/>
  <c r="AZ603" i="20"/>
  <c r="AZ609" i="20"/>
  <c r="AZ597" i="20"/>
  <c r="AZ595" i="20"/>
  <c r="AZ616" i="20"/>
  <c r="AZ600" i="20"/>
  <c r="AZ602" i="20"/>
  <c r="AZ589" i="20"/>
  <c r="AY751" i="20"/>
  <c r="Q229" i="20"/>
  <c r="N225" i="20"/>
  <c r="AY652" i="20"/>
  <c r="C64" i="21"/>
  <c r="T62" i="20"/>
  <c r="Q471" i="20"/>
  <c r="N67" i="20"/>
  <c r="E17" i="22" s="1"/>
  <c r="M65" i="22"/>
  <c r="CA862" i="20"/>
  <c r="G367" i="23"/>
  <c r="G366" i="58"/>
  <c r="Q27" i="19"/>
  <c r="CN884" i="20"/>
  <c r="CA867" i="20"/>
  <c r="I127" i="19"/>
  <c r="X65" i="20"/>
  <c r="BH653" i="20"/>
  <c r="W228" i="20"/>
  <c r="G460" i="23"/>
  <c r="G459" i="58" s="1"/>
  <c r="G460" i="58"/>
  <c r="V251" i="20"/>
  <c r="M112" i="21"/>
  <c r="M218" i="21"/>
  <c r="M234" i="21" s="1"/>
  <c r="M134" i="21"/>
  <c r="AZ645" i="20"/>
  <c r="AZ621" i="20"/>
  <c r="AZ636" i="20"/>
  <c r="AZ638" i="20"/>
  <c r="AZ629" i="20"/>
  <c r="AZ642" i="20"/>
  <c r="AZ622" i="20"/>
  <c r="AZ635" i="20"/>
  <c r="AZ619" i="20"/>
  <c r="AZ640" i="20"/>
  <c r="AZ634" i="20"/>
  <c r="AZ644" i="20"/>
  <c r="AZ646" i="20"/>
  <c r="AZ627" i="20"/>
  <c r="AZ626" i="20"/>
  <c r="AZ623" i="20"/>
  <c r="AZ628" i="20"/>
  <c r="AZ631" i="20"/>
  <c r="AZ639" i="20"/>
  <c r="AZ620" i="20"/>
  <c r="AZ633" i="20"/>
  <c r="AZ641" i="20"/>
  <c r="AZ625" i="20"/>
  <c r="AZ630" i="20"/>
  <c r="AZ624" i="20"/>
  <c r="AZ643" i="20"/>
  <c r="AZ637" i="20"/>
  <c r="L159" i="21"/>
  <c r="L160" i="21"/>
  <c r="Y271" i="20"/>
  <c r="X272" i="20"/>
  <c r="AC32" i="21"/>
  <c r="M16" i="21" s="1"/>
  <c r="AD29" i="21"/>
  <c r="AD30" i="21"/>
  <c r="AD31" i="21" s="1"/>
  <c r="N15" i="21" s="1"/>
  <c r="E41" i="22"/>
  <c r="E35" i="22"/>
  <c r="BH788" i="20"/>
  <c r="CL884" i="20" s="1"/>
  <c r="W159" i="20"/>
  <c r="AB142" i="16"/>
  <c r="AB199" i="16"/>
  <c r="AB38" i="16" s="1"/>
  <c r="AG38" i="16" s="1"/>
  <c r="AN57" i="16"/>
  <c r="AN54" i="16"/>
  <c r="AO46" i="16"/>
  <c r="AO36" i="16"/>
  <c r="AO25" i="16"/>
  <c r="AO13" i="16"/>
  <c r="AO44" i="16"/>
  <c r="AO24" i="16"/>
  <c r="AO12" i="16"/>
  <c r="AO35" i="16"/>
  <c r="AO23" i="16"/>
  <c r="AO43" i="16"/>
  <c r="AO33" i="16"/>
  <c r="AO21" i="16"/>
  <c r="AB97" i="19"/>
  <c r="AB98" i="19" s="1"/>
  <c r="AO41" i="16"/>
  <c r="AO31" i="16"/>
  <c r="AO19" i="16"/>
  <c r="AO40" i="16"/>
  <c r="AO30" i="16"/>
  <c r="AO18" i="16"/>
  <c r="AS12" i="16"/>
  <c r="AO38" i="16"/>
  <c r="AO29" i="16"/>
  <c r="AO16" i="16"/>
  <c r="AO37" i="16"/>
  <c r="AO27" i="16"/>
  <c r="AO14" i="16"/>
  <c r="AM23" i="16"/>
  <c r="Z103" i="19"/>
  <c r="AE229" i="16"/>
  <c r="AH257" i="16"/>
  <c r="AN273" i="16"/>
  <c r="AN218" i="16"/>
  <c r="AN25" i="16" s="1"/>
  <c r="AQ246" i="16"/>
  <c r="AN300" i="16"/>
  <c r="AH166" i="16"/>
  <c r="AH120" i="16"/>
  <c r="AH289" i="16"/>
  <c r="AH235" i="16"/>
  <c r="AH153" i="16"/>
  <c r="J368" i="16"/>
  <c r="AH262" i="16"/>
  <c r="AH192" i="16"/>
  <c r="AH207" i="16"/>
  <c r="AH179" i="16"/>
  <c r="AH133" i="16"/>
  <c r="AH81" i="16"/>
  <c r="AH107" i="16"/>
  <c r="AH94" i="16"/>
  <c r="AH31" i="16"/>
  <c r="AM31" i="16" s="1"/>
  <c r="AH61" i="16"/>
  <c r="AH53" i="16"/>
  <c r="AH392" i="16" s="1"/>
  <c r="AH30" i="16"/>
  <c r="AK11" i="16"/>
  <c r="N423" i="16"/>
  <c r="AE171" i="16"/>
  <c r="AE168" i="16"/>
  <c r="AE169" i="16" s="1"/>
  <c r="AB27" i="16"/>
  <c r="AG21" i="16"/>
  <c r="AA113" i="19"/>
  <c r="AP43" i="16"/>
  <c r="AB156" i="16"/>
  <c r="AB200" i="16" s="1"/>
  <c r="AB49" i="16" s="1"/>
  <c r="AG49" i="16" s="1"/>
  <c r="I50" i="16"/>
  <c r="P117" i="19"/>
  <c r="AK293" i="16"/>
  <c r="AN239" i="16"/>
  <c r="AK266" i="16"/>
  <c r="AK211" i="16"/>
  <c r="AK18" i="16" s="1"/>
  <c r="AE83" i="16"/>
  <c r="AE86" i="16"/>
  <c r="AE125" i="16"/>
  <c r="AE122" i="16"/>
  <c r="AE123" i="16" s="1"/>
  <c r="AE155" i="16"/>
  <c r="AE158" i="16"/>
  <c r="AB201" i="16"/>
  <c r="Q108" i="19"/>
  <c r="G55" i="16"/>
  <c r="L35" i="16"/>
  <c r="Z102" i="19"/>
  <c r="AM19" i="16"/>
  <c r="AE112" i="16"/>
  <c r="AE109" i="16"/>
  <c r="AE110" i="16" s="1"/>
  <c r="X100" i="19"/>
  <c r="X104" i="19"/>
  <c r="X107" i="19" s="1"/>
  <c r="P110" i="19"/>
  <c r="I29" i="16"/>
  <c r="D33" i="16"/>
  <c r="AM18" i="16"/>
  <c r="Z101" i="19"/>
  <c r="AN240" i="16"/>
  <c r="AK294" i="16"/>
  <c r="AK267" i="16"/>
  <c r="AK212" i="16"/>
  <c r="AK19" i="16" s="1"/>
  <c r="AT258" i="16"/>
  <c r="AQ312" i="16"/>
  <c r="AQ285" i="16"/>
  <c r="AQ230" i="16"/>
  <c r="AE21" i="16"/>
  <c r="AJ16" i="16"/>
  <c r="Y99" i="19"/>
  <c r="AK51" i="16"/>
  <c r="AM51" i="16"/>
  <c r="AH16" i="16"/>
  <c r="AB140" i="16"/>
  <c r="AB37" i="16" s="1"/>
  <c r="AG37" i="16" s="1"/>
  <c r="AD27" i="16"/>
  <c r="AE99" i="16"/>
  <c r="AE96" i="16"/>
  <c r="AE97" i="16" s="1"/>
  <c r="AE197" i="16"/>
  <c r="AE194" i="16"/>
  <c r="AE195" i="16" s="1"/>
  <c r="AB84" i="16"/>
  <c r="AB141" i="16" s="1"/>
  <c r="AB48" i="16" s="1"/>
  <c r="AG48" i="16" s="1"/>
  <c r="AK272" i="16"/>
  <c r="AK217" i="16"/>
  <c r="AK24" i="16" s="1"/>
  <c r="AK299" i="16"/>
  <c r="AN245" i="16"/>
  <c r="AP25" i="16"/>
  <c r="AA105" i="19"/>
  <c r="AE138" i="16"/>
  <c r="AE135" i="16"/>
  <c r="AE136" i="16" s="1"/>
  <c r="I36" i="16"/>
  <c r="P109" i="19"/>
  <c r="D40" i="16"/>
  <c r="Z106" i="19"/>
  <c r="AM24" i="16"/>
  <c r="AQ243" i="16"/>
  <c r="AN215" i="16"/>
  <c r="AN346" i="16" s="1"/>
  <c r="AN297" i="16"/>
  <c r="AN270" i="16"/>
  <c r="AB309" i="16"/>
  <c r="AB282" i="16"/>
  <c r="AE255" i="16"/>
  <c r="AB227" i="16"/>
  <c r="AK304" i="16"/>
  <c r="AN250" i="16"/>
  <c r="AK277" i="16"/>
  <c r="AK222" i="16"/>
  <c r="AK216" i="16"/>
  <c r="AK23" i="16" s="1"/>
  <c r="AK298" i="16"/>
  <c r="AN244" i="16"/>
  <c r="AK271" i="16"/>
  <c r="AK265" i="16"/>
  <c r="AN238" i="16"/>
  <c r="AK210" i="16"/>
  <c r="AK14" i="16" s="1"/>
  <c r="AK292" i="16"/>
  <c r="AP13" i="16"/>
  <c r="AQ263" i="16"/>
  <c r="AQ208" i="16"/>
  <c r="AQ12" i="16" s="1"/>
  <c r="AT236" i="16"/>
  <c r="AQ290" i="16"/>
  <c r="AE184" i="16"/>
  <c r="AE181" i="16"/>
  <c r="AE182" i="16" s="1"/>
  <c r="AB308" i="16"/>
  <c r="AB281" i="16"/>
  <c r="AB226" i="16"/>
  <c r="AE254" i="16"/>
  <c r="D59" i="16"/>
  <c r="P118" i="19" s="1"/>
  <c r="AD125" i="20"/>
  <c r="AD126" i="20"/>
  <c r="AF519" i="20"/>
  <c r="AG472" i="20"/>
  <c r="AF566" i="20"/>
  <c r="AF419" i="20"/>
  <c r="BR666" i="20"/>
  <c r="AG208" i="20"/>
  <c r="AH77" i="20"/>
  <c r="AE124" i="20"/>
  <c r="AF123" i="20"/>
  <c r="BQ837" i="20"/>
  <c r="BQ895" i="20" s="1"/>
  <c r="BQ757" i="20"/>
  <c r="P126" i="21"/>
  <c r="P125" i="21"/>
  <c r="R123" i="21"/>
  <c r="R124" i="21" s="1"/>
  <c r="Q124" i="21"/>
  <c r="U459" i="20" l="1"/>
  <c r="U406" i="20" s="1"/>
  <c r="T564" i="20"/>
  <c r="U401" i="20"/>
  <c r="V457" i="20"/>
  <c r="W457" i="20" s="1"/>
  <c r="U548" i="20"/>
  <c r="U470" i="20"/>
  <c r="U517" i="20" s="1"/>
  <c r="AL52" i="19"/>
  <c r="BM52" i="19" s="1"/>
  <c r="BE52" i="19" s="1"/>
  <c r="AR52" i="19" s="1"/>
  <c r="BB737" i="20"/>
  <c r="J41" i="19" s="1"/>
  <c r="E223" i="19" s="1"/>
  <c r="BB741" i="20"/>
  <c r="U551" i="20"/>
  <c r="AV741" i="20"/>
  <c r="AV737" i="20"/>
  <c r="H80" i="19" s="1"/>
  <c r="U504" i="20"/>
  <c r="V454" i="20"/>
  <c r="V401" i="20" s="1"/>
  <c r="AJ52" i="19"/>
  <c r="AS741" i="20"/>
  <c r="D44" i="22" s="1"/>
  <c r="AS737" i="20"/>
  <c r="H41" i="19" s="1"/>
  <c r="C223" i="19" s="1"/>
  <c r="T417" i="20"/>
  <c r="T406" i="20"/>
  <c r="T558" i="20"/>
  <c r="T511" i="20"/>
  <c r="AP741" i="20"/>
  <c r="C44" i="22" s="1"/>
  <c r="AP737" i="20"/>
  <c r="U464" i="20"/>
  <c r="U511" i="20" s="1"/>
  <c r="T264" i="20"/>
  <c r="T503" i="20"/>
  <c r="U462" i="20"/>
  <c r="U556" i="20" s="1"/>
  <c r="U458" i="20"/>
  <c r="U552" i="20" s="1"/>
  <c r="T556" i="20"/>
  <c r="T409" i="20"/>
  <c r="T90" i="20" s="1"/>
  <c r="T403" i="20"/>
  <c r="T552" i="20"/>
  <c r="U456" i="20"/>
  <c r="U550" i="20" s="1"/>
  <c r="T553" i="20"/>
  <c r="BI52" i="19"/>
  <c r="AS52" i="19" s="1"/>
  <c r="AW52" i="19"/>
  <c r="AP52" i="19" s="1"/>
  <c r="AT52" i="19" s="1"/>
  <c r="AU52" i="19" s="1"/>
  <c r="AU51" i="19" s="1"/>
  <c r="U506" i="20"/>
  <c r="V469" i="20"/>
  <c r="U563" i="20"/>
  <c r="U416" i="20"/>
  <c r="U516" i="20"/>
  <c r="V467" i="20"/>
  <c r="U514" i="20"/>
  <c r="U561" i="20"/>
  <c r="U414" i="20"/>
  <c r="U564" i="20"/>
  <c r="G49" i="21"/>
  <c r="I49" i="21"/>
  <c r="CB862" i="20"/>
  <c r="T450" i="20"/>
  <c r="H544" i="20"/>
  <c r="H497" i="20"/>
  <c r="T508" i="20"/>
  <c r="T555" i="20"/>
  <c r="U461" i="20"/>
  <c r="T408" i="20"/>
  <c r="T29" i="20" s="1"/>
  <c r="U534" i="20"/>
  <c r="V440" i="20"/>
  <c r="U487" i="20"/>
  <c r="U387" i="20"/>
  <c r="U540" i="20"/>
  <c r="V446" i="20"/>
  <c r="U493" i="20"/>
  <c r="U393" i="20"/>
  <c r="T410" i="20"/>
  <c r="T30" i="20" s="1"/>
  <c r="T91" i="20" s="1"/>
  <c r="U463" i="20"/>
  <c r="T557" i="20"/>
  <c r="T510" i="20"/>
  <c r="E28" i="21"/>
  <c r="T95" i="20"/>
  <c r="BE602" i="20"/>
  <c r="T72" i="20"/>
  <c r="G77" i="22"/>
  <c r="T74" i="20"/>
  <c r="E71" i="21"/>
  <c r="T42" i="20"/>
  <c r="T86" i="20"/>
  <c r="T82" i="20"/>
  <c r="T83" i="20"/>
  <c r="T923" i="20"/>
  <c r="BE660" i="20"/>
  <c r="T19" i="20"/>
  <c r="T84" i="20"/>
  <c r="T81" i="20"/>
  <c r="T85" i="20"/>
  <c r="V445" i="20"/>
  <c r="U539" i="20"/>
  <c r="U392" i="20"/>
  <c r="U492" i="20"/>
  <c r="Q497" i="20"/>
  <c r="Q544" i="20"/>
  <c r="K544" i="20"/>
  <c r="K497" i="20"/>
  <c r="U491" i="20"/>
  <c r="V444" i="20"/>
  <c r="U391" i="20"/>
  <c r="U538" i="20"/>
  <c r="U386" i="20"/>
  <c r="U71" i="20" s="1"/>
  <c r="U486" i="20"/>
  <c r="U533" i="20"/>
  <c r="V439" i="20"/>
  <c r="U400" i="20"/>
  <c r="U547" i="20"/>
  <c r="U500" i="20"/>
  <c r="V453" i="20"/>
  <c r="U494" i="20"/>
  <c r="U394" i="20"/>
  <c r="V447" i="20"/>
  <c r="U541" i="20"/>
  <c r="U465" i="20"/>
  <c r="T559" i="20"/>
  <c r="T412" i="20"/>
  <c r="T31" i="20" s="1"/>
  <c r="T512" i="20"/>
  <c r="U543" i="20"/>
  <c r="V449" i="20"/>
  <c r="U496" i="20"/>
  <c r="U396" i="20"/>
  <c r="V468" i="20"/>
  <c r="U562" i="20"/>
  <c r="U415" i="20"/>
  <c r="U515" i="20"/>
  <c r="U554" i="20"/>
  <c r="U407" i="20"/>
  <c r="U28" i="20" s="1"/>
  <c r="U507" i="20"/>
  <c r="V460" i="20"/>
  <c r="W448" i="20"/>
  <c r="V542" i="20"/>
  <c r="V395" i="20"/>
  <c r="V495" i="20"/>
  <c r="T413" i="20"/>
  <c r="T513" i="20"/>
  <c r="U466" i="20"/>
  <c r="T560" i="20"/>
  <c r="U388" i="20"/>
  <c r="V441" i="20"/>
  <c r="U535" i="20"/>
  <c r="U488" i="20"/>
  <c r="T549" i="20"/>
  <c r="T502" i="20"/>
  <c r="T402" i="20"/>
  <c r="U455" i="20"/>
  <c r="E544" i="20"/>
  <c r="E497" i="20"/>
  <c r="N66" i="22"/>
  <c r="L49" i="20"/>
  <c r="L98" i="20"/>
  <c r="L51" i="20"/>
  <c r="L56" i="20"/>
  <c r="L37" i="20"/>
  <c r="L45" i="20"/>
  <c r="L50" i="20"/>
  <c r="D81" i="22"/>
  <c r="L36" i="20"/>
  <c r="L54" i="20"/>
  <c r="L38" i="20"/>
  <c r="L39" i="20"/>
  <c r="L59" i="20"/>
  <c r="L53" i="20"/>
  <c r="N58" i="22"/>
  <c r="CI72" i="19"/>
  <c r="CE890" i="20"/>
  <c r="J164" i="19"/>
  <c r="H49" i="21"/>
  <c r="P49" i="21"/>
  <c r="L49" i="21"/>
  <c r="J49" i="21"/>
  <c r="M49" i="21"/>
  <c r="Q49" i="21"/>
  <c r="N49" i="21"/>
  <c r="R49" i="21"/>
  <c r="N41" i="22"/>
  <c r="AV740" i="20"/>
  <c r="CF890" i="20"/>
  <c r="CJ72" i="19" s="1"/>
  <c r="L59" i="22"/>
  <c r="Q46" i="22" s="1"/>
  <c r="AV801" i="20"/>
  <c r="L48" i="20"/>
  <c r="L47" i="20"/>
  <c r="L42" i="20"/>
  <c r="L55" i="20"/>
  <c r="L43" i="20"/>
  <c r="L57" i="20"/>
  <c r="L46" i="20"/>
  <c r="L44" i="20"/>
  <c r="L41" i="20"/>
  <c r="L40" i="20"/>
  <c r="L52" i="20"/>
  <c r="BY67" i="19"/>
  <c r="BY68" i="19" s="1"/>
  <c r="J69" i="19"/>
  <c r="BY64" i="19"/>
  <c r="C17" i="27"/>
  <c r="B17" i="27" s="1"/>
  <c r="AP794" i="20"/>
  <c r="AP814" i="20"/>
  <c r="X342" i="20"/>
  <c r="AS814" i="20"/>
  <c r="O52" i="22"/>
  <c r="W341" i="20"/>
  <c r="E229" i="20"/>
  <c r="E231" i="20" s="1"/>
  <c r="E233" i="20" s="1"/>
  <c r="W153" i="20"/>
  <c r="BB794" i="20"/>
  <c r="AP819" i="20"/>
  <c r="W380" i="20"/>
  <c r="W39" i="20" s="1"/>
  <c r="BH622" i="20" s="1"/>
  <c r="Y942" i="20"/>
  <c r="AP801" i="20"/>
  <c r="AS778" i="20"/>
  <c r="AS779" i="20" s="1"/>
  <c r="AS738" i="20" s="1"/>
  <c r="D42" i="22" s="1"/>
  <c r="AV836" i="20"/>
  <c r="AV838" i="20" s="1"/>
  <c r="AV839" i="20" s="1"/>
  <c r="H191" i="20"/>
  <c r="BE707" i="20"/>
  <c r="AX644" i="20"/>
  <c r="BA644" i="20"/>
  <c r="K490" i="20"/>
  <c r="K537" i="20"/>
  <c r="K442" i="20"/>
  <c r="X430" i="20"/>
  <c r="X571" i="20"/>
  <c r="Y477" i="20"/>
  <c r="X524" i="20"/>
  <c r="AX631" i="20"/>
  <c r="BA631" i="20"/>
  <c r="L42" i="22"/>
  <c r="O34" i="22"/>
  <c r="AY778" i="20"/>
  <c r="AY779" i="20" s="1"/>
  <c r="BD858" i="20"/>
  <c r="BD861" i="20" s="1"/>
  <c r="X523" i="20"/>
  <c r="X570" i="20"/>
  <c r="X429" i="20"/>
  <c r="Y476" i="20"/>
  <c r="AU601" i="20"/>
  <c r="AR601" i="20"/>
  <c r="Z371" i="20"/>
  <c r="Z361" i="20"/>
  <c r="Z353" i="20"/>
  <c r="Z357" i="20"/>
  <c r="Y354" i="20"/>
  <c r="Z331" i="20"/>
  <c r="Z317" i="20"/>
  <c r="Y314" i="20"/>
  <c r="Z313" i="20"/>
  <c r="Z321" i="20"/>
  <c r="R93" i="20"/>
  <c r="AL54" i="19" s="1"/>
  <c r="BM55" i="19" s="1"/>
  <c r="S93" i="20"/>
  <c r="BB683" i="20"/>
  <c r="I451" i="58"/>
  <c r="I363" i="23"/>
  <c r="AS819" i="20"/>
  <c r="O12" i="22"/>
  <c r="L14" i="22"/>
  <c r="L22" i="22"/>
  <c r="Q22" i="22" s="1"/>
  <c r="C21" i="27"/>
  <c r="W340" i="20"/>
  <c r="AV632" i="20"/>
  <c r="AX632" i="20" s="1"/>
  <c r="M93" i="20"/>
  <c r="I93" i="20"/>
  <c r="AJ54" i="19" s="1"/>
  <c r="P93" i="20"/>
  <c r="AS683" i="20"/>
  <c r="L83" i="22"/>
  <c r="D39" i="22"/>
  <c r="AX653" i="20"/>
  <c r="BA653" i="20"/>
  <c r="AS836" i="20"/>
  <c r="AS838" i="20" s="1"/>
  <c r="AS839" i="20" s="1"/>
  <c r="N566" i="20"/>
  <c r="N519" i="20"/>
  <c r="BB632" i="20"/>
  <c r="BD631" i="20"/>
  <c r="E219" i="21"/>
  <c r="G219" i="21" s="1"/>
  <c r="T221" i="20"/>
  <c r="BB801" i="20"/>
  <c r="R48" i="20"/>
  <c r="R47" i="20"/>
  <c r="R43" i="20"/>
  <c r="R36" i="20"/>
  <c r="R41" i="20"/>
  <c r="R42" i="20"/>
  <c r="R51" i="20"/>
  <c r="R56" i="20"/>
  <c r="R46" i="20"/>
  <c r="F81" i="22"/>
  <c r="R44" i="20"/>
  <c r="R52" i="20"/>
  <c r="R38" i="20"/>
  <c r="R59" i="20"/>
  <c r="R40" i="20"/>
  <c r="R98" i="20"/>
  <c r="R37" i="20"/>
  <c r="R57" i="20"/>
  <c r="R49" i="20"/>
  <c r="S59" i="20"/>
  <c r="R45" i="20"/>
  <c r="R54" i="20"/>
  <c r="R39" i="20"/>
  <c r="R50" i="20"/>
  <c r="R55" i="20"/>
  <c r="R53" i="20"/>
  <c r="C149" i="21"/>
  <c r="N150" i="20"/>
  <c r="AV764" i="20"/>
  <c r="AV697" i="20"/>
  <c r="AX614" i="20"/>
  <c r="BA614" i="20"/>
  <c r="BF615" i="20"/>
  <c r="BF702" i="20" s="1"/>
  <c r="V33" i="20"/>
  <c r="AV819" i="20"/>
  <c r="AV820" i="20" s="1"/>
  <c r="F59" i="20"/>
  <c r="F38" i="20"/>
  <c r="F54" i="20"/>
  <c r="F39" i="20"/>
  <c r="F98" i="20"/>
  <c r="G59" i="20"/>
  <c r="F41" i="20"/>
  <c r="F49" i="20"/>
  <c r="F46" i="20"/>
  <c r="F52" i="20"/>
  <c r="F37" i="20"/>
  <c r="J59" i="20"/>
  <c r="F47" i="20"/>
  <c r="F43" i="20"/>
  <c r="F55" i="20"/>
  <c r="F50" i="20"/>
  <c r="F53" i="20"/>
  <c r="F40" i="20"/>
  <c r="F45" i="20"/>
  <c r="B81" i="22"/>
  <c r="F56" i="20"/>
  <c r="F42" i="20"/>
  <c r="F51" i="20"/>
  <c r="F58" i="20"/>
  <c r="F44" i="20"/>
  <c r="F57" i="20"/>
  <c r="F36" i="20"/>
  <c r="F48" i="20"/>
  <c r="D29" i="22"/>
  <c r="D27" i="22"/>
  <c r="AR608" i="20"/>
  <c r="AU608" i="20"/>
  <c r="AV677" i="20"/>
  <c r="AW664" i="20"/>
  <c r="AV720" i="20"/>
  <c r="AV765" i="20"/>
  <c r="AV767" i="20" s="1"/>
  <c r="AS794" i="20"/>
  <c r="AU589" i="20"/>
  <c r="AP734" i="20"/>
  <c r="C23" i="22" s="1"/>
  <c r="AP598" i="20"/>
  <c r="AR589" i="20"/>
  <c r="AP698" i="20"/>
  <c r="F26" i="20"/>
  <c r="F21" i="20"/>
  <c r="F34" i="20"/>
  <c r="F22" i="20"/>
  <c r="F23" i="20"/>
  <c r="F18" i="20"/>
  <c r="F25" i="20"/>
  <c r="F24" i="20"/>
  <c r="F20" i="20"/>
  <c r="E35" i="20"/>
  <c r="F28" i="20"/>
  <c r="G34" i="20"/>
  <c r="B80" i="22"/>
  <c r="F31" i="20"/>
  <c r="F33" i="20"/>
  <c r="F19" i="20"/>
  <c r="F27" i="20"/>
  <c r="F32" i="20"/>
  <c r="F29" i="20"/>
  <c r="J34" i="20"/>
  <c r="F97" i="20"/>
  <c r="F30" i="20"/>
  <c r="C107" i="22"/>
  <c r="AI52" i="19"/>
  <c r="F93" i="20"/>
  <c r="AI54" i="19" s="1"/>
  <c r="G93" i="20"/>
  <c r="AP683" i="20"/>
  <c r="J93" i="20"/>
  <c r="F451" i="58"/>
  <c r="F363" i="23"/>
  <c r="V38" i="20"/>
  <c r="BG621" i="20" s="1"/>
  <c r="V263" i="20"/>
  <c r="AS735" i="20"/>
  <c r="D20" i="22" s="1"/>
  <c r="AS736" i="20"/>
  <c r="D21" i="22" s="1"/>
  <c r="BA632" i="20"/>
  <c r="AS705" i="20"/>
  <c r="BB598" i="20"/>
  <c r="AV698" i="20"/>
  <c r="AV734" i="20"/>
  <c r="E442" i="20"/>
  <c r="E490" i="20"/>
  <c r="E537" i="20"/>
  <c r="Z475" i="20"/>
  <c r="Z569" i="20"/>
  <c r="Z522" i="20"/>
  <c r="CU893" i="20"/>
  <c r="BK763" i="20"/>
  <c r="CU865" i="20"/>
  <c r="CU846" i="20"/>
  <c r="BK696" i="20"/>
  <c r="AN264" i="16"/>
  <c r="AN209" i="16"/>
  <c r="AN13" i="16" s="1"/>
  <c r="AQ237" i="16"/>
  <c r="AN291" i="16"/>
  <c r="N12" i="22"/>
  <c r="K14" i="22"/>
  <c r="K22" i="22"/>
  <c r="P22" i="22" s="1"/>
  <c r="Y327" i="20"/>
  <c r="Y323" i="20"/>
  <c r="X324" i="20"/>
  <c r="X325" i="20" s="1"/>
  <c r="BB778" i="20"/>
  <c r="BB779" i="20" s="1"/>
  <c r="BB738" i="20" s="1"/>
  <c r="X526" i="20"/>
  <c r="X573" i="20"/>
  <c r="X432" i="20"/>
  <c r="Y479" i="20"/>
  <c r="X478" i="20"/>
  <c r="X431" i="20" s="1"/>
  <c r="T70" i="22"/>
  <c r="C228" i="21"/>
  <c r="S70" i="22"/>
  <c r="K60" i="21"/>
  <c r="K219" i="21" s="1"/>
  <c r="M60" i="21"/>
  <c r="M219" i="21" s="1"/>
  <c r="L60" i="21"/>
  <c r="L219" i="21" s="1"/>
  <c r="N60" i="21"/>
  <c r="N219" i="21" s="1"/>
  <c r="R60" i="21"/>
  <c r="R219" i="21" s="1"/>
  <c r="O60" i="21"/>
  <c r="O219" i="21" s="1"/>
  <c r="J60" i="21"/>
  <c r="J219" i="21" s="1"/>
  <c r="P60" i="21"/>
  <c r="P219" i="21" s="1"/>
  <c r="Q60" i="21"/>
  <c r="Q219" i="21" s="1"/>
  <c r="G60" i="21"/>
  <c r="I60" i="21"/>
  <c r="I219" i="21" s="1"/>
  <c r="H60" i="21"/>
  <c r="H219" i="21" s="1"/>
  <c r="E10" i="19"/>
  <c r="D10" i="19"/>
  <c r="C10" i="19"/>
  <c r="H164" i="19"/>
  <c r="H71" i="19"/>
  <c r="H69" i="19"/>
  <c r="H166" i="19"/>
  <c r="H157" i="19"/>
  <c r="E110" i="19"/>
  <c r="E155" i="19"/>
  <c r="C134" i="19"/>
  <c r="E18" i="19"/>
  <c r="H53" i="19"/>
  <c r="I98" i="19"/>
  <c r="D117" i="19"/>
  <c r="E124" i="19"/>
  <c r="C9" i="19"/>
  <c r="C185" i="19" s="1"/>
  <c r="H185" i="19" s="1"/>
  <c r="I14" i="19"/>
  <c r="I11" i="19"/>
  <c r="I17" i="19"/>
  <c r="I120" i="19"/>
  <c r="C158" i="19"/>
  <c r="E20" i="19"/>
  <c r="E193" i="19" s="1"/>
  <c r="C60" i="19"/>
  <c r="C14" i="19"/>
  <c r="C188" i="19" s="1"/>
  <c r="D32" i="19"/>
  <c r="D202" i="19" s="1"/>
  <c r="E19" i="19"/>
  <c r="E192" i="19" s="1"/>
  <c r="C27" i="19"/>
  <c r="C198" i="19" s="1"/>
  <c r="I32" i="19"/>
  <c r="D220" i="19" s="1"/>
  <c r="H147" i="19"/>
  <c r="D120" i="19"/>
  <c r="D121" i="19" s="1"/>
  <c r="E53" i="19"/>
  <c r="C65" i="19"/>
  <c r="C124" i="19"/>
  <c r="C162" i="19"/>
  <c r="I23" i="19"/>
  <c r="D213" i="19" s="1"/>
  <c r="E61" i="19"/>
  <c r="I118" i="19"/>
  <c r="E15" i="19"/>
  <c r="E189" i="19" s="1"/>
  <c r="C36" i="19"/>
  <c r="C204" i="19" s="1"/>
  <c r="D22" i="19"/>
  <c r="D195" i="19" s="1"/>
  <c r="J28" i="19"/>
  <c r="E212" i="19" s="1"/>
  <c r="D110" i="19"/>
  <c r="I9" i="19"/>
  <c r="I21" i="19" s="1"/>
  <c r="I30" i="19"/>
  <c r="D219" i="19" s="1"/>
  <c r="H62" i="19"/>
  <c r="J163" i="19"/>
  <c r="J165" i="19" s="1"/>
  <c r="J167" i="19" s="1"/>
  <c r="C112" i="19"/>
  <c r="E9" i="19"/>
  <c r="E185" i="19" s="1"/>
  <c r="J185" i="19" s="1"/>
  <c r="D26" i="19"/>
  <c r="C52" i="19"/>
  <c r="H98" i="19"/>
  <c r="C157" i="19"/>
  <c r="D19" i="19"/>
  <c r="D192" i="19" s="1"/>
  <c r="H32" i="19"/>
  <c r="C220" i="19" s="1"/>
  <c r="C59" i="19"/>
  <c r="J120" i="19"/>
  <c r="H163" i="19"/>
  <c r="H116" i="19"/>
  <c r="H148" i="19"/>
  <c r="J14" i="19"/>
  <c r="E29" i="19"/>
  <c r="E200" i="19" s="1"/>
  <c r="C55" i="19"/>
  <c r="I101" i="19"/>
  <c r="C90" i="22"/>
  <c r="E117" i="19"/>
  <c r="H11" i="19"/>
  <c r="H99" i="19"/>
  <c r="J16" i="19"/>
  <c r="D29" i="19"/>
  <c r="D200" i="19" s="1"/>
  <c r="E32" i="19"/>
  <c r="E202" i="19" s="1"/>
  <c r="D107" i="19"/>
  <c r="C131" i="19"/>
  <c r="H97" i="19"/>
  <c r="E106" i="19"/>
  <c r="I129" i="19"/>
  <c r="C145" i="19"/>
  <c r="E28" i="19"/>
  <c r="E199" i="19" s="1"/>
  <c r="J53" i="19"/>
  <c r="C97" i="19"/>
  <c r="E100" i="19"/>
  <c r="E75" i="19"/>
  <c r="E102" i="19"/>
  <c r="E26" i="19"/>
  <c r="C68" i="19"/>
  <c r="C57" i="19"/>
  <c r="H81" i="19"/>
  <c r="C119" i="19"/>
  <c r="C155" i="19"/>
  <c r="I109" i="19"/>
  <c r="E103" i="19"/>
  <c r="E156" i="19"/>
  <c r="I29" i="19"/>
  <c r="E54" i="19"/>
  <c r="J98" i="19"/>
  <c r="D102" i="19"/>
  <c r="I111" i="19"/>
  <c r="E171" i="19"/>
  <c r="Q135" i="20"/>
  <c r="J11" i="19"/>
  <c r="J149" i="19"/>
  <c r="C106" i="19"/>
  <c r="D132" i="19"/>
  <c r="E162" i="19"/>
  <c r="D18" i="19"/>
  <c r="C40" i="19"/>
  <c r="C208" i="19" s="1"/>
  <c r="E71" i="19"/>
  <c r="E134" i="19"/>
  <c r="D14" i="19"/>
  <c r="D188" i="19" s="1"/>
  <c r="E131" i="19"/>
  <c r="J10" i="19"/>
  <c r="C16" i="19"/>
  <c r="C190" i="19" s="1"/>
  <c r="C26" i="19"/>
  <c r="C105" i="19"/>
  <c r="E176" i="19"/>
  <c r="J42" i="19"/>
  <c r="E157" i="19"/>
  <c r="E107" i="19"/>
  <c r="J143" i="19"/>
  <c r="E168" i="19"/>
  <c r="C21" i="19"/>
  <c r="C194" i="19" s="1"/>
  <c r="I42" i="19"/>
  <c r="C76" i="19"/>
  <c r="E145" i="19"/>
  <c r="H15" i="19"/>
  <c r="C147" i="19"/>
  <c r="D13" i="19"/>
  <c r="D187" i="19" s="1"/>
  <c r="J17" i="19"/>
  <c r="I105" i="19"/>
  <c r="I16" i="19"/>
  <c r="E51" i="19"/>
  <c r="J118" i="19"/>
  <c r="E164" i="19"/>
  <c r="H109" i="19"/>
  <c r="H129" i="19"/>
  <c r="H9" i="19"/>
  <c r="H21" i="19" s="1"/>
  <c r="D28" i="19"/>
  <c r="D199" i="19" s="1"/>
  <c r="E60" i="19"/>
  <c r="D111" i="19"/>
  <c r="J150" i="19"/>
  <c r="I10" i="19"/>
  <c r="J15" i="19"/>
  <c r="H23" i="19"/>
  <c r="C213" i="19" s="1"/>
  <c r="C70" i="19"/>
  <c r="C107" i="19"/>
  <c r="D125" i="19"/>
  <c r="E177" i="19"/>
  <c r="D118" i="19"/>
  <c r="H144" i="19"/>
  <c r="I13" i="19"/>
  <c r="D214" i="19" s="1"/>
  <c r="E31" i="19"/>
  <c r="E119" i="19"/>
  <c r="E111" i="19"/>
  <c r="D97" i="19"/>
  <c r="H105" i="19"/>
  <c r="H117" i="19"/>
  <c r="D123" i="19"/>
  <c r="E147" i="19"/>
  <c r="C154" i="19"/>
  <c r="C109" i="19"/>
  <c r="J32" i="19"/>
  <c r="E220" i="19" s="1"/>
  <c r="J68" i="19"/>
  <c r="I99" i="19"/>
  <c r="H103" i="19"/>
  <c r="J9" i="19"/>
  <c r="J21" i="19" s="1"/>
  <c r="H28" i="19"/>
  <c r="C212" i="19" s="1"/>
  <c r="H49" i="19"/>
  <c r="E22" i="19"/>
  <c r="E195" i="19" s="1"/>
  <c r="C29" i="19"/>
  <c r="C200" i="19" s="1"/>
  <c r="C168" i="19"/>
  <c r="E58" i="19"/>
  <c r="C101" i="19"/>
  <c r="H29" i="19"/>
  <c r="J147" i="19"/>
  <c r="J103" i="19"/>
  <c r="D101" i="19"/>
  <c r="E70" i="19"/>
  <c r="C58" i="19"/>
  <c r="C111" i="19"/>
  <c r="D12" i="19"/>
  <c r="J29" i="19"/>
  <c r="J52" i="19"/>
  <c r="J49" i="19"/>
  <c r="C77" i="19"/>
  <c r="J157" i="19"/>
  <c r="J104" i="19"/>
  <c r="J111" i="19"/>
  <c r="E146" i="19"/>
  <c r="C103" i="19"/>
  <c r="J144" i="19"/>
  <c r="D21" i="19"/>
  <c r="D194" i="19" s="1"/>
  <c r="C54" i="19"/>
  <c r="C100" i="19"/>
  <c r="D100" i="19"/>
  <c r="D104" i="19"/>
  <c r="BB584" i="20"/>
  <c r="J23" i="19"/>
  <c r="E213" i="19" s="1"/>
  <c r="D131" i="19"/>
  <c r="C22" i="19"/>
  <c r="C195" i="19" s="1"/>
  <c r="C113" i="19"/>
  <c r="E154" i="19"/>
  <c r="H104" i="19"/>
  <c r="E118" i="19"/>
  <c r="C156" i="19"/>
  <c r="E55" i="19"/>
  <c r="J101" i="19"/>
  <c r="C102" i="19"/>
  <c r="E105" i="19"/>
  <c r="C118" i="19"/>
  <c r="Q239" i="20"/>
  <c r="C123" i="19"/>
  <c r="E37" i="19"/>
  <c r="E205" i="19" s="1"/>
  <c r="E132" i="19"/>
  <c r="C13" i="19"/>
  <c r="C187" i="19" s="1"/>
  <c r="I103" i="19"/>
  <c r="D119" i="19"/>
  <c r="H68" i="19"/>
  <c r="E101" i="19"/>
  <c r="C12" i="19"/>
  <c r="D40" i="19"/>
  <c r="D208" i="19" s="1"/>
  <c r="E66" i="19"/>
  <c r="D105" i="19"/>
  <c r="H111" i="19"/>
  <c r="C132" i="19"/>
  <c r="N12" i="20"/>
  <c r="C28" i="19"/>
  <c r="C199" i="19" s="1"/>
  <c r="E36" i="19"/>
  <c r="E204" i="19" s="1"/>
  <c r="J105" i="19"/>
  <c r="D124" i="19"/>
  <c r="D126" i="19" s="1"/>
  <c r="E77" i="19"/>
  <c r="I104" i="19"/>
  <c r="C125" i="19"/>
  <c r="D15" i="19"/>
  <c r="D189" i="19" s="1"/>
  <c r="C51" i="19"/>
  <c r="E76" i="19"/>
  <c r="D36" i="19"/>
  <c r="D204" i="19" s="1"/>
  <c r="I37" i="19"/>
  <c r="E68" i="19"/>
  <c r="J117" i="19"/>
  <c r="E123" i="19"/>
  <c r="H14" i="19"/>
  <c r="J99" i="19"/>
  <c r="C179" i="19"/>
  <c r="I117" i="19"/>
  <c r="H150" i="19"/>
  <c r="D16" i="19"/>
  <c r="D190" i="19" s="1"/>
  <c r="D31" i="19"/>
  <c r="E57" i="19"/>
  <c r="C66" i="19"/>
  <c r="H10" i="19"/>
  <c r="I15" i="19"/>
  <c r="E175" i="19"/>
  <c r="E13" i="19"/>
  <c r="E187" i="19" s="1"/>
  <c r="C176" i="19"/>
  <c r="D113" i="19"/>
  <c r="E21" i="19"/>
  <c r="E194" i="19" s="1"/>
  <c r="C110" i="19"/>
  <c r="H143" i="19"/>
  <c r="C18" i="19"/>
  <c r="E16" i="19"/>
  <c r="E190" i="19" s="1"/>
  <c r="C37" i="19"/>
  <c r="C205" i="19" s="1"/>
  <c r="C67" i="19"/>
  <c r="C130" i="19"/>
  <c r="E12" i="19"/>
  <c r="H17" i="19"/>
  <c r="I25" i="19"/>
  <c r="J30" i="19"/>
  <c r="E219" i="19" s="1"/>
  <c r="H50" i="19"/>
  <c r="I102" i="19"/>
  <c r="C117" i="19"/>
  <c r="C164" i="19"/>
  <c r="D112" i="19"/>
  <c r="I41" i="19"/>
  <c r="D223" i="19" s="1"/>
  <c r="C79" i="19"/>
  <c r="J109" i="19"/>
  <c r="E163" i="19"/>
  <c r="C32" i="19"/>
  <c r="C202" i="19" s="1"/>
  <c r="H55" i="19"/>
  <c r="H54" i="19"/>
  <c r="J54" i="19"/>
  <c r="J81" i="19"/>
  <c r="E125" i="19"/>
  <c r="J50" i="19"/>
  <c r="D109" i="19"/>
  <c r="D103" i="19"/>
  <c r="I113" i="19"/>
  <c r="C177" i="19"/>
  <c r="E113" i="19"/>
  <c r="E59" i="19"/>
  <c r="I97" i="19"/>
  <c r="I112" i="19"/>
  <c r="E179" i="19"/>
  <c r="D37" i="19"/>
  <c r="D205" i="19" s="1"/>
  <c r="J62" i="19"/>
  <c r="J55" i="19"/>
  <c r="J56" i="19"/>
  <c r="E97" i="19"/>
  <c r="J116" i="19"/>
  <c r="H56" i="19"/>
  <c r="E79" i="19"/>
  <c r="E104" i="19"/>
  <c r="E130" i="19"/>
  <c r="C175" i="19"/>
  <c r="E27" i="19"/>
  <c r="E198" i="19" s="1"/>
  <c r="C53" i="19"/>
  <c r="C71" i="19"/>
  <c r="I125" i="19"/>
  <c r="C19" i="19"/>
  <c r="C192" i="19" s="1"/>
  <c r="E40" i="19"/>
  <c r="E208" i="19" s="1"/>
  <c r="C75" i="19"/>
  <c r="J102" i="19"/>
  <c r="H120" i="19"/>
  <c r="J13" i="19"/>
  <c r="E214" i="19" s="1"/>
  <c r="D9" i="19"/>
  <c r="D185" i="19" s="1"/>
  <c r="I185" i="19" s="1"/>
  <c r="C146" i="19"/>
  <c r="D106" i="19"/>
  <c r="C31" i="19"/>
  <c r="C61" i="19"/>
  <c r="J97" i="19"/>
  <c r="D134" i="19"/>
  <c r="I24" i="19"/>
  <c r="D215" i="19" s="1"/>
  <c r="H52" i="19"/>
  <c r="E14" i="19"/>
  <c r="E188" i="19" s="1"/>
  <c r="C20" i="19"/>
  <c r="C193" i="19" s="1"/>
  <c r="D27" i="19"/>
  <c r="D198" i="19" s="1"/>
  <c r="E65" i="19"/>
  <c r="H149" i="19"/>
  <c r="D20" i="19"/>
  <c r="D193" i="19" s="1"/>
  <c r="E67" i="19"/>
  <c r="D130" i="19"/>
  <c r="H102" i="19"/>
  <c r="E120" i="19"/>
  <c r="E121" i="19" s="1"/>
  <c r="J148" i="19"/>
  <c r="C15" i="19"/>
  <c r="C189" i="19" s="1"/>
  <c r="H16" i="19"/>
  <c r="E52" i="19"/>
  <c r="C120" i="19"/>
  <c r="C121" i="19" s="1"/>
  <c r="E109" i="19"/>
  <c r="C171" i="19"/>
  <c r="C163" i="19"/>
  <c r="C104" i="19"/>
  <c r="E112" i="19"/>
  <c r="E158" i="19"/>
  <c r="I116" i="19"/>
  <c r="H37" i="19"/>
  <c r="H101" i="19"/>
  <c r="H125" i="19"/>
  <c r="H13" i="19"/>
  <c r="C214" i="19" s="1"/>
  <c r="I28" i="19"/>
  <c r="D212" i="19" s="1"/>
  <c r="X364" i="20"/>
  <c r="Y367" i="20"/>
  <c r="Y363" i="20"/>
  <c r="C182" i="21"/>
  <c r="N191" i="20"/>
  <c r="C191" i="21" s="1"/>
  <c r="L87" i="20"/>
  <c r="K89" i="20"/>
  <c r="AP632" i="20"/>
  <c r="AR631" i="20"/>
  <c r="AU631" i="20"/>
  <c r="X154" i="20"/>
  <c r="AV743" i="20"/>
  <c r="M83" i="22" s="1"/>
  <c r="Q35" i="20"/>
  <c r="S35" i="20" s="1"/>
  <c r="R20" i="20"/>
  <c r="F80" i="22"/>
  <c r="R30" i="20"/>
  <c r="R27" i="20"/>
  <c r="R23" i="20"/>
  <c r="R33" i="20"/>
  <c r="R32" i="20"/>
  <c r="R24" i="20"/>
  <c r="R34" i="20"/>
  <c r="S34" i="20"/>
  <c r="R19" i="20"/>
  <c r="R22" i="20"/>
  <c r="R21" i="20"/>
  <c r="R25" i="20"/>
  <c r="R28" i="20"/>
  <c r="R18" i="20"/>
  <c r="R97" i="20"/>
  <c r="R29" i="20"/>
  <c r="R31" i="20"/>
  <c r="BB698" i="20"/>
  <c r="BD589" i="20"/>
  <c r="BB734" i="20"/>
  <c r="AS700" i="20"/>
  <c r="BA598" i="20"/>
  <c r="AS616" i="20"/>
  <c r="AT601" i="20" s="1"/>
  <c r="AS733" i="20"/>
  <c r="D22" i="22" s="1"/>
  <c r="J87" i="20"/>
  <c r="E89" i="20"/>
  <c r="C104" i="22" s="1"/>
  <c r="F87" i="20"/>
  <c r="G87" i="20"/>
  <c r="BA676" i="20"/>
  <c r="AT676" i="20"/>
  <c r="AX676" i="20"/>
  <c r="AR597" i="20"/>
  <c r="AU597" i="20"/>
  <c r="BG654" i="20"/>
  <c r="W66" i="20"/>
  <c r="V224" i="20"/>
  <c r="AX664" i="20"/>
  <c r="AS720" i="20"/>
  <c r="BA664" i="20"/>
  <c r="AS765" i="20"/>
  <c r="AS767" i="20" s="1"/>
  <c r="AS677" i="20"/>
  <c r="AT664" i="20"/>
  <c r="AV699" i="20"/>
  <c r="K83" i="22"/>
  <c r="C39" i="22"/>
  <c r="H347" i="20"/>
  <c r="H346" i="20" s="1"/>
  <c r="H252" i="20"/>
  <c r="BD653" i="20"/>
  <c r="BB836" i="20"/>
  <c r="BB838" i="20" s="1"/>
  <c r="BB839" i="20" s="1"/>
  <c r="AV598" i="20"/>
  <c r="AX598" i="20" s="1"/>
  <c r="H451" i="58"/>
  <c r="H363" i="23"/>
  <c r="AX611" i="20"/>
  <c r="BA611" i="20"/>
  <c r="BG657" i="20"/>
  <c r="W69" i="20"/>
  <c r="AA422" i="20"/>
  <c r="AA218" i="20"/>
  <c r="AA234" i="20" s="1"/>
  <c r="AB15" i="20"/>
  <c r="AB951" i="20" s="1"/>
  <c r="AA938" i="20"/>
  <c r="AA112" i="20"/>
  <c r="AA270" i="20"/>
  <c r="BL583" i="20"/>
  <c r="AA345" i="20"/>
  <c r="AA351" i="20"/>
  <c r="AA134" i="20"/>
  <c r="AA160" i="20" s="1"/>
  <c r="AA428" i="20"/>
  <c r="AA385" i="20"/>
  <c r="AA259" i="20"/>
  <c r="AA311" i="20"/>
  <c r="AA946" i="20"/>
  <c r="AR638" i="20"/>
  <c r="AP645" i="20"/>
  <c r="AU638" i="20"/>
  <c r="AS801" i="20"/>
  <c r="AY801" i="20"/>
  <c r="BD871" i="20"/>
  <c r="AV778" i="20"/>
  <c r="AV779" i="20" s="1"/>
  <c r="AV738" i="20" s="1"/>
  <c r="W365" i="20"/>
  <c r="BB740" i="20"/>
  <c r="BB701" i="20"/>
  <c r="BD605" i="20"/>
  <c r="AP677" i="20"/>
  <c r="AP765" i="20"/>
  <c r="AP767" i="20" s="1"/>
  <c r="AQ664" i="20"/>
  <c r="AP720" i="20"/>
  <c r="AR664" i="20"/>
  <c r="AU664" i="20"/>
  <c r="K42" i="22"/>
  <c r="N34" i="22"/>
  <c r="CA871" i="20"/>
  <c r="CE871" i="20" s="1"/>
  <c r="AY819" i="20"/>
  <c r="E191" i="20"/>
  <c r="X334" i="20"/>
  <c r="X335" i="20" s="1"/>
  <c r="Y337" i="20"/>
  <c r="Y333" i="20"/>
  <c r="CA870" i="20"/>
  <c r="CE870" i="20" s="1"/>
  <c r="BF648" i="20"/>
  <c r="V60" i="20"/>
  <c r="U219" i="20"/>
  <c r="P61" i="21"/>
  <c r="P220" i="21" s="1"/>
  <c r="O61" i="21"/>
  <c r="O220" i="21" s="1"/>
  <c r="R61" i="21"/>
  <c r="R220" i="21" s="1"/>
  <c r="N61" i="21"/>
  <c r="N220" i="21" s="1"/>
  <c r="G61" i="21"/>
  <c r="I61" i="21"/>
  <c r="I220" i="21" s="1"/>
  <c r="K61" i="21"/>
  <c r="K220" i="21" s="1"/>
  <c r="Q61" i="21"/>
  <c r="Q220" i="21" s="1"/>
  <c r="J61" i="21"/>
  <c r="J220" i="21" s="1"/>
  <c r="L61" i="21"/>
  <c r="L220" i="21" s="1"/>
  <c r="H61" i="21"/>
  <c r="H220" i="21" s="1"/>
  <c r="M61" i="21"/>
  <c r="M220" i="21" s="1"/>
  <c r="Q347" i="20"/>
  <c r="Q346" i="20" s="1"/>
  <c r="Q252" i="20"/>
  <c r="BC664" i="20"/>
  <c r="BD664" i="20"/>
  <c r="BB720" i="20"/>
  <c r="BB765" i="20"/>
  <c r="BB767" i="20" s="1"/>
  <c r="BB677" i="20"/>
  <c r="Y355" i="20"/>
  <c r="AM52" i="19"/>
  <c r="L93" i="20"/>
  <c r="AM54" i="19" s="1"/>
  <c r="AV683" i="20"/>
  <c r="AY794" i="20"/>
  <c r="BD867" i="20"/>
  <c r="AP778" i="20"/>
  <c r="AP779" i="20" s="1"/>
  <c r="AY814" i="20"/>
  <c r="AP740" i="20"/>
  <c r="K252" i="20"/>
  <c r="K347" i="20"/>
  <c r="K346" i="20" s="1"/>
  <c r="AV645" i="20"/>
  <c r="BB819" i="20"/>
  <c r="BB820" i="20" s="1"/>
  <c r="H490" i="20"/>
  <c r="H442" i="20"/>
  <c r="H537" i="20"/>
  <c r="U451" i="23"/>
  <c r="E451" i="58"/>
  <c r="E363" i="23"/>
  <c r="E347" i="20"/>
  <c r="E346" i="20" s="1"/>
  <c r="E252" i="20"/>
  <c r="T11" i="19"/>
  <c r="S96" i="19" s="1"/>
  <c r="BJ789" i="20"/>
  <c r="Z940" i="20"/>
  <c r="Z941" i="20"/>
  <c r="Z532" i="20"/>
  <c r="Z485" i="20"/>
  <c r="Z438" i="20"/>
  <c r="Z247" i="20"/>
  <c r="AX638" i="20"/>
  <c r="BA638" i="20"/>
  <c r="AS645" i="20"/>
  <c r="AR644" i="20"/>
  <c r="AU644" i="20"/>
  <c r="N230" i="20"/>
  <c r="AY836" i="20" s="1"/>
  <c r="C221" i="21"/>
  <c r="S62" i="22"/>
  <c r="T62" i="22"/>
  <c r="L26" i="20"/>
  <c r="L97" i="20"/>
  <c r="L20" i="20"/>
  <c r="L34" i="20"/>
  <c r="D80" i="22"/>
  <c r="L22" i="20"/>
  <c r="L23" i="20"/>
  <c r="L29" i="20"/>
  <c r="L24" i="20"/>
  <c r="L27" i="20"/>
  <c r="L18" i="20"/>
  <c r="K35" i="20"/>
  <c r="L30" i="20"/>
  <c r="L33" i="20"/>
  <c r="L25" i="20"/>
  <c r="L28" i="20"/>
  <c r="L21" i="20"/>
  <c r="L32" i="20"/>
  <c r="L19" i="20"/>
  <c r="L31" i="20"/>
  <c r="Q89" i="20"/>
  <c r="R87" i="20"/>
  <c r="S87" i="20"/>
  <c r="K59" i="22"/>
  <c r="N52" i="22"/>
  <c r="I22" i="20"/>
  <c r="D107" i="22"/>
  <c r="I33" i="20"/>
  <c r="I32" i="20"/>
  <c r="I19" i="20"/>
  <c r="M34" i="20"/>
  <c r="I29" i="20"/>
  <c r="I34" i="20"/>
  <c r="C80" i="22"/>
  <c r="I31" i="20"/>
  <c r="I18" i="20"/>
  <c r="P34" i="20"/>
  <c r="I20" i="20"/>
  <c r="I97" i="20"/>
  <c r="I30" i="20"/>
  <c r="H35" i="20"/>
  <c r="I21" i="20"/>
  <c r="I23" i="20"/>
  <c r="I28" i="20"/>
  <c r="I24" i="20"/>
  <c r="I27" i="20"/>
  <c r="I25" i="20"/>
  <c r="AX593" i="20"/>
  <c r="AX601" i="20"/>
  <c r="BA601" i="20"/>
  <c r="C22" i="27"/>
  <c r="AN697" i="20"/>
  <c r="AN744" i="20"/>
  <c r="AN743" i="20"/>
  <c r="X340" i="20"/>
  <c r="AS701" i="20"/>
  <c r="AX605" i="20"/>
  <c r="BA605" i="20"/>
  <c r="M87" i="20"/>
  <c r="I87" i="20"/>
  <c r="P87" i="20"/>
  <c r="H89" i="20"/>
  <c r="D104" i="22" s="1"/>
  <c r="K566" i="20"/>
  <c r="K519" i="20"/>
  <c r="BD638" i="20"/>
  <c r="BB645" i="20"/>
  <c r="AP701" i="20"/>
  <c r="AU605" i="20"/>
  <c r="AR605" i="20"/>
  <c r="V61" i="20"/>
  <c r="U220" i="20"/>
  <c r="BF649" i="20"/>
  <c r="AU614" i="20"/>
  <c r="AR614" i="20"/>
  <c r="AP727" i="20"/>
  <c r="H118" i="19" s="1"/>
  <c r="AU593" i="20"/>
  <c r="AR593" i="20"/>
  <c r="AP699" i="20"/>
  <c r="Q490" i="20"/>
  <c r="Q442" i="20"/>
  <c r="Q537" i="20"/>
  <c r="AV701" i="20"/>
  <c r="K33" i="21"/>
  <c r="J33" i="21"/>
  <c r="L33" i="21"/>
  <c r="Q33" i="21"/>
  <c r="N33" i="21"/>
  <c r="M33" i="21"/>
  <c r="H33" i="21"/>
  <c r="P33" i="21"/>
  <c r="R33" i="21"/>
  <c r="O33" i="21"/>
  <c r="I33" i="21"/>
  <c r="G33" i="21"/>
  <c r="Y373" i="20"/>
  <c r="Y154" i="20" s="1"/>
  <c r="X374" i="20"/>
  <c r="Y377" i="20"/>
  <c r="AU611" i="20"/>
  <c r="AR611" i="20"/>
  <c r="AX608" i="20"/>
  <c r="BA608" i="20"/>
  <c r="AS729" i="20"/>
  <c r="AV794" i="20"/>
  <c r="AR676" i="20"/>
  <c r="AQ676" i="20"/>
  <c r="AU676" i="20"/>
  <c r="AQ247" i="16"/>
  <c r="AN219" i="16"/>
  <c r="AN43" i="16" s="1"/>
  <c r="AN301" i="16"/>
  <c r="AN274" i="16"/>
  <c r="AA951" i="20"/>
  <c r="AY655" i="20"/>
  <c r="AE30" i="21"/>
  <c r="AE31" i="21" s="1"/>
  <c r="O15" i="21" s="1"/>
  <c r="AE29" i="21"/>
  <c r="AD32" i="21"/>
  <c r="N16" i="21" s="1"/>
  <c r="CB889" i="20"/>
  <c r="CB871" i="20"/>
  <c r="CB886" i="20"/>
  <c r="CB882" i="20"/>
  <c r="CB880" i="20"/>
  <c r="CB874" i="20"/>
  <c r="CB883" i="20"/>
  <c r="CB875" i="20"/>
  <c r="CB868" i="20"/>
  <c r="CB891" i="20"/>
  <c r="CB870" i="20"/>
  <c r="CB869" i="20"/>
  <c r="CB890" i="20"/>
  <c r="CB867" i="20"/>
  <c r="CB881" i="20"/>
  <c r="CB884" i="20"/>
  <c r="R27" i="19"/>
  <c r="CQ884" i="20"/>
  <c r="N218" i="21"/>
  <c r="N234" i="21" s="1"/>
  <c r="N112" i="21"/>
  <c r="N134" i="21"/>
  <c r="M160" i="21"/>
  <c r="M159" i="21"/>
  <c r="E83" i="22"/>
  <c r="E32" i="22"/>
  <c r="CA898" i="20"/>
  <c r="AY750" i="20"/>
  <c r="E31" i="22" s="1"/>
  <c r="G376" i="23"/>
  <c r="G367" i="58"/>
  <c r="Y65" i="20"/>
  <c r="X228" i="20"/>
  <c r="BI653" i="20"/>
  <c r="BE650" i="20"/>
  <c r="T222" i="20"/>
  <c r="E222" i="21" s="1"/>
  <c r="G222" i="21" s="1"/>
  <c r="E62" i="21"/>
  <c r="E33" i="22"/>
  <c r="Q565" i="20"/>
  <c r="Q518" i="20"/>
  <c r="X276" i="20"/>
  <c r="W305" i="20"/>
  <c r="Y272" i="20"/>
  <c r="Z271" i="20"/>
  <c r="W250" i="20"/>
  <c r="W37" i="20" s="1"/>
  <c r="BH620" i="20" s="1"/>
  <c r="X249" i="20"/>
  <c r="V49" i="20"/>
  <c r="BG633" i="20" s="1"/>
  <c r="O64" i="20"/>
  <c r="O66" i="20"/>
  <c r="O63" i="20"/>
  <c r="C67" i="21"/>
  <c r="O67" i="20"/>
  <c r="N70" i="20"/>
  <c r="C70" i="21" s="1"/>
  <c r="O62" i="20"/>
  <c r="E82" i="22"/>
  <c r="O61" i="20"/>
  <c r="O65" i="20"/>
  <c r="O60" i="20"/>
  <c r="BI788" i="20"/>
  <c r="CO884" i="20" s="1"/>
  <c r="X159" i="20"/>
  <c r="T68" i="22"/>
  <c r="S68" i="22"/>
  <c r="M69" i="22"/>
  <c r="Q227" i="20"/>
  <c r="C225" i="21"/>
  <c r="AE142" i="16"/>
  <c r="AE199" i="16"/>
  <c r="AE38" i="16" s="1"/>
  <c r="AJ38" i="16" s="1"/>
  <c r="AR40" i="16"/>
  <c r="AR30" i="16"/>
  <c r="AR18" i="16"/>
  <c r="AV12" i="16"/>
  <c r="AQ57" i="16"/>
  <c r="AQ54" i="16"/>
  <c r="AR38" i="16"/>
  <c r="AR29" i="16"/>
  <c r="AR16" i="16"/>
  <c r="AR37" i="16"/>
  <c r="AR27" i="16"/>
  <c r="AR14" i="16"/>
  <c r="AR46" i="16"/>
  <c r="AR36" i="16"/>
  <c r="AR25" i="16"/>
  <c r="AR13" i="16"/>
  <c r="AR44" i="16"/>
  <c r="AR24" i="16"/>
  <c r="AR12" i="16"/>
  <c r="AC97" i="19"/>
  <c r="AC98" i="19" s="1"/>
  <c r="AR35" i="16"/>
  <c r="AR23" i="16"/>
  <c r="AR43" i="16"/>
  <c r="AR33" i="16"/>
  <c r="AR21" i="16"/>
  <c r="AR41" i="16"/>
  <c r="AR31" i="16"/>
  <c r="AR19" i="16"/>
  <c r="AP14" i="16"/>
  <c r="AK16" i="16"/>
  <c r="AH158" i="16"/>
  <c r="AH155" i="16"/>
  <c r="AN292" i="16"/>
  <c r="AN265" i="16"/>
  <c r="AQ238" i="16"/>
  <c r="AN210" i="16"/>
  <c r="AN14" i="16" s="1"/>
  <c r="AN304" i="16"/>
  <c r="AQ250" i="16"/>
  <c r="AN277" i="16"/>
  <c r="AN222" i="16"/>
  <c r="Z99" i="19"/>
  <c r="AH21" i="16"/>
  <c r="AM16" i="16"/>
  <c r="I33" i="16"/>
  <c r="D41" i="16"/>
  <c r="AH99" i="16"/>
  <c r="AH96" i="16"/>
  <c r="AH97" i="16" s="1"/>
  <c r="AB105" i="19"/>
  <c r="AS25" i="16"/>
  <c r="AE308" i="16"/>
  <c r="AE281" i="16"/>
  <c r="AE226" i="16"/>
  <c r="AH254" i="16"/>
  <c r="AT290" i="16"/>
  <c r="AT263" i="16"/>
  <c r="AT208" i="16"/>
  <c r="AT12" i="16" s="1"/>
  <c r="AA106" i="19"/>
  <c r="AP24" i="16"/>
  <c r="AQ300" i="16"/>
  <c r="AQ273" i="16"/>
  <c r="AQ218" i="16"/>
  <c r="AQ25" i="16" s="1"/>
  <c r="AT246" i="16"/>
  <c r="AT312" i="16"/>
  <c r="AT285" i="16"/>
  <c r="AT230" i="16"/>
  <c r="AH112" i="16"/>
  <c r="AH109" i="16"/>
  <c r="AH110" i="16" s="1"/>
  <c r="AN293" i="16"/>
  <c r="AQ239" i="16"/>
  <c r="AN266" i="16"/>
  <c r="AN211" i="16"/>
  <c r="AN18" i="16" s="1"/>
  <c r="AG27" i="16"/>
  <c r="AH197" i="16"/>
  <c r="AH194" i="16"/>
  <c r="AH195" i="16" s="1"/>
  <c r="AS13" i="16"/>
  <c r="AB113" i="19"/>
  <c r="AS43" i="16"/>
  <c r="P112" i="19"/>
  <c r="P114" i="19" s="1"/>
  <c r="P116" i="19" s="1"/>
  <c r="Q115" i="19" s="1"/>
  <c r="AP23" i="16"/>
  <c r="AA103" i="19"/>
  <c r="D56" i="16"/>
  <c r="P120" i="19" s="1"/>
  <c r="I40" i="16"/>
  <c r="AN272" i="16"/>
  <c r="AN217" i="16"/>
  <c r="AN24" i="16" s="1"/>
  <c r="AN299" i="16"/>
  <c r="AQ245" i="16"/>
  <c r="AE27" i="16"/>
  <c r="AJ21" i="16"/>
  <c r="AQ240" i="16"/>
  <c r="AN294" i="16"/>
  <c r="AN267" i="16"/>
  <c r="AN212" i="16"/>
  <c r="AN19" i="16" s="1"/>
  <c r="AH168" i="16"/>
  <c r="AH169" i="16" s="1"/>
  <c r="AH171" i="16"/>
  <c r="AE309" i="16"/>
  <c r="AE282" i="16"/>
  <c r="AH255" i="16"/>
  <c r="AE227" i="16"/>
  <c r="AA101" i="19"/>
  <c r="AP18" i="16"/>
  <c r="Z111" i="19"/>
  <c r="AM30" i="16"/>
  <c r="AH184" i="16"/>
  <c r="AH181" i="16"/>
  <c r="AH182" i="16" s="1"/>
  <c r="AH122" i="16"/>
  <c r="AH123" i="16" s="1"/>
  <c r="AH125" i="16"/>
  <c r="AE156" i="16"/>
  <c r="AE200" i="16" s="1"/>
  <c r="AE49" i="16" s="1"/>
  <c r="AJ49" i="16" s="1"/>
  <c r="AN271" i="16"/>
  <c r="AN216" i="16"/>
  <c r="AN23" i="16" s="1"/>
  <c r="AN298" i="16"/>
  <c r="AQ244" i="16"/>
  <c r="Y104" i="19"/>
  <c r="Y107" i="19" s="1"/>
  <c r="Y100" i="19"/>
  <c r="AK207" i="16"/>
  <c r="AK179" i="16"/>
  <c r="AK133" i="16"/>
  <c r="AK166" i="16"/>
  <c r="AK289" i="16"/>
  <c r="AK235" i="16"/>
  <c r="AK153" i="16"/>
  <c r="J369" i="16"/>
  <c r="AK262" i="16"/>
  <c r="AK192" i="16"/>
  <c r="AK120" i="16"/>
  <c r="AK31" i="16"/>
  <c r="AP31" i="16" s="1"/>
  <c r="AK81" i="16"/>
  <c r="AK30" i="16"/>
  <c r="AK107" i="16"/>
  <c r="AK94" i="16"/>
  <c r="AK61" i="16"/>
  <c r="AK53" i="16"/>
  <c r="AK392" i="16" s="1"/>
  <c r="AN11" i="16"/>
  <c r="O423" i="16"/>
  <c r="AH138" i="16"/>
  <c r="AH135" i="16"/>
  <c r="AH136" i="16" s="1"/>
  <c r="AE201" i="16"/>
  <c r="AE140" i="16"/>
  <c r="AE37" i="16" s="1"/>
  <c r="AQ270" i="16"/>
  <c r="AT243" i="16"/>
  <c r="AQ215" i="16"/>
  <c r="AQ346" i="16" s="1"/>
  <c r="AQ297" i="16"/>
  <c r="AN51" i="16"/>
  <c r="AP51" i="16"/>
  <c r="AA102" i="19"/>
  <c r="AP19" i="16"/>
  <c r="AH83" i="16"/>
  <c r="AH86" i="16"/>
  <c r="AH229" i="16"/>
  <c r="AK257" i="16"/>
  <c r="AE84" i="16"/>
  <c r="AE141" i="16" s="1"/>
  <c r="AE48" i="16" s="1"/>
  <c r="AJ48" i="16" s="1"/>
  <c r="AG248" i="20"/>
  <c r="AE125" i="20"/>
  <c r="AE126" i="20"/>
  <c r="AF124" i="20"/>
  <c r="AG123" i="20"/>
  <c r="AF260" i="20"/>
  <c r="BR837" i="20"/>
  <c r="BR895" i="20" s="1"/>
  <c r="BR757" i="20"/>
  <c r="BS666" i="20"/>
  <c r="AH208" i="20"/>
  <c r="AI77" i="20"/>
  <c r="AG566" i="20"/>
  <c r="AG519" i="20"/>
  <c r="AH472" i="20"/>
  <c r="AG419" i="20"/>
  <c r="R126" i="21"/>
  <c r="R125" i="21"/>
  <c r="Q126" i="21"/>
  <c r="Q125" i="21"/>
  <c r="J129" i="19" l="1"/>
  <c r="J80" i="19"/>
  <c r="T346" i="20"/>
  <c r="U346" i="20" s="1"/>
  <c r="H42" i="19"/>
  <c r="V504" i="20"/>
  <c r="V459" i="20"/>
  <c r="V506" i="20" s="1"/>
  <c r="H175" i="19"/>
  <c r="V404" i="20"/>
  <c r="V458" i="20"/>
  <c r="V405" i="20" s="1"/>
  <c r="V551" i="20"/>
  <c r="BA52" i="19"/>
  <c r="AQ52" i="19" s="1"/>
  <c r="J175" i="19"/>
  <c r="V470" i="20"/>
  <c r="V417" i="20" s="1"/>
  <c r="U417" i="20"/>
  <c r="U553" i="20"/>
  <c r="U509" i="20"/>
  <c r="V501" i="20"/>
  <c r="U558" i="20"/>
  <c r="V548" i="20"/>
  <c r="W454" i="20"/>
  <c r="W401" i="20" s="1"/>
  <c r="U505" i="20"/>
  <c r="U409" i="20"/>
  <c r="U90" i="20" s="1"/>
  <c r="V462" i="20"/>
  <c r="V556" i="20" s="1"/>
  <c r="U411" i="20"/>
  <c r="V464" i="20"/>
  <c r="V511" i="20" s="1"/>
  <c r="T92" i="20"/>
  <c r="BE682" i="20" s="1"/>
  <c r="T442" i="20"/>
  <c r="T252" i="20"/>
  <c r="U277" i="20"/>
  <c r="U264" i="20"/>
  <c r="T265" i="20"/>
  <c r="V456" i="20"/>
  <c r="V503" i="20" s="1"/>
  <c r="U503" i="20"/>
  <c r="U405" i="20"/>
  <c r="U403" i="20"/>
  <c r="J70" i="19"/>
  <c r="J72" i="19" s="1"/>
  <c r="J119" i="19"/>
  <c r="J121" i="19" s="1"/>
  <c r="V505" i="20"/>
  <c r="V553" i="20"/>
  <c r="V406" i="20"/>
  <c r="W459" i="20"/>
  <c r="W470" i="20"/>
  <c r="V561" i="20"/>
  <c r="V514" i="20"/>
  <c r="V414" i="20"/>
  <c r="W467" i="20"/>
  <c r="V563" i="20"/>
  <c r="V416" i="20"/>
  <c r="W469" i="20"/>
  <c r="V516" i="20"/>
  <c r="C18" i="22"/>
  <c r="AP738" i="20"/>
  <c r="C42" i="22" s="1"/>
  <c r="CH890" i="20"/>
  <c r="W395" i="20"/>
  <c r="X448" i="20"/>
  <c r="W495" i="20"/>
  <c r="W542" i="20"/>
  <c r="V562" i="20"/>
  <c r="W468" i="20"/>
  <c r="V415" i="20"/>
  <c r="V515" i="20"/>
  <c r="U559" i="20"/>
  <c r="V465" i="20"/>
  <c r="U412" i="20"/>
  <c r="U31" i="20" s="1"/>
  <c r="U512" i="20"/>
  <c r="BE674" i="20"/>
  <c r="E85" i="21"/>
  <c r="BE675" i="20"/>
  <c r="E86" i="21"/>
  <c r="U410" i="20"/>
  <c r="U30" i="20" s="1"/>
  <c r="U557" i="20"/>
  <c r="U510" i="20"/>
  <c r="V463" i="20"/>
  <c r="T397" i="20"/>
  <c r="U450" i="20"/>
  <c r="T497" i="20"/>
  <c r="T544" i="20"/>
  <c r="D18" i="22"/>
  <c r="AV719" i="20"/>
  <c r="AV747" i="20"/>
  <c r="M82" i="22" s="1"/>
  <c r="U549" i="20"/>
  <c r="U502" i="20"/>
  <c r="U402" i="20"/>
  <c r="V455" i="20"/>
  <c r="E81" i="21"/>
  <c r="BE670" i="20"/>
  <c r="BE804" i="20" s="1"/>
  <c r="T175" i="20"/>
  <c r="E175" i="21" s="1"/>
  <c r="G175" i="21" s="1"/>
  <c r="BE625" i="20"/>
  <c r="E42" i="21"/>
  <c r="L28" i="21"/>
  <c r="G28" i="21"/>
  <c r="K28" i="21"/>
  <c r="H28" i="21"/>
  <c r="N28" i="21"/>
  <c r="Q28" i="21"/>
  <c r="P28" i="21"/>
  <c r="O28" i="21"/>
  <c r="R28" i="21"/>
  <c r="J28" i="21"/>
  <c r="M28" i="21"/>
  <c r="I28" i="21"/>
  <c r="V466" i="20"/>
  <c r="U413" i="20"/>
  <c r="U513" i="20"/>
  <c r="U560" i="20"/>
  <c r="W504" i="20"/>
  <c r="X457" i="20"/>
  <c r="W404" i="20"/>
  <c r="W551" i="20"/>
  <c r="E31" i="21"/>
  <c r="BE609" i="20"/>
  <c r="BE611" i="20" s="1"/>
  <c r="V394" i="20"/>
  <c r="W447" i="20"/>
  <c r="V494" i="20"/>
  <c r="V541" i="20"/>
  <c r="V500" i="20"/>
  <c r="V547" i="20"/>
  <c r="V400" i="20"/>
  <c r="W453" i="20"/>
  <c r="W439" i="20"/>
  <c r="V386" i="20"/>
  <c r="V71" i="20" s="1"/>
  <c r="V533" i="20"/>
  <c r="V486" i="20"/>
  <c r="T195" i="20"/>
  <c r="E195" i="21" s="1"/>
  <c r="G195" i="21" s="1"/>
  <c r="BE680" i="20"/>
  <c r="E90" i="21"/>
  <c r="V539" i="20"/>
  <c r="V392" i="20"/>
  <c r="V492" i="20"/>
  <c r="W445" i="20"/>
  <c r="E84" i="21"/>
  <c r="BE673" i="20"/>
  <c r="BE807" i="20" s="1"/>
  <c r="T178" i="20"/>
  <c r="E178" i="21" s="1"/>
  <c r="G178" i="21" s="1"/>
  <c r="BE672" i="20"/>
  <c r="BE806" i="20" s="1"/>
  <c r="T177" i="20"/>
  <c r="E177" i="21" s="1"/>
  <c r="G177" i="21" s="1"/>
  <c r="E83" i="21"/>
  <c r="K71" i="21"/>
  <c r="P71" i="21"/>
  <c r="N71" i="21"/>
  <c r="G71" i="21"/>
  <c r="I71" i="21"/>
  <c r="J71" i="21"/>
  <c r="L71" i="21"/>
  <c r="H71" i="21"/>
  <c r="Q71" i="21"/>
  <c r="M71" i="21"/>
  <c r="R71" i="21"/>
  <c r="O71" i="21"/>
  <c r="T94" i="20"/>
  <c r="E94" i="21" s="1"/>
  <c r="E29" i="21"/>
  <c r="T192" i="20"/>
  <c r="BE603" i="20"/>
  <c r="BE821" i="20" s="1"/>
  <c r="BB747" i="20"/>
  <c r="O82" i="22" s="1"/>
  <c r="BB719" i="20"/>
  <c r="E92" i="21"/>
  <c r="V491" i="20"/>
  <c r="W444" i="20"/>
  <c r="V391" i="20"/>
  <c r="V538" i="20"/>
  <c r="BE713" i="20"/>
  <c r="CC848" i="20"/>
  <c r="T182" i="20"/>
  <c r="E182" i="21" s="1"/>
  <c r="G182" i="21" s="1"/>
  <c r="E95" i="21"/>
  <c r="W446" i="20"/>
  <c r="V393" i="20"/>
  <c r="V540" i="20"/>
  <c r="V493" i="20"/>
  <c r="V534" i="20"/>
  <c r="V487" i="20"/>
  <c r="W440" i="20"/>
  <c r="V387" i="20"/>
  <c r="V507" i="20"/>
  <c r="V407" i="20"/>
  <c r="V28" i="20" s="1"/>
  <c r="W460" i="20"/>
  <c r="V554" i="20"/>
  <c r="BE681" i="20"/>
  <c r="E91" i="21"/>
  <c r="U83" i="20"/>
  <c r="U82" i="20"/>
  <c r="U923" i="20"/>
  <c r="U72" i="20"/>
  <c r="U73" i="20" s="1"/>
  <c r="U81" i="20"/>
  <c r="BF660" i="20"/>
  <c r="U42" i="20"/>
  <c r="BF625" i="20" s="1"/>
  <c r="U86" i="20"/>
  <c r="BF675" i="20" s="1"/>
  <c r="U85" i="20"/>
  <c r="BF674" i="20" s="1"/>
  <c r="U74" i="20"/>
  <c r="U19" i="20"/>
  <c r="U84" i="20"/>
  <c r="E72" i="21"/>
  <c r="T21" i="20"/>
  <c r="T44" i="20"/>
  <c r="T23" i="20"/>
  <c r="T40" i="20"/>
  <c r="BE661" i="20"/>
  <c r="BE662" i="20" s="1"/>
  <c r="BE716" i="20" s="1"/>
  <c r="E30" i="21"/>
  <c r="BE606" i="20"/>
  <c r="T187" i="20"/>
  <c r="E187" i="21" s="1"/>
  <c r="G187" i="21" s="1"/>
  <c r="AS719" i="20"/>
  <c r="AS747" i="20"/>
  <c r="L82" i="22" s="1"/>
  <c r="O14" i="22"/>
  <c r="Q14" i="22"/>
  <c r="V535" i="20"/>
  <c r="V488" i="20"/>
  <c r="V388" i="20"/>
  <c r="W441" i="20"/>
  <c r="U95" i="20"/>
  <c r="U182" i="20" s="1"/>
  <c r="BF602" i="20"/>
  <c r="V396" i="20"/>
  <c r="V543" i="20"/>
  <c r="W449" i="20"/>
  <c r="V496" i="20"/>
  <c r="T73" i="20"/>
  <c r="T142" i="20"/>
  <c r="E142" i="21" s="1"/>
  <c r="G142" i="21" s="1"/>
  <c r="CI73" i="19"/>
  <c r="T20" i="20"/>
  <c r="BE587" i="20"/>
  <c r="E19" i="21"/>
  <c r="T176" i="20"/>
  <c r="E176" i="21" s="1"/>
  <c r="G176" i="21" s="1"/>
  <c r="BE671" i="20"/>
  <c r="E82" i="21"/>
  <c r="BE663" i="20"/>
  <c r="CC851" i="20" s="1"/>
  <c r="CE851" i="20" s="1"/>
  <c r="T46" i="20"/>
  <c r="T41" i="20"/>
  <c r="E74" i="21"/>
  <c r="BE685" i="20"/>
  <c r="BE811" i="20" s="1"/>
  <c r="CC870" i="20" s="1"/>
  <c r="U508" i="20"/>
  <c r="V461" i="20"/>
  <c r="U408" i="20"/>
  <c r="U29" i="20" s="1"/>
  <c r="U555" i="20"/>
  <c r="N14" i="22"/>
  <c r="P14" i="22"/>
  <c r="AP719" i="20"/>
  <c r="AP747" i="20"/>
  <c r="K82" i="22" s="1"/>
  <c r="C109" i="22"/>
  <c r="C43" i="22" s="1"/>
  <c r="E230" i="20"/>
  <c r="AP836" i="20" s="1"/>
  <c r="AP838" i="20" s="1"/>
  <c r="AP839" i="20" s="1"/>
  <c r="O59" i="22"/>
  <c r="Q56" i="22"/>
  <c r="Q49" i="22"/>
  <c r="Q59" i="22"/>
  <c r="Q48" i="22"/>
  <c r="Q54" i="22"/>
  <c r="Q50" i="22"/>
  <c r="Q53" i="22"/>
  <c r="Q52" i="22"/>
  <c r="D37" i="22" s="1"/>
  <c r="Q55" i="22"/>
  <c r="Q58" i="22"/>
  <c r="Q45" i="22"/>
  <c r="Q57" i="22"/>
  <c r="Q51" i="22"/>
  <c r="Q47" i="22"/>
  <c r="H145" i="19"/>
  <c r="H151" i="19" s="1"/>
  <c r="AS820" i="20"/>
  <c r="C38" i="19"/>
  <c r="C206" i="19" s="1"/>
  <c r="I119" i="19"/>
  <c r="I121" i="19" s="1"/>
  <c r="H165" i="19"/>
  <c r="H167" i="19" s="1"/>
  <c r="H70" i="19"/>
  <c r="H72" i="19" s="1"/>
  <c r="D127" i="19"/>
  <c r="E172" i="19"/>
  <c r="E72" i="19"/>
  <c r="AP820" i="20"/>
  <c r="Z942" i="20"/>
  <c r="AB955" i="20"/>
  <c r="AB958" i="20" s="1"/>
  <c r="C126" i="19"/>
  <c r="C127" i="19" s="1"/>
  <c r="E207" i="20"/>
  <c r="E209" i="20" s="1"/>
  <c r="E210" i="20" s="1"/>
  <c r="E232" i="20"/>
  <c r="E126" i="19"/>
  <c r="E127" i="19" s="1"/>
  <c r="AP769" i="20"/>
  <c r="AP770" i="20" s="1"/>
  <c r="AP780" i="20" s="1"/>
  <c r="AP786" i="20" s="1"/>
  <c r="E140" i="20"/>
  <c r="E141" i="20" s="1"/>
  <c r="E151" i="20" s="1"/>
  <c r="AY820" i="20"/>
  <c r="Y342" i="20"/>
  <c r="E38" i="19"/>
  <c r="D38" i="19"/>
  <c r="D206" i="19" s="1"/>
  <c r="X341" i="20"/>
  <c r="D114" i="19"/>
  <c r="AY838" i="20"/>
  <c r="AY839" i="20" s="1"/>
  <c r="BD894" i="20"/>
  <c r="BD896" i="20" s="1"/>
  <c r="AQ301" i="16"/>
  <c r="AQ274" i="16"/>
  <c r="AQ219" i="16"/>
  <c r="AQ43" i="16" s="1"/>
  <c r="AT247" i="16"/>
  <c r="W61" i="20"/>
  <c r="BG649" i="20"/>
  <c r="V220" i="20"/>
  <c r="BB706" i="20"/>
  <c r="BB646" i="20"/>
  <c r="BC645" i="20" s="1"/>
  <c r="BD645" i="20"/>
  <c r="AV746" i="20"/>
  <c r="AV744" i="20"/>
  <c r="AW683" i="20"/>
  <c r="U221" i="20"/>
  <c r="U230" i="20" s="1"/>
  <c r="AA569" i="20"/>
  <c r="AA522" i="20"/>
  <c r="AA475" i="20"/>
  <c r="CX846" i="20"/>
  <c r="BL696" i="20"/>
  <c r="BL763" i="20"/>
  <c r="CX893" i="20"/>
  <c r="CX865" i="20"/>
  <c r="AB351" i="20"/>
  <c r="AB428" i="20"/>
  <c r="AB311" i="20"/>
  <c r="AC15" i="20"/>
  <c r="AC955" i="20" s="1"/>
  <c r="AC958" i="20" s="1"/>
  <c r="AB345" i="20"/>
  <c r="AB938" i="20"/>
  <c r="AB422" i="20"/>
  <c r="AB218" i="20"/>
  <c r="AB234" i="20" s="1"/>
  <c r="AB112" i="20"/>
  <c r="BM583" i="20"/>
  <c r="AB259" i="20"/>
  <c r="AB270" i="20"/>
  <c r="AB134" i="20"/>
  <c r="AB160" i="20" s="1"/>
  <c r="AB385" i="20"/>
  <c r="AS679" i="20"/>
  <c r="AS721" i="20" s="1"/>
  <c r="AT677" i="20"/>
  <c r="AX677" i="20"/>
  <c r="BA677" i="20"/>
  <c r="Y382" i="20"/>
  <c r="C211" i="19"/>
  <c r="H12" i="19"/>
  <c r="H18" i="19" s="1"/>
  <c r="C216" i="19" s="1"/>
  <c r="D201" i="19"/>
  <c r="D33" i="19"/>
  <c r="C186" i="19"/>
  <c r="C17" i="19"/>
  <c r="E159" i="19"/>
  <c r="J31" i="19"/>
  <c r="J33" i="19" s="1"/>
  <c r="E218" i="19"/>
  <c r="C172" i="19"/>
  <c r="H119" i="19"/>
  <c r="H121" i="19" s="1"/>
  <c r="D211" i="19"/>
  <c r="I12" i="19"/>
  <c r="I18" i="19" s="1"/>
  <c r="D216" i="19" s="1"/>
  <c r="C62" i="19"/>
  <c r="D197" i="19"/>
  <c r="D203" i="19" s="1"/>
  <c r="D30" i="19"/>
  <c r="D34" i="19" s="1"/>
  <c r="C69" i="19"/>
  <c r="I221" i="21"/>
  <c r="I230" i="21" s="1"/>
  <c r="I207" i="21" s="1"/>
  <c r="I209" i="21" s="1"/>
  <c r="J221" i="21"/>
  <c r="J230" i="21" s="1"/>
  <c r="J207" i="21" s="1"/>
  <c r="J209" i="21" s="1"/>
  <c r="L221" i="21"/>
  <c r="L230" i="21" s="1"/>
  <c r="L207" i="21" s="1"/>
  <c r="L209" i="21" s="1"/>
  <c r="E536" i="20"/>
  <c r="E489" i="20"/>
  <c r="BB616" i="20"/>
  <c r="BC598" i="20" s="1"/>
  <c r="BD598" i="20"/>
  <c r="BB733" i="20"/>
  <c r="BB700" i="20"/>
  <c r="F366" i="23"/>
  <c r="H64" i="20"/>
  <c r="F363" i="58"/>
  <c r="F461" i="23"/>
  <c r="W33" i="20"/>
  <c r="BG615" i="20"/>
  <c r="BG702" i="20" s="1"/>
  <c r="AW757" i="20"/>
  <c r="AW745" i="20"/>
  <c r="BB744" i="20"/>
  <c r="BD683" i="20"/>
  <c r="BC683" i="20"/>
  <c r="BB746" i="20"/>
  <c r="Q36" i="22"/>
  <c r="Q37" i="22"/>
  <c r="O42" i="22"/>
  <c r="Q31" i="22"/>
  <c r="Q30" i="22"/>
  <c r="Q42" i="22"/>
  <c r="Q29" i="22"/>
  <c r="Q41" i="22"/>
  <c r="Q38" i="22"/>
  <c r="Q34" i="22"/>
  <c r="Q40" i="22"/>
  <c r="Q39" i="22"/>
  <c r="Q35" i="22"/>
  <c r="Q33" i="22"/>
  <c r="Q32" i="22"/>
  <c r="Z477" i="20"/>
  <c r="Y524" i="20"/>
  <c r="Y571" i="20"/>
  <c r="Y430" i="20"/>
  <c r="Q489" i="20"/>
  <c r="Q536" i="20"/>
  <c r="M35" i="20"/>
  <c r="P35" i="20"/>
  <c r="AX645" i="20"/>
  <c r="AS646" i="20"/>
  <c r="AS706" i="20"/>
  <c r="BA645" i="20"/>
  <c r="BB679" i="20"/>
  <c r="BB721" i="20" s="1"/>
  <c r="BD677" i="20"/>
  <c r="BC677" i="20"/>
  <c r="V219" i="20"/>
  <c r="W60" i="20"/>
  <c r="BG648" i="20"/>
  <c r="BG707" i="20" s="1"/>
  <c r="P40" i="22"/>
  <c r="P35" i="22"/>
  <c r="N42" i="22"/>
  <c r="P37" i="22"/>
  <c r="P32" i="22"/>
  <c r="P33" i="22"/>
  <c r="P36" i="22"/>
  <c r="P41" i="22"/>
  <c r="P30" i="22"/>
  <c r="P31" i="22"/>
  <c r="P38" i="22"/>
  <c r="P29" i="22"/>
  <c r="P42" i="22"/>
  <c r="P39" i="22"/>
  <c r="P34" i="22"/>
  <c r="X365" i="20"/>
  <c r="W381" i="20"/>
  <c r="W51" i="20" s="1"/>
  <c r="BH635" i="20" s="1"/>
  <c r="AA313" i="20"/>
  <c r="AA321" i="20"/>
  <c r="AA331" i="20"/>
  <c r="AA317" i="20"/>
  <c r="Z314" i="20"/>
  <c r="AU632" i="20"/>
  <c r="AP736" i="20"/>
  <c r="C21" i="22" s="1"/>
  <c r="AP705" i="20"/>
  <c r="AR632" i="20"/>
  <c r="AP735" i="20"/>
  <c r="C20" i="22" s="1"/>
  <c r="E69" i="19"/>
  <c r="E186" i="19"/>
  <c r="E17" i="19"/>
  <c r="C56" i="19"/>
  <c r="D108" i="19"/>
  <c r="D17" i="19"/>
  <c r="D186" i="19"/>
  <c r="C218" i="19"/>
  <c r="C72" i="19"/>
  <c r="C197" i="19"/>
  <c r="C30" i="19"/>
  <c r="D191" i="19"/>
  <c r="D23" i="19"/>
  <c r="D218" i="19"/>
  <c r="I31" i="19"/>
  <c r="I33" i="19" s="1"/>
  <c r="E108" i="19"/>
  <c r="C153" i="19"/>
  <c r="E122" i="19"/>
  <c r="E191" i="19"/>
  <c r="E23" i="19"/>
  <c r="O221" i="21"/>
  <c r="O230" i="21" s="1"/>
  <c r="O207" i="21" s="1"/>
  <c r="O209" i="21" s="1"/>
  <c r="M221" i="21"/>
  <c r="M230" i="21" s="1"/>
  <c r="M207" i="21" s="1"/>
  <c r="M209" i="21" s="1"/>
  <c r="X572" i="20"/>
  <c r="Y572" i="20" s="1"/>
  <c r="Z572" i="20" s="1"/>
  <c r="AA572" i="20" s="1"/>
  <c r="AB572" i="20" s="1"/>
  <c r="AC572" i="20" s="1"/>
  <c r="AD572" i="20" s="1"/>
  <c r="AE572" i="20" s="1"/>
  <c r="AF572" i="20" s="1"/>
  <c r="AG572" i="20" s="1"/>
  <c r="AH572" i="20" s="1"/>
  <c r="AI572" i="20" s="1"/>
  <c r="U11" i="19"/>
  <c r="T96" i="19" s="1"/>
  <c r="BK789" i="20"/>
  <c r="AP744" i="20"/>
  <c r="C112" i="22"/>
  <c r="AU683" i="20"/>
  <c r="AQ683" i="20"/>
  <c r="AP746" i="20"/>
  <c r="AR683" i="20"/>
  <c r="Z327" i="20"/>
  <c r="Y324" i="20"/>
  <c r="Z323" i="20"/>
  <c r="Y334" i="20"/>
  <c r="Y335" i="20" s="1"/>
  <c r="Z333" i="20"/>
  <c r="Z337" i="20"/>
  <c r="Z367" i="20"/>
  <c r="Z363" i="20"/>
  <c r="Y364" i="20"/>
  <c r="Y365" i="20" s="1"/>
  <c r="Y523" i="20"/>
  <c r="Y570" i="20"/>
  <c r="Z476" i="20"/>
  <c r="Y429" i="20"/>
  <c r="C26" i="22"/>
  <c r="AP729" i="20"/>
  <c r="M89" i="20"/>
  <c r="P89" i="20"/>
  <c r="I89" i="20"/>
  <c r="AJ60" i="19" s="1"/>
  <c r="C78" i="22"/>
  <c r="R89" i="20"/>
  <c r="AL60" i="19" s="1"/>
  <c r="BM61" i="19" s="1"/>
  <c r="F78" i="22"/>
  <c r="S89" i="20"/>
  <c r="N207" i="20"/>
  <c r="C230" i="21"/>
  <c r="BF707" i="20"/>
  <c r="Z354" i="20"/>
  <c r="Z355" i="20" s="1"/>
  <c r="AA361" i="20"/>
  <c r="AA353" i="20"/>
  <c r="AA371" i="20"/>
  <c r="AA357" i="20"/>
  <c r="AV700" i="20"/>
  <c r="AV616" i="20"/>
  <c r="AX616" i="20" s="1"/>
  <c r="X66" i="20"/>
  <c r="BH654" i="20"/>
  <c r="W224" i="20"/>
  <c r="D78" i="22"/>
  <c r="L89" i="20"/>
  <c r="AM60" i="19" s="1"/>
  <c r="BJ783" i="20"/>
  <c r="C201" i="19"/>
  <c r="C33" i="19"/>
  <c r="C191" i="19"/>
  <c r="C23" i="19"/>
  <c r="N241" i="20"/>
  <c r="E241" i="20"/>
  <c r="C241" i="20"/>
  <c r="H241" i="20"/>
  <c r="Q241" i="20"/>
  <c r="BB743" i="20"/>
  <c r="BB764" i="20"/>
  <c r="BB697" i="20"/>
  <c r="C108" i="19"/>
  <c r="J67" i="19"/>
  <c r="J51" i="19"/>
  <c r="J57" i="19" s="1"/>
  <c r="J162" i="19"/>
  <c r="C114" i="19"/>
  <c r="E201" i="19"/>
  <c r="E33" i="19"/>
  <c r="E56" i="19"/>
  <c r="E153" i="19"/>
  <c r="E167" i="19"/>
  <c r="E30" i="19"/>
  <c r="E34" i="19" s="1"/>
  <c r="E197" i="19"/>
  <c r="H100" i="19"/>
  <c r="H106" i="19" s="1"/>
  <c r="C167" i="19"/>
  <c r="D122" i="19"/>
  <c r="Q221" i="21"/>
  <c r="Q230" i="21" s="1"/>
  <c r="Q207" i="21" s="1"/>
  <c r="Q209" i="21" s="1"/>
  <c r="R221" i="21"/>
  <c r="R230" i="21" s="1"/>
  <c r="R207" i="21" s="1"/>
  <c r="R209" i="21" s="1"/>
  <c r="K221" i="21"/>
  <c r="K230" i="21" s="1"/>
  <c r="K207" i="21" s="1"/>
  <c r="K209" i="21" s="1"/>
  <c r="X525" i="20"/>
  <c r="Y525" i="20" s="1"/>
  <c r="Z525" i="20" s="1"/>
  <c r="AA525" i="20" s="1"/>
  <c r="AB525" i="20" s="1"/>
  <c r="AC525" i="20" s="1"/>
  <c r="AD525" i="20" s="1"/>
  <c r="AE525" i="20" s="1"/>
  <c r="AF525" i="20" s="1"/>
  <c r="AG525" i="20" s="1"/>
  <c r="AH525" i="20" s="1"/>
  <c r="AI525" i="20" s="1"/>
  <c r="X261" i="20"/>
  <c r="BI782" i="20" s="1"/>
  <c r="CO882" i="20" s="1"/>
  <c r="CT882" i="20" s="1"/>
  <c r="V50" i="20"/>
  <c r="BG634" i="20" s="1"/>
  <c r="CI890" i="20" s="1"/>
  <c r="CK890" i="20" s="1"/>
  <c r="W262" i="20"/>
  <c r="G35" i="20"/>
  <c r="J35" i="20"/>
  <c r="AV679" i="20"/>
  <c r="AV721" i="20" s="1"/>
  <c r="AW677" i="20"/>
  <c r="C150" i="21"/>
  <c r="AY740" i="20"/>
  <c r="BB705" i="20"/>
  <c r="BB736" i="20"/>
  <c r="BB735" i="20"/>
  <c r="BD632" i="20"/>
  <c r="O22" i="22"/>
  <c r="L24" i="22"/>
  <c r="K64" i="20"/>
  <c r="I366" i="23"/>
  <c r="I461" i="23"/>
  <c r="I363" i="58"/>
  <c r="BE55" i="19"/>
  <c r="AR54" i="19" s="1"/>
  <c r="BI55" i="19"/>
  <c r="AS54" i="19" s="1"/>
  <c r="BA55" i="19"/>
  <c r="AQ54" i="19" s="1"/>
  <c r="AW55" i="19"/>
  <c r="AP54" i="19" s="1"/>
  <c r="AT54" i="19" s="1"/>
  <c r="AU54" i="19" s="1"/>
  <c r="Y374" i="20"/>
  <c r="Z377" i="20"/>
  <c r="Z373" i="20"/>
  <c r="CA869" i="20"/>
  <c r="AY738" i="20"/>
  <c r="E42" i="22" s="1"/>
  <c r="X375" i="20"/>
  <c r="P50" i="22"/>
  <c r="P53" i="22"/>
  <c r="P51" i="22"/>
  <c r="P48" i="22"/>
  <c r="P59" i="22"/>
  <c r="P49" i="22"/>
  <c r="N59" i="22"/>
  <c r="P56" i="22"/>
  <c r="P58" i="22"/>
  <c r="P45" i="22"/>
  <c r="P54" i="22"/>
  <c r="P46" i="22"/>
  <c r="P52" i="22"/>
  <c r="C37" i="22" s="1"/>
  <c r="P57" i="22"/>
  <c r="P47" i="22"/>
  <c r="P55" i="22"/>
  <c r="U363" i="23"/>
  <c r="E461" i="23"/>
  <c r="E366" i="23"/>
  <c r="E64" i="20"/>
  <c r="E363" i="58"/>
  <c r="H536" i="20"/>
  <c r="H489" i="20"/>
  <c r="AV706" i="20"/>
  <c r="AV646" i="20"/>
  <c r="AW645" i="20" s="1"/>
  <c r="CA876" i="20"/>
  <c r="X380" i="20"/>
  <c r="X39" i="20" s="1"/>
  <c r="BI622" i="20" s="1"/>
  <c r="AQ677" i="20"/>
  <c r="AP679" i="20"/>
  <c r="AP721" i="20" s="1"/>
  <c r="AR677" i="20"/>
  <c r="AU677" i="20"/>
  <c r="AP706" i="20"/>
  <c r="AR645" i="20"/>
  <c r="AP646" i="20"/>
  <c r="AU645" i="20"/>
  <c r="AB946" i="20"/>
  <c r="AA247" i="20"/>
  <c r="AA532" i="20"/>
  <c r="AA485" i="20"/>
  <c r="AA438" i="20"/>
  <c r="AA941" i="20"/>
  <c r="AA940" i="20"/>
  <c r="BH657" i="20"/>
  <c r="X69" i="20"/>
  <c r="H366" i="23"/>
  <c r="H467" i="23" s="1"/>
  <c r="H461" i="23"/>
  <c r="Q64" i="20"/>
  <c r="H363" i="58"/>
  <c r="B78" i="22"/>
  <c r="J89" i="20"/>
  <c r="G89" i="20"/>
  <c r="F89" i="20"/>
  <c r="AI60" i="19" s="1"/>
  <c r="AT614" i="20"/>
  <c r="AT587" i="20"/>
  <c r="AT616" i="20"/>
  <c r="AT591" i="20"/>
  <c r="AS703" i="20"/>
  <c r="AT593" i="20"/>
  <c r="AT609" i="20"/>
  <c r="AT589" i="20"/>
  <c r="AT608" i="20"/>
  <c r="AS617" i="20"/>
  <c r="AT594" i="20"/>
  <c r="AT613" i="20"/>
  <c r="AT603" i="20"/>
  <c r="AT615" i="20"/>
  <c r="AT597" i="20"/>
  <c r="AT612" i="20"/>
  <c r="AT592" i="20"/>
  <c r="AT595" i="20"/>
  <c r="AT604" i="20"/>
  <c r="AT605" i="20"/>
  <c r="BA616" i="20"/>
  <c r="AT611" i="20"/>
  <c r="AT600" i="20"/>
  <c r="AS751" i="20"/>
  <c r="AT590" i="20"/>
  <c r="AT606" i="20"/>
  <c r="AT607" i="20"/>
  <c r="AT598" i="20"/>
  <c r="AT588" i="20"/>
  <c r="AT599" i="20"/>
  <c r="AT602" i="20"/>
  <c r="AT596" i="20"/>
  <c r="AT586" i="20"/>
  <c r="AT610" i="20"/>
  <c r="E114" i="19"/>
  <c r="C122" i="19"/>
  <c r="E62" i="19"/>
  <c r="H51" i="19"/>
  <c r="H57" i="19" s="1"/>
  <c r="C159" i="19"/>
  <c r="J145" i="19"/>
  <c r="J151" i="19" s="1"/>
  <c r="J12" i="19"/>
  <c r="J18" i="19" s="1"/>
  <c r="E216" i="19" s="1"/>
  <c r="E211" i="19"/>
  <c r="J100" i="19"/>
  <c r="J106" i="19" s="1"/>
  <c r="H30" i="19"/>
  <c r="C219" i="19" s="1"/>
  <c r="I100" i="19"/>
  <c r="I106" i="19" s="1"/>
  <c r="H76" i="19"/>
  <c r="H171" i="19"/>
  <c r="H221" i="21"/>
  <c r="H230" i="21" s="1"/>
  <c r="H207" i="21" s="1"/>
  <c r="H209" i="21" s="1"/>
  <c r="P221" i="21"/>
  <c r="P230" i="21" s="1"/>
  <c r="P207" i="21" s="1"/>
  <c r="P209" i="21" s="1"/>
  <c r="N221" i="21"/>
  <c r="N230" i="21" s="1"/>
  <c r="N207" i="21" s="1"/>
  <c r="N209" i="21" s="1"/>
  <c r="Z479" i="20"/>
  <c r="Y432" i="20"/>
  <c r="N22" i="22"/>
  <c r="K24" i="22"/>
  <c r="AQ264" i="16"/>
  <c r="AQ209" i="16"/>
  <c r="AQ13" i="16" s="1"/>
  <c r="AT237" i="16"/>
  <c r="AQ291" i="16"/>
  <c r="AP733" i="20"/>
  <c r="C22" i="22" s="1"/>
  <c r="AR598" i="20"/>
  <c r="AP616" i="20"/>
  <c r="AP700" i="20"/>
  <c r="AU598" i="20"/>
  <c r="E221" i="21"/>
  <c r="G221" i="21" s="1"/>
  <c r="T230" i="20"/>
  <c r="AS744" i="20"/>
  <c r="BA683" i="20"/>
  <c r="AS746" i="20"/>
  <c r="I39" i="19" s="1"/>
  <c r="AX683" i="20"/>
  <c r="AT683" i="20"/>
  <c r="D112" i="22"/>
  <c r="AV733" i="20"/>
  <c r="AV735" i="20"/>
  <c r="AV736" i="20"/>
  <c r="AV705" i="20"/>
  <c r="Y315" i="20"/>
  <c r="K489" i="20"/>
  <c r="K536" i="20"/>
  <c r="AZ652" i="20"/>
  <c r="AY708" i="20"/>
  <c r="AZ651" i="20"/>
  <c r="AZ648" i="20"/>
  <c r="AZ654" i="20"/>
  <c r="AZ650" i="20"/>
  <c r="AY658" i="20"/>
  <c r="AY757" i="20"/>
  <c r="AZ655" i="20"/>
  <c r="AY758" i="20"/>
  <c r="AZ653" i="20"/>
  <c r="AY745" i="20"/>
  <c r="E34" i="22" s="1"/>
  <c r="E15" i="22" s="1"/>
  <c r="AZ649" i="20"/>
  <c r="AY709" i="20"/>
  <c r="AY752" i="20" s="1"/>
  <c r="E36" i="22" s="1"/>
  <c r="X305" i="20"/>
  <c r="Y276" i="20"/>
  <c r="N159" i="21"/>
  <c r="N160" i="21"/>
  <c r="Q216" i="20"/>
  <c r="Q215" i="20" s="1"/>
  <c r="G376" i="58"/>
  <c r="G375" i="23"/>
  <c r="W251" i="20"/>
  <c r="N62" i="21"/>
  <c r="N222" i="21" s="1"/>
  <c r="H62" i="21"/>
  <c r="H222" i="21" s="1"/>
  <c r="K62" i="21"/>
  <c r="K222" i="21" s="1"/>
  <c r="R62" i="21"/>
  <c r="R222" i="21" s="1"/>
  <c r="O62" i="21"/>
  <c r="O222" i="21" s="1"/>
  <c r="P62" i="21"/>
  <c r="P222" i="21" s="1"/>
  <c r="L62" i="21"/>
  <c r="L222" i="21" s="1"/>
  <c r="M62" i="21"/>
  <c r="M222" i="21" s="1"/>
  <c r="I62" i="21"/>
  <c r="I222" i="21" s="1"/>
  <c r="Q62" i="21"/>
  <c r="Q222" i="21" s="1"/>
  <c r="G62" i="21"/>
  <c r="J62" i="21"/>
  <c r="J222" i="21" s="1"/>
  <c r="O134" i="21"/>
  <c r="O218" i="21"/>
  <c r="O234" i="21" s="1"/>
  <c r="O112" i="21"/>
  <c r="BJ788" i="20"/>
  <c r="CR884" i="20" s="1"/>
  <c r="Y159" i="20"/>
  <c r="Z65" i="20"/>
  <c r="BJ653" i="20"/>
  <c r="Y228" i="20"/>
  <c r="AF29" i="21"/>
  <c r="AE32" i="21"/>
  <c r="O16" i="21" s="1"/>
  <c r="AF30" i="21"/>
  <c r="AF31" i="21" s="1"/>
  <c r="P15" i="21" s="1"/>
  <c r="Z272" i="20"/>
  <c r="AA271" i="20"/>
  <c r="Q231" i="20"/>
  <c r="Q232" i="20" s="1"/>
  <c r="R69" i="22"/>
  <c r="M70" i="22"/>
  <c r="G51" i="22"/>
  <c r="R66" i="22"/>
  <c r="R68" i="22"/>
  <c r="R67" i="22"/>
  <c r="R64" i="22"/>
  <c r="R62" i="22"/>
  <c r="R65" i="22"/>
  <c r="R63" i="22"/>
  <c r="R61" i="22"/>
  <c r="S27" i="19"/>
  <c r="CT884" i="20"/>
  <c r="AH84" i="16"/>
  <c r="AH141" i="16" s="1"/>
  <c r="AH48" i="16" s="1"/>
  <c r="AM48" i="16" s="1"/>
  <c r="AS14" i="16"/>
  <c r="AN16" i="16"/>
  <c r="AU35" i="16"/>
  <c r="AU23" i="16"/>
  <c r="AU43" i="16"/>
  <c r="AU33" i="16"/>
  <c r="AU21" i="16"/>
  <c r="AT57" i="16"/>
  <c r="AT54" i="16"/>
  <c r="AU41" i="16"/>
  <c r="AU31" i="16"/>
  <c r="AU19" i="16"/>
  <c r="AU40" i="16"/>
  <c r="AU30" i="16"/>
  <c r="AU18" i="16"/>
  <c r="AU38" i="16"/>
  <c r="AU29" i="16"/>
  <c r="AU16" i="16"/>
  <c r="AU37" i="16"/>
  <c r="AU27" i="16"/>
  <c r="AU14" i="16"/>
  <c r="AU46" i="16"/>
  <c r="AU36" i="16"/>
  <c r="AU25" i="16"/>
  <c r="AU13" i="16"/>
  <c r="AU44" i="16"/>
  <c r="AU24" i="16"/>
  <c r="AU12" i="16"/>
  <c r="AV13" i="16"/>
  <c r="AJ37" i="16"/>
  <c r="Y120" i="19"/>
  <c r="J370" i="16"/>
  <c r="AN262" i="16"/>
  <c r="AN192" i="16"/>
  <c r="AN207" i="16"/>
  <c r="AN179" i="16"/>
  <c r="AN166" i="16"/>
  <c r="AN120" i="16"/>
  <c r="AN289" i="16"/>
  <c r="AN235" i="16"/>
  <c r="AN153" i="16"/>
  <c r="AN61" i="16"/>
  <c r="AN53" i="16"/>
  <c r="AN392" i="16" s="1"/>
  <c r="AQ11" i="16"/>
  <c r="AN81" i="16"/>
  <c r="AN31" i="16"/>
  <c r="AS31" i="16" s="1"/>
  <c r="AN30" i="16"/>
  <c r="AN133" i="16"/>
  <c r="AN107" i="16"/>
  <c r="AN94" i="16"/>
  <c r="P423" i="16"/>
  <c r="AK125" i="16"/>
  <c r="AK122" i="16"/>
  <c r="AK123" i="16" s="1"/>
  <c r="AK135" i="16"/>
  <c r="AK136" i="16" s="1"/>
  <c r="AK138" i="16"/>
  <c r="AS18" i="16"/>
  <c r="AB101" i="19"/>
  <c r="AQ304" i="16"/>
  <c r="AT250" i="16"/>
  <c r="AQ277" i="16"/>
  <c r="AQ222" i="16"/>
  <c r="AV43" i="16"/>
  <c r="AC113" i="19"/>
  <c r="AH199" i="16"/>
  <c r="AH38" i="16" s="1"/>
  <c r="AM38" i="16" s="1"/>
  <c r="AK171" i="16"/>
  <c r="AK168" i="16"/>
  <c r="AK169" i="16" s="1"/>
  <c r="AB103" i="19"/>
  <c r="AS23" i="16"/>
  <c r="AS19" i="16"/>
  <c r="AB102" i="19"/>
  <c r="AB106" i="19"/>
  <c r="AS24" i="16"/>
  <c r="AH140" i="16"/>
  <c r="AH37" i="16" s="1"/>
  <c r="AH156" i="16"/>
  <c r="AH200" i="16" s="1"/>
  <c r="AH49" i="16" s="1"/>
  <c r="AM49" i="16" s="1"/>
  <c r="AT270" i="16"/>
  <c r="AT215" i="16"/>
  <c r="AT346" i="16" s="1"/>
  <c r="AT297" i="16"/>
  <c r="AK83" i="16"/>
  <c r="AK86" i="16"/>
  <c r="Z104" i="19"/>
  <c r="Z107" i="19" s="1"/>
  <c r="Z100" i="19"/>
  <c r="AH142" i="16"/>
  <c r="AA111" i="19"/>
  <c r="AP30" i="16"/>
  <c r="AT244" i="16"/>
  <c r="AQ271" i="16"/>
  <c r="AQ216" i="16"/>
  <c r="AQ23" i="16" s="1"/>
  <c r="AQ298" i="16"/>
  <c r="AQ272" i="16"/>
  <c r="AQ217" i="16"/>
  <c r="AQ24" i="16" s="1"/>
  <c r="AQ299" i="16"/>
  <c r="AT245" i="16"/>
  <c r="AK112" i="16"/>
  <c r="AK109" i="16"/>
  <c r="AK110" i="16" s="1"/>
  <c r="AK158" i="16"/>
  <c r="AK155" i="16"/>
  <c r="AJ27" i="16"/>
  <c r="AC105" i="19"/>
  <c r="AV25" i="16"/>
  <c r="AK254" i="16"/>
  <c r="AH308" i="16"/>
  <c r="AH281" i="16"/>
  <c r="AH226" i="16"/>
  <c r="AH27" i="16"/>
  <c r="AM21" i="16"/>
  <c r="AQ292" i="16"/>
  <c r="AQ265" i="16"/>
  <c r="AT238" i="16"/>
  <c r="AQ210" i="16"/>
  <c r="AQ14" i="16" s="1"/>
  <c r="AV14" i="16" s="1"/>
  <c r="AN257" i="16"/>
  <c r="AK229" i="16"/>
  <c r="AS51" i="16"/>
  <c r="AQ51" i="16"/>
  <c r="AK99" i="16"/>
  <c r="AK96" i="16"/>
  <c r="AK97" i="16" s="1"/>
  <c r="AT300" i="16"/>
  <c r="AT273" i="16"/>
  <c r="AT218" i="16"/>
  <c r="AT25" i="16" s="1"/>
  <c r="AA99" i="19"/>
  <c r="AK21" i="16"/>
  <c r="AP16" i="16"/>
  <c r="AT240" i="16"/>
  <c r="AQ294" i="16"/>
  <c r="AQ267" i="16"/>
  <c r="AQ212" i="16"/>
  <c r="AQ19" i="16" s="1"/>
  <c r="AQ293" i="16"/>
  <c r="AT239" i="16"/>
  <c r="AQ266" i="16"/>
  <c r="AQ211" i="16"/>
  <c r="AQ18" i="16" s="1"/>
  <c r="AK197" i="16"/>
  <c r="AK194" i="16"/>
  <c r="AK195" i="16" s="1"/>
  <c r="AK181" i="16"/>
  <c r="AK182" i="16" s="1"/>
  <c r="AK184" i="16"/>
  <c r="AK255" i="16"/>
  <c r="AH227" i="16"/>
  <c r="AH309" i="16"/>
  <c r="AH282" i="16"/>
  <c r="D46" i="16"/>
  <c r="I41" i="16"/>
  <c r="AH201" i="16"/>
  <c r="AH566" i="20"/>
  <c r="AH519" i="20"/>
  <c r="AI472" i="20"/>
  <c r="AH419" i="20"/>
  <c r="AH248" i="20"/>
  <c r="BS837" i="20"/>
  <c r="BS895" i="20" s="1"/>
  <c r="BS757" i="20"/>
  <c r="AF126" i="20"/>
  <c r="AF125" i="20"/>
  <c r="BT666" i="20"/>
  <c r="AI208" i="20"/>
  <c r="AG260" i="20"/>
  <c r="AH123" i="20"/>
  <c r="AG124" i="20"/>
  <c r="W456" i="20" l="1"/>
  <c r="W548" i="20"/>
  <c r="W501" i="20"/>
  <c r="X454" i="20"/>
  <c r="X548" i="20" s="1"/>
  <c r="V517" i="20"/>
  <c r="V552" i="20"/>
  <c r="V564" i="20"/>
  <c r="W458" i="20"/>
  <c r="W552" i="20" s="1"/>
  <c r="W462" i="20"/>
  <c r="X462" i="20" s="1"/>
  <c r="U91" i="20"/>
  <c r="BF681" i="20" s="1"/>
  <c r="V409" i="20"/>
  <c r="V509" i="20"/>
  <c r="BE605" i="20"/>
  <c r="BE701" i="20" s="1"/>
  <c r="W464" i="20"/>
  <c r="W411" i="20" s="1"/>
  <c r="BE817" i="20"/>
  <c r="BE880" i="20" s="1"/>
  <c r="T188" i="20"/>
  <c r="E188" i="21" s="1"/>
  <c r="G188" i="21" s="1"/>
  <c r="T137" i="20"/>
  <c r="E137" i="21" s="1"/>
  <c r="G137" i="21" s="1"/>
  <c r="V403" i="20"/>
  <c r="V550" i="20"/>
  <c r="V411" i="20"/>
  <c r="V558" i="20"/>
  <c r="E157" i="20"/>
  <c r="AP739" i="20"/>
  <c r="V277" i="20"/>
  <c r="U278" i="20"/>
  <c r="V264" i="20"/>
  <c r="U265" i="20"/>
  <c r="U252" i="20"/>
  <c r="T253" i="20"/>
  <c r="T443" i="20"/>
  <c r="T390" i="20" s="1"/>
  <c r="T489" i="20"/>
  <c r="T490" i="20" s="1"/>
  <c r="T389" i="20"/>
  <c r="U442" i="20"/>
  <c r="T536" i="20"/>
  <c r="T537" i="20" s="1"/>
  <c r="U75" i="20"/>
  <c r="U136" i="20" s="1"/>
  <c r="W514" i="20"/>
  <c r="W561" i="20"/>
  <c r="X467" i="20"/>
  <c r="W414" i="20"/>
  <c r="W563" i="20"/>
  <c r="W516" i="20"/>
  <c r="W416" i="20"/>
  <c r="X469" i="20"/>
  <c r="W503" i="20"/>
  <c r="X456" i="20"/>
  <c r="W403" i="20"/>
  <c r="W550" i="20"/>
  <c r="W506" i="20"/>
  <c r="W406" i="20"/>
  <c r="W553" i="20"/>
  <c r="X459" i="20"/>
  <c r="W405" i="20"/>
  <c r="W517" i="20"/>
  <c r="W564" i="20"/>
  <c r="W417" i="20"/>
  <c r="X470" i="20"/>
  <c r="U192" i="20"/>
  <c r="BF603" i="20"/>
  <c r="BF821" i="20" s="1"/>
  <c r="BF882" i="20" s="1"/>
  <c r="U94" i="20"/>
  <c r="O24" i="22"/>
  <c r="Q24" i="22"/>
  <c r="D16" i="22" s="1"/>
  <c r="T144" i="20"/>
  <c r="E144" i="21" s="1"/>
  <c r="G144" i="21" s="1"/>
  <c r="BE594" i="20"/>
  <c r="BE773" i="20" s="1"/>
  <c r="BE856" i="20" s="1"/>
  <c r="E23" i="21"/>
  <c r="U177" i="20"/>
  <c r="BF672" i="20"/>
  <c r="BF806" i="20" s="1"/>
  <c r="O29" i="21"/>
  <c r="H29" i="21"/>
  <c r="K29" i="21"/>
  <c r="G29" i="21"/>
  <c r="L29" i="21"/>
  <c r="R29" i="21"/>
  <c r="P29" i="21"/>
  <c r="N29" i="21"/>
  <c r="Q29" i="21"/>
  <c r="I29" i="21"/>
  <c r="I192" i="21" s="1"/>
  <c r="J29" i="21"/>
  <c r="M29" i="21"/>
  <c r="W392" i="20"/>
  <c r="W492" i="20"/>
  <c r="X445" i="20"/>
  <c r="W539" i="20"/>
  <c r="P95" i="21"/>
  <c r="P182" i="21" s="1"/>
  <c r="BF609" i="20"/>
  <c r="H159" i="19"/>
  <c r="H64" i="19"/>
  <c r="J159" i="19"/>
  <c r="J25" i="19"/>
  <c r="J64" i="19"/>
  <c r="J113" i="19"/>
  <c r="V555" i="20"/>
  <c r="V508" i="20"/>
  <c r="W461" i="20"/>
  <c r="V408" i="20"/>
  <c r="V29" i="20" s="1"/>
  <c r="O18" i="19"/>
  <c r="CI63" i="19" s="1"/>
  <c r="J19" i="21"/>
  <c r="I19" i="21"/>
  <c r="K19" i="21"/>
  <c r="O19" i="21"/>
  <c r="H19" i="21"/>
  <c r="N19" i="21"/>
  <c r="P19" i="21"/>
  <c r="Q19" i="21"/>
  <c r="M19" i="21"/>
  <c r="G19" i="21"/>
  <c r="L19" i="21"/>
  <c r="L142" i="21" s="1"/>
  <c r="R19" i="21"/>
  <c r="Q30" i="21"/>
  <c r="P30" i="21"/>
  <c r="K30" i="21"/>
  <c r="G30" i="21"/>
  <c r="J30" i="21"/>
  <c r="R30" i="21"/>
  <c r="M30" i="21"/>
  <c r="H30" i="21"/>
  <c r="O30" i="21"/>
  <c r="N30" i="21"/>
  <c r="I30" i="21"/>
  <c r="L30" i="21"/>
  <c r="T148" i="20"/>
  <c r="E148" i="21" s="1"/>
  <c r="G148" i="21" s="1"/>
  <c r="BE627" i="20"/>
  <c r="BE777" i="20" s="1"/>
  <c r="BE860" i="20" s="1"/>
  <c r="E44" i="21"/>
  <c r="U178" i="20"/>
  <c r="BF673" i="20"/>
  <c r="BF807" i="20" s="1"/>
  <c r="BF661" i="20"/>
  <c r="BF662" i="20" s="1"/>
  <c r="U21" i="20"/>
  <c r="U23" i="20"/>
  <c r="U40" i="20"/>
  <c r="U44" i="20"/>
  <c r="H91" i="21"/>
  <c r="M91" i="21"/>
  <c r="P91" i="21"/>
  <c r="J91" i="21"/>
  <c r="G91" i="21"/>
  <c r="Q91" i="21"/>
  <c r="O91" i="21"/>
  <c r="I91" i="21"/>
  <c r="N91" i="21"/>
  <c r="R91" i="21"/>
  <c r="K91" i="21"/>
  <c r="L91" i="21"/>
  <c r="V95" i="20"/>
  <c r="V182" i="20" s="1"/>
  <c r="BG602" i="20"/>
  <c r="V90" i="20"/>
  <c r="BE664" i="20"/>
  <c r="I92" i="21"/>
  <c r="H92" i="21"/>
  <c r="O92" i="21"/>
  <c r="R92" i="21"/>
  <c r="Q92" i="21"/>
  <c r="G92" i="21"/>
  <c r="J92" i="21"/>
  <c r="P92" i="21"/>
  <c r="L92" i="21"/>
  <c r="N92" i="21"/>
  <c r="K92" i="21"/>
  <c r="M92" i="21"/>
  <c r="BE882" i="20"/>
  <c r="Y457" i="20"/>
  <c r="X504" i="20"/>
  <c r="X404" i="20"/>
  <c r="X551" i="20"/>
  <c r="U92" i="20"/>
  <c r="BF682" i="20" s="1"/>
  <c r="J95" i="21"/>
  <c r="J182" i="21" s="1"/>
  <c r="Q95" i="21"/>
  <c r="Q182" i="21" s="1"/>
  <c r="G95" i="21"/>
  <c r="H158" i="19"/>
  <c r="H63" i="19"/>
  <c r="U544" i="20"/>
  <c r="U497" i="20"/>
  <c r="V450" i="20"/>
  <c r="U397" i="20"/>
  <c r="I85" i="21"/>
  <c r="O85" i="21"/>
  <c r="L85" i="21"/>
  <c r="N85" i="21"/>
  <c r="H85" i="21"/>
  <c r="J85" i="21"/>
  <c r="Q85" i="21"/>
  <c r="P85" i="21"/>
  <c r="M85" i="21"/>
  <c r="G85" i="21"/>
  <c r="R85" i="21"/>
  <c r="K85" i="21"/>
  <c r="V559" i="20"/>
  <c r="W465" i="20"/>
  <c r="V512" i="20"/>
  <c r="V412" i="20"/>
  <c r="V31" i="20" s="1"/>
  <c r="X468" i="20"/>
  <c r="W415" i="20"/>
  <c r="W515" i="20"/>
  <c r="W562" i="20"/>
  <c r="X395" i="20"/>
  <c r="Y448" i="20"/>
  <c r="X542" i="20"/>
  <c r="X495" i="20"/>
  <c r="CB876" i="20"/>
  <c r="H113" i="19"/>
  <c r="H25" i="19"/>
  <c r="BE629" i="20"/>
  <c r="BE792" i="20" s="1"/>
  <c r="BE869" i="20" s="1"/>
  <c r="E46" i="21"/>
  <c r="T163" i="20"/>
  <c r="E163" i="21" s="1"/>
  <c r="G163" i="21" s="1"/>
  <c r="W496" i="20"/>
  <c r="W543" i="20"/>
  <c r="W396" i="20"/>
  <c r="X449" i="20"/>
  <c r="BF685" i="20"/>
  <c r="BF811" i="20" s="1"/>
  <c r="CF870" i="20" s="1"/>
  <c r="CH870" i="20" s="1"/>
  <c r="BE608" i="20"/>
  <c r="BE816" i="20"/>
  <c r="BE879" i="20" s="1"/>
  <c r="X401" i="20"/>
  <c r="U175" i="20"/>
  <c r="BF670" i="20"/>
  <c r="BF804" i="20" s="1"/>
  <c r="W407" i="20"/>
  <c r="W28" i="20" s="1"/>
  <c r="X460" i="20"/>
  <c r="W554" i="20"/>
  <c r="W507" i="20"/>
  <c r="X440" i="20"/>
  <c r="W534" i="20"/>
  <c r="W387" i="20"/>
  <c r="W487" i="20"/>
  <c r="U195" i="20"/>
  <c r="BF680" i="20"/>
  <c r="G74" i="21"/>
  <c r="O74" i="21"/>
  <c r="R74" i="21"/>
  <c r="I74" i="21"/>
  <c r="H74" i="21"/>
  <c r="Q74" i="21"/>
  <c r="P74" i="21"/>
  <c r="K74" i="21"/>
  <c r="N74" i="21"/>
  <c r="L74" i="21"/>
  <c r="M74" i="21"/>
  <c r="J74" i="21"/>
  <c r="J82" i="21"/>
  <c r="J176" i="21" s="1"/>
  <c r="P82" i="21"/>
  <c r="P176" i="21" s="1"/>
  <c r="H82" i="21"/>
  <c r="H176" i="21" s="1"/>
  <c r="G82" i="21"/>
  <c r="M82" i="21"/>
  <c r="M176" i="21" s="1"/>
  <c r="N82" i="21"/>
  <c r="N176" i="21" s="1"/>
  <c r="I82" i="21"/>
  <c r="I176" i="21" s="1"/>
  <c r="R82" i="21"/>
  <c r="R176" i="21" s="1"/>
  <c r="O82" i="21"/>
  <c r="O176" i="21" s="1"/>
  <c r="L82" i="21"/>
  <c r="L176" i="21" s="1"/>
  <c r="K82" i="21"/>
  <c r="K176" i="21" s="1"/>
  <c r="Q82" i="21"/>
  <c r="Q176" i="21" s="1"/>
  <c r="BE771" i="20"/>
  <c r="BE852" i="20" s="1"/>
  <c r="T75" i="20"/>
  <c r="E73" i="21"/>
  <c r="H112" i="19"/>
  <c r="H24" i="19"/>
  <c r="C215" i="19" s="1"/>
  <c r="CC849" i="20"/>
  <c r="CE849" i="20" s="1"/>
  <c r="E21" i="21"/>
  <c r="BE590" i="20"/>
  <c r="T22" i="20"/>
  <c r="T143" i="20"/>
  <c r="E143" i="21" s="1"/>
  <c r="G143" i="21" s="1"/>
  <c r="CI74" i="19"/>
  <c r="CI75" i="19" s="1"/>
  <c r="U20" i="20"/>
  <c r="BF587" i="20"/>
  <c r="BF724" i="20" s="1"/>
  <c r="U142" i="20"/>
  <c r="CJ73" i="19"/>
  <c r="W493" i="20"/>
  <c r="W540" i="20"/>
  <c r="X446" i="20"/>
  <c r="W393" i="20"/>
  <c r="CE848" i="20"/>
  <c r="O13" i="19" s="1"/>
  <c r="CD848" i="20"/>
  <c r="CD851" i="20"/>
  <c r="O12" i="19"/>
  <c r="BE724" i="20"/>
  <c r="BE717" i="20"/>
  <c r="W491" i="20"/>
  <c r="X444" i="20"/>
  <c r="W391" i="20"/>
  <c r="W538" i="20"/>
  <c r="J24" i="19"/>
  <c r="E215" i="19" s="1"/>
  <c r="J112" i="19"/>
  <c r="J158" i="19"/>
  <c r="J63" i="19"/>
  <c r="R83" i="21"/>
  <c r="R177" i="21" s="1"/>
  <c r="J83" i="21"/>
  <c r="J177" i="21" s="1"/>
  <c r="N83" i="21"/>
  <c r="N177" i="21" s="1"/>
  <c r="M83" i="21"/>
  <c r="M177" i="21" s="1"/>
  <c r="I83" i="21"/>
  <c r="I177" i="21" s="1"/>
  <c r="G83" i="21"/>
  <c r="H83" i="21"/>
  <c r="H177" i="21" s="1"/>
  <c r="Q83" i="21"/>
  <c r="Q177" i="21" s="1"/>
  <c r="O83" i="21"/>
  <c r="O177" i="21" s="1"/>
  <c r="L83" i="21"/>
  <c r="L177" i="21" s="1"/>
  <c r="P83" i="21"/>
  <c r="P177" i="21" s="1"/>
  <c r="K83" i="21"/>
  <c r="K177" i="21" s="1"/>
  <c r="BE824" i="20"/>
  <c r="BE883" i="20" s="1"/>
  <c r="BE766" i="20"/>
  <c r="CC853" i="20"/>
  <c r="V85" i="20"/>
  <c r="BG674" i="20" s="1"/>
  <c r="V82" i="20"/>
  <c r="V19" i="20"/>
  <c r="V86" i="20"/>
  <c r="BG675" i="20" s="1"/>
  <c r="V81" i="20"/>
  <c r="V42" i="20"/>
  <c r="BG625" i="20" s="1"/>
  <c r="V84" i="20"/>
  <c r="BG660" i="20"/>
  <c r="V72" i="20"/>
  <c r="V73" i="20" s="1"/>
  <c r="V74" i="20"/>
  <c r="V923" i="20"/>
  <c r="V83" i="20"/>
  <c r="W494" i="20"/>
  <c r="X447" i="20"/>
  <c r="W541" i="20"/>
  <c r="W394" i="20"/>
  <c r="J31" i="21"/>
  <c r="K31" i="21"/>
  <c r="O31" i="21"/>
  <c r="N31" i="21"/>
  <c r="I31" i="21"/>
  <c r="R31" i="21"/>
  <c r="H31" i="21"/>
  <c r="L31" i="21"/>
  <c r="Q31" i="21"/>
  <c r="G31" i="21"/>
  <c r="P31" i="21"/>
  <c r="M31" i="21"/>
  <c r="W466" i="20"/>
  <c r="V513" i="20"/>
  <c r="V560" i="20"/>
  <c r="V413" i="20"/>
  <c r="R95" i="21"/>
  <c r="R182" i="21" s="1"/>
  <c r="N95" i="21"/>
  <c r="N182" i="21" s="1"/>
  <c r="L95" i="21"/>
  <c r="L182" i="21" s="1"/>
  <c r="BF606" i="20"/>
  <c r="U187" i="20"/>
  <c r="O90" i="21"/>
  <c r="P90" i="21"/>
  <c r="L90" i="21"/>
  <c r="J90" i="21"/>
  <c r="H90" i="21"/>
  <c r="N90" i="21"/>
  <c r="R90" i="21"/>
  <c r="I90" i="21"/>
  <c r="M90" i="21"/>
  <c r="G90" i="21"/>
  <c r="K90" i="21"/>
  <c r="Q90" i="21"/>
  <c r="W500" i="20"/>
  <c r="W547" i="20"/>
  <c r="X453" i="20"/>
  <c r="W400" i="20"/>
  <c r="M95" i="21"/>
  <c r="M182" i="21" s="1"/>
  <c r="K95" i="21"/>
  <c r="K182" i="21" s="1"/>
  <c r="W455" i="20"/>
  <c r="V402" i="20"/>
  <c r="V502" i="20"/>
  <c r="V549" i="20"/>
  <c r="E39" i="19"/>
  <c r="E207" i="19" s="1"/>
  <c r="E133" i="19"/>
  <c r="E135" i="19" s="1"/>
  <c r="BE684" i="20"/>
  <c r="T146" i="20"/>
  <c r="E146" i="21" s="1"/>
  <c r="G146" i="21" s="1"/>
  <c r="BE624" i="20"/>
  <c r="BE775" i="20" s="1"/>
  <c r="BE858" i="20" s="1"/>
  <c r="E41" i="21"/>
  <c r="BE805" i="20"/>
  <c r="BE758" i="20"/>
  <c r="E20" i="21"/>
  <c r="T193" i="20"/>
  <c r="E193" i="21" s="1"/>
  <c r="G193" i="21" s="1"/>
  <c r="BE588" i="20"/>
  <c r="BE822" i="20" s="1"/>
  <c r="BE853" i="20" s="1"/>
  <c r="W535" i="20"/>
  <c r="X441" i="20"/>
  <c r="W488" i="20"/>
  <c r="W388" i="20"/>
  <c r="E40" i="21"/>
  <c r="T145" i="20"/>
  <c r="E145" i="21" s="1"/>
  <c r="G145" i="21" s="1"/>
  <c r="BE623" i="20"/>
  <c r="BE774" i="20" s="1"/>
  <c r="BE857" i="20" s="1"/>
  <c r="P72" i="21"/>
  <c r="P73" i="21" s="1"/>
  <c r="R72" i="21"/>
  <c r="R73" i="21" s="1"/>
  <c r="G72" i="21"/>
  <c r="G73" i="21" s="1"/>
  <c r="J72" i="21"/>
  <c r="J73" i="21" s="1"/>
  <c r="Q72" i="21"/>
  <c r="Q73" i="21" s="1"/>
  <c r="H72" i="21"/>
  <c r="H73" i="21" s="1"/>
  <c r="M72" i="21"/>
  <c r="M73" i="21" s="1"/>
  <c r="L72" i="21"/>
  <c r="L73" i="21" s="1"/>
  <c r="I72" i="21"/>
  <c r="I73" i="21" s="1"/>
  <c r="O72" i="21"/>
  <c r="O73" i="21" s="1"/>
  <c r="N72" i="21"/>
  <c r="N73" i="21" s="1"/>
  <c r="K72" i="21"/>
  <c r="K73" i="21" s="1"/>
  <c r="U41" i="20"/>
  <c r="BF663" i="20"/>
  <c r="CF851" i="20" s="1"/>
  <c r="U46" i="20"/>
  <c r="BF713" i="20"/>
  <c r="BF714" i="20" s="1"/>
  <c r="CF848" i="20"/>
  <c r="CH848" i="20" s="1"/>
  <c r="P13" i="19" s="1"/>
  <c r="BF671" i="20"/>
  <c r="U176" i="20"/>
  <c r="BE714" i="20"/>
  <c r="E192" i="21"/>
  <c r="G192" i="21" s="1"/>
  <c r="R84" i="21"/>
  <c r="R178" i="21" s="1"/>
  <c r="L84" i="21"/>
  <c r="L178" i="21" s="1"/>
  <c r="K84" i="21"/>
  <c r="K178" i="21" s="1"/>
  <c r="I84" i="21"/>
  <c r="I178" i="21" s="1"/>
  <c r="M84" i="21"/>
  <c r="M178" i="21" s="1"/>
  <c r="G84" i="21"/>
  <c r="P84" i="21"/>
  <c r="P178" i="21" s="1"/>
  <c r="N84" i="21"/>
  <c r="N178" i="21" s="1"/>
  <c r="O84" i="21"/>
  <c r="O178" i="21" s="1"/>
  <c r="Q84" i="21"/>
  <c r="Q178" i="21" s="1"/>
  <c r="H84" i="21"/>
  <c r="H178" i="21" s="1"/>
  <c r="J84" i="21"/>
  <c r="J178" i="21" s="1"/>
  <c r="W533" i="20"/>
  <c r="W386" i="20"/>
  <c r="W71" i="20" s="1"/>
  <c r="X439" i="20"/>
  <c r="W486" i="20"/>
  <c r="I95" i="21"/>
  <c r="I182" i="21" s="1"/>
  <c r="O95" i="21"/>
  <c r="O182" i="21" s="1"/>
  <c r="H95" i="21"/>
  <c r="H182" i="21" s="1"/>
  <c r="Q42" i="21"/>
  <c r="M42" i="21"/>
  <c r="L42" i="21"/>
  <c r="R42" i="21"/>
  <c r="P42" i="21"/>
  <c r="I42" i="21"/>
  <c r="O42" i="21"/>
  <c r="K42" i="21"/>
  <c r="N42" i="21"/>
  <c r="H42" i="21"/>
  <c r="G42" i="21"/>
  <c r="J42" i="21"/>
  <c r="O81" i="21"/>
  <c r="O175" i="21" s="1"/>
  <c r="L81" i="21"/>
  <c r="L175" i="21" s="1"/>
  <c r="N81" i="21"/>
  <c r="N175" i="21" s="1"/>
  <c r="P81" i="21"/>
  <c r="P175" i="21" s="1"/>
  <c r="J81" i="21"/>
  <c r="J175" i="21" s="1"/>
  <c r="G81" i="21"/>
  <c r="M81" i="21"/>
  <c r="M175" i="21" s="1"/>
  <c r="K81" i="21"/>
  <c r="K175" i="21" s="1"/>
  <c r="R81" i="21"/>
  <c r="R175" i="21" s="1"/>
  <c r="I81" i="21"/>
  <c r="I175" i="21" s="1"/>
  <c r="H81" i="21"/>
  <c r="H175" i="21" s="1"/>
  <c r="Q81" i="21"/>
  <c r="Q175" i="21" s="1"/>
  <c r="W463" i="20"/>
  <c r="V510" i="20"/>
  <c r="V557" i="20"/>
  <c r="V410" i="20"/>
  <c r="V30" i="20" s="1"/>
  <c r="R86" i="21"/>
  <c r="P86" i="21"/>
  <c r="H86" i="21"/>
  <c r="G86" i="21"/>
  <c r="Q86" i="21"/>
  <c r="M86" i="21"/>
  <c r="I86" i="21"/>
  <c r="O86" i="21"/>
  <c r="N86" i="21"/>
  <c r="L86" i="21"/>
  <c r="K86" i="21"/>
  <c r="J86" i="21"/>
  <c r="N24" i="22"/>
  <c r="P24" i="22"/>
  <c r="C16" i="22" s="1"/>
  <c r="I467" i="23"/>
  <c r="G467" i="23"/>
  <c r="F467" i="23"/>
  <c r="C128" i="19"/>
  <c r="C63" i="19"/>
  <c r="J127" i="19"/>
  <c r="J39" i="19"/>
  <c r="J37" i="19"/>
  <c r="J125" i="19"/>
  <c r="AY8" i="51"/>
  <c r="F2" i="53"/>
  <c r="C173" i="19"/>
  <c r="E73" i="19"/>
  <c r="X153" i="20"/>
  <c r="BC632" i="20"/>
  <c r="D128" i="19"/>
  <c r="E160" i="19"/>
  <c r="E173" i="19"/>
  <c r="Y340" i="20"/>
  <c r="Z342" i="20"/>
  <c r="V221" i="20"/>
  <c r="V230" i="20" s="1"/>
  <c r="V207" i="20" s="1"/>
  <c r="V209" i="20" s="1"/>
  <c r="E173" i="20"/>
  <c r="E181" i="20" s="1"/>
  <c r="E211" i="20" s="1"/>
  <c r="E213" i="20" s="1"/>
  <c r="AP802" i="20"/>
  <c r="AP810" i="20" s="1"/>
  <c r="AP840" i="20" s="1"/>
  <c r="AP842" i="20" s="1"/>
  <c r="Z382" i="20"/>
  <c r="AC946" i="20"/>
  <c r="E206" i="19"/>
  <c r="Y375" i="20"/>
  <c r="AC951" i="20"/>
  <c r="BK783" i="20"/>
  <c r="Z154" i="20"/>
  <c r="D196" i="19"/>
  <c r="E24" i="19"/>
  <c r="AA942" i="20"/>
  <c r="D115" i="19"/>
  <c r="CK72" i="19"/>
  <c r="I35" i="19"/>
  <c r="D221" i="19" s="1"/>
  <c r="C83" i="22"/>
  <c r="I123" i="19"/>
  <c r="D32" i="22"/>
  <c r="I36" i="19"/>
  <c r="D33" i="22"/>
  <c r="I124" i="19"/>
  <c r="H460" i="23"/>
  <c r="H459" i="58" s="1"/>
  <c r="H460" i="58"/>
  <c r="AQ637" i="20"/>
  <c r="AQ619" i="20"/>
  <c r="AQ620" i="20"/>
  <c r="AQ639" i="20"/>
  <c r="AQ634" i="20"/>
  <c r="AQ633" i="20"/>
  <c r="AQ624" i="20"/>
  <c r="AQ625" i="20"/>
  <c r="AQ636" i="20"/>
  <c r="AQ626" i="20"/>
  <c r="AQ642" i="20"/>
  <c r="AQ623" i="20"/>
  <c r="AQ621" i="20"/>
  <c r="AU646" i="20"/>
  <c r="AQ645" i="20"/>
  <c r="AQ632" i="20"/>
  <c r="AQ640" i="20"/>
  <c r="AQ638" i="20"/>
  <c r="AQ644" i="20"/>
  <c r="AQ631" i="20"/>
  <c r="AQ630" i="20"/>
  <c r="AQ629" i="20"/>
  <c r="AQ628" i="20"/>
  <c r="AQ635" i="20"/>
  <c r="AQ622" i="20"/>
  <c r="AQ643" i="20"/>
  <c r="AQ646" i="20"/>
  <c r="AR646" i="20"/>
  <c r="AQ627" i="20"/>
  <c r="AQ641" i="20"/>
  <c r="U366" i="23"/>
  <c r="E366" i="58"/>
  <c r="E367" i="23"/>
  <c r="I460" i="23"/>
  <c r="I459" i="58" s="1"/>
  <c r="I460" i="58"/>
  <c r="E203" i="19"/>
  <c r="E63" i="19"/>
  <c r="BC745" i="20"/>
  <c r="BC757" i="20"/>
  <c r="Z523" i="20"/>
  <c r="AA476" i="20"/>
  <c r="Z570" i="20"/>
  <c r="Z429" i="20"/>
  <c r="C160" i="19"/>
  <c r="D24" i="19"/>
  <c r="E196" i="19"/>
  <c r="M64" i="20"/>
  <c r="K229" i="20"/>
  <c r="D133" i="19"/>
  <c r="D135" i="19" s="1"/>
  <c r="AS652" i="20"/>
  <c r="L65" i="22"/>
  <c r="D39" i="19"/>
  <c r="H67" i="20"/>
  <c r="I64" i="20" s="1"/>
  <c r="H225" i="20"/>
  <c r="P64" i="20"/>
  <c r="N229" i="20"/>
  <c r="C229" i="21" s="1"/>
  <c r="C73" i="19"/>
  <c r="C196" i="19"/>
  <c r="AC428" i="20"/>
  <c r="AC422" i="20"/>
  <c r="AC938" i="20"/>
  <c r="AC385" i="20"/>
  <c r="AC311" i="20"/>
  <c r="AC112" i="20"/>
  <c r="AC270" i="20"/>
  <c r="AC345" i="20"/>
  <c r="BN583" i="20"/>
  <c r="AC351" i="20"/>
  <c r="AC218" i="20"/>
  <c r="AC234" i="20" s="1"/>
  <c r="AC134" i="20"/>
  <c r="AC160" i="20" s="1"/>
  <c r="AC259" i="20"/>
  <c r="AD15" i="20"/>
  <c r="AD951" i="20" s="1"/>
  <c r="U207" i="20"/>
  <c r="U209" i="20" s="1"/>
  <c r="BF836" i="20"/>
  <c r="H173" i="19"/>
  <c r="H78" i="19"/>
  <c r="AT274" i="16"/>
  <c r="AT219" i="16"/>
  <c r="AT43" i="16" s="1"/>
  <c r="AT301" i="16"/>
  <c r="T207" i="20"/>
  <c r="E230" i="21"/>
  <c r="G230" i="21" s="1"/>
  <c r="BE836" i="20"/>
  <c r="AQ598" i="20"/>
  <c r="AQ592" i="20"/>
  <c r="AQ607" i="20"/>
  <c r="AP703" i="20"/>
  <c r="AQ594" i="20"/>
  <c r="AP617" i="20"/>
  <c r="AQ600" i="20"/>
  <c r="AQ599" i="20"/>
  <c r="AQ597" i="20"/>
  <c r="AQ608" i="20"/>
  <c r="AQ591" i="20"/>
  <c r="AP751" i="20"/>
  <c r="AQ616" i="20"/>
  <c r="AQ603" i="20"/>
  <c r="AQ606" i="20"/>
  <c r="AQ595" i="20"/>
  <c r="AQ609" i="20"/>
  <c r="AQ601" i="20"/>
  <c r="AQ605" i="20"/>
  <c r="AQ586" i="20"/>
  <c r="AQ615" i="20"/>
  <c r="AQ590" i="20"/>
  <c r="AR616" i="20"/>
  <c r="AQ614" i="20"/>
  <c r="AQ587" i="20"/>
  <c r="AQ588" i="20"/>
  <c r="AQ611" i="20"/>
  <c r="AQ596" i="20"/>
  <c r="AQ610" i="20"/>
  <c r="AQ604" i="20"/>
  <c r="AQ602" i="20"/>
  <c r="AQ613" i="20"/>
  <c r="AU616" i="20"/>
  <c r="AQ612" i="20"/>
  <c r="AQ593" i="20"/>
  <c r="AQ589" i="20"/>
  <c r="AT264" i="16"/>
  <c r="AT209" i="16"/>
  <c r="AT13" i="16" s="1"/>
  <c r="AT291" i="16"/>
  <c r="H366" i="58"/>
  <c r="H367" i="23"/>
  <c r="AR679" i="20"/>
  <c r="AU679" i="20"/>
  <c r="AP756" i="20"/>
  <c r="AQ679" i="20"/>
  <c r="E460" i="23"/>
  <c r="E459" i="58" s="1"/>
  <c r="E460" i="58"/>
  <c r="Y380" i="20"/>
  <c r="Y39" i="20" s="1"/>
  <c r="BJ622" i="20" s="1"/>
  <c r="I366" i="58"/>
  <c r="I367" i="23"/>
  <c r="AW679" i="20"/>
  <c r="AV756" i="20"/>
  <c r="W38" i="20"/>
  <c r="BH621" i="20" s="1"/>
  <c r="W263" i="20"/>
  <c r="Y526" i="20"/>
  <c r="Z526" i="20" s="1"/>
  <c r="AA526" i="20" s="1"/>
  <c r="AB526" i="20" s="1"/>
  <c r="AC526" i="20" s="1"/>
  <c r="AD526" i="20" s="1"/>
  <c r="AE526" i="20" s="1"/>
  <c r="AF526" i="20" s="1"/>
  <c r="AG526" i="20" s="1"/>
  <c r="AH526" i="20" s="1"/>
  <c r="AI526" i="20" s="1"/>
  <c r="T54" i="20"/>
  <c r="T24" i="20"/>
  <c r="T57" i="20"/>
  <c r="T45" i="20"/>
  <c r="T56" i="20"/>
  <c r="T68" i="20"/>
  <c r="T47" i="20"/>
  <c r="T55" i="20"/>
  <c r="T43" i="20"/>
  <c r="T32" i="20"/>
  <c r="T423" i="20"/>
  <c r="R241" i="20"/>
  <c r="T424" i="20"/>
  <c r="U424" i="20" s="1"/>
  <c r="V424" i="20" s="1"/>
  <c r="W424" i="20" s="1"/>
  <c r="X424" i="20" s="1"/>
  <c r="Y424" i="20" s="1"/>
  <c r="Z424" i="20" s="1"/>
  <c r="AA424" i="20" s="1"/>
  <c r="AB424" i="20" s="1"/>
  <c r="AC424" i="20" s="1"/>
  <c r="AD424" i="20" s="1"/>
  <c r="AE424" i="20" s="1"/>
  <c r="AF424" i="20" s="1"/>
  <c r="AG424" i="20" s="1"/>
  <c r="AH424" i="20" s="1"/>
  <c r="AI424" i="20" s="1"/>
  <c r="T79" i="20"/>
  <c r="T27" i="20"/>
  <c r="T25" i="20"/>
  <c r="T53" i="20"/>
  <c r="T80" i="20"/>
  <c r="T52" i="20"/>
  <c r="X224" i="20"/>
  <c r="Y66" i="20"/>
  <c r="BI654" i="20"/>
  <c r="AA377" i="20"/>
  <c r="AA373" i="20"/>
  <c r="Z374" i="20"/>
  <c r="C27" i="22"/>
  <c r="C29" i="22"/>
  <c r="H127" i="19"/>
  <c r="H39" i="19"/>
  <c r="C35" i="22"/>
  <c r="C41" i="22"/>
  <c r="Y573" i="20"/>
  <c r="Z573" i="20" s="1"/>
  <c r="AA573" i="20" s="1"/>
  <c r="AB573" i="20" s="1"/>
  <c r="AC573" i="20" s="1"/>
  <c r="AD573" i="20" s="1"/>
  <c r="AE573" i="20" s="1"/>
  <c r="AF573" i="20" s="1"/>
  <c r="AG573" i="20" s="1"/>
  <c r="AH573" i="20" s="1"/>
  <c r="AI573" i="20" s="1"/>
  <c r="E115" i="19"/>
  <c r="AA333" i="20"/>
  <c r="Z334" i="20"/>
  <c r="Z335" i="20" s="1"/>
  <c r="AA337" i="20"/>
  <c r="X381" i="20"/>
  <c r="X51" i="20" s="1"/>
  <c r="BI635" i="20" s="1"/>
  <c r="AT645" i="20"/>
  <c r="AX646" i="20"/>
  <c r="AT621" i="20"/>
  <c r="AT624" i="20"/>
  <c r="AT644" i="20"/>
  <c r="AT635" i="20"/>
  <c r="AT639" i="20"/>
  <c r="AT634" i="20"/>
  <c r="BA646" i="20"/>
  <c r="AT620" i="20"/>
  <c r="AT627" i="20"/>
  <c r="AT636" i="20"/>
  <c r="AT641" i="20"/>
  <c r="AT643" i="20"/>
  <c r="AT625" i="20"/>
  <c r="AT638" i="20"/>
  <c r="AT632" i="20"/>
  <c r="AT626" i="20"/>
  <c r="AT619" i="20"/>
  <c r="AT640" i="20"/>
  <c r="AT646" i="20"/>
  <c r="AT637" i="20"/>
  <c r="AT630" i="20"/>
  <c r="AT631" i="20"/>
  <c r="AT633" i="20"/>
  <c r="AT628" i="20"/>
  <c r="AT629" i="20"/>
  <c r="AT622" i="20"/>
  <c r="AT642" i="20"/>
  <c r="AT623" i="20"/>
  <c r="BH615" i="20"/>
  <c r="BH702" i="20" s="1"/>
  <c r="X33" i="20"/>
  <c r="F366" i="58"/>
  <c r="F367" i="23"/>
  <c r="AB317" i="20"/>
  <c r="AA314" i="20"/>
  <c r="AB313" i="20"/>
  <c r="AB331" i="20"/>
  <c r="AB321" i="20"/>
  <c r="D41" i="22"/>
  <c r="D35" i="22"/>
  <c r="AS750" i="20"/>
  <c r="D31" i="22" s="1"/>
  <c r="BA617" i="20"/>
  <c r="BI657" i="20"/>
  <c r="Y69" i="20"/>
  <c r="AW632" i="20"/>
  <c r="AW643" i="20"/>
  <c r="AW627" i="20"/>
  <c r="AW619" i="20"/>
  <c r="AW637" i="20"/>
  <c r="AW626" i="20"/>
  <c r="AW642" i="20"/>
  <c r="AW622" i="20"/>
  <c r="AW628" i="20"/>
  <c r="AW634" i="20"/>
  <c r="AW625" i="20"/>
  <c r="AW636" i="20"/>
  <c r="AW646" i="20"/>
  <c r="AW620" i="20"/>
  <c r="AW621" i="20"/>
  <c r="AW640" i="20"/>
  <c r="AW623" i="20"/>
  <c r="AW629" i="20"/>
  <c r="AW635" i="20"/>
  <c r="AW639" i="20"/>
  <c r="AW633" i="20"/>
  <c r="AW641" i="20"/>
  <c r="AW630" i="20"/>
  <c r="AW624" i="20"/>
  <c r="AW631" i="20"/>
  <c r="AW638" i="20"/>
  <c r="AW644" i="20"/>
  <c r="CE869" i="20"/>
  <c r="CA872" i="20"/>
  <c r="CA894" i="20" s="1"/>
  <c r="K67" i="20"/>
  <c r="L64" i="20" s="1"/>
  <c r="K225" i="20"/>
  <c r="AV652" i="20"/>
  <c r="AV655" i="20" s="1"/>
  <c r="Q226" i="20"/>
  <c r="Q234" i="20" s="1"/>
  <c r="C78" i="19"/>
  <c r="C81" i="19" s="1"/>
  <c r="C178" i="19"/>
  <c r="C180" i="19" s="1"/>
  <c r="O83" i="22"/>
  <c r="J76" i="19"/>
  <c r="J170" i="19"/>
  <c r="AW598" i="20"/>
  <c r="AV751" i="20"/>
  <c r="AW607" i="20"/>
  <c r="AW591" i="20"/>
  <c r="AW594" i="20"/>
  <c r="AW616" i="20"/>
  <c r="AW613" i="20"/>
  <c r="AW600" i="20"/>
  <c r="AW595" i="20"/>
  <c r="AW592" i="20"/>
  <c r="AV703" i="20"/>
  <c r="AW610" i="20"/>
  <c r="AW604" i="20"/>
  <c r="AW603" i="20"/>
  <c r="AW588" i="20"/>
  <c r="AW596" i="20"/>
  <c r="AW587" i="20"/>
  <c r="AW586" i="20"/>
  <c r="AW599" i="20"/>
  <c r="AW612" i="20"/>
  <c r="AW606" i="20"/>
  <c r="AV617" i="20"/>
  <c r="AV750" i="20" s="1"/>
  <c r="AW609" i="20"/>
  <c r="AW615" i="20"/>
  <c r="AW602" i="20"/>
  <c r="AW590" i="20"/>
  <c r="AW611" i="20"/>
  <c r="AW614" i="20"/>
  <c r="AW605" i="20"/>
  <c r="AW589" i="20"/>
  <c r="AW593" i="20"/>
  <c r="AW597" i="20"/>
  <c r="AW601" i="20"/>
  <c r="AW608" i="20"/>
  <c r="BA61" i="19"/>
  <c r="AQ60" i="19" s="1"/>
  <c r="AW61" i="19"/>
  <c r="AP60" i="19" s="1"/>
  <c r="AT60" i="19" s="1"/>
  <c r="AU60" i="19" s="1"/>
  <c r="BI61" i="19"/>
  <c r="AS60" i="19" s="1"/>
  <c r="BE61" i="19"/>
  <c r="AR60" i="19" s="1"/>
  <c r="Y325" i="20"/>
  <c r="Y341" i="20" s="1"/>
  <c r="C34" i="19"/>
  <c r="H31" i="19"/>
  <c r="H33" i="19" s="1"/>
  <c r="Z324" i="20"/>
  <c r="AA323" i="20"/>
  <c r="AA327" i="20"/>
  <c r="AA342" i="20" s="1"/>
  <c r="X60" i="20"/>
  <c r="W219" i="20"/>
  <c r="BH648" i="20"/>
  <c r="BD679" i="20"/>
  <c r="BB756" i="20"/>
  <c r="BC679" i="20"/>
  <c r="J173" i="19"/>
  <c r="J78" i="19"/>
  <c r="F460" i="23"/>
  <c r="F459" i="58" s="1"/>
  <c r="F460" i="58"/>
  <c r="BD616" i="20"/>
  <c r="BB703" i="20"/>
  <c r="BC591" i="20"/>
  <c r="BC586" i="20"/>
  <c r="BC603" i="20"/>
  <c r="BC588" i="20"/>
  <c r="BC605" i="20"/>
  <c r="BC593" i="20"/>
  <c r="BC608" i="20"/>
  <c r="BC602" i="20"/>
  <c r="BC607" i="20"/>
  <c r="BC609" i="20"/>
  <c r="BC590" i="20"/>
  <c r="BC615" i="20"/>
  <c r="BC606" i="20"/>
  <c r="BC612" i="20"/>
  <c r="BC600" i="20"/>
  <c r="BB617" i="20"/>
  <c r="BB755" i="20" s="1"/>
  <c r="BC599" i="20"/>
  <c r="BC592" i="20"/>
  <c r="BC594" i="20"/>
  <c r="BC596" i="20"/>
  <c r="BC610" i="20"/>
  <c r="BC601" i="20"/>
  <c r="BC595" i="20"/>
  <c r="BC589" i="20"/>
  <c r="BC597" i="20"/>
  <c r="BC616" i="20"/>
  <c r="BB751" i="20"/>
  <c r="BC611" i="20"/>
  <c r="BC613" i="20"/>
  <c r="BC614" i="20"/>
  <c r="BC587" i="20"/>
  <c r="BC604" i="20"/>
  <c r="AX679" i="20"/>
  <c r="BA679" i="20"/>
  <c r="AS755" i="20"/>
  <c r="AT679" i="20"/>
  <c r="AS756" i="20"/>
  <c r="AB532" i="20"/>
  <c r="AB485" i="20"/>
  <c r="AB247" i="20"/>
  <c r="AB438" i="20"/>
  <c r="DA865" i="20"/>
  <c r="BM763" i="20"/>
  <c r="DA846" i="20"/>
  <c r="DA893" i="20"/>
  <c r="BM696" i="20"/>
  <c r="AB940" i="20"/>
  <c r="AB941" i="20"/>
  <c r="AB569" i="20"/>
  <c r="AB475" i="20"/>
  <c r="AB522" i="20"/>
  <c r="V11" i="19"/>
  <c r="U96" i="19" s="1"/>
  <c r="BL789" i="20"/>
  <c r="Z432" i="20"/>
  <c r="AA479" i="20"/>
  <c r="Q225" i="20"/>
  <c r="S64" i="20"/>
  <c r="E178" i="19"/>
  <c r="E180" i="19" s="1"/>
  <c r="Q67" i="20"/>
  <c r="R64" i="20" s="1"/>
  <c r="E78" i="19"/>
  <c r="E81" i="19" s="1"/>
  <c r="BB652" i="20"/>
  <c r="H229" i="20"/>
  <c r="K65" i="22"/>
  <c r="C39" i="19"/>
  <c r="J64" i="20"/>
  <c r="C133" i="19"/>
  <c r="C135" i="19" s="1"/>
  <c r="E67" i="20"/>
  <c r="E225" i="20"/>
  <c r="H227" i="20" s="1"/>
  <c r="H216" i="20" s="1"/>
  <c r="H215" i="20" s="1"/>
  <c r="AP652" i="20"/>
  <c r="G64" i="20"/>
  <c r="Z375" i="20"/>
  <c r="C115" i="19"/>
  <c r="AA367" i="20"/>
  <c r="AA382" i="20" s="1"/>
  <c r="Z364" i="20"/>
  <c r="Z380" i="20" s="1"/>
  <c r="Z39" i="20" s="1"/>
  <c r="BK622" i="20" s="1"/>
  <c r="AA363" i="20"/>
  <c r="N209" i="20"/>
  <c r="C207" i="21"/>
  <c r="Y381" i="20"/>
  <c r="Y51" i="20" s="1"/>
  <c r="BJ635" i="20" s="1"/>
  <c r="E128" i="19"/>
  <c r="C203" i="19"/>
  <c r="Z430" i="20"/>
  <c r="Z524" i="20"/>
  <c r="AA477" i="20"/>
  <c r="Z571" i="20"/>
  <c r="C24" i="19"/>
  <c r="AB353" i="20"/>
  <c r="AA354" i="20"/>
  <c r="AA355" i="20" s="1"/>
  <c r="AB357" i="20"/>
  <c r="AB371" i="20"/>
  <c r="AB361" i="20"/>
  <c r="BC629" i="20"/>
  <c r="BC630" i="20"/>
  <c r="BC633" i="20"/>
  <c r="BC620" i="20"/>
  <c r="BC619" i="20"/>
  <c r="BC644" i="20"/>
  <c r="BC638" i="20"/>
  <c r="BD646" i="20"/>
  <c r="BC631" i="20"/>
  <c r="BC640" i="20"/>
  <c r="BC624" i="20"/>
  <c r="BC626" i="20"/>
  <c r="BC636" i="20"/>
  <c r="BC622" i="20"/>
  <c r="BC635" i="20"/>
  <c r="BC621" i="20"/>
  <c r="BC625" i="20"/>
  <c r="BC623" i="20"/>
  <c r="BC643" i="20"/>
  <c r="BC628" i="20"/>
  <c r="BC637" i="20"/>
  <c r="BC639" i="20"/>
  <c r="BC627" i="20"/>
  <c r="BC641" i="20"/>
  <c r="BC646" i="20"/>
  <c r="BC634" i="20"/>
  <c r="BC642" i="20"/>
  <c r="X61" i="20"/>
  <c r="BH649" i="20"/>
  <c r="W220" i="20"/>
  <c r="Z315" i="20"/>
  <c r="C726" i="57"/>
  <c r="G462" i="23"/>
  <c r="G375" i="58"/>
  <c r="P112" i="21"/>
  <c r="P134" i="21"/>
  <c r="P218" i="21"/>
  <c r="P234" i="21" s="1"/>
  <c r="CW884" i="20"/>
  <c r="T27" i="19"/>
  <c r="X250" i="20"/>
  <c r="X251" i="20" s="1"/>
  <c r="Y249" i="20"/>
  <c r="W49" i="20"/>
  <c r="Q233" i="20"/>
  <c r="BK653" i="20"/>
  <c r="AA65" i="20"/>
  <c r="Z228" i="20"/>
  <c r="O160" i="21"/>
  <c r="O159" i="21"/>
  <c r="Z276" i="20"/>
  <c r="Y305" i="20"/>
  <c r="CA897" i="20"/>
  <c r="BK788" i="20"/>
  <c r="CU884" i="20" s="1"/>
  <c r="Z159" i="20"/>
  <c r="AA272" i="20"/>
  <c r="AB271" i="20"/>
  <c r="AY710" i="20"/>
  <c r="E46" i="22" s="1"/>
  <c r="BB802" i="20"/>
  <c r="BB810" i="20" s="1"/>
  <c r="Q173" i="20"/>
  <c r="Q181" i="20" s="1"/>
  <c r="AG29" i="21"/>
  <c r="AF32" i="21"/>
  <c r="P16" i="21" s="1"/>
  <c r="AG30" i="21"/>
  <c r="AG31" i="21" s="1"/>
  <c r="Q15" i="21" s="1"/>
  <c r="AK140" i="16"/>
  <c r="AK37" i="16" s="1"/>
  <c r="AP37" i="16" s="1"/>
  <c r="AK27" i="16"/>
  <c r="AP21" i="16"/>
  <c r="AV18" i="16"/>
  <c r="AC101" i="19"/>
  <c r="AT292" i="16"/>
  <c r="AT265" i="16"/>
  <c r="AT210" i="16"/>
  <c r="AT14" i="16" s="1"/>
  <c r="AT16" i="16" s="1"/>
  <c r="AK226" i="16"/>
  <c r="AN254" i="16"/>
  <c r="AK308" i="16"/>
  <c r="AK281" i="16"/>
  <c r="AN112" i="16"/>
  <c r="AN109" i="16"/>
  <c r="AN110" i="16" s="1"/>
  <c r="AN155" i="16"/>
  <c r="AN158" i="16"/>
  <c r="AK201" i="16"/>
  <c r="D351" i="16"/>
  <c r="I46" i="16"/>
  <c r="P122" i="19"/>
  <c r="G44" i="16"/>
  <c r="AV24" i="16"/>
  <c r="AC106" i="19"/>
  <c r="AN99" i="16"/>
  <c r="AN96" i="16"/>
  <c r="AN97" i="16" s="1"/>
  <c r="AN194" i="16"/>
  <c r="AN195" i="16" s="1"/>
  <c r="AN197" i="16"/>
  <c r="AN21" i="16"/>
  <c r="AS16" i="16"/>
  <c r="AB99" i="19"/>
  <c r="AQ16" i="16"/>
  <c r="AK199" i="16"/>
  <c r="AK38" i="16" s="1"/>
  <c r="AP38" i="16" s="1"/>
  <c r="AV19" i="16"/>
  <c r="AC102" i="19"/>
  <c r="AQ257" i="16"/>
  <c r="AN229" i="16"/>
  <c r="AM27" i="16"/>
  <c r="AT299" i="16"/>
  <c r="AT272" i="16"/>
  <c r="AT217" i="16"/>
  <c r="AT24" i="16" s="1"/>
  <c r="J371" i="16"/>
  <c r="AQ262" i="16"/>
  <c r="AQ192" i="16"/>
  <c r="AQ207" i="16"/>
  <c r="AQ179" i="16"/>
  <c r="AQ133" i="16"/>
  <c r="AQ166" i="16"/>
  <c r="AQ120" i="16"/>
  <c r="AQ289" i="16"/>
  <c r="AQ235" i="16"/>
  <c r="AQ153" i="16"/>
  <c r="AQ61" i="16"/>
  <c r="AQ53" i="16"/>
  <c r="AQ392" i="16" s="1"/>
  <c r="AT11" i="16"/>
  <c r="AQ81" i="16"/>
  <c r="AQ107" i="16"/>
  <c r="AQ31" i="16"/>
  <c r="AV31" i="16" s="1"/>
  <c r="AQ94" i="16"/>
  <c r="AQ30" i="16"/>
  <c r="Q423" i="16"/>
  <c r="AN184" i="16"/>
  <c r="AN181" i="16"/>
  <c r="AN182" i="16" s="1"/>
  <c r="AT293" i="16"/>
  <c r="AT266" i="16"/>
  <c r="AT211" i="16"/>
  <c r="AT18" i="16" s="1"/>
  <c r="AA104" i="19"/>
  <c r="AA107" i="19" s="1"/>
  <c r="AA100" i="19"/>
  <c r="AT271" i="16"/>
  <c r="AT216" i="16"/>
  <c r="AT23" i="16" s="1"/>
  <c r="AT298" i="16"/>
  <c r="AM37" i="16"/>
  <c r="Z120" i="19"/>
  <c r="AN83" i="16"/>
  <c r="AN86" i="16"/>
  <c r="AN171" i="16"/>
  <c r="AN168" i="16"/>
  <c r="AN169" i="16" s="1"/>
  <c r="AK84" i="16"/>
  <c r="AK141" i="16" s="1"/>
  <c r="AK48" i="16" s="1"/>
  <c r="AP48" i="16" s="1"/>
  <c r="AK142" i="16"/>
  <c r="AN255" i="16"/>
  <c r="AK227" i="16"/>
  <c r="AK309" i="16"/>
  <c r="AK282" i="16"/>
  <c r="AT51" i="16"/>
  <c r="AV51" i="16"/>
  <c r="AT222" i="16"/>
  <c r="AT304" i="16"/>
  <c r="AT277" i="16"/>
  <c r="AN122" i="16"/>
  <c r="AN123" i="16" s="1"/>
  <c r="AN125" i="16"/>
  <c r="AV23" i="16"/>
  <c r="AC103" i="19"/>
  <c r="AS30" i="16"/>
  <c r="AB111" i="19"/>
  <c r="AT212" i="16"/>
  <c r="AT19" i="16" s="1"/>
  <c r="AT294" i="16"/>
  <c r="AT267" i="16"/>
  <c r="AN138" i="16"/>
  <c r="AN135" i="16"/>
  <c r="AN136" i="16" s="1"/>
  <c r="AK156" i="16"/>
  <c r="AK200" i="16" s="1"/>
  <c r="AK49" i="16" s="1"/>
  <c r="AP49" i="16" s="1"/>
  <c r="AG126" i="20"/>
  <c r="AG125" i="20"/>
  <c r="BT837" i="20"/>
  <c r="BT895" i="20" s="1"/>
  <c r="BT757" i="20"/>
  <c r="AI248" i="20"/>
  <c r="AH260" i="20"/>
  <c r="AI123" i="20"/>
  <c r="AI124" i="20" s="1"/>
  <c r="AH124" i="20"/>
  <c r="AI566" i="20"/>
  <c r="AI519" i="20"/>
  <c r="AI419" i="20"/>
  <c r="X501" i="20" l="1"/>
  <c r="Y454" i="20"/>
  <c r="W556" i="20"/>
  <c r="W509" i="20"/>
  <c r="W409" i="20"/>
  <c r="W558" i="20"/>
  <c r="W505" i="20"/>
  <c r="X458" i="20"/>
  <c r="X552" i="20" s="1"/>
  <c r="X464" i="20"/>
  <c r="X511" i="20" s="1"/>
  <c r="W511" i="20"/>
  <c r="G94" i="21"/>
  <c r="V91" i="20"/>
  <c r="BG681" i="20" s="1"/>
  <c r="I75" i="21"/>
  <c r="I136" i="21" s="1"/>
  <c r="K75" i="21"/>
  <c r="K136" i="21" s="1"/>
  <c r="J75" i="21"/>
  <c r="J93" i="21" s="1"/>
  <c r="J94" i="21"/>
  <c r="Q192" i="21"/>
  <c r="L192" i="21"/>
  <c r="H94" i="21"/>
  <c r="R142" i="21"/>
  <c r="V92" i="20"/>
  <c r="BG682" i="20" s="1"/>
  <c r="M75" i="21"/>
  <c r="M93" i="21" s="1"/>
  <c r="I94" i="21"/>
  <c r="U93" i="20"/>
  <c r="BF683" i="20" s="1"/>
  <c r="BF719" i="20" s="1"/>
  <c r="U137" i="20"/>
  <c r="U138" i="20" s="1"/>
  <c r="M94" i="21"/>
  <c r="L188" i="21"/>
  <c r="BF605" i="20"/>
  <c r="BF701" i="20" s="1"/>
  <c r="BF684" i="20"/>
  <c r="M142" i="21"/>
  <c r="W264" i="20"/>
  <c r="V265" i="20"/>
  <c r="V442" i="20"/>
  <c r="U389" i="20"/>
  <c r="U536" i="20"/>
  <c r="U489" i="20"/>
  <c r="V252" i="20"/>
  <c r="U253" i="20"/>
  <c r="W277" i="20"/>
  <c r="V278" i="20"/>
  <c r="R75" i="21"/>
  <c r="R136" i="21" s="1"/>
  <c r="V94" i="20"/>
  <c r="P75" i="21"/>
  <c r="P93" i="21" s="1"/>
  <c r="CE853" i="20"/>
  <c r="V75" i="20"/>
  <c r="V136" i="20" s="1"/>
  <c r="BF664" i="20"/>
  <c r="BF718" i="20" s="1"/>
  <c r="N75" i="21"/>
  <c r="N93" i="21" s="1"/>
  <c r="G75" i="21"/>
  <c r="G93" i="21" s="1"/>
  <c r="H75" i="21"/>
  <c r="H136" i="21" s="1"/>
  <c r="CH851" i="20"/>
  <c r="E42" i="19"/>
  <c r="X405" i="20"/>
  <c r="Y467" i="20"/>
  <c r="X414" i="20"/>
  <c r="X561" i="20"/>
  <c r="X514" i="20"/>
  <c r="X517" i="20"/>
  <c r="X564" i="20"/>
  <c r="Y470" i="20"/>
  <c r="X417" i="20"/>
  <c r="Y459" i="20"/>
  <c r="X406" i="20"/>
  <c r="X506" i="20"/>
  <c r="X553" i="20"/>
  <c r="X516" i="20"/>
  <c r="X563" i="20"/>
  <c r="Y469" i="20"/>
  <c r="X416" i="20"/>
  <c r="BE730" i="20"/>
  <c r="CC901" i="20" s="1"/>
  <c r="Y456" i="20"/>
  <c r="X503" i="20"/>
  <c r="X550" i="20"/>
  <c r="X403" i="20"/>
  <c r="BE589" i="20"/>
  <c r="BE725" i="20" s="1"/>
  <c r="O192" i="21"/>
  <c r="H188" i="21"/>
  <c r="J187" i="21"/>
  <c r="Q187" i="21"/>
  <c r="H142" i="21"/>
  <c r="J142" i="21"/>
  <c r="R94" i="21"/>
  <c r="K94" i="21"/>
  <c r="CD849" i="20"/>
  <c r="L187" i="21"/>
  <c r="Q142" i="21"/>
  <c r="O142" i="21"/>
  <c r="U188" i="20"/>
  <c r="J192" i="21"/>
  <c r="CB872" i="20"/>
  <c r="W74" i="20"/>
  <c r="W84" i="20"/>
  <c r="W86" i="20"/>
  <c r="BH675" i="20" s="1"/>
  <c r="W72" i="20"/>
  <c r="W73" i="20" s="1"/>
  <c r="W19" i="20"/>
  <c r="W83" i="20"/>
  <c r="W85" i="20"/>
  <c r="BH674" i="20" s="1"/>
  <c r="W923" i="20"/>
  <c r="W82" i="20"/>
  <c r="BH660" i="20"/>
  <c r="W81" i="20"/>
  <c r="W42" i="20"/>
  <c r="BH625" i="20" s="1"/>
  <c r="BF805" i="20"/>
  <c r="BF758" i="20"/>
  <c r="N136" i="21"/>
  <c r="Y441" i="20"/>
  <c r="X388" i="20"/>
  <c r="X535" i="20"/>
  <c r="X488" i="20"/>
  <c r="P195" i="21"/>
  <c r="P137" i="21"/>
  <c r="X411" i="20"/>
  <c r="V40" i="20"/>
  <c r="V23" i="20"/>
  <c r="V21" i="20"/>
  <c r="V44" i="20"/>
  <c r="BG661" i="20"/>
  <c r="BG670" i="20"/>
  <c r="BG804" i="20" s="1"/>
  <c r="V175" i="20"/>
  <c r="X393" i="20"/>
  <c r="X540" i="20"/>
  <c r="X493" i="20"/>
  <c r="Y446" i="20"/>
  <c r="X387" i="20"/>
  <c r="X534" i="20"/>
  <c r="Y440" i="20"/>
  <c r="X487" i="20"/>
  <c r="X496" i="20"/>
  <c r="X543" i="20"/>
  <c r="X396" i="20"/>
  <c r="Y449" i="20"/>
  <c r="W555" i="20"/>
  <c r="W508" i="20"/>
  <c r="W408" i="20"/>
  <c r="W29" i="20" s="1"/>
  <c r="X461" i="20"/>
  <c r="E209" i="19"/>
  <c r="W90" i="20"/>
  <c r="O75" i="21"/>
  <c r="O40" i="21"/>
  <c r="J40" i="21"/>
  <c r="Q40" i="21"/>
  <c r="K40" i="21"/>
  <c r="N40" i="21"/>
  <c r="L40" i="21"/>
  <c r="M40" i="21"/>
  <c r="I40" i="21"/>
  <c r="G40" i="21"/>
  <c r="P40" i="21"/>
  <c r="R40" i="21"/>
  <c r="R145" i="21" s="1"/>
  <c r="H40" i="21"/>
  <c r="W549" i="20"/>
  <c r="W402" i="20"/>
  <c r="W502" i="20"/>
  <c r="X455" i="20"/>
  <c r="M195" i="21"/>
  <c r="M137" i="21"/>
  <c r="O195" i="21"/>
  <c r="O137" i="21"/>
  <c r="BF608" i="20"/>
  <c r="BF816" i="20"/>
  <c r="BF879" i="20" s="1"/>
  <c r="Y395" i="20"/>
  <c r="Y495" i="20"/>
  <c r="Z448" i="20"/>
  <c r="Y542" i="20"/>
  <c r="X465" i="20"/>
  <c r="W412" i="20"/>
  <c r="W31" i="20" s="1"/>
  <c r="W512" i="20"/>
  <c r="W559" i="20"/>
  <c r="Q188" i="21"/>
  <c r="BG685" i="20"/>
  <c r="BG811" i="20" s="1"/>
  <c r="CI870" i="20" s="1"/>
  <c r="CK870" i="20" s="1"/>
  <c r="U144" i="20"/>
  <c r="BF594" i="20"/>
  <c r="BF773" i="20" s="1"/>
  <c r="BF856" i="20" s="1"/>
  <c r="O94" i="21"/>
  <c r="X509" i="20"/>
  <c r="Y462" i="20"/>
  <c r="X409" i="20"/>
  <c r="X556" i="20"/>
  <c r="BF717" i="20"/>
  <c r="U146" i="20"/>
  <c r="BF624" i="20"/>
  <c r="BF775" i="20" s="1"/>
  <c r="BF858" i="20" s="1"/>
  <c r="Q75" i="21"/>
  <c r="Q195" i="21"/>
  <c r="Q137" i="21"/>
  <c r="I195" i="21"/>
  <c r="I137" i="21"/>
  <c r="J195" i="21"/>
  <c r="J137" i="21"/>
  <c r="L94" i="21"/>
  <c r="Y447" i="20"/>
  <c r="X494" i="20"/>
  <c r="X394" i="20"/>
  <c r="X541" i="20"/>
  <c r="BG673" i="20"/>
  <c r="BG807" i="20" s="1"/>
  <c r="V178" i="20"/>
  <c r="CK73" i="19"/>
  <c r="BG587" i="20"/>
  <c r="BG724" i="20" s="1"/>
  <c r="V142" i="20"/>
  <c r="V20" i="20"/>
  <c r="Y444" i="20"/>
  <c r="X491" i="20"/>
  <c r="X391" i="20"/>
  <c r="X538" i="20"/>
  <c r="CC850" i="20"/>
  <c r="BF588" i="20"/>
  <c r="BF822" i="20" s="1"/>
  <c r="U193" i="20"/>
  <c r="BE772" i="20"/>
  <c r="BE854" i="20" s="1"/>
  <c r="BF824" i="20"/>
  <c r="BF883" i="20" s="1"/>
  <c r="CF853" i="20"/>
  <c r="CG853" i="20" s="1"/>
  <c r="BF766" i="20"/>
  <c r="Y401" i="20"/>
  <c r="Y548" i="20"/>
  <c r="Y501" i="20"/>
  <c r="Z454" i="20"/>
  <c r="X415" i="20"/>
  <c r="X562" i="20"/>
  <c r="X515" i="20"/>
  <c r="Y468" i="20"/>
  <c r="M188" i="21"/>
  <c r="P188" i="21"/>
  <c r="R188" i="21"/>
  <c r="BE765" i="20"/>
  <c r="BE767" i="20" s="1"/>
  <c r="BE718" i="20"/>
  <c r="H187" i="21"/>
  <c r="U22" i="20"/>
  <c r="U143" i="20"/>
  <c r="BF590" i="20"/>
  <c r="CJ74" i="19"/>
  <c r="CJ75" i="19" s="1"/>
  <c r="P44" i="21"/>
  <c r="Q44" i="21"/>
  <c r="K44" i="21"/>
  <c r="I44" i="21"/>
  <c r="G44" i="21"/>
  <c r="R44" i="21"/>
  <c r="L44" i="21"/>
  <c r="L148" i="21" s="1"/>
  <c r="N44" i="21"/>
  <c r="J44" i="21"/>
  <c r="O44" i="21"/>
  <c r="H44" i="21"/>
  <c r="M44" i="21"/>
  <c r="I187" i="21"/>
  <c r="M187" i="21"/>
  <c r="K187" i="21"/>
  <c r="P142" i="21"/>
  <c r="K142" i="21"/>
  <c r="BF611" i="20"/>
  <c r="BF817" i="20"/>
  <c r="BF880" i="20" s="1"/>
  <c r="X392" i="20"/>
  <c r="X492" i="20"/>
  <c r="Y445" i="20"/>
  <c r="X539" i="20"/>
  <c r="P192" i="21"/>
  <c r="K192" i="21"/>
  <c r="BG606" i="20"/>
  <c r="BF629" i="20"/>
  <c r="BF792" i="20" s="1"/>
  <c r="BF869" i="20" s="1"/>
  <c r="U163" i="20"/>
  <c r="L20" i="21"/>
  <c r="H20" i="21"/>
  <c r="N20" i="21"/>
  <c r="M20" i="21"/>
  <c r="G20" i="21"/>
  <c r="Q20" i="21"/>
  <c r="R20" i="21"/>
  <c r="O20" i="21"/>
  <c r="I20" i="21"/>
  <c r="P20" i="21"/>
  <c r="K20" i="21"/>
  <c r="J20" i="21"/>
  <c r="N195" i="21"/>
  <c r="N137" i="21"/>
  <c r="N94" i="21"/>
  <c r="BH602" i="20"/>
  <c r="W95" i="20"/>
  <c r="W182" i="20" s="1"/>
  <c r="V544" i="20"/>
  <c r="W450" i="20"/>
  <c r="V397" i="20"/>
  <c r="V497" i="20"/>
  <c r="N188" i="21"/>
  <c r="BF623" i="20"/>
  <c r="BF774" i="20" s="1"/>
  <c r="BF857" i="20" s="1"/>
  <c r="U145" i="20"/>
  <c r="O187" i="21"/>
  <c r="H195" i="21"/>
  <c r="H137" i="21"/>
  <c r="V177" i="20"/>
  <c r="BG672" i="20"/>
  <c r="BG806" i="20" s="1"/>
  <c r="BG713" i="20"/>
  <c r="BG714" i="20" s="1"/>
  <c r="CI848" i="20"/>
  <c r="CK848" i="20" s="1"/>
  <c r="Q13" i="19" s="1"/>
  <c r="BF771" i="20"/>
  <c r="BF852" i="20" s="1"/>
  <c r="E22" i="21"/>
  <c r="BE591" i="20"/>
  <c r="BE823" i="20" s="1"/>
  <c r="T194" i="20"/>
  <c r="L46" i="21"/>
  <c r="Q46" i="21"/>
  <c r="P46" i="21"/>
  <c r="I46" i="21"/>
  <c r="J46" i="21"/>
  <c r="G46" i="21"/>
  <c r="O46" i="21"/>
  <c r="K46" i="21"/>
  <c r="H46" i="21"/>
  <c r="N46" i="21"/>
  <c r="R46" i="21"/>
  <c r="M46" i="21"/>
  <c r="I188" i="21"/>
  <c r="N192" i="21"/>
  <c r="M192" i="21"/>
  <c r="V192" i="20"/>
  <c r="BG603" i="20"/>
  <c r="BG821" i="20" s="1"/>
  <c r="W557" i="20"/>
  <c r="W510" i="20"/>
  <c r="X463" i="20"/>
  <c r="W410" i="20"/>
  <c r="W30" i="20" s="1"/>
  <c r="X533" i="20"/>
  <c r="X486" i="20"/>
  <c r="X386" i="20"/>
  <c r="X71" i="20" s="1"/>
  <c r="Y439" i="20"/>
  <c r="CG848" i="20"/>
  <c r="CG851" i="20"/>
  <c r="P12" i="19"/>
  <c r="BF716" i="20"/>
  <c r="K93" i="21"/>
  <c r="L75" i="21"/>
  <c r="I41" i="21"/>
  <c r="J41" i="21"/>
  <c r="K41" i="21"/>
  <c r="L41" i="21"/>
  <c r="R41" i="21"/>
  <c r="G41" i="21"/>
  <c r="M41" i="21"/>
  <c r="Q41" i="21"/>
  <c r="H41" i="21"/>
  <c r="N41" i="21"/>
  <c r="O41" i="21"/>
  <c r="P41" i="21"/>
  <c r="X500" i="20"/>
  <c r="X400" i="20"/>
  <c r="X547" i="20"/>
  <c r="Y453" i="20"/>
  <c r="K195" i="21"/>
  <c r="K137" i="21"/>
  <c r="R195" i="21"/>
  <c r="R137" i="21"/>
  <c r="L195" i="21"/>
  <c r="L137" i="21"/>
  <c r="W513" i="20"/>
  <c r="X466" i="20"/>
  <c r="W413" i="20"/>
  <c r="W560" i="20"/>
  <c r="V46" i="20"/>
  <c r="BG663" i="20"/>
  <c r="CI851" i="20" s="1"/>
  <c r="CK851" i="20" s="1"/>
  <c r="V41" i="20"/>
  <c r="BG671" i="20"/>
  <c r="V176" i="20"/>
  <c r="CD853" i="20"/>
  <c r="G21" i="21"/>
  <c r="R21" i="21"/>
  <c r="K21" i="21"/>
  <c r="N21" i="21"/>
  <c r="P21" i="21"/>
  <c r="M21" i="21"/>
  <c r="O21" i="21"/>
  <c r="Q21" i="21"/>
  <c r="J21" i="21"/>
  <c r="I21" i="21"/>
  <c r="H21" i="21"/>
  <c r="L21" i="21"/>
  <c r="G79" i="22"/>
  <c r="T93" i="20"/>
  <c r="E75" i="21"/>
  <c r="T136" i="20"/>
  <c r="X407" i="20"/>
  <c r="X28" i="20" s="1"/>
  <c r="X507" i="20"/>
  <c r="Y460" i="20"/>
  <c r="X554" i="20"/>
  <c r="P18" i="19"/>
  <c r="CJ63" i="19" s="1"/>
  <c r="BG609" i="20"/>
  <c r="BG611" i="20" s="1"/>
  <c r="Q94" i="21"/>
  <c r="Y404" i="20"/>
  <c r="Y551" i="20"/>
  <c r="Y504" i="20"/>
  <c r="Z457" i="20"/>
  <c r="K188" i="21"/>
  <c r="J188" i="21"/>
  <c r="O188" i="21"/>
  <c r="BG680" i="20"/>
  <c r="V195" i="20"/>
  <c r="U148" i="20"/>
  <c r="BF627" i="20"/>
  <c r="BF777" i="20" s="1"/>
  <c r="BF860" i="20" s="1"/>
  <c r="CF849" i="20"/>
  <c r="N187" i="21"/>
  <c r="R187" i="21"/>
  <c r="P187" i="21"/>
  <c r="N142" i="21"/>
  <c r="I142" i="21"/>
  <c r="P94" i="21"/>
  <c r="R192" i="21"/>
  <c r="H192" i="21"/>
  <c r="H23" i="21"/>
  <c r="R23" i="21"/>
  <c r="M23" i="21"/>
  <c r="Q23" i="21"/>
  <c r="G23" i="21"/>
  <c r="L23" i="21"/>
  <c r="P23" i="21"/>
  <c r="N23" i="21"/>
  <c r="I23" i="21"/>
  <c r="I144" i="21" s="1"/>
  <c r="J23" i="21"/>
  <c r="K23" i="21"/>
  <c r="O23" i="21"/>
  <c r="C23" i="27"/>
  <c r="J35" i="19"/>
  <c r="E221" i="19" s="1"/>
  <c r="J123" i="19"/>
  <c r="J75" i="19"/>
  <c r="J124" i="19"/>
  <c r="J36" i="19"/>
  <c r="BG836" i="20"/>
  <c r="BG894" i="20" s="1"/>
  <c r="W221" i="20"/>
  <c r="W230" i="20" s="1"/>
  <c r="W207" i="20" s="1"/>
  <c r="W209" i="20" s="1"/>
  <c r="Z325" i="20"/>
  <c r="AD955" i="20"/>
  <c r="AD958" i="20" s="1"/>
  <c r="Z340" i="20"/>
  <c r="BL783" i="20"/>
  <c r="Z341" i="20"/>
  <c r="AT21" i="16"/>
  <c r="AT27" i="16" s="1"/>
  <c r="X220" i="20"/>
  <c r="Y61" i="20"/>
  <c r="BI649" i="20"/>
  <c r="AA364" i="20"/>
  <c r="AB367" i="20"/>
  <c r="AB363" i="20"/>
  <c r="H231" i="20"/>
  <c r="R61" i="20"/>
  <c r="F82" i="22"/>
  <c r="S67" i="20"/>
  <c r="R63" i="20"/>
  <c r="R62" i="20"/>
  <c r="R65" i="20"/>
  <c r="R66" i="20"/>
  <c r="Q70" i="20"/>
  <c r="R60" i="20"/>
  <c r="R67" i="20"/>
  <c r="AB479" i="20"/>
  <c r="AA432" i="20"/>
  <c r="AB942" i="20"/>
  <c r="W11" i="19"/>
  <c r="V96" i="19" s="1"/>
  <c r="BM789" i="20"/>
  <c r="J169" i="19"/>
  <c r="F83" i="22"/>
  <c r="J74" i="19"/>
  <c r="AW652" i="20"/>
  <c r="AV709" i="20"/>
  <c r="AW654" i="20"/>
  <c r="AW651" i="20"/>
  <c r="AV745" i="20"/>
  <c r="AW648" i="20"/>
  <c r="AW655" i="20"/>
  <c r="AV658" i="20"/>
  <c r="AW653" i="20"/>
  <c r="AV708" i="20"/>
  <c r="AW650" i="20"/>
  <c r="AW649" i="20"/>
  <c r="T166" i="20"/>
  <c r="U52" i="20"/>
  <c r="BE636" i="20"/>
  <c r="T58" i="20"/>
  <c r="E52" i="21"/>
  <c r="BE599" i="20"/>
  <c r="P78" i="22"/>
  <c r="T186" i="20"/>
  <c r="E27" i="21"/>
  <c r="U27" i="20"/>
  <c r="T425" i="20"/>
  <c r="T78" i="20" s="1"/>
  <c r="U423" i="20"/>
  <c r="U47" i="20"/>
  <c r="E47" i="21"/>
  <c r="BE630" i="20"/>
  <c r="T164" i="20"/>
  <c r="E164" i="21" s="1"/>
  <c r="G164" i="21" s="1"/>
  <c r="E57" i="21"/>
  <c r="BE642" i="20"/>
  <c r="BE800" i="20" s="1"/>
  <c r="BE876" i="20" s="1"/>
  <c r="T171" i="20"/>
  <c r="E171" i="21" s="1"/>
  <c r="G171" i="21" s="1"/>
  <c r="U57" i="20"/>
  <c r="Y261" i="20"/>
  <c r="W50" i="20"/>
  <c r="BH634" i="20" s="1"/>
  <c r="X262" i="20"/>
  <c r="H367" i="58"/>
  <c r="H376" i="23"/>
  <c r="AD946" i="20"/>
  <c r="BN763" i="20"/>
  <c r="BN696" i="20"/>
  <c r="DD893" i="20"/>
  <c r="DD846" i="20"/>
  <c r="DD865" i="20"/>
  <c r="AC321" i="20"/>
  <c r="AC313" i="20"/>
  <c r="AC317" i="20"/>
  <c r="AC331" i="20"/>
  <c r="AB314" i="20"/>
  <c r="AC569" i="20"/>
  <c r="AC522" i="20"/>
  <c r="AC475" i="20"/>
  <c r="D17" i="22"/>
  <c r="I67" i="20"/>
  <c r="I63" i="20"/>
  <c r="I60" i="20"/>
  <c r="I65" i="20"/>
  <c r="I61" i="20"/>
  <c r="P67" i="20"/>
  <c r="M67" i="20"/>
  <c r="I62" i="20"/>
  <c r="I66" i="20"/>
  <c r="C82" i="22"/>
  <c r="H70" i="20"/>
  <c r="U367" i="23"/>
  <c r="E367" i="58"/>
  <c r="E376" i="23"/>
  <c r="AB377" i="20"/>
  <c r="AB382" i="20" s="1"/>
  <c r="AA374" i="20"/>
  <c r="AA375" i="20" s="1"/>
  <c r="AB373" i="20"/>
  <c r="C209" i="21"/>
  <c r="N210" i="20"/>
  <c r="C210" i="21" s="1"/>
  <c r="AR652" i="20"/>
  <c r="AU652" i="20"/>
  <c r="AP655" i="20"/>
  <c r="X219" i="20"/>
  <c r="X221" i="20" s="1"/>
  <c r="X230" i="20" s="1"/>
  <c r="Y60" i="20"/>
  <c r="BI648" i="20"/>
  <c r="BI707" i="20" s="1"/>
  <c r="AA154" i="20"/>
  <c r="BJ657" i="20"/>
  <c r="Z69" i="20"/>
  <c r="AX617" i="20"/>
  <c r="AA315" i="20"/>
  <c r="AB315" i="20" s="1"/>
  <c r="BI615" i="20"/>
  <c r="BI702" i="20" s="1"/>
  <c r="Y33" i="20"/>
  <c r="U80" i="20"/>
  <c r="E80" i="21"/>
  <c r="BE669" i="20"/>
  <c r="CC857" i="20" s="1"/>
  <c r="U79" i="20"/>
  <c r="E79" i="21"/>
  <c r="BE668" i="20"/>
  <c r="T174" i="20"/>
  <c r="BE612" i="20"/>
  <c r="T189" i="20"/>
  <c r="E189" i="21" s="1"/>
  <c r="G189" i="21" s="1"/>
  <c r="E32" i="21"/>
  <c r="U32" i="20"/>
  <c r="U68" i="20"/>
  <c r="BE656" i="20"/>
  <c r="E68" i="21"/>
  <c r="T183" i="20"/>
  <c r="U24" i="20"/>
  <c r="E24" i="21"/>
  <c r="BE595" i="20"/>
  <c r="AV755" i="20"/>
  <c r="B83" i="22"/>
  <c r="C32" i="22"/>
  <c r="H123" i="19"/>
  <c r="H35" i="19"/>
  <c r="C221" i="19" s="1"/>
  <c r="H36" i="19"/>
  <c r="H124" i="19"/>
  <c r="C33" i="22"/>
  <c r="BE838" i="20"/>
  <c r="BE894" i="20"/>
  <c r="AC247" i="20"/>
  <c r="AC532" i="20"/>
  <c r="AC438" i="20"/>
  <c r="AC485" i="20"/>
  <c r="D207" i="19"/>
  <c r="D209" i="19" s="1"/>
  <c r="D42" i="19"/>
  <c r="C207" i="19"/>
  <c r="C209" i="19" s="1"/>
  <c r="C42" i="19"/>
  <c r="BB655" i="20"/>
  <c r="BD652" i="20"/>
  <c r="H170" i="19"/>
  <c r="H75" i="19"/>
  <c r="L67" i="20"/>
  <c r="L61" i="20"/>
  <c r="D82" i="22"/>
  <c r="L60" i="20"/>
  <c r="L62" i="20"/>
  <c r="L65" i="20"/>
  <c r="L63" i="20"/>
  <c r="L66" i="20"/>
  <c r="K70" i="20"/>
  <c r="AA324" i="20"/>
  <c r="AA325" i="20" s="1"/>
  <c r="AB327" i="20"/>
  <c r="AB323" i="20"/>
  <c r="Z66" i="20"/>
  <c r="Y224" i="20"/>
  <c r="BJ654" i="20"/>
  <c r="BE637" i="20"/>
  <c r="BE796" i="20" s="1"/>
  <c r="BE872" i="20" s="1"/>
  <c r="E53" i="21"/>
  <c r="U53" i="20"/>
  <c r="T167" i="20"/>
  <c r="E167" i="21" s="1"/>
  <c r="G167" i="21" s="1"/>
  <c r="T161" i="20"/>
  <c r="U43" i="20"/>
  <c r="E43" i="21"/>
  <c r="BE626" i="20"/>
  <c r="BE790" i="20" s="1"/>
  <c r="T170" i="20"/>
  <c r="E170" i="21" s="1"/>
  <c r="G170" i="21" s="1"/>
  <c r="U56" i="20"/>
  <c r="E56" i="21"/>
  <c r="BE641" i="20"/>
  <c r="T168" i="20"/>
  <c r="E168" i="21" s="1"/>
  <c r="G168" i="21" s="1"/>
  <c r="T347" i="20"/>
  <c r="T76" i="20" s="1"/>
  <c r="E54" i="21"/>
  <c r="U54" i="20"/>
  <c r="BE639" i="20"/>
  <c r="BE797" i="20" s="1"/>
  <c r="BE873" i="20" s="1"/>
  <c r="AV758" i="20"/>
  <c r="BF894" i="20"/>
  <c r="BF838" i="20"/>
  <c r="AC941" i="20"/>
  <c r="AC940" i="20"/>
  <c r="L69" i="22"/>
  <c r="O65" i="22"/>
  <c r="AA523" i="20"/>
  <c r="AB476" i="20"/>
  <c r="AA570" i="20"/>
  <c r="AA429" i="20"/>
  <c r="AB477" i="20"/>
  <c r="AA524" i="20"/>
  <c r="AA571" i="20"/>
  <c r="AA430" i="20"/>
  <c r="Z365" i="20"/>
  <c r="Z381" i="20" s="1"/>
  <c r="Z51" i="20" s="1"/>
  <c r="BK635" i="20" s="1"/>
  <c r="F64" i="20"/>
  <c r="F61" i="20"/>
  <c r="E70" i="20"/>
  <c r="J67" i="20"/>
  <c r="C17" i="22"/>
  <c r="F62" i="20"/>
  <c r="F67" i="20"/>
  <c r="F60" i="20"/>
  <c r="F66" i="20"/>
  <c r="F65" i="20"/>
  <c r="B82" i="22"/>
  <c r="G67" i="20"/>
  <c r="F63" i="20"/>
  <c r="K69" i="22"/>
  <c r="N65" i="22"/>
  <c r="BB750" i="20"/>
  <c r="BD617" i="20"/>
  <c r="BH707" i="20"/>
  <c r="D83" i="22"/>
  <c r="H169" i="19"/>
  <c r="H74" i="19"/>
  <c r="S72" i="22"/>
  <c r="S73" i="22"/>
  <c r="B140" i="20"/>
  <c r="T73" i="22"/>
  <c r="AM769" i="20"/>
  <c r="AB337" i="20"/>
  <c r="AA334" i="20"/>
  <c r="AA335" i="20" s="1"/>
  <c r="AB333" i="20"/>
  <c r="F376" i="23"/>
  <c r="F367" i="58"/>
  <c r="BE596" i="20"/>
  <c r="BE813" i="20" s="1"/>
  <c r="BE878" i="20" s="1"/>
  <c r="T184" i="20"/>
  <c r="E184" i="21" s="1"/>
  <c r="G184" i="21" s="1"/>
  <c r="U25" i="20"/>
  <c r="E25" i="21"/>
  <c r="T169" i="20"/>
  <c r="E169" i="21" s="1"/>
  <c r="G169" i="21" s="1"/>
  <c r="BE640" i="20"/>
  <c r="BE798" i="20" s="1"/>
  <c r="BE874" i="20" s="1"/>
  <c r="E55" i="21"/>
  <c r="U55" i="20"/>
  <c r="U45" i="20"/>
  <c r="T162" i="20"/>
  <c r="E162" i="21" s="1"/>
  <c r="G162" i="21" s="1"/>
  <c r="BE628" i="20"/>
  <c r="BE791" i="20" s="1"/>
  <c r="BE868" i="20" s="1"/>
  <c r="E45" i="21"/>
  <c r="AV757" i="20"/>
  <c r="I367" i="58"/>
  <c r="I376" i="23"/>
  <c r="AP755" i="20"/>
  <c r="AR617" i="20"/>
  <c r="AP750" i="20"/>
  <c r="C31" i="22" s="1"/>
  <c r="AU617" i="20"/>
  <c r="E207" i="21"/>
  <c r="G207" i="21" s="1"/>
  <c r="T209" i="20"/>
  <c r="AE15" i="20"/>
  <c r="AE951" i="20" s="1"/>
  <c r="BO583" i="20"/>
  <c r="AD345" i="20"/>
  <c r="AD311" i="20"/>
  <c r="AD112" i="20"/>
  <c r="AD270" i="20"/>
  <c r="AD218" i="20"/>
  <c r="AD234" i="20" s="1"/>
  <c r="AD428" i="20"/>
  <c r="AD422" i="20"/>
  <c r="AD385" i="20"/>
  <c r="AD134" i="20"/>
  <c r="AD160" i="20" s="1"/>
  <c r="AD938" i="20"/>
  <c r="AD351" i="20"/>
  <c r="AD259" i="20"/>
  <c r="AE955" i="20"/>
  <c r="AE958" i="20" s="1"/>
  <c r="AC361" i="20"/>
  <c r="AC357" i="20"/>
  <c r="AC353" i="20"/>
  <c r="AB354" i="20"/>
  <c r="AB355" i="20" s="1"/>
  <c r="AC371" i="20"/>
  <c r="K227" i="20"/>
  <c r="K216" i="20" s="1"/>
  <c r="K215" i="20" s="1"/>
  <c r="N227" i="20"/>
  <c r="AX652" i="20"/>
  <c r="AS655" i="20"/>
  <c r="AT652" i="20" s="1"/>
  <c r="BA652" i="20"/>
  <c r="CZ884" i="20"/>
  <c r="U27" i="19"/>
  <c r="AY748" i="20"/>
  <c r="AY749" i="20"/>
  <c r="BL788" i="20"/>
  <c r="CX884" i="20" s="1"/>
  <c r="AA159" i="20"/>
  <c r="BB769" i="20"/>
  <c r="BB770" i="20" s="1"/>
  <c r="BB780" i="20" s="1"/>
  <c r="BB786" i="20" s="1"/>
  <c r="BB840" i="20" s="1"/>
  <c r="BB842" i="20" s="1"/>
  <c r="Q140" i="20"/>
  <c r="Q141" i="20" s="1"/>
  <c r="Q151" i="20" s="1"/>
  <c r="AA276" i="20"/>
  <c r="Z305" i="20"/>
  <c r="AC271" i="20"/>
  <c r="AB272" i="20"/>
  <c r="X49" i="20"/>
  <c r="Z249" i="20"/>
  <c r="Y250" i="20"/>
  <c r="Y37" i="20" s="1"/>
  <c r="BJ620" i="20" s="1"/>
  <c r="AG32" i="21"/>
  <c r="Q16" i="21" s="1"/>
  <c r="AH29" i="21"/>
  <c r="AH32" i="21" s="1"/>
  <c r="R16" i="21" s="1"/>
  <c r="AH30" i="21"/>
  <c r="AH31" i="21" s="1"/>
  <c r="R15" i="21" s="1"/>
  <c r="X37" i="20"/>
  <c r="BI620" i="20" s="1"/>
  <c r="B726" i="57"/>
  <c r="B727" i="57" s="1"/>
  <c r="B728" i="57" s="1"/>
  <c r="B729" i="57" s="1"/>
  <c r="B730" i="57" s="1"/>
  <c r="B731" i="57" s="1"/>
  <c r="B732" i="57" s="1"/>
  <c r="B733" i="57" s="1"/>
  <c r="B734" i="57" s="1"/>
  <c r="B735" i="57" s="1"/>
  <c r="B736" i="57" s="1"/>
  <c r="B737" i="57" s="1"/>
  <c r="B738" i="57" s="1"/>
  <c r="B739" i="57" s="1"/>
  <c r="B740" i="57" s="1"/>
  <c r="B741" i="57" s="1"/>
  <c r="B742" i="57" s="1"/>
  <c r="B743" i="57" s="1"/>
  <c r="B744" i="57" s="1"/>
  <c r="B745" i="57" s="1"/>
  <c r="B746" i="57" s="1"/>
  <c r="B747" i="57" s="1"/>
  <c r="B748" i="57" s="1"/>
  <c r="B749" i="57" s="1"/>
  <c r="B750" i="57" s="1"/>
  <c r="B751" i="57" s="1"/>
  <c r="B752" i="57" s="1"/>
  <c r="B753" i="57" s="1"/>
  <c r="B754" i="57" s="1"/>
  <c r="B755" i="57" s="1"/>
  <c r="B756" i="57" s="1"/>
  <c r="B757" i="57" s="1"/>
  <c r="B758" i="57" s="1"/>
  <c r="B759" i="57" s="1"/>
  <c r="B760" i="57" s="1"/>
  <c r="B761" i="57" s="1"/>
  <c r="B762" i="57" s="1"/>
  <c r="B763" i="57" s="1"/>
  <c r="B764" i="57" s="1"/>
  <c r="B765" i="57" s="1"/>
  <c r="B766" i="57" s="1"/>
  <c r="B767" i="57" s="1"/>
  <c r="B768" i="57" s="1"/>
  <c r="B769" i="57" s="1"/>
  <c r="B770" i="57" s="1"/>
  <c r="B771" i="57" s="1"/>
  <c r="B772" i="57" s="1"/>
  <c r="B773" i="57" s="1"/>
  <c r="B774" i="57" s="1"/>
  <c r="B775" i="57" s="1"/>
  <c r="B776" i="57" s="1"/>
  <c r="B777" i="57" s="1"/>
  <c r="B778" i="57" s="1"/>
  <c r="B779" i="57" s="1"/>
  <c r="C727" i="57"/>
  <c r="C728" i="57" s="1"/>
  <c r="C729" i="57" s="1"/>
  <c r="C730" i="57" s="1"/>
  <c r="C731" i="57" s="1"/>
  <c r="C732" i="57" s="1"/>
  <c r="C733" i="57" s="1"/>
  <c r="C734" i="57" s="1"/>
  <c r="C735" i="57" s="1"/>
  <c r="C736" i="57" s="1"/>
  <c r="C737" i="57" s="1"/>
  <c r="C738" i="57" s="1"/>
  <c r="C739" i="57" s="1"/>
  <c r="C740" i="57" s="1"/>
  <c r="C741" i="57" s="1"/>
  <c r="C742" i="57" s="1"/>
  <c r="C743" i="57" s="1"/>
  <c r="C744" i="57" s="1"/>
  <c r="C745" i="57" s="1"/>
  <c r="Q112" i="21"/>
  <c r="Q218" i="21"/>
  <c r="Q234" i="21" s="1"/>
  <c r="Q134" i="21"/>
  <c r="BJ782" i="20"/>
  <c r="CR882" i="20" s="1"/>
  <c r="CW882" i="20" s="1"/>
  <c r="Y153" i="20"/>
  <c r="P159" i="21"/>
  <c r="P160" i="21"/>
  <c r="BL653" i="20"/>
  <c r="AA228" i="20"/>
  <c r="AB65" i="20"/>
  <c r="BH633" i="20"/>
  <c r="CL890" i="20" s="1"/>
  <c r="AA120" i="19"/>
  <c r="AN156" i="16"/>
  <c r="AN200" i="16" s="1"/>
  <c r="AN49" i="16" s="1"/>
  <c r="AS49" i="16" s="1"/>
  <c r="AQ83" i="16"/>
  <c r="AQ86" i="16"/>
  <c r="AQ171" i="16"/>
  <c r="AQ168" i="16"/>
  <c r="AQ169" i="16" s="1"/>
  <c r="AQ112" i="16"/>
  <c r="AQ109" i="16"/>
  <c r="AQ110" i="16" s="1"/>
  <c r="AQ125" i="16"/>
  <c r="AQ122" i="16"/>
  <c r="AQ123" i="16" s="1"/>
  <c r="AB104" i="19"/>
  <c r="AB107" i="19" s="1"/>
  <c r="AB100" i="19"/>
  <c r="AN226" i="16"/>
  <c r="AQ254" i="16"/>
  <c r="AN308" i="16"/>
  <c r="AN281" i="16"/>
  <c r="AP27" i="16"/>
  <c r="AN201" i="16"/>
  <c r="AC99" i="19"/>
  <c r="AQ21" i="16"/>
  <c r="AV16" i="16"/>
  <c r="AQ99" i="16"/>
  <c r="AQ96" i="16"/>
  <c r="AQ97" i="16" s="1"/>
  <c r="AN140" i="16"/>
  <c r="AN37" i="16" s="1"/>
  <c r="AN282" i="16"/>
  <c r="AQ255" i="16"/>
  <c r="AN227" i="16"/>
  <c r="AN309" i="16"/>
  <c r="AV30" i="16"/>
  <c r="AC111" i="19"/>
  <c r="AQ155" i="16"/>
  <c r="AQ158" i="16"/>
  <c r="AQ197" i="16"/>
  <c r="AQ194" i="16"/>
  <c r="AQ195" i="16" s="1"/>
  <c r="AN84" i="16"/>
  <c r="AN141" i="16" s="1"/>
  <c r="AN48" i="16" s="1"/>
  <c r="AS48" i="16" s="1"/>
  <c r="AN142" i="16"/>
  <c r="AQ184" i="16"/>
  <c r="AQ181" i="16"/>
  <c r="AQ182" i="16" s="1"/>
  <c r="L44" i="16"/>
  <c r="G47" i="16"/>
  <c r="AT235" i="16"/>
  <c r="AT153" i="16"/>
  <c r="J372" i="16"/>
  <c r="AT262" i="16"/>
  <c r="AT192" i="16"/>
  <c r="AT207" i="16"/>
  <c r="AT179" i="16"/>
  <c r="AT133" i="16"/>
  <c r="AT166" i="16"/>
  <c r="AT289" i="16"/>
  <c r="AT94" i="16"/>
  <c r="AT120" i="16"/>
  <c r="AT31" i="16"/>
  <c r="AT61" i="16"/>
  <c r="AT53" i="16"/>
  <c r="AT392" i="16" s="1"/>
  <c r="AT30" i="16"/>
  <c r="AT81" i="16"/>
  <c r="AT107" i="16"/>
  <c r="R423" i="16"/>
  <c r="AQ138" i="16"/>
  <c r="AQ135" i="16"/>
  <c r="AQ136" i="16" s="1"/>
  <c r="AT257" i="16"/>
  <c r="AT229" i="16" s="1"/>
  <c r="AQ229" i="16"/>
  <c r="AN27" i="16"/>
  <c r="AS21" i="16"/>
  <c r="AN199" i="16"/>
  <c r="AN38" i="16" s="1"/>
  <c r="AS38" i="16" s="1"/>
  <c r="AI260" i="20"/>
  <c r="AH126" i="20"/>
  <c r="AH125" i="20"/>
  <c r="AI126" i="20"/>
  <c r="AI125" i="20"/>
  <c r="Y458" i="20" l="1"/>
  <c r="BE698" i="20"/>
  <c r="X505" i="20"/>
  <c r="Y464" i="20"/>
  <c r="Y511" i="20" s="1"/>
  <c r="X558" i="20"/>
  <c r="V188" i="20"/>
  <c r="H93" i="21"/>
  <c r="M136" i="21"/>
  <c r="M138" i="21" s="1"/>
  <c r="I93" i="21"/>
  <c r="V137" i="20"/>
  <c r="V93" i="20"/>
  <c r="BG683" i="20" s="1"/>
  <c r="BG719" i="20" s="1"/>
  <c r="V187" i="20"/>
  <c r="W92" i="20"/>
  <c r="BH682" i="20" s="1"/>
  <c r="J136" i="21"/>
  <c r="J138" i="21" s="1"/>
  <c r="R148" i="21"/>
  <c r="R93" i="21"/>
  <c r="BF747" i="20"/>
  <c r="H193" i="21"/>
  <c r="CD857" i="20"/>
  <c r="CE857" i="20"/>
  <c r="V389" i="20"/>
  <c r="V489" i="20"/>
  <c r="V536" i="20"/>
  <c r="W442" i="20"/>
  <c r="Q157" i="20"/>
  <c r="Q211" i="20" s="1"/>
  <c r="Q213" i="20" s="1"/>
  <c r="BB739" i="20"/>
  <c r="W252" i="20"/>
  <c r="V253" i="20"/>
  <c r="X277" i="20"/>
  <c r="W278" i="20"/>
  <c r="X264" i="20"/>
  <c r="W265" i="20"/>
  <c r="P136" i="21"/>
  <c r="P138" i="21" s="1"/>
  <c r="H143" i="21"/>
  <c r="BG747" i="20"/>
  <c r="BF765" i="20"/>
  <c r="BF767" i="20" s="1"/>
  <c r="W75" i="20"/>
  <c r="W136" i="20" s="1"/>
  <c r="CH853" i="20"/>
  <c r="N145" i="21"/>
  <c r="O144" i="21"/>
  <c r="J148" i="21"/>
  <c r="L145" i="21"/>
  <c r="BF730" i="20"/>
  <c r="CF901" i="20" s="1"/>
  <c r="M143" i="21"/>
  <c r="R143" i="21"/>
  <c r="O148" i="21"/>
  <c r="N144" i="21"/>
  <c r="Q144" i="21"/>
  <c r="R146" i="21"/>
  <c r="J163" i="21"/>
  <c r="L163" i="21"/>
  <c r="Z469" i="20"/>
  <c r="Y416" i="20"/>
  <c r="Y563" i="20"/>
  <c r="Y516" i="20"/>
  <c r="Y417" i="20"/>
  <c r="Y517" i="20"/>
  <c r="Z470" i="20"/>
  <c r="Y564" i="20"/>
  <c r="Y505" i="20"/>
  <c r="Y552" i="20"/>
  <c r="Z458" i="20"/>
  <c r="Y405" i="20"/>
  <c r="CH849" i="20"/>
  <c r="Z456" i="20"/>
  <c r="Y503" i="20"/>
  <c r="Y550" i="20"/>
  <c r="Y403" i="20"/>
  <c r="J144" i="21"/>
  <c r="L144" i="21"/>
  <c r="O143" i="21"/>
  <c r="J145" i="21"/>
  <c r="Y406" i="20"/>
  <c r="Z459" i="20"/>
  <c r="Y553" i="20"/>
  <c r="Y506" i="20"/>
  <c r="Y514" i="20"/>
  <c r="Y414" i="20"/>
  <c r="Y561" i="20"/>
  <c r="Z467" i="20"/>
  <c r="H144" i="21"/>
  <c r="N146" i="21"/>
  <c r="J146" i="21"/>
  <c r="CF850" i="20"/>
  <c r="CG850" i="20" s="1"/>
  <c r="BG717" i="20"/>
  <c r="K193" i="21"/>
  <c r="R193" i="21"/>
  <c r="N193" i="21"/>
  <c r="Q148" i="21"/>
  <c r="BE593" i="20"/>
  <c r="P145" i="21"/>
  <c r="CG849" i="20"/>
  <c r="P193" i="21"/>
  <c r="BG605" i="20"/>
  <c r="BG701" i="20" s="1"/>
  <c r="P146" i="21"/>
  <c r="L146" i="21"/>
  <c r="N163" i="21"/>
  <c r="Q163" i="21"/>
  <c r="M148" i="21"/>
  <c r="I148" i="21"/>
  <c r="R144" i="21"/>
  <c r="K143" i="21"/>
  <c r="X90" i="20"/>
  <c r="X195" i="20" s="1"/>
  <c r="BG629" i="20"/>
  <c r="BG792" i="20" s="1"/>
  <c r="BG869" i="20" s="1"/>
  <c r="V163" i="20"/>
  <c r="L136" i="21"/>
  <c r="L138" i="21" s="1"/>
  <c r="L93" i="21"/>
  <c r="BH606" i="20"/>
  <c r="M22" i="21"/>
  <c r="N22" i="21"/>
  <c r="K22" i="21"/>
  <c r="J22" i="21"/>
  <c r="L22" i="21"/>
  <c r="P22" i="21"/>
  <c r="O22" i="21"/>
  <c r="I22" i="21"/>
  <c r="G22" i="21"/>
  <c r="H22" i="21"/>
  <c r="Q22" i="21"/>
  <c r="R22" i="21"/>
  <c r="BG816" i="20"/>
  <c r="BG879" i="20" s="1"/>
  <c r="BG608" i="20"/>
  <c r="Y392" i="20"/>
  <c r="Y539" i="20"/>
  <c r="Y492" i="20"/>
  <c r="Z445" i="20"/>
  <c r="BF853" i="20"/>
  <c r="O93" i="21"/>
  <c r="O136" i="21"/>
  <c r="O138" i="21" s="1"/>
  <c r="V144" i="20"/>
  <c r="BG594" i="20"/>
  <c r="BG773" i="20" s="1"/>
  <c r="BG856" i="20" s="1"/>
  <c r="BH672" i="20"/>
  <c r="BH806" i="20" s="1"/>
  <c r="W177" i="20"/>
  <c r="I143" i="21"/>
  <c r="BG805" i="20"/>
  <c r="BG758" i="20"/>
  <c r="H146" i="21"/>
  <c r="I146" i="21"/>
  <c r="Y463" i="20"/>
  <c r="X510" i="20"/>
  <c r="X410" i="20"/>
  <c r="X30" i="20" s="1"/>
  <c r="X557" i="20"/>
  <c r="BF589" i="20"/>
  <c r="BH685" i="20"/>
  <c r="BH811" i="20" s="1"/>
  <c r="CL870" i="20" s="1"/>
  <c r="CN870" i="20" s="1"/>
  <c r="Q193" i="21"/>
  <c r="P148" i="21"/>
  <c r="BF591" i="20"/>
  <c r="BF823" i="20" s="1"/>
  <c r="BF855" i="20" s="1"/>
  <c r="U194" i="20"/>
  <c r="U196" i="20" s="1"/>
  <c r="U210" i="20" s="1"/>
  <c r="CE850" i="20"/>
  <c r="CC852" i="20"/>
  <c r="CD850" i="20"/>
  <c r="Y391" i="20"/>
  <c r="Z444" i="20"/>
  <c r="Y538" i="20"/>
  <c r="Y491" i="20"/>
  <c r="W91" i="20"/>
  <c r="BH681" i="20" s="1"/>
  <c r="CC899" i="20"/>
  <c r="BG623" i="20"/>
  <c r="BG774" i="20" s="1"/>
  <c r="BG857" i="20" s="1"/>
  <c r="V145" i="20"/>
  <c r="W20" i="20"/>
  <c r="W142" i="20"/>
  <c r="BH587" i="20"/>
  <c r="BH724" i="20" s="1"/>
  <c r="BG824" i="20"/>
  <c r="BG883" i="20" s="1"/>
  <c r="CI853" i="20"/>
  <c r="CJ853" i="20" s="1"/>
  <c r="BG766" i="20"/>
  <c r="AA457" i="20"/>
  <c r="Z404" i="20"/>
  <c r="Z504" i="20"/>
  <c r="Z551" i="20"/>
  <c r="BI602" i="20"/>
  <c r="X95" i="20"/>
  <c r="X182" i="20" s="1"/>
  <c r="J143" i="21"/>
  <c r="P143" i="21"/>
  <c r="BG624" i="20"/>
  <c r="BG775" i="20" s="1"/>
  <c r="BG858" i="20" s="1"/>
  <c r="V146" i="20"/>
  <c r="Y547" i="20"/>
  <c r="Y500" i="20"/>
  <c r="Z453" i="20"/>
  <c r="Y400" i="20"/>
  <c r="Q146" i="21"/>
  <c r="M163" i="21"/>
  <c r="K163" i="21"/>
  <c r="I163" i="21"/>
  <c r="E194" i="21"/>
  <c r="G194" i="21" s="1"/>
  <c r="T196" i="20"/>
  <c r="E196" i="21" s="1"/>
  <c r="G196" i="21" s="1"/>
  <c r="H138" i="21"/>
  <c r="I193" i="21"/>
  <c r="L193" i="21"/>
  <c r="N148" i="21"/>
  <c r="V193" i="20"/>
  <c r="BG588" i="20"/>
  <c r="BG822" i="20" s="1"/>
  <c r="BG853" i="20" s="1"/>
  <c r="Q93" i="21"/>
  <c r="Q136" i="21"/>
  <c r="Q138" i="21" s="1"/>
  <c r="Y509" i="20"/>
  <c r="Y409" i="20"/>
  <c r="Y556" i="20"/>
  <c r="Z462" i="20"/>
  <c r="Q18" i="19"/>
  <c r="CK63" i="19" s="1"/>
  <c r="BH609" i="20"/>
  <c r="BH611" i="20" s="1"/>
  <c r="Y455" i="20"/>
  <c r="X502" i="20"/>
  <c r="X549" i="20"/>
  <c r="X402" i="20"/>
  <c r="H145" i="21"/>
  <c r="I145" i="21"/>
  <c r="K145" i="21"/>
  <c r="Y387" i="20"/>
  <c r="Z440" i="20"/>
  <c r="Y534" i="20"/>
  <c r="Y487" i="20"/>
  <c r="BG627" i="20"/>
  <c r="BG777" i="20" s="1"/>
  <c r="BG860" i="20" s="1"/>
  <c r="V148" i="20"/>
  <c r="BG817" i="20"/>
  <c r="BG880" i="20" s="1"/>
  <c r="N138" i="21"/>
  <c r="W40" i="20"/>
  <c r="W21" i="20"/>
  <c r="BH661" i="20"/>
  <c r="BH662" i="20" s="1"/>
  <c r="BH716" i="20" s="1"/>
  <c r="W23" i="20"/>
  <c r="W44" i="20"/>
  <c r="Y507" i="20"/>
  <c r="Z460" i="20"/>
  <c r="Y554" i="20"/>
  <c r="Y407" i="20"/>
  <c r="Y28" i="20" s="1"/>
  <c r="Y533" i="20"/>
  <c r="Y386" i="20"/>
  <c r="Y71" i="20" s="1"/>
  <c r="Z439" i="20"/>
  <c r="Y486" i="20"/>
  <c r="BH603" i="20"/>
  <c r="BH821" i="20" s="1"/>
  <c r="W192" i="20"/>
  <c r="CJ848" i="20"/>
  <c r="CJ851" i="20"/>
  <c r="Q12" i="19"/>
  <c r="BG771" i="20"/>
  <c r="BG852" i="20" s="1"/>
  <c r="Y388" i="20"/>
  <c r="Y535" i="20"/>
  <c r="Y488" i="20"/>
  <c r="Z441" i="20"/>
  <c r="CL848" i="20"/>
  <c r="CN848" i="20" s="1"/>
  <c r="R13" i="19" s="1"/>
  <c r="BH713" i="20"/>
  <c r="BH714" i="20" s="1"/>
  <c r="W178" i="20"/>
  <c r="BH673" i="20"/>
  <c r="BH807" i="20" s="1"/>
  <c r="AV710" i="20"/>
  <c r="AV749" i="20" s="1"/>
  <c r="AV752" i="20"/>
  <c r="E93" i="21"/>
  <c r="BE683" i="20"/>
  <c r="K138" i="21"/>
  <c r="BI660" i="20"/>
  <c r="X72" i="20"/>
  <c r="X923" i="20"/>
  <c r="X85" i="20"/>
  <c r="BI674" i="20" s="1"/>
  <c r="X84" i="20"/>
  <c r="X42" i="20"/>
  <c r="BI625" i="20" s="1"/>
  <c r="X19" i="20"/>
  <c r="X81" i="20"/>
  <c r="X83" i="20"/>
  <c r="X74" i="20"/>
  <c r="X82" i="20"/>
  <c r="X86" i="20"/>
  <c r="BI675" i="20" s="1"/>
  <c r="BG882" i="20"/>
  <c r="H163" i="21"/>
  <c r="W397" i="20"/>
  <c r="W544" i="20"/>
  <c r="W497" i="20"/>
  <c r="X450" i="20"/>
  <c r="Y562" i="20"/>
  <c r="Z468" i="20"/>
  <c r="Y415" i="20"/>
  <c r="Y515" i="20"/>
  <c r="AA454" i="20"/>
  <c r="Z401" i="20"/>
  <c r="Z501" i="20"/>
  <c r="Z548" i="20"/>
  <c r="BG684" i="20"/>
  <c r="Z495" i="20"/>
  <c r="Z395" i="20"/>
  <c r="Z542" i="20"/>
  <c r="AA448" i="20"/>
  <c r="O145" i="21"/>
  <c r="X555" i="20"/>
  <c r="X408" i="20"/>
  <c r="X29" i="20" s="1"/>
  <c r="X508" i="20"/>
  <c r="Y461" i="20"/>
  <c r="Z449" i="20"/>
  <c r="Y396" i="20"/>
  <c r="Y496" i="20"/>
  <c r="Y543" i="20"/>
  <c r="CI849" i="20"/>
  <c r="BH671" i="20"/>
  <c r="W176" i="20"/>
  <c r="BH663" i="20"/>
  <c r="CL851" i="20" s="1"/>
  <c r="CN851" i="20" s="1"/>
  <c r="W41" i="20"/>
  <c r="W46" i="20"/>
  <c r="K144" i="21"/>
  <c r="P144" i="21"/>
  <c r="M144" i="21"/>
  <c r="E136" i="21"/>
  <c r="G136" i="21" s="1"/>
  <c r="T138" i="20"/>
  <c r="E138" i="21" s="1"/>
  <c r="G138" i="21" s="1"/>
  <c r="L143" i="21"/>
  <c r="Q143" i="21"/>
  <c r="N143" i="21"/>
  <c r="X413" i="20"/>
  <c r="X560" i="20"/>
  <c r="X513" i="20"/>
  <c r="Y466" i="20"/>
  <c r="O146" i="21"/>
  <c r="M146" i="21"/>
  <c r="K146" i="21"/>
  <c r="R163" i="21"/>
  <c r="O163" i="21"/>
  <c r="P163" i="21"/>
  <c r="BE855" i="20"/>
  <c r="BE825" i="20"/>
  <c r="BE839" i="20" s="1"/>
  <c r="BG662" i="20"/>
  <c r="W94" i="20"/>
  <c r="V138" i="20"/>
  <c r="J193" i="21"/>
  <c r="O193" i="21"/>
  <c r="M193" i="21"/>
  <c r="H148" i="21"/>
  <c r="K148" i="21"/>
  <c r="BF772" i="20"/>
  <c r="BF854" i="20" s="1"/>
  <c r="Y394" i="20"/>
  <c r="Y494" i="20"/>
  <c r="Y541" i="20"/>
  <c r="Z447" i="20"/>
  <c r="I138" i="21"/>
  <c r="Y465" i="20"/>
  <c r="X512" i="20"/>
  <c r="X559" i="20"/>
  <c r="X412" i="20"/>
  <c r="X31" i="20" s="1"/>
  <c r="M145" i="21"/>
  <c r="Q145" i="21"/>
  <c r="R138" i="21"/>
  <c r="BH680" i="20"/>
  <c r="W195" i="20"/>
  <c r="Y393" i="20"/>
  <c r="Y540" i="20"/>
  <c r="Z446" i="20"/>
  <c r="Y493" i="20"/>
  <c r="V22" i="20"/>
  <c r="CK74" i="19"/>
  <c r="CK75" i="19" s="1"/>
  <c r="V143" i="20"/>
  <c r="BG590" i="20"/>
  <c r="Z464" i="20"/>
  <c r="W175" i="20"/>
  <c r="BH670" i="20"/>
  <c r="BH804" i="20" s="1"/>
  <c r="CN890" i="20"/>
  <c r="BG838" i="20"/>
  <c r="BH836" i="20"/>
  <c r="BH838" i="20" s="1"/>
  <c r="AA380" i="20"/>
  <c r="AA39" i="20" s="1"/>
  <c r="BL622" i="20" s="1"/>
  <c r="BM783" i="20"/>
  <c r="AE946" i="20"/>
  <c r="AB342" i="20"/>
  <c r="Y251" i="20"/>
  <c r="AA249" i="20" s="1"/>
  <c r="AA365" i="20"/>
  <c r="AA381" i="20" s="1"/>
  <c r="AA51" i="20" s="1"/>
  <c r="BL635" i="20" s="1"/>
  <c r="AB154" i="20"/>
  <c r="AC942" i="20"/>
  <c r="AT655" i="20"/>
  <c r="AT651" i="20"/>
  <c r="AT650" i="20"/>
  <c r="AT654" i="20"/>
  <c r="AT649" i="20"/>
  <c r="AS757" i="20"/>
  <c r="AX655" i="20"/>
  <c r="AS745" i="20"/>
  <c r="D34" i="22" s="1"/>
  <c r="D15" i="22" s="1"/>
  <c r="AT648" i="20"/>
  <c r="AS709" i="20"/>
  <c r="AS752" i="20" s="1"/>
  <c r="D36" i="22" s="1"/>
  <c r="AS758" i="20"/>
  <c r="AS658" i="20"/>
  <c r="AT653" i="20"/>
  <c r="AS708" i="20"/>
  <c r="BA655" i="20"/>
  <c r="AC373" i="20"/>
  <c r="BN783" i="20" s="1"/>
  <c r="AB374" i="20"/>
  <c r="AC377" i="20"/>
  <c r="AC363" i="20"/>
  <c r="AB364" i="20"/>
  <c r="AB365" i="20" s="1"/>
  <c r="AC367" i="20"/>
  <c r="AD247" i="20"/>
  <c r="AD438" i="20"/>
  <c r="AD532" i="20"/>
  <c r="AD485" i="20"/>
  <c r="DG893" i="20"/>
  <c r="DG865" i="20"/>
  <c r="BO763" i="20"/>
  <c r="DG846" i="20"/>
  <c r="BO696" i="20"/>
  <c r="I375" i="23"/>
  <c r="H2" i="53" s="1"/>
  <c r="I376" i="58"/>
  <c r="I55" i="21"/>
  <c r="Q55" i="21"/>
  <c r="M55" i="21"/>
  <c r="O55" i="21"/>
  <c r="L55" i="21"/>
  <c r="P55" i="21"/>
  <c r="J55" i="21"/>
  <c r="N55" i="21"/>
  <c r="K55" i="21"/>
  <c r="R55" i="21"/>
  <c r="R169" i="21" s="1"/>
  <c r="H55" i="21"/>
  <c r="G55" i="21"/>
  <c r="V25" i="20"/>
  <c r="BF596" i="20"/>
  <c r="BF813" i="20" s="1"/>
  <c r="BF878" i="20" s="1"/>
  <c r="U184" i="20"/>
  <c r="F376" i="58"/>
  <c r="F375" i="23"/>
  <c r="E2" i="53" s="1"/>
  <c r="N69" i="22"/>
  <c r="P68" i="22"/>
  <c r="P64" i="22"/>
  <c r="P67" i="22"/>
  <c r="P61" i="22"/>
  <c r="K70" i="22"/>
  <c r="P69" i="22"/>
  <c r="P65" i="22"/>
  <c r="P66" i="22"/>
  <c r="P62" i="22"/>
  <c r="P63" i="22"/>
  <c r="AB523" i="20"/>
  <c r="AB429" i="20"/>
  <c r="AB570" i="20"/>
  <c r="AC476" i="20"/>
  <c r="T165" i="20"/>
  <c r="E165" i="21" s="1"/>
  <c r="G165" i="21" s="1"/>
  <c r="E161" i="21"/>
  <c r="G161" i="21" s="1"/>
  <c r="BC652" i="20"/>
  <c r="BB745" i="20"/>
  <c r="BC649" i="20"/>
  <c r="BC653" i="20"/>
  <c r="BC651" i="20"/>
  <c r="BC654" i="20"/>
  <c r="BB708" i="20"/>
  <c r="BB658" i="20"/>
  <c r="BC650" i="20"/>
  <c r="BC648" i="20"/>
  <c r="BB709" i="20"/>
  <c r="BC655" i="20"/>
  <c r="BD655" i="20"/>
  <c r="BB758" i="20"/>
  <c r="BB757" i="20"/>
  <c r="BE812" i="20"/>
  <c r="BE755" i="20"/>
  <c r="BE597" i="20"/>
  <c r="BE756" i="20"/>
  <c r="G68" i="21"/>
  <c r="J68" i="21"/>
  <c r="L68" i="21"/>
  <c r="I68" i="21"/>
  <c r="P68" i="21"/>
  <c r="N68" i="21"/>
  <c r="M68" i="21"/>
  <c r="K68" i="21"/>
  <c r="R68" i="21"/>
  <c r="O68" i="21"/>
  <c r="Q68" i="21"/>
  <c r="H68" i="21"/>
  <c r="N32" i="21"/>
  <c r="R32" i="21"/>
  <c r="Q32" i="21"/>
  <c r="H32" i="21"/>
  <c r="M32" i="21"/>
  <c r="I32" i="21"/>
  <c r="O32" i="21"/>
  <c r="L32" i="21"/>
  <c r="K32" i="21"/>
  <c r="J32" i="21"/>
  <c r="J189" i="21" s="1"/>
  <c r="G32" i="21"/>
  <c r="P32" i="21"/>
  <c r="BE803" i="20"/>
  <c r="BE676" i="20"/>
  <c r="O80" i="21"/>
  <c r="N80" i="21"/>
  <c r="H80" i="21"/>
  <c r="K80" i="21"/>
  <c r="G80" i="21"/>
  <c r="I80" i="21"/>
  <c r="L80" i="21"/>
  <c r="J80" i="21"/>
  <c r="Q80" i="21"/>
  <c r="M80" i="21"/>
  <c r="R80" i="21"/>
  <c r="P80" i="21"/>
  <c r="AA69" i="20"/>
  <c r="BK657" i="20"/>
  <c r="BJ648" i="20"/>
  <c r="Z60" i="20"/>
  <c r="Y219" i="20"/>
  <c r="H376" i="58"/>
  <c r="H375" i="23"/>
  <c r="G2" i="53" s="1"/>
  <c r="I47" i="21"/>
  <c r="H47" i="21"/>
  <c r="P47" i="21"/>
  <c r="R47" i="21"/>
  <c r="M47" i="21"/>
  <c r="G47" i="21"/>
  <c r="Q47" i="21"/>
  <c r="K47" i="21"/>
  <c r="O47" i="21"/>
  <c r="J47" i="21"/>
  <c r="L47" i="21"/>
  <c r="N47" i="21"/>
  <c r="BF599" i="20"/>
  <c r="U186" i="20"/>
  <c r="V27" i="20"/>
  <c r="BE815" i="20"/>
  <c r="BE601" i="20"/>
  <c r="U166" i="20"/>
  <c r="V52" i="20"/>
  <c r="BF636" i="20"/>
  <c r="U58" i="20"/>
  <c r="BJ649" i="20"/>
  <c r="Z61" i="20"/>
  <c r="Y220" i="20"/>
  <c r="AD371" i="20"/>
  <c r="AD357" i="20"/>
  <c r="AD361" i="20"/>
  <c r="AD353" i="20"/>
  <c r="AC354" i="20"/>
  <c r="AC355" i="20" s="1"/>
  <c r="AE428" i="20"/>
  <c r="AE134" i="20"/>
  <c r="AE160" i="20" s="1"/>
  <c r="AE938" i="20"/>
  <c r="AE218" i="20"/>
  <c r="AE234" i="20" s="1"/>
  <c r="AE345" i="20"/>
  <c r="AF15" i="20"/>
  <c r="AF951" i="20" s="1"/>
  <c r="AE311" i="20"/>
  <c r="BP583" i="20"/>
  <c r="AE351" i="20"/>
  <c r="AE259" i="20"/>
  <c r="AE112" i="20"/>
  <c r="AE270" i="20"/>
  <c r="AE422" i="20"/>
  <c r="AE385" i="20"/>
  <c r="AC477" i="20"/>
  <c r="AB430" i="20"/>
  <c r="AB571" i="20"/>
  <c r="AB524" i="20"/>
  <c r="Q62" i="22"/>
  <c r="Q69" i="22"/>
  <c r="L70" i="22"/>
  <c r="O70" i="22" s="1"/>
  <c r="Q68" i="22"/>
  <c r="Q63" i="22"/>
  <c r="Q64" i="22"/>
  <c r="Q66" i="22"/>
  <c r="Q61" i="22"/>
  <c r="Q65" i="22"/>
  <c r="Q67" i="22"/>
  <c r="O69" i="22"/>
  <c r="U347" i="20"/>
  <c r="V54" i="20"/>
  <c r="U168" i="20"/>
  <c r="BF639" i="20"/>
  <c r="BF797" i="20" s="1"/>
  <c r="BF873" i="20" s="1"/>
  <c r="BE799" i="20"/>
  <c r="BE875" i="20" s="1"/>
  <c r="BE644" i="20"/>
  <c r="BE867" i="20"/>
  <c r="K231" i="20"/>
  <c r="J24" i="21"/>
  <c r="M24" i="21"/>
  <c r="I24" i="21"/>
  <c r="P24" i="21"/>
  <c r="H24" i="21"/>
  <c r="L24" i="21"/>
  <c r="Q24" i="21"/>
  <c r="R24" i="21"/>
  <c r="G24" i="21"/>
  <c r="N24" i="21"/>
  <c r="N183" i="21" s="1"/>
  <c r="O24" i="21"/>
  <c r="K24" i="21"/>
  <c r="G79" i="21"/>
  <c r="M79" i="21"/>
  <c r="L79" i="21"/>
  <c r="R79" i="21"/>
  <c r="R174" i="21" s="1"/>
  <c r="P79" i="21"/>
  <c r="P174" i="21" s="1"/>
  <c r="I79" i="21"/>
  <c r="K79" i="21"/>
  <c r="K174" i="21" s="1"/>
  <c r="Q79" i="21"/>
  <c r="N79" i="21"/>
  <c r="H79" i="21"/>
  <c r="J79" i="21"/>
  <c r="J174" i="21" s="1"/>
  <c r="O79" i="21"/>
  <c r="V80" i="20"/>
  <c r="BF669" i="20"/>
  <c r="CF857" i="20" s="1"/>
  <c r="CG857" i="20" s="1"/>
  <c r="AA340" i="20"/>
  <c r="X207" i="20"/>
  <c r="X209" i="20" s="1"/>
  <c r="BI836" i="20"/>
  <c r="AC327" i="20"/>
  <c r="AC323" i="20"/>
  <c r="AB324" i="20"/>
  <c r="N57" i="21"/>
  <c r="M57" i="21"/>
  <c r="L57" i="21"/>
  <c r="O57" i="21"/>
  <c r="R57" i="21"/>
  <c r="I57" i="21"/>
  <c r="G57" i="21"/>
  <c r="P57" i="21"/>
  <c r="P171" i="21" s="1"/>
  <c r="J57" i="21"/>
  <c r="K57" i="21"/>
  <c r="Q57" i="21"/>
  <c r="H57" i="21"/>
  <c r="U164" i="20"/>
  <c r="BF630" i="20"/>
  <c r="V47" i="20"/>
  <c r="L27" i="21"/>
  <c r="O27" i="21"/>
  <c r="H27" i="21"/>
  <c r="P27" i="21"/>
  <c r="R27" i="21"/>
  <c r="Q27" i="21"/>
  <c r="J27" i="21"/>
  <c r="K27" i="21"/>
  <c r="N27" i="21"/>
  <c r="I27" i="21"/>
  <c r="M27" i="21"/>
  <c r="G27" i="21"/>
  <c r="O52" i="21"/>
  <c r="J52" i="21"/>
  <c r="N52" i="21"/>
  <c r="G52" i="21"/>
  <c r="H52" i="21"/>
  <c r="L52" i="21"/>
  <c r="P52" i="21"/>
  <c r="R52" i="21"/>
  <c r="Q52" i="21"/>
  <c r="K52" i="21"/>
  <c r="I52" i="21"/>
  <c r="M52" i="21"/>
  <c r="E166" i="21"/>
  <c r="G166" i="21" s="1"/>
  <c r="T172" i="20"/>
  <c r="E172" i="21" s="1"/>
  <c r="G172" i="21" s="1"/>
  <c r="H172" i="19"/>
  <c r="H77" i="19"/>
  <c r="H232" i="20"/>
  <c r="H233" i="20"/>
  <c r="D105" i="22" s="1"/>
  <c r="D109" i="22" s="1"/>
  <c r="D43" i="22" s="1"/>
  <c r="N231" i="20"/>
  <c r="N233" i="20" s="1"/>
  <c r="E105" i="22" s="1"/>
  <c r="E109" i="22" s="1"/>
  <c r="E43" i="22" s="1"/>
  <c r="N216" i="20"/>
  <c r="C227" i="21"/>
  <c r="AD941" i="20"/>
  <c r="AD940" i="20"/>
  <c r="Y926" i="20"/>
  <c r="AD569" i="20"/>
  <c r="AD522" i="20"/>
  <c r="AD475" i="20"/>
  <c r="AD313" i="20"/>
  <c r="AD321" i="20"/>
  <c r="AD331" i="20"/>
  <c r="AD317" i="20"/>
  <c r="AC314" i="20"/>
  <c r="E209" i="21"/>
  <c r="G209" i="21" s="1"/>
  <c r="H65" i="19"/>
  <c r="H160" i="19"/>
  <c r="BF628" i="20"/>
  <c r="BF791" i="20" s="1"/>
  <c r="BF868" i="20" s="1"/>
  <c r="U162" i="20"/>
  <c r="V45" i="20"/>
  <c r="T931" i="20"/>
  <c r="G54" i="21"/>
  <c r="H54" i="21"/>
  <c r="R54" i="21"/>
  <c r="P54" i="21"/>
  <c r="N54" i="21"/>
  <c r="O54" i="21"/>
  <c r="Q54" i="21"/>
  <c r="L54" i="21"/>
  <c r="J54" i="21"/>
  <c r="K54" i="21"/>
  <c r="I54" i="21"/>
  <c r="M54" i="21"/>
  <c r="M168" i="21" s="1"/>
  <c r="M56" i="21"/>
  <c r="G56" i="21"/>
  <c r="H56" i="21"/>
  <c r="O56" i="21"/>
  <c r="I56" i="21"/>
  <c r="R56" i="21"/>
  <c r="K56" i="21"/>
  <c r="L56" i="21"/>
  <c r="P56" i="21"/>
  <c r="N56" i="21"/>
  <c r="J56" i="21"/>
  <c r="Q56" i="21"/>
  <c r="N43" i="21"/>
  <c r="I43" i="21"/>
  <c r="M43" i="21"/>
  <c r="K43" i="21"/>
  <c r="G43" i="21"/>
  <c r="L43" i="21"/>
  <c r="Q43" i="21"/>
  <c r="J43" i="21"/>
  <c r="R43" i="21"/>
  <c r="P43" i="21"/>
  <c r="O43" i="21"/>
  <c r="H43" i="21"/>
  <c r="U167" i="20"/>
  <c r="BF637" i="20"/>
  <c r="BF796" i="20" s="1"/>
  <c r="BF872" i="20" s="1"/>
  <c r="V53" i="20"/>
  <c r="BF595" i="20"/>
  <c r="U183" i="20"/>
  <c r="V24" i="20"/>
  <c r="V68" i="20"/>
  <c r="BF656" i="20"/>
  <c r="BE614" i="20"/>
  <c r="BE818" i="20"/>
  <c r="BE881" i="20" s="1"/>
  <c r="U174" i="20"/>
  <c r="BF668" i="20"/>
  <c r="V79" i="20"/>
  <c r="Z33" i="20"/>
  <c r="BJ615" i="20"/>
  <c r="BJ702" i="20" s="1"/>
  <c r="AA341" i="20"/>
  <c r="AP658" i="20"/>
  <c r="AP709" i="20"/>
  <c r="AP752" i="20" s="1"/>
  <c r="C36" i="22" s="1"/>
  <c r="AQ648" i="20"/>
  <c r="AQ650" i="20"/>
  <c r="AP757" i="20"/>
  <c r="AQ654" i="20"/>
  <c r="AU655" i="20"/>
  <c r="AQ651" i="20"/>
  <c r="AQ652" i="20"/>
  <c r="AP745" i="20"/>
  <c r="C34" i="22" s="1"/>
  <c r="C15" i="22" s="1"/>
  <c r="AQ649" i="20"/>
  <c r="AQ653" i="20"/>
  <c r="AR655" i="20"/>
  <c r="AP758" i="20"/>
  <c r="AP708" i="20"/>
  <c r="AQ655" i="20"/>
  <c r="AC337" i="20"/>
  <c r="AC333" i="20"/>
  <c r="AB334" i="20"/>
  <c r="AB335" i="20" s="1"/>
  <c r="X11" i="19"/>
  <c r="W96" i="19" s="1"/>
  <c r="BN789" i="20"/>
  <c r="BF642" i="20"/>
  <c r="BF800" i="20" s="1"/>
  <c r="BF876" i="20" s="1"/>
  <c r="U171" i="20"/>
  <c r="V57" i="20"/>
  <c r="U425" i="20"/>
  <c r="U78" i="20" s="1"/>
  <c r="V423" i="20"/>
  <c r="T190" i="20"/>
  <c r="E190" i="21" s="1"/>
  <c r="G190" i="21" s="1"/>
  <c r="E186" i="21"/>
  <c r="G186" i="21" s="1"/>
  <c r="P80" i="22"/>
  <c r="E58" i="21"/>
  <c r="AB432" i="20"/>
  <c r="AC479" i="20"/>
  <c r="Q45" i="21"/>
  <c r="R45" i="21"/>
  <c r="G45" i="21"/>
  <c r="K45" i="21"/>
  <c r="O45" i="21"/>
  <c r="L45" i="21"/>
  <c r="M45" i="21"/>
  <c r="J45" i="21"/>
  <c r="P45" i="21"/>
  <c r="P162" i="21" s="1"/>
  <c r="I45" i="21"/>
  <c r="N45" i="21"/>
  <c r="H45" i="21"/>
  <c r="V55" i="20"/>
  <c r="BF640" i="20"/>
  <c r="BF798" i="20" s="1"/>
  <c r="BF874" i="20" s="1"/>
  <c r="U169" i="20"/>
  <c r="R25" i="21"/>
  <c r="M25" i="21"/>
  <c r="O25" i="21"/>
  <c r="N25" i="21"/>
  <c r="P25" i="21"/>
  <c r="G25" i="21"/>
  <c r="I25" i="21"/>
  <c r="Q25" i="21"/>
  <c r="L25" i="21"/>
  <c r="J25" i="21"/>
  <c r="H25" i="21"/>
  <c r="K25" i="21"/>
  <c r="BE665" i="20"/>
  <c r="BE720" i="20" s="1"/>
  <c r="T87" i="20"/>
  <c r="E76" i="21"/>
  <c r="T155" i="20"/>
  <c r="V56" i="20"/>
  <c r="U170" i="20"/>
  <c r="BF641" i="20"/>
  <c r="BF626" i="20"/>
  <c r="BF790" i="20" s="1"/>
  <c r="U161" i="20"/>
  <c r="V43" i="20"/>
  <c r="P53" i="21"/>
  <c r="G53" i="21"/>
  <c r="L53" i="21"/>
  <c r="Q53" i="21"/>
  <c r="R53" i="21"/>
  <c r="I53" i="21"/>
  <c r="H53" i="21"/>
  <c r="J53" i="21"/>
  <c r="K53" i="21"/>
  <c r="O53" i="21"/>
  <c r="N53" i="21"/>
  <c r="M53" i="21"/>
  <c r="BK654" i="20"/>
  <c r="Z224" i="20"/>
  <c r="AA66" i="20"/>
  <c r="AB325" i="20"/>
  <c r="T185" i="20"/>
  <c r="E183" i="21"/>
  <c r="G183" i="21" s="1"/>
  <c r="V32" i="20"/>
  <c r="BF612" i="20"/>
  <c r="U189" i="20"/>
  <c r="E174" i="21"/>
  <c r="G174" i="21" s="1"/>
  <c r="CC875" i="20"/>
  <c r="E376" i="58"/>
  <c r="E375" i="23"/>
  <c r="D2" i="53" s="1"/>
  <c r="X263" i="20"/>
  <c r="X38" i="20"/>
  <c r="BI621" i="20" s="1"/>
  <c r="BE631" i="20"/>
  <c r="BE793" i="20"/>
  <c r="BE870" i="20" s="1"/>
  <c r="BE667" i="20"/>
  <c r="E78" i="21"/>
  <c r="T179" i="20"/>
  <c r="E179" i="21" s="1"/>
  <c r="G179" i="21" s="1"/>
  <c r="BE638" i="20"/>
  <c r="BE795" i="20"/>
  <c r="B780" i="57"/>
  <c r="B781" i="57"/>
  <c r="B782" i="57" s="1"/>
  <c r="B783" i="57" s="1"/>
  <c r="B784" i="57" s="1"/>
  <c r="B785" i="57" s="1"/>
  <c r="B786" i="57" s="1"/>
  <c r="B787" i="57" s="1"/>
  <c r="B788" i="57" s="1"/>
  <c r="B789" i="57" s="1"/>
  <c r="B790" i="57" s="1"/>
  <c r="B791" i="57" s="1"/>
  <c r="B792" i="57" s="1"/>
  <c r="B793" i="57" s="1"/>
  <c r="B794" i="57" s="1"/>
  <c r="B795" i="57" s="1"/>
  <c r="B796" i="57" s="1"/>
  <c r="B797" i="57" s="1"/>
  <c r="B798" i="57" s="1"/>
  <c r="B799" i="57" s="1"/>
  <c r="B800" i="57" s="1"/>
  <c r="B801" i="57" s="1"/>
  <c r="B802" i="57" s="1"/>
  <c r="B803" i="57" s="1"/>
  <c r="B804" i="57" s="1"/>
  <c r="B805" i="57" s="1"/>
  <c r="B806" i="57" s="1"/>
  <c r="B807" i="57" s="1"/>
  <c r="B808" i="57" s="1"/>
  <c r="B809" i="57" s="1"/>
  <c r="B810" i="57" s="1"/>
  <c r="B811" i="57" s="1"/>
  <c r="B812" i="57" s="1"/>
  <c r="B813" i="57" s="1"/>
  <c r="B814" i="57" s="1"/>
  <c r="B815" i="57" s="1"/>
  <c r="B816" i="57" s="1"/>
  <c r="B817" i="57" s="1"/>
  <c r="B818" i="57" s="1"/>
  <c r="B819" i="57" s="1"/>
  <c r="B820" i="57" s="1"/>
  <c r="B821" i="57" s="1"/>
  <c r="B822" i="57" s="1"/>
  <c r="B823" i="57" s="1"/>
  <c r="B824" i="57" s="1"/>
  <c r="B825" i="57" s="1"/>
  <c r="B826" i="57" s="1"/>
  <c r="B827" i="57" s="1"/>
  <c r="B828" i="57" s="1"/>
  <c r="B829" i="57" s="1"/>
  <c r="B830" i="57" s="1"/>
  <c r="B831" i="57" s="1"/>
  <c r="B832" i="57" s="1"/>
  <c r="B833" i="57" s="1"/>
  <c r="B834" i="57" s="1"/>
  <c r="B835" i="57" s="1"/>
  <c r="B836" i="57" s="1"/>
  <c r="B837" i="57" s="1"/>
  <c r="B838" i="57" s="1"/>
  <c r="B839" i="57" s="1"/>
  <c r="B840" i="57" s="1"/>
  <c r="B841" i="57" s="1"/>
  <c r="B842" i="57" s="1"/>
  <c r="B843" i="57" s="1"/>
  <c r="B844" i="57" s="1"/>
  <c r="B845" i="57" s="1"/>
  <c r="B846" i="57" s="1"/>
  <c r="B847" i="57" s="1"/>
  <c r="B848" i="57" s="1"/>
  <c r="B849" i="57" s="1"/>
  <c r="B850" i="57" s="1"/>
  <c r="B851" i="57" s="1"/>
  <c r="B852" i="57" s="1"/>
  <c r="B853" i="57" s="1"/>
  <c r="B854" i="57" s="1"/>
  <c r="B855" i="57" s="1"/>
  <c r="B856" i="57" s="1"/>
  <c r="B857" i="57" s="1"/>
  <c r="B858" i="57" s="1"/>
  <c r="B859" i="57" s="1"/>
  <c r="B860" i="57" s="1"/>
  <c r="B861" i="57" s="1"/>
  <c r="B862" i="57" s="1"/>
  <c r="B863" i="57" s="1"/>
  <c r="B864" i="57" s="1"/>
  <c r="B865" i="57" s="1"/>
  <c r="B866" i="57" s="1"/>
  <c r="B867" i="57" s="1"/>
  <c r="B868" i="57" s="1"/>
  <c r="B869" i="57" s="1"/>
  <c r="B870" i="57" s="1"/>
  <c r="B871" i="57" s="1"/>
  <c r="B872" i="57" s="1"/>
  <c r="B873" i="57" s="1"/>
  <c r="B874" i="57" s="1"/>
  <c r="B875" i="57" s="1"/>
  <c r="B876" i="57" s="1"/>
  <c r="B877" i="57" s="1"/>
  <c r="B878" i="57" s="1"/>
  <c r="B879" i="57" s="1"/>
  <c r="B880" i="57" s="1"/>
  <c r="B881" i="57" s="1"/>
  <c r="B882" i="57" s="1"/>
  <c r="B883" i="57" s="1"/>
  <c r="B884" i="57" s="1"/>
  <c r="B885" i="57" s="1"/>
  <c r="B886" i="57" s="1"/>
  <c r="B887" i="57" s="1"/>
  <c r="B888" i="57" s="1"/>
  <c r="B889" i="57" s="1"/>
  <c r="B890" i="57" s="1"/>
  <c r="B891" i="57" s="1"/>
  <c r="B892" i="57" s="1"/>
  <c r="B893" i="57" s="1"/>
  <c r="B894" i="57" s="1"/>
  <c r="B895" i="57" s="1"/>
  <c r="B896" i="57" s="1"/>
  <c r="B897" i="57" s="1"/>
  <c r="B898" i="57" s="1"/>
  <c r="B899" i="57" s="1"/>
  <c r="B900" i="57" s="1"/>
  <c r="B901" i="57" s="1"/>
  <c r="B902" i="57" s="1"/>
  <c r="B903" i="57" s="1"/>
  <c r="B904" i="57" s="1"/>
  <c r="B905" i="57" s="1"/>
  <c r="B906" i="57" s="1"/>
  <c r="B907" i="57" s="1"/>
  <c r="B908" i="57" s="1"/>
  <c r="B909" i="57" s="1"/>
  <c r="B910" i="57" s="1"/>
  <c r="B911" i="57" s="1"/>
  <c r="B912" i="57" s="1"/>
  <c r="B913" i="57" s="1"/>
  <c r="B914" i="57" s="1"/>
  <c r="B915" i="57" s="1"/>
  <c r="B916" i="57" s="1"/>
  <c r="B917" i="57" s="1"/>
  <c r="B918" i="57" s="1"/>
  <c r="B919" i="57" s="1"/>
  <c r="B920" i="57" s="1"/>
  <c r="B921" i="57" s="1"/>
  <c r="B922" i="57" s="1"/>
  <c r="B923" i="57" s="1"/>
  <c r="B924" i="57" s="1"/>
  <c r="B925" i="57" s="1"/>
  <c r="B926" i="57" s="1"/>
  <c r="B927" i="57" s="1"/>
  <c r="B928" i="57" s="1"/>
  <c r="B929" i="57" s="1"/>
  <c r="B930" i="57" s="1"/>
  <c r="B931" i="57" s="1"/>
  <c r="B932" i="57" s="1"/>
  <c r="B933" i="57" s="1"/>
  <c r="B934" i="57" s="1"/>
  <c r="B935" i="57" s="1"/>
  <c r="B936" i="57" s="1"/>
  <c r="B937" i="57" s="1"/>
  <c r="B938" i="57" s="1"/>
  <c r="B939" i="57" s="1"/>
  <c r="B940" i="57" s="1"/>
  <c r="B941" i="57" s="1"/>
  <c r="B942" i="57" s="1"/>
  <c r="B943" i="57" s="1"/>
  <c r="B944" i="57" s="1"/>
  <c r="B945" i="57" s="1"/>
  <c r="B946" i="57" s="1"/>
  <c r="B947" i="57" s="1"/>
  <c r="B948" i="57" s="1"/>
  <c r="B949" i="57" s="1"/>
  <c r="B950" i="57" s="1"/>
  <c r="B951" i="57" s="1"/>
  <c r="B952" i="57" s="1"/>
  <c r="B953" i="57" s="1"/>
  <c r="B954" i="57" s="1"/>
  <c r="B955" i="57" s="1"/>
  <c r="B956" i="57" s="1"/>
  <c r="B957" i="57" s="1"/>
  <c r="B958" i="57" s="1"/>
  <c r="B959" i="57" s="1"/>
  <c r="B960" i="57" s="1"/>
  <c r="B961" i="57" s="1"/>
  <c r="B962" i="57" s="1"/>
  <c r="B963" i="57" s="1"/>
  <c r="B964" i="57" s="1"/>
  <c r="B965" i="57" s="1"/>
  <c r="B966" i="57" s="1"/>
  <c r="B967" i="57" s="1"/>
  <c r="B968" i="57" s="1"/>
  <c r="B969" i="57" s="1"/>
  <c r="B970" i="57" s="1"/>
  <c r="B971" i="57" s="1"/>
  <c r="B972" i="57" s="1"/>
  <c r="B973" i="57" s="1"/>
  <c r="B974" i="57" s="1"/>
  <c r="B975" i="57" s="1"/>
  <c r="B976" i="57" s="1"/>
  <c r="B977" i="57" s="1"/>
  <c r="B978" i="57" s="1"/>
  <c r="B979" i="57" s="1"/>
  <c r="B980" i="57" s="1"/>
  <c r="B981" i="57" s="1"/>
  <c r="B982" i="57" s="1"/>
  <c r="B983" i="57" s="1"/>
  <c r="B984" i="57" s="1"/>
  <c r="B985" i="57" s="1"/>
  <c r="B986" i="57" s="1"/>
  <c r="B987" i="57" s="1"/>
  <c r="B988" i="57" s="1"/>
  <c r="B989" i="57" s="1"/>
  <c r="B990" i="57" s="1"/>
  <c r="B991" i="57" s="1"/>
  <c r="B992" i="57" s="1"/>
  <c r="B993" i="57" s="1"/>
  <c r="B994" i="57" s="1"/>
  <c r="B995" i="57" s="1"/>
  <c r="B996" i="57" s="1"/>
  <c r="B997" i="57" s="1"/>
  <c r="B998" i="57" s="1"/>
  <c r="B999" i="57" s="1"/>
  <c r="B1000" i="57" s="1"/>
  <c r="B1001" i="57" s="1"/>
  <c r="B1002" i="57" s="1"/>
  <c r="B1003" i="57" s="1"/>
  <c r="B1004" i="57" s="1"/>
  <c r="B1005" i="57" s="1"/>
  <c r="B1006" i="57" s="1"/>
  <c r="B1007" i="57" s="1"/>
  <c r="B1008" i="57" s="1"/>
  <c r="B1009" i="57" s="1"/>
  <c r="B1010" i="57" s="1"/>
  <c r="B1011" i="57" s="1"/>
  <c r="B1012" i="57" s="1"/>
  <c r="B1013" i="57" s="1"/>
  <c r="B1014" i="57" s="1"/>
  <c r="B1015" i="57" s="1"/>
  <c r="B1016" i="57" s="1"/>
  <c r="B1017" i="57" s="1"/>
  <c r="B1018" i="57" s="1"/>
  <c r="B1019" i="57" s="1"/>
  <c r="B1020" i="57" s="1"/>
  <c r="R134" i="21"/>
  <c r="R218" i="21"/>
  <c r="R234" i="21" s="1"/>
  <c r="R112" i="21"/>
  <c r="BI633" i="20"/>
  <c r="AB276" i="20"/>
  <c r="AA305" i="20"/>
  <c r="AB228" i="20"/>
  <c r="AC65" i="20"/>
  <c r="BM653" i="20"/>
  <c r="AD271" i="20"/>
  <c r="AC272" i="20"/>
  <c r="Q159" i="21"/>
  <c r="Q160" i="21"/>
  <c r="BM788" i="20"/>
  <c r="DA884" i="20" s="1"/>
  <c r="AB159" i="20"/>
  <c r="V27" i="19"/>
  <c r="DC884" i="20"/>
  <c r="C746" i="57"/>
  <c r="AQ156" i="16"/>
  <c r="AQ200" i="16" s="1"/>
  <c r="AQ49" i="16" s="1"/>
  <c r="AV49" i="16" s="1"/>
  <c r="AQ199" i="16"/>
  <c r="AQ38" i="16" s="1"/>
  <c r="AV38" i="16" s="1"/>
  <c r="AT112" i="16"/>
  <c r="AT109" i="16"/>
  <c r="AT110" i="16" s="1"/>
  <c r="AT155" i="16"/>
  <c r="AT158" i="16"/>
  <c r="AQ27" i="16"/>
  <c r="AV21" i="16"/>
  <c r="AT96" i="16"/>
  <c r="AT97" i="16" s="1"/>
  <c r="AT99" i="16"/>
  <c r="AQ281" i="16"/>
  <c r="AQ226" i="16"/>
  <c r="AT254" i="16"/>
  <c r="AQ308" i="16"/>
  <c r="AQ201" i="16"/>
  <c r="AT125" i="16"/>
  <c r="AT122" i="16"/>
  <c r="AT123" i="16" s="1"/>
  <c r="AQ140" i="16"/>
  <c r="AQ37" i="16" s="1"/>
  <c r="AQ84" i="16"/>
  <c r="AQ141" i="16" s="1"/>
  <c r="AQ48" i="16" s="1"/>
  <c r="AV48" i="16" s="1"/>
  <c r="AQ282" i="16"/>
  <c r="AT255" i="16"/>
  <c r="AQ227" i="16"/>
  <c r="AQ309" i="16"/>
  <c r="AT197" i="16"/>
  <c r="AT194" i="16"/>
  <c r="AT195" i="16" s="1"/>
  <c r="AQ142" i="16"/>
  <c r="AT184" i="16"/>
  <c r="AT181" i="16"/>
  <c r="AT182" i="16" s="1"/>
  <c r="AT138" i="16"/>
  <c r="AT135" i="16"/>
  <c r="AT136" i="16" s="1"/>
  <c r="G50" i="16"/>
  <c r="G58" i="16" s="1"/>
  <c r="Q119" i="19" s="1"/>
  <c r="G29" i="16"/>
  <c r="L47" i="16"/>
  <c r="G36" i="16"/>
  <c r="J251" i="16"/>
  <c r="J223" i="16" s="1"/>
  <c r="J35" i="16" s="1"/>
  <c r="J278" i="16"/>
  <c r="J305" i="16"/>
  <c r="AS27" i="16"/>
  <c r="AT86" i="16"/>
  <c r="AT83" i="16"/>
  <c r="AT171" i="16"/>
  <c r="AT168" i="16"/>
  <c r="AT169" i="16" s="1"/>
  <c r="AB120" i="19"/>
  <c r="AS37" i="16"/>
  <c r="AC100" i="19"/>
  <c r="AC104" i="19"/>
  <c r="AC107" i="19" s="1"/>
  <c r="Y411" i="20" l="1"/>
  <c r="Y558" i="20"/>
  <c r="W137" i="20"/>
  <c r="W138" i="20" s="1"/>
  <c r="W188" i="20"/>
  <c r="CF852" i="20"/>
  <c r="CG852" i="20" s="1"/>
  <c r="CH850" i="20"/>
  <c r="CH857" i="20"/>
  <c r="Y277" i="20"/>
  <c r="X278" i="20"/>
  <c r="CE875" i="20"/>
  <c r="W389" i="20"/>
  <c r="W536" i="20"/>
  <c r="X442" i="20"/>
  <c r="W489" i="20"/>
  <c r="Y264" i="20"/>
  <c r="Z264" i="20" s="1"/>
  <c r="AA264" i="20" s="1"/>
  <c r="AB264" i="20" s="1"/>
  <c r="AC264" i="20" s="1"/>
  <c r="AD264" i="20" s="1"/>
  <c r="AE264" i="20" s="1"/>
  <c r="AF264" i="20" s="1"/>
  <c r="AG264" i="20" s="1"/>
  <c r="AH264" i="20" s="1"/>
  <c r="AI264" i="20" s="1"/>
  <c r="X265" i="20"/>
  <c r="X252" i="20"/>
  <c r="W253" i="20"/>
  <c r="BI680" i="20"/>
  <c r="BI824" i="20" s="1"/>
  <c r="BI883" i="20" s="1"/>
  <c r="CK853" i="20"/>
  <c r="AV748" i="20"/>
  <c r="BF593" i="20"/>
  <c r="BF699" i="20" s="1"/>
  <c r="BG730" i="20"/>
  <c r="CI901" i="20" s="1"/>
  <c r="P194" i="21"/>
  <c r="P196" i="21" s="1"/>
  <c r="P210" i="21" s="1"/>
  <c r="T210" i="20"/>
  <c r="E210" i="21" s="1"/>
  <c r="G210" i="21" s="1"/>
  <c r="R194" i="21"/>
  <c r="R196" i="21" s="1"/>
  <c r="R210" i="21" s="1"/>
  <c r="Z561" i="20"/>
  <c r="AA467" i="20"/>
  <c r="Z514" i="20"/>
  <c r="Z414" i="20"/>
  <c r="Z563" i="20"/>
  <c r="Z516" i="20"/>
  <c r="AA469" i="20"/>
  <c r="Z416" i="20"/>
  <c r="CK849" i="20"/>
  <c r="Z550" i="20"/>
  <c r="Z503" i="20"/>
  <c r="Z403" i="20"/>
  <c r="AA456" i="20"/>
  <c r="H194" i="21"/>
  <c r="H196" i="21" s="1"/>
  <c r="H210" i="21" s="1"/>
  <c r="N194" i="21"/>
  <c r="N196" i="21" s="1"/>
  <c r="N210" i="21" s="1"/>
  <c r="BE699" i="20"/>
  <c r="BE726" i="20"/>
  <c r="BE728" i="20" s="1"/>
  <c r="BE727" i="20"/>
  <c r="Z506" i="20"/>
  <c r="AA459" i="20"/>
  <c r="Z553" i="20"/>
  <c r="Z406" i="20"/>
  <c r="Z552" i="20"/>
  <c r="Z405" i="20"/>
  <c r="Z505" i="20"/>
  <c r="AA458" i="20"/>
  <c r="AA470" i="20"/>
  <c r="Z417" i="20"/>
  <c r="Z517" i="20"/>
  <c r="Z564" i="20"/>
  <c r="BH717" i="20"/>
  <c r="W93" i="20"/>
  <c r="BH683" i="20" s="1"/>
  <c r="BH747" i="20" s="1"/>
  <c r="CJ849" i="20"/>
  <c r="Y90" i="20"/>
  <c r="Y195" i="20" s="1"/>
  <c r="BH817" i="20"/>
  <c r="BH880" i="20" s="1"/>
  <c r="BH605" i="20"/>
  <c r="BH701" i="20" s="1"/>
  <c r="L194" i="21"/>
  <c r="L196" i="21" s="1"/>
  <c r="L210" i="21" s="1"/>
  <c r="BI603" i="20"/>
  <c r="BI821" i="20" s="1"/>
  <c r="BI882" i="20" s="1"/>
  <c r="X192" i="20"/>
  <c r="X94" i="20"/>
  <c r="Z494" i="20"/>
  <c r="Z394" i="20"/>
  <c r="AA447" i="20"/>
  <c r="Z541" i="20"/>
  <c r="X41" i="20"/>
  <c r="BI663" i="20"/>
  <c r="CO851" i="20" s="1"/>
  <c r="X46" i="20"/>
  <c r="BI661" i="20"/>
  <c r="X23" i="20"/>
  <c r="X44" i="20"/>
  <c r="X21" i="20"/>
  <c r="X40" i="20"/>
  <c r="Y86" i="20"/>
  <c r="BJ675" i="20" s="1"/>
  <c r="Y83" i="20"/>
  <c r="BJ660" i="20"/>
  <c r="Y42" i="20"/>
  <c r="BJ625" i="20" s="1"/>
  <c r="Y74" i="20"/>
  <c r="Y72" i="20"/>
  <c r="Y923" i="20"/>
  <c r="Y19" i="20"/>
  <c r="Y82" i="20"/>
  <c r="Y84" i="20"/>
  <c r="Y85" i="20"/>
  <c r="BJ674" i="20" s="1"/>
  <c r="Y81" i="20"/>
  <c r="W143" i="20"/>
  <c r="BH590" i="20"/>
  <c r="W22" i="20"/>
  <c r="Z492" i="20"/>
  <c r="AA445" i="20"/>
  <c r="Z392" i="20"/>
  <c r="Z539" i="20"/>
  <c r="BG772" i="20"/>
  <c r="BG854" i="20" s="1"/>
  <c r="W146" i="20"/>
  <c r="BH624" i="20"/>
  <c r="BH775" i="20" s="1"/>
  <c r="BH858" i="20" s="1"/>
  <c r="BI672" i="20"/>
  <c r="BI806" i="20" s="1"/>
  <c r="X177" i="20"/>
  <c r="BI673" i="20"/>
  <c r="BI807" i="20" s="1"/>
  <c r="X178" i="20"/>
  <c r="CO848" i="20"/>
  <c r="BI713" i="20"/>
  <c r="Y95" i="20"/>
  <c r="Y182" i="20" s="1"/>
  <c r="BJ602" i="20"/>
  <c r="BH623" i="20"/>
  <c r="BH774" i="20" s="1"/>
  <c r="BH857" i="20" s="1"/>
  <c r="W145" i="20"/>
  <c r="AA440" i="20"/>
  <c r="Z387" i="20"/>
  <c r="Z534" i="20"/>
  <c r="Z487" i="20"/>
  <c r="Y502" i="20"/>
  <c r="Y549" i="20"/>
  <c r="Z455" i="20"/>
  <c r="Y402" i="20"/>
  <c r="Z491" i="20"/>
  <c r="AA444" i="20"/>
  <c r="Z538" i="20"/>
  <c r="Z391" i="20"/>
  <c r="R18" i="19"/>
  <c r="BB710" i="20"/>
  <c r="BB752" i="20"/>
  <c r="Z393" i="20"/>
  <c r="Z540" i="20"/>
  <c r="Z493" i="20"/>
  <c r="AA446" i="20"/>
  <c r="Z465" i="20"/>
  <c r="Y412" i="20"/>
  <c r="Y31" i="20" s="1"/>
  <c r="Y512" i="20"/>
  <c r="Y559" i="20"/>
  <c r="BG664" i="20"/>
  <c r="BG716" i="20"/>
  <c r="X92" i="20"/>
  <c r="BI682" i="20" s="1"/>
  <c r="AA395" i="20"/>
  <c r="AA495" i="20"/>
  <c r="AA542" i="20"/>
  <c r="AB448" i="20"/>
  <c r="X497" i="20"/>
  <c r="X544" i="20"/>
  <c r="Y450" i="20"/>
  <c r="X397" i="20"/>
  <c r="BI670" i="20"/>
  <c r="BI804" i="20" s="1"/>
  <c r="X175" i="20"/>
  <c r="BH664" i="20"/>
  <c r="BH594" i="20"/>
  <c r="BH773" i="20" s="1"/>
  <c r="BH856" i="20" s="1"/>
  <c r="W144" i="20"/>
  <c r="Z509" i="20"/>
  <c r="Z409" i="20"/>
  <c r="AA462" i="20"/>
  <c r="Z556" i="20"/>
  <c r="Z500" i="20"/>
  <c r="AA453" i="20"/>
  <c r="Z400" i="20"/>
  <c r="Z547" i="20"/>
  <c r="BF698" i="20"/>
  <c r="BF725" i="20"/>
  <c r="Z463" i="20"/>
  <c r="Y410" i="20"/>
  <c r="Y30" i="20" s="1"/>
  <c r="Y91" i="20" s="1"/>
  <c r="Y510" i="20"/>
  <c r="Y557" i="20"/>
  <c r="BF825" i="20"/>
  <c r="BF839" i="20" s="1"/>
  <c r="I194" i="21"/>
  <c r="I196" i="21" s="1"/>
  <c r="I210" i="21" s="1"/>
  <c r="J194" i="21"/>
  <c r="J196" i="21" s="1"/>
  <c r="J210" i="21" s="1"/>
  <c r="W187" i="20"/>
  <c r="V194" i="20"/>
  <c r="V196" i="20" s="1"/>
  <c r="V210" i="20" s="1"/>
  <c r="BG591" i="20"/>
  <c r="BG823" i="20" s="1"/>
  <c r="BG855" i="20" s="1"/>
  <c r="BH629" i="20"/>
  <c r="BH792" i="20" s="1"/>
  <c r="BH869" i="20" s="1"/>
  <c r="W163" i="20"/>
  <c r="BH758" i="20"/>
  <c r="BH805" i="20"/>
  <c r="Z543" i="20"/>
  <c r="Z496" i="20"/>
  <c r="Z396" i="20"/>
  <c r="AA449" i="20"/>
  <c r="AA468" i="20"/>
  <c r="Z562" i="20"/>
  <c r="Z515" i="20"/>
  <c r="Z415" i="20"/>
  <c r="CM851" i="20"/>
  <c r="CM848" i="20"/>
  <c r="R12" i="19"/>
  <c r="BI685" i="20"/>
  <c r="BI811" i="20" s="1"/>
  <c r="CO870" i="20" s="1"/>
  <c r="AA504" i="20"/>
  <c r="AA551" i="20"/>
  <c r="AA404" i="20"/>
  <c r="AB457" i="20"/>
  <c r="BI606" i="20"/>
  <c r="Z411" i="20"/>
  <c r="Z511" i="20"/>
  <c r="Z558" i="20"/>
  <c r="AA464" i="20"/>
  <c r="Y555" i="20"/>
  <c r="Z461" i="20"/>
  <c r="Y408" i="20"/>
  <c r="Y29" i="20" s="1"/>
  <c r="Y508" i="20"/>
  <c r="AB454" i="20"/>
  <c r="AA401" i="20"/>
  <c r="AA548" i="20"/>
  <c r="AA501" i="20"/>
  <c r="X73" i="20"/>
  <c r="X75" i="20" s="1"/>
  <c r="Z488" i="20"/>
  <c r="AA441" i="20"/>
  <c r="Z535" i="20"/>
  <c r="Z388" i="20"/>
  <c r="BG589" i="20"/>
  <c r="BH882" i="20"/>
  <c r="BH627" i="20"/>
  <c r="BH777" i="20" s="1"/>
  <c r="BH860" i="20" s="1"/>
  <c r="W148" i="20"/>
  <c r="BH771" i="20"/>
  <c r="BH852" i="20" s="1"/>
  <c r="CE852" i="20"/>
  <c r="CC854" i="20"/>
  <c r="CD852" i="20"/>
  <c r="M194" i="21"/>
  <c r="M196" i="21" s="1"/>
  <c r="M210" i="21" s="1"/>
  <c r="BH824" i="20"/>
  <c r="BH883" i="20" s="1"/>
  <c r="BH766" i="20"/>
  <c r="CL853" i="20"/>
  <c r="BI609" i="20"/>
  <c r="BI611" i="20" s="1"/>
  <c r="Z466" i="20"/>
  <c r="Y413" i="20"/>
  <c r="Y560" i="20"/>
  <c r="Y513" i="20"/>
  <c r="X176" i="20"/>
  <c r="BI671" i="20"/>
  <c r="X142" i="20"/>
  <c r="X20" i="20"/>
  <c r="BI587" i="20"/>
  <c r="BI724" i="20" s="1"/>
  <c r="BE747" i="20"/>
  <c r="P82" i="22" s="1"/>
  <c r="BE719" i="20"/>
  <c r="CI850" i="20"/>
  <c r="Z486" i="20"/>
  <c r="AA439" i="20"/>
  <c r="Z386" i="20"/>
  <c r="Z71" i="20" s="1"/>
  <c r="Z533" i="20"/>
  <c r="Z507" i="20"/>
  <c r="Z554" i="20"/>
  <c r="Z407" i="20"/>
  <c r="Z28" i="20" s="1"/>
  <c r="AA460" i="20"/>
  <c r="CL849" i="20"/>
  <c r="X91" i="20"/>
  <c r="W193" i="20"/>
  <c r="BH588" i="20"/>
  <c r="BH822" i="20" s="1"/>
  <c r="BH853" i="20" s="1"/>
  <c r="BH684" i="20"/>
  <c r="Q194" i="21"/>
  <c r="Q196" i="21" s="1"/>
  <c r="Q210" i="21" s="1"/>
  <c r="O194" i="21"/>
  <c r="O196" i="21" s="1"/>
  <c r="O210" i="21" s="1"/>
  <c r="K194" i="21"/>
  <c r="K196" i="21" s="1"/>
  <c r="K210" i="21" s="1"/>
  <c r="BH816" i="20"/>
  <c r="BH879" i="20" s="1"/>
  <c r="BH608" i="20"/>
  <c r="N70" i="22"/>
  <c r="O174" i="21"/>
  <c r="Q174" i="21"/>
  <c r="Q164" i="21"/>
  <c r="J126" i="19"/>
  <c r="J38" i="19"/>
  <c r="E222" i="19" s="1"/>
  <c r="J26" i="19"/>
  <c r="E217" i="19" s="1"/>
  <c r="J114" i="19"/>
  <c r="BH894" i="20"/>
  <c r="U185" i="20"/>
  <c r="I174" i="21"/>
  <c r="M174" i="21"/>
  <c r="N174" i="21"/>
  <c r="N162" i="21"/>
  <c r="L174" i="21"/>
  <c r="H174" i="21"/>
  <c r="Q184" i="21"/>
  <c r="H184" i="21"/>
  <c r="O164" i="21"/>
  <c r="J186" i="21"/>
  <c r="J190" i="21" s="1"/>
  <c r="K171" i="21"/>
  <c r="AB380" i="20"/>
  <c r="AB39" i="20" s="1"/>
  <c r="BM622" i="20" s="1"/>
  <c r="P170" i="21"/>
  <c r="M170" i="21"/>
  <c r="N168" i="21"/>
  <c r="R162" i="21"/>
  <c r="Q171" i="21"/>
  <c r="AC342" i="20"/>
  <c r="Z250" i="20"/>
  <c r="AB341" i="20"/>
  <c r="Y49" i="20"/>
  <c r="BJ633" i="20" s="1"/>
  <c r="BE645" i="20"/>
  <c r="BE706" i="20" s="1"/>
  <c r="U165" i="20"/>
  <c r="O161" i="21"/>
  <c r="J170" i="21"/>
  <c r="Q168" i="21"/>
  <c r="N186" i="21"/>
  <c r="R186" i="21"/>
  <c r="O171" i="21"/>
  <c r="K183" i="21"/>
  <c r="M164" i="21"/>
  <c r="I164" i="21"/>
  <c r="I189" i="21"/>
  <c r="R189" i="21"/>
  <c r="J169" i="21"/>
  <c r="M169" i="21"/>
  <c r="K184" i="21"/>
  <c r="N184" i="21"/>
  <c r="N185" i="21" s="1"/>
  <c r="M162" i="21"/>
  <c r="L161" i="21"/>
  <c r="I161" i="21"/>
  <c r="N170" i="21"/>
  <c r="R170" i="21"/>
  <c r="K168" i="21"/>
  <c r="O168" i="21"/>
  <c r="H168" i="21"/>
  <c r="K186" i="21"/>
  <c r="P186" i="21"/>
  <c r="L171" i="21"/>
  <c r="O183" i="21"/>
  <c r="K164" i="21"/>
  <c r="R164" i="21"/>
  <c r="M189" i="21"/>
  <c r="H169" i="21"/>
  <c r="AC154" i="20"/>
  <c r="P167" i="21"/>
  <c r="I162" i="21"/>
  <c r="L162" i="21"/>
  <c r="N164" i="21"/>
  <c r="M167" i="21"/>
  <c r="J167" i="21"/>
  <c r="Q167" i="21"/>
  <c r="M184" i="21"/>
  <c r="J183" i="21"/>
  <c r="AC382" i="20"/>
  <c r="H167" i="21"/>
  <c r="Q161" i="21"/>
  <c r="M161" i="21"/>
  <c r="H170" i="21"/>
  <c r="I168" i="21"/>
  <c r="AD942" i="20"/>
  <c r="AB340" i="20"/>
  <c r="R183" i="21"/>
  <c r="P183" i="21"/>
  <c r="O189" i="21"/>
  <c r="Q189" i="21"/>
  <c r="AW8" i="51"/>
  <c r="C2" i="57"/>
  <c r="E462" i="23"/>
  <c r="E375" i="58"/>
  <c r="T180" i="20"/>
  <c r="E180" i="21" s="1"/>
  <c r="G180" i="21" s="1"/>
  <c r="V189" i="20"/>
  <c r="W32" i="20"/>
  <c r="BG612" i="20"/>
  <c r="AB66" i="20"/>
  <c r="AA224" i="20"/>
  <c r="BL654" i="20"/>
  <c r="N167" i="21"/>
  <c r="L167" i="21"/>
  <c r="W56" i="20"/>
  <c r="BG641" i="20"/>
  <c r="V170" i="20"/>
  <c r="BE677" i="20"/>
  <c r="CC858" i="20"/>
  <c r="J184" i="21"/>
  <c r="V169" i="20"/>
  <c r="W55" i="20"/>
  <c r="BG640" i="20"/>
  <c r="BG798" i="20" s="1"/>
  <c r="BG874" i="20" s="1"/>
  <c r="O162" i="21"/>
  <c r="Q162" i="21"/>
  <c r="W423" i="20"/>
  <c r="V425" i="20"/>
  <c r="V78" i="20" s="1"/>
  <c r="W68" i="20"/>
  <c r="BG656" i="20"/>
  <c r="R161" i="21"/>
  <c r="N161" i="21"/>
  <c r="I170" i="21"/>
  <c r="J168" i="21"/>
  <c r="AD327" i="20"/>
  <c r="AD323" i="20"/>
  <c r="AC324" i="20"/>
  <c r="C231" i="21"/>
  <c r="N232" i="20"/>
  <c r="S64" i="22"/>
  <c r="S74" i="22" s="1"/>
  <c r="T64" i="22"/>
  <c r="I166" i="21"/>
  <c r="I58" i="21"/>
  <c r="P58" i="21"/>
  <c r="P166" i="21"/>
  <c r="N58" i="21"/>
  <c r="N166" i="21"/>
  <c r="M186" i="21"/>
  <c r="H186" i="21"/>
  <c r="BF793" i="20"/>
  <c r="BF870" i="20" s="1"/>
  <c r="BF631" i="20"/>
  <c r="I171" i="21"/>
  <c r="M171" i="21"/>
  <c r="Q183" i="21"/>
  <c r="Q185" i="21" s="1"/>
  <c r="I183" i="21"/>
  <c r="BE794" i="20"/>
  <c r="AF955" i="20"/>
  <c r="AF958" i="20" s="1"/>
  <c r="DJ865" i="20"/>
  <c r="BP696" i="20"/>
  <c r="DJ846" i="20"/>
  <c r="BP763" i="20"/>
  <c r="DJ893" i="20"/>
  <c r="AC374" i="20"/>
  <c r="AD377" i="20"/>
  <c r="AD373" i="20"/>
  <c r="BG636" i="20"/>
  <c r="W52" i="20"/>
  <c r="V58" i="20"/>
  <c r="V166" i="20"/>
  <c r="V186" i="20"/>
  <c r="W27" i="20"/>
  <c r="BG599" i="20"/>
  <c r="L164" i="21"/>
  <c r="P164" i="21"/>
  <c r="K189" i="21"/>
  <c r="N189" i="21"/>
  <c r="N190" i="21" s="1"/>
  <c r="N191" i="21" s="1"/>
  <c r="BE814" i="20"/>
  <c r="BE877" i="20"/>
  <c r="P169" i="21"/>
  <c r="Q169" i="21"/>
  <c r="AS710" i="20"/>
  <c r="D46" i="22" s="1"/>
  <c r="I26" i="19"/>
  <c r="D217" i="19" s="1"/>
  <c r="I114" i="19"/>
  <c r="H78" i="21"/>
  <c r="H179" i="21" s="1"/>
  <c r="H180" i="21" s="1"/>
  <c r="J78" i="21"/>
  <c r="J179" i="21" s="1"/>
  <c r="J180" i="21" s="1"/>
  <c r="K78" i="21"/>
  <c r="K179" i="21" s="1"/>
  <c r="K180" i="21" s="1"/>
  <c r="P78" i="21"/>
  <c r="P179" i="21" s="1"/>
  <c r="P180" i="21" s="1"/>
  <c r="R78" i="21"/>
  <c r="R179" i="21" s="1"/>
  <c r="R180" i="21" s="1"/>
  <c r="M78" i="21"/>
  <c r="M179" i="21" s="1"/>
  <c r="G78" i="21"/>
  <c r="N78" i="21"/>
  <c r="N179" i="21" s="1"/>
  <c r="I78" i="21"/>
  <c r="I179" i="21" s="1"/>
  <c r="O78" i="21"/>
  <c r="O179" i="21" s="1"/>
  <c r="O180" i="21" s="1"/>
  <c r="Q78" i="21"/>
  <c r="Q179" i="21" s="1"/>
  <c r="Q180" i="21" s="1"/>
  <c r="L78" i="21"/>
  <c r="L179" i="21" s="1"/>
  <c r="L180" i="21" s="1"/>
  <c r="O167" i="21"/>
  <c r="I167" i="21"/>
  <c r="BF867" i="20"/>
  <c r="BE741" i="20"/>
  <c r="BE737" i="20"/>
  <c r="E155" i="21"/>
  <c r="G155" i="21" s="1"/>
  <c r="L184" i="21"/>
  <c r="P184" i="21"/>
  <c r="R184" i="21"/>
  <c r="H162" i="21"/>
  <c r="J162" i="21"/>
  <c r="K162" i="21"/>
  <c r="BF667" i="20"/>
  <c r="BF808" i="20" s="1"/>
  <c r="U179" i="20"/>
  <c r="U180" i="20" s="1"/>
  <c r="H38" i="19"/>
  <c r="C222" i="19" s="1"/>
  <c r="H126" i="19"/>
  <c r="AP710" i="20"/>
  <c r="C46" i="22" s="1"/>
  <c r="AA33" i="20"/>
  <c r="BK615" i="20"/>
  <c r="BK702" i="20" s="1"/>
  <c r="V183" i="20"/>
  <c r="W24" i="20"/>
  <c r="BG595" i="20"/>
  <c r="H161" i="21"/>
  <c r="J161" i="21"/>
  <c r="K161" i="21"/>
  <c r="Q170" i="21"/>
  <c r="L170" i="21"/>
  <c r="O170" i="21"/>
  <c r="L168" i="21"/>
  <c r="P168" i="21"/>
  <c r="H140" i="20"/>
  <c r="AS769" i="20"/>
  <c r="AS770" i="20" s="1"/>
  <c r="AS780" i="20" s="1"/>
  <c r="AS786" i="20" s="1"/>
  <c r="K58" i="21"/>
  <c r="K166" i="21"/>
  <c r="L166" i="21"/>
  <c r="L58" i="21"/>
  <c r="J58" i="21"/>
  <c r="J166" i="21"/>
  <c r="I186" i="21"/>
  <c r="Q186" i="21"/>
  <c r="O186" i="21"/>
  <c r="J171" i="21"/>
  <c r="R171" i="21"/>
  <c r="N171" i="21"/>
  <c r="CF875" i="20"/>
  <c r="CH875" i="20" s="1"/>
  <c r="L183" i="21"/>
  <c r="M183" i="21"/>
  <c r="AE317" i="20"/>
  <c r="AD314" i="20"/>
  <c r="AE321" i="20"/>
  <c r="AE313" i="20"/>
  <c r="AE331" i="20"/>
  <c r="AE941" i="20"/>
  <c r="AE940" i="20"/>
  <c r="U172" i="20"/>
  <c r="U190" i="20"/>
  <c r="J164" i="21"/>
  <c r="H164" i="21"/>
  <c r="Y221" i="20"/>
  <c r="Y230" i="20" s="1"/>
  <c r="BL657" i="20"/>
  <c r="AB69" i="20"/>
  <c r="P189" i="21"/>
  <c r="L189" i="21"/>
  <c r="H189" i="21"/>
  <c r="J65" i="19"/>
  <c r="J160" i="19"/>
  <c r="BB748" i="20"/>
  <c r="BB749" i="20"/>
  <c r="AX8" i="51"/>
  <c r="C364" i="57"/>
  <c r="F462" i="23"/>
  <c r="F375" i="58"/>
  <c r="W25" i="20"/>
  <c r="V184" i="20"/>
  <c r="BG596" i="20"/>
  <c r="BG813" i="20" s="1"/>
  <c r="BG878" i="20" s="1"/>
  <c r="K169" i="21"/>
  <c r="L169" i="21"/>
  <c r="I169" i="21"/>
  <c r="AB375" i="20"/>
  <c r="AB381" i="20" s="1"/>
  <c r="AB51" i="20" s="1"/>
  <c r="BM635" i="20" s="1"/>
  <c r="BE801" i="20"/>
  <c r="BE871" i="20"/>
  <c r="BE784" i="20"/>
  <c r="CC880" i="20" s="1"/>
  <c r="CE880" i="20" s="1"/>
  <c r="BE808" i="20"/>
  <c r="BE809" i="20" s="1"/>
  <c r="Z261" i="20"/>
  <c r="X50" i="20"/>
  <c r="Y265" i="20"/>
  <c r="Y262" i="20"/>
  <c r="E185" i="21"/>
  <c r="G185" i="21" s="1"/>
  <c r="T191" i="20"/>
  <c r="E191" i="21" s="1"/>
  <c r="G191" i="21" s="1"/>
  <c r="K167" i="21"/>
  <c r="R167" i="21"/>
  <c r="BF644" i="20"/>
  <c r="BF799" i="20"/>
  <c r="BF875" i="20" s="1"/>
  <c r="R76" i="21"/>
  <c r="J76" i="21"/>
  <c r="P76" i="21"/>
  <c r="Q76" i="21"/>
  <c r="K76" i="21"/>
  <c r="I76" i="21"/>
  <c r="O76" i="21"/>
  <c r="H76" i="21"/>
  <c r="M76" i="21"/>
  <c r="N76" i="21"/>
  <c r="L76" i="21"/>
  <c r="G76" i="21"/>
  <c r="G87" i="21" s="1"/>
  <c r="AC432" i="20"/>
  <c r="AD479" i="20"/>
  <c r="V171" i="20"/>
  <c r="W57" i="20"/>
  <c r="BG642" i="20"/>
  <c r="BG800" i="20" s="1"/>
  <c r="BG876" i="20" s="1"/>
  <c r="H114" i="19"/>
  <c r="E13" i="20"/>
  <c r="D13" i="21" s="1"/>
  <c r="H26" i="19"/>
  <c r="C217" i="19" s="1"/>
  <c r="V174" i="20"/>
  <c r="W79" i="20"/>
  <c r="BG668" i="20"/>
  <c r="BG637" i="20"/>
  <c r="BG796" i="20" s="1"/>
  <c r="BG872" i="20" s="1"/>
  <c r="W53" i="20"/>
  <c r="V167" i="20"/>
  <c r="K170" i="21"/>
  <c r="R168" i="21"/>
  <c r="V162" i="20"/>
  <c r="W45" i="20"/>
  <c r="BG628" i="20"/>
  <c r="BG791" i="20" s="1"/>
  <c r="BG868" i="20" s="1"/>
  <c r="C216" i="21"/>
  <c r="N215" i="20"/>
  <c r="C215" i="21" s="1"/>
  <c r="H173" i="20"/>
  <c r="H181" i="20" s="1"/>
  <c r="AS802" i="20"/>
  <c r="AS810" i="20" s="1"/>
  <c r="Q166" i="21"/>
  <c r="Q58" i="21"/>
  <c r="H58" i="21"/>
  <c r="H166" i="21"/>
  <c r="O166" i="21"/>
  <c r="O58" i="21"/>
  <c r="L186" i="21"/>
  <c r="H171" i="21"/>
  <c r="BI838" i="20"/>
  <c r="BI894" i="20"/>
  <c r="BG669" i="20"/>
  <c r="CI857" i="20" s="1"/>
  <c r="CJ857" i="20" s="1"/>
  <c r="W80" i="20"/>
  <c r="H183" i="21"/>
  <c r="W54" i="20"/>
  <c r="V168" i="20"/>
  <c r="BG639" i="20"/>
  <c r="BG797" i="20" s="1"/>
  <c r="BG873" i="20" s="1"/>
  <c r="V347" i="20"/>
  <c r="AC571" i="20"/>
  <c r="AD477" i="20"/>
  <c r="AC430" i="20"/>
  <c r="AC524" i="20"/>
  <c r="AE438" i="20"/>
  <c r="AE485" i="20"/>
  <c r="AE532" i="20"/>
  <c r="AE247" i="20"/>
  <c r="AF938" i="20"/>
  <c r="AF385" i="20"/>
  <c r="AF270" i="20"/>
  <c r="AG15" i="20"/>
  <c r="AG951" i="20" s="1"/>
  <c r="AF428" i="20"/>
  <c r="AF259" i="20"/>
  <c r="AF422" i="20"/>
  <c r="AF134" i="20"/>
  <c r="AF160" i="20" s="1"/>
  <c r="BQ583" i="20"/>
  <c r="AF311" i="20"/>
  <c r="AF345" i="20"/>
  <c r="AF112" i="20"/>
  <c r="AF218" i="20"/>
  <c r="AF234" i="20" s="1"/>
  <c r="AF351" i="20"/>
  <c r="AG955" i="20"/>
  <c r="AG958" i="20" s="1"/>
  <c r="AD363" i="20"/>
  <c r="AD367" i="20"/>
  <c r="AC364" i="20"/>
  <c r="AC380" i="20" s="1"/>
  <c r="AC39" i="20" s="1"/>
  <c r="BN622" i="20" s="1"/>
  <c r="BK649" i="20"/>
  <c r="Z220" i="20"/>
  <c r="AA61" i="20"/>
  <c r="BF815" i="20"/>
  <c r="BF601" i="20"/>
  <c r="Z219" i="20"/>
  <c r="BK648" i="20"/>
  <c r="AA60" i="20"/>
  <c r="CC856" i="20"/>
  <c r="J172" i="19"/>
  <c r="J171" i="19"/>
  <c r="J77" i="19"/>
  <c r="AC570" i="20"/>
  <c r="AD476" i="20"/>
  <c r="AC429" i="20"/>
  <c r="AC523" i="20"/>
  <c r="N169" i="21"/>
  <c r="O169" i="21"/>
  <c r="Y11" i="19"/>
  <c r="X96" i="19" s="1"/>
  <c r="BO789" i="20"/>
  <c r="I126" i="19"/>
  <c r="I38" i="19"/>
  <c r="D222" i="19" s="1"/>
  <c r="BF614" i="20"/>
  <c r="BF818" i="20"/>
  <c r="BF881" i="20" s="1"/>
  <c r="AC325" i="20"/>
  <c r="W43" i="20"/>
  <c r="BG626" i="20"/>
  <c r="BG790" i="20" s="1"/>
  <c r="V161" i="20"/>
  <c r="T88" i="20"/>
  <c r="E87" i="21"/>
  <c r="I184" i="21"/>
  <c r="O184" i="21"/>
  <c r="BF803" i="20"/>
  <c r="BF676" i="20"/>
  <c r="BF812" i="20"/>
  <c r="BF756" i="20"/>
  <c r="BF755" i="20"/>
  <c r="BF597" i="20"/>
  <c r="P161" i="21"/>
  <c r="AD333" i="20"/>
  <c r="AD337" i="20"/>
  <c r="AD342" i="20" s="1"/>
  <c r="AC334" i="20"/>
  <c r="AC335" i="20" s="1"/>
  <c r="T66" i="22"/>
  <c r="AY769" i="20"/>
  <c r="N140" i="20"/>
  <c r="N471" i="20" s="1"/>
  <c r="C233" i="21"/>
  <c r="M166" i="21"/>
  <c r="M58" i="21"/>
  <c r="R58" i="21"/>
  <c r="R166" i="21"/>
  <c r="G58" i="21"/>
  <c r="V164" i="20"/>
  <c r="W47" i="20"/>
  <c r="BG630" i="20"/>
  <c r="K233" i="20"/>
  <c r="K232" i="20"/>
  <c r="AF946" i="20"/>
  <c r="AE361" i="20"/>
  <c r="AD354" i="20"/>
  <c r="AE371" i="20"/>
  <c r="AE353" i="20"/>
  <c r="AE357" i="20"/>
  <c r="AE522" i="20"/>
  <c r="AE569" i="20"/>
  <c r="AE475" i="20"/>
  <c r="BF638" i="20"/>
  <c r="BF795" i="20"/>
  <c r="CC871" i="20"/>
  <c r="BE819" i="20"/>
  <c r="AZ8" i="51"/>
  <c r="H462" i="23"/>
  <c r="H375" i="58"/>
  <c r="C364" i="56"/>
  <c r="BJ707" i="20"/>
  <c r="C2" i="56"/>
  <c r="I375" i="58"/>
  <c r="I462" i="23"/>
  <c r="AC315" i="20"/>
  <c r="R159" i="21"/>
  <c r="R160" i="21"/>
  <c r="W27" i="19"/>
  <c r="DF884" i="20"/>
  <c r="AC276" i="20"/>
  <c r="AB305" i="20"/>
  <c r="AD65" i="20"/>
  <c r="AC228" i="20"/>
  <c r="BN653" i="20"/>
  <c r="B1022" i="57"/>
  <c r="B1023" i="57" s="1"/>
  <c r="B1024" i="57" s="1"/>
  <c r="B1025" i="57" s="1"/>
  <c r="B1026" i="57" s="1"/>
  <c r="B1027" i="57" s="1"/>
  <c r="B1028" i="57" s="1"/>
  <c r="B1029" i="57" s="1"/>
  <c r="B1030" i="57" s="1"/>
  <c r="B1031" i="57" s="1"/>
  <c r="B1032" i="57" s="1"/>
  <c r="B1033" i="57" s="1"/>
  <c r="B1034" i="57" s="1"/>
  <c r="B1035" i="57" s="1"/>
  <c r="B1036" i="57" s="1"/>
  <c r="B1037" i="57" s="1"/>
  <c r="B1038" i="57" s="1"/>
  <c r="B1039" i="57" s="1"/>
  <c r="B1040" i="57" s="1"/>
  <c r="B1041" i="57" s="1"/>
  <c r="B1042" i="57" s="1"/>
  <c r="B1043" i="57" s="1"/>
  <c r="B1044" i="57" s="1"/>
  <c r="B1045" i="57" s="1"/>
  <c r="B1046" i="57" s="1"/>
  <c r="B1047" i="57" s="1"/>
  <c r="B1048" i="57" s="1"/>
  <c r="B1049" i="57" s="1"/>
  <c r="B1050" i="57" s="1"/>
  <c r="B1051" i="57" s="1"/>
  <c r="B1052" i="57" s="1"/>
  <c r="B1053" i="57" s="1"/>
  <c r="B1054" i="57" s="1"/>
  <c r="B1055" i="57" s="1"/>
  <c r="B1056" i="57" s="1"/>
  <c r="B1057" i="57" s="1"/>
  <c r="B1058" i="57" s="1"/>
  <c r="B1059" i="57" s="1"/>
  <c r="B1060" i="57" s="1"/>
  <c r="B1061" i="57" s="1"/>
  <c r="B1062" i="57" s="1"/>
  <c r="B1063" i="57" s="1"/>
  <c r="B1064" i="57" s="1"/>
  <c r="B1065" i="57" s="1"/>
  <c r="B1066" i="57" s="1"/>
  <c r="B1067" i="57" s="1"/>
  <c r="B1068" i="57" s="1"/>
  <c r="B1069" i="57" s="1"/>
  <c r="B1070" i="57" s="1"/>
  <c r="B1071" i="57" s="1"/>
  <c r="B1072" i="57" s="1"/>
  <c r="B1073" i="57" s="1"/>
  <c r="B1074" i="57" s="1"/>
  <c r="B1075" i="57" s="1"/>
  <c r="B1076" i="57" s="1"/>
  <c r="B1077" i="57" s="1"/>
  <c r="B1078" i="57" s="1"/>
  <c r="B1079" i="57" s="1"/>
  <c r="B1080" i="57" s="1"/>
  <c r="B1081" i="57" s="1"/>
  <c r="B1082" i="57" s="1"/>
  <c r="B1083" i="57" s="1"/>
  <c r="B1084" i="57" s="1"/>
  <c r="B1085" i="57" s="1"/>
  <c r="B1086" i="57" s="1"/>
  <c r="B1087" i="57" s="1"/>
  <c r="B1021" i="57"/>
  <c r="AE271" i="20"/>
  <c r="AD272" i="20"/>
  <c r="AC159" i="20"/>
  <c r="BN788" i="20"/>
  <c r="DD884" i="20" s="1"/>
  <c r="Z37" i="20"/>
  <c r="BK620" i="20" s="1"/>
  <c r="Z251" i="20"/>
  <c r="C747" i="57"/>
  <c r="AT140" i="16"/>
  <c r="AT37" i="16" s="1"/>
  <c r="AT142" i="16"/>
  <c r="AT282" i="16"/>
  <c r="AT227" i="16"/>
  <c r="AT309" i="16"/>
  <c r="G59" i="16"/>
  <c r="Q118" i="19" s="1"/>
  <c r="L36" i="16"/>
  <c r="Q109" i="19"/>
  <c r="G40" i="16"/>
  <c r="O35" i="16"/>
  <c r="R108" i="19"/>
  <c r="J55" i="16"/>
  <c r="AT199" i="16"/>
  <c r="AT38" i="16" s="1"/>
  <c r="AT84" i="16"/>
  <c r="AT141" i="16" s="1"/>
  <c r="AT48" i="16" s="1"/>
  <c r="AT156" i="16"/>
  <c r="AT200" i="16" s="1"/>
  <c r="AT49" i="16" s="1"/>
  <c r="L50" i="16"/>
  <c r="Q117" i="19"/>
  <c r="AC120" i="19"/>
  <c r="AV37" i="16"/>
  <c r="AT281" i="16"/>
  <c r="AT226" i="16"/>
  <c r="AT308" i="16"/>
  <c r="AT201" i="16"/>
  <c r="L29" i="16"/>
  <c r="Q110" i="19"/>
  <c r="G33" i="16"/>
  <c r="AV27" i="16"/>
  <c r="CF854" i="20" l="1"/>
  <c r="CH852" i="20"/>
  <c r="BI717" i="20"/>
  <c r="BJ680" i="20"/>
  <c r="BJ824" i="20" s="1"/>
  <c r="BJ883" i="20" s="1"/>
  <c r="BI605" i="20"/>
  <c r="BI701" i="20" s="1"/>
  <c r="BI684" i="20"/>
  <c r="Y92" i="20"/>
  <c r="BJ682" i="20" s="1"/>
  <c r="Y252" i="20"/>
  <c r="X253" i="20"/>
  <c r="X536" i="20"/>
  <c r="X389" i="20"/>
  <c r="Y442" i="20"/>
  <c r="X489" i="20"/>
  <c r="CK857" i="20"/>
  <c r="CD858" i="20"/>
  <c r="CE858" i="20"/>
  <c r="Z277" i="20"/>
  <c r="Y278" i="20"/>
  <c r="CD856" i="20"/>
  <c r="CE856" i="20"/>
  <c r="BF726" i="20"/>
  <c r="BF728" i="20" s="1"/>
  <c r="BF727" i="20"/>
  <c r="CF900" i="20" s="1"/>
  <c r="CN853" i="20"/>
  <c r="BG825" i="20"/>
  <c r="BG839" i="20" s="1"/>
  <c r="BH730" i="20"/>
  <c r="CL901" i="20" s="1"/>
  <c r="CQ851" i="20"/>
  <c r="AA506" i="20"/>
  <c r="AB459" i="20"/>
  <c r="AA406" i="20"/>
  <c r="AA553" i="20"/>
  <c r="CN849" i="20"/>
  <c r="BH719" i="20"/>
  <c r="AA517" i="20"/>
  <c r="AB470" i="20"/>
  <c r="AA417" i="20"/>
  <c r="AA564" i="20"/>
  <c r="AA516" i="20"/>
  <c r="AA416" i="20"/>
  <c r="AB469" i="20"/>
  <c r="AA563" i="20"/>
  <c r="AA405" i="20"/>
  <c r="AB458" i="20"/>
  <c r="AA552" i="20"/>
  <c r="AA505" i="20"/>
  <c r="CC900" i="20"/>
  <c r="BE729" i="20"/>
  <c r="AA514" i="20"/>
  <c r="AA561" i="20"/>
  <c r="AB467" i="20"/>
  <c r="AA414" i="20"/>
  <c r="AA503" i="20"/>
  <c r="AB456" i="20"/>
  <c r="AA403" i="20"/>
  <c r="AA550" i="20"/>
  <c r="BH589" i="20"/>
  <c r="BH698" i="20" s="1"/>
  <c r="BI817" i="20"/>
  <c r="BI880" i="20" s="1"/>
  <c r="BJ681" i="20"/>
  <c r="BJ603" i="20"/>
  <c r="BJ821" i="20" s="1"/>
  <c r="BJ882" i="20" s="1"/>
  <c r="Y192" i="20"/>
  <c r="Y94" i="20"/>
  <c r="AB446" i="20"/>
  <c r="AA493" i="20"/>
  <c r="AA393" i="20"/>
  <c r="AA540" i="20"/>
  <c r="S12" i="19"/>
  <c r="CP851" i="20"/>
  <c r="CP848" i="20"/>
  <c r="W194" i="20"/>
  <c r="W196" i="20" s="1"/>
  <c r="W210" i="20" s="1"/>
  <c r="BH591" i="20"/>
  <c r="BH823" i="20" s="1"/>
  <c r="P14" i="19"/>
  <c r="CJ62" i="19" s="1"/>
  <c r="CF867" i="20"/>
  <c r="CG854" i="20"/>
  <c r="P15" i="19" s="1"/>
  <c r="AA558" i="20"/>
  <c r="AB464" i="20"/>
  <c r="AA511" i="20"/>
  <c r="AA411" i="20"/>
  <c r="Y175" i="20"/>
  <c r="BJ670" i="20"/>
  <c r="BJ804" i="20" s="1"/>
  <c r="Y20" i="20"/>
  <c r="Y142" i="20"/>
  <c r="BJ587" i="20"/>
  <c r="BJ724" i="20" s="1"/>
  <c r="BI623" i="20"/>
  <c r="BI774" i="20" s="1"/>
  <c r="BI857" i="20" s="1"/>
  <c r="X145" i="20"/>
  <c r="CO849" i="20"/>
  <c r="BI681" i="20"/>
  <c r="BI816" i="20" s="1"/>
  <c r="BI879" i="20" s="1"/>
  <c r="X137" i="20"/>
  <c r="CI852" i="20"/>
  <c r="CJ850" i="20"/>
  <c r="CK850" i="20"/>
  <c r="BI588" i="20"/>
  <c r="BI822" i="20" s="1"/>
  <c r="X193" i="20"/>
  <c r="Z560" i="20"/>
  <c r="Z513" i="20"/>
  <c r="Z413" i="20"/>
  <c r="AA466" i="20"/>
  <c r="AB441" i="20"/>
  <c r="AA535" i="20"/>
  <c r="AA488" i="20"/>
  <c r="AA388" i="20"/>
  <c r="X187" i="20"/>
  <c r="CQ848" i="20"/>
  <c r="S13" i="19" s="1"/>
  <c r="Z557" i="20"/>
  <c r="Z510" i="20"/>
  <c r="AA463" i="20"/>
  <c r="Z410" i="20"/>
  <c r="Z30" i="20" s="1"/>
  <c r="Z91" i="20" s="1"/>
  <c r="BK681" i="20" s="1"/>
  <c r="BH772" i="20"/>
  <c r="BH854" i="20" s="1"/>
  <c r="X143" i="20"/>
  <c r="X22" i="20"/>
  <c r="BI590" i="20"/>
  <c r="N565" i="20"/>
  <c r="N518" i="20"/>
  <c r="AA507" i="20"/>
  <c r="AA554" i="20"/>
  <c r="AA407" i="20"/>
  <c r="AA28" i="20" s="1"/>
  <c r="AB460" i="20"/>
  <c r="Z84" i="20"/>
  <c r="Z85" i="20"/>
  <c r="BK674" i="20" s="1"/>
  <c r="Z19" i="20"/>
  <c r="Z74" i="20"/>
  <c r="Z83" i="20"/>
  <c r="Z81" i="20"/>
  <c r="Z42" i="20"/>
  <c r="BK625" i="20" s="1"/>
  <c r="Z82" i="20"/>
  <c r="Z72" i="20"/>
  <c r="Z73" i="20" s="1"/>
  <c r="Z923" i="20"/>
  <c r="BK660" i="20"/>
  <c r="Z86" i="20"/>
  <c r="BK675" i="20" s="1"/>
  <c r="X188" i="20"/>
  <c r="BG698" i="20"/>
  <c r="BG725" i="20"/>
  <c r="Z555" i="20"/>
  <c r="Z408" i="20"/>
  <c r="Z29" i="20" s="1"/>
  <c r="Z508" i="20"/>
  <c r="AA461" i="20"/>
  <c r="BI608" i="20"/>
  <c r="CL850" i="20"/>
  <c r="CF899" i="20"/>
  <c r="AA400" i="20"/>
  <c r="AB453" i="20"/>
  <c r="AA547" i="20"/>
  <c r="AA500" i="20"/>
  <c r="Z90" i="20"/>
  <c r="BH765" i="20"/>
  <c r="BH767" i="20" s="1"/>
  <c r="BH718" i="20"/>
  <c r="Y544" i="20"/>
  <c r="Y497" i="20"/>
  <c r="Z450" i="20"/>
  <c r="Y397" i="20"/>
  <c r="BJ609" i="20"/>
  <c r="BG593" i="20"/>
  <c r="BJ673" i="20"/>
  <c r="BJ807" i="20" s="1"/>
  <c r="Y178" i="20"/>
  <c r="Y44" i="20"/>
  <c r="Y21" i="20"/>
  <c r="Y23" i="20"/>
  <c r="Y40" i="20"/>
  <c r="BJ661" i="20"/>
  <c r="BJ662" i="20" s="1"/>
  <c r="BJ672" i="20"/>
  <c r="BJ806" i="20" s="1"/>
  <c r="Y177" i="20"/>
  <c r="X148" i="20"/>
  <c r="BI627" i="20"/>
  <c r="BI777" i="20" s="1"/>
  <c r="BI860" i="20" s="1"/>
  <c r="BI771" i="20"/>
  <c r="BI852" i="20" s="1"/>
  <c r="BJ606" i="20"/>
  <c r="BJ608" i="20" s="1"/>
  <c r="Y187" i="20"/>
  <c r="CE854" i="20"/>
  <c r="CC867" i="20"/>
  <c r="O14" i="19"/>
  <c r="CI62" i="19" s="1"/>
  <c r="CH854" i="20"/>
  <c r="CD854" i="20"/>
  <c r="O15" i="19" s="1"/>
  <c r="S18" i="19"/>
  <c r="CM849" i="20"/>
  <c r="AB462" i="20"/>
  <c r="AA409" i="20"/>
  <c r="AA509" i="20"/>
  <c r="AA556" i="20"/>
  <c r="AB395" i="20"/>
  <c r="AB542" i="20"/>
  <c r="AB495" i="20"/>
  <c r="AC448" i="20"/>
  <c r="AA455" i="20"/>
  <c r="Z549" i="20"/>
  <c r="Z502" i="20"/>
  <c r="Z402" i="20"/>
  <c r="BI662" i="20"/>
  <c r="CR848" i="20"/>
  <c r="CT848" i="20" s="1"/>
  <c r="T13" i="19" s="1"/>
  <c r="BJ713" i="20"/>
  <c r="BJ714" i="20" s="1"/>
  <c r="BI629" i="20"/>
  <c r="BI792" i="20" s="1"/>
  <c r="BI869" i="20" s="1"/>
  <c r="X163" i="20"/>
  <c r="AA494" i="20"/>
  <c r="AB447" i="20"/>
  <c r="AA541" i="20"/>
  <c r="AA394" i="20"/>
  <c r="BK602" i="20"/>
  <c r="Z95" i="20"/>
  <c r="Z182" i="20" s="1"/>
  <c r="AA386" i="20"/>
  <c r="AA71" i="20" s="1"/>
  <c r="AB439" i="20"/>
  <c r="AA533" i="20"/>
  <c r="AA486" i="20"/>
  <c r="BI758" i="20"/>
  <c r="BI805" i="20"/>
  <c r="X136" i="20"/>
  <c r="X93" i="20"/>
  <c r="BI683" i="20" s="1"/>
  <c r="AB548" i="20"/>
  <c r="AC454" i="20"/>
  <c r="AB401" i="20"/>
  <c r="AB501" i="20"/>
  <c r="AB551" i="20"/>
  <c r="AB404" i="20"/>
  <c r="AC457" i="20"/>
  <c r="AB504" i="20"/>
  <c r="CM853" i="20"/>
  <c r="BI714" i="20"/>
  <c r="AA415" i="20"/>
  <c r="AA515" i="20"/>
  <c r="AA562" i="20"/>
  <c r="AB468" i="20"/>
  <c r="AA543" i="20"/>
  <c r="AA396" i="20"/>
  <c r="AA496" i="20"/>
  <c r="AB449" i="20"/>
  <c r="BG765" i="20"/>
  <c r="BG767" i="20" s="1"/>
  <c r="BG718" i="20"/>
  <c r="Z559" i="20"/>
  <c r="AA465" i="20"/>
  <c r="Z512" i="20"/>
  <c r="Z412" i="20"/>
  <c r="Z31" i="20" s="1"/>
  <c r="CQ870" i="20"/>
  <c r="AA491" i="20"/>
  <c r="AA391" i="20"/>
  <c r="AA538" i="20"/>
  <c r="AB444" i="20"/>
  <c r="AA534" i="20"/>
  <c r="AA387" i="20"/>
  <c r="AA487" i="20"/>
  <c r="AB440" i="20"/>
  <c r="BJ685" i="20"/>
  <c r="BJ811" i="20" s="1"/>
  <c r="CR870" i="20" s="1"/>
  <c r="CT870" i="20" s="1"/>
  <c r="AA539" i="20"/>
  <c r="AA392" i="20"/>
  <c r="AB445" i="20"/>
  <c r="AA492" i="20"/>
  <c r="Y73" i="20"/>
  <c r="Y75" i="20" s="1"/>
  <c r="BJ671" i="20"/>
  <c r="Y176" i="20"/>
  <c r="Y41" i="20"/>
  <c r="BJ663" i="20"/>
  <c r="CR851" i="20" s="1"/>
  <c r="CT851" i="20" s="1"/>
  <c r="Y46" i="20"/>
  <c r="X144" i="20"/>
  <c r="BI594" i="20"/>
  <c r="BI773" i="20" s="1"/>
  <c r="BI856" i="20" s="1"/>
  <c r="BI624" i="20"/>
  <c r="BI775" i="20" s="1"/>
  <c r="BI858" i="20" s="1"/>
  <c r="X146" i="20"/>
  <c r="H141" i="20"/>
  <c r="H151" i="20" s="1"/>
  <c r="H471" i="20"/>
  <c r="T471" i="20" s="1"/>
  <c r="O185" i="21"/>
  <c r="M180" i="21"/>
  <c r="T74" i="22"/>
  <c r="U191" i="20"/>
  <c r="I180" i="21"/>
  <c r="I165" i="21"/>
  <c r="K185" i="21"/>
  <c r="N180" i="21"/>
  <c r="H185" i="21"/>
  <c r="R185" i="21"/>
  <c r="M165" i="21"/>
  <c r="CF856" i="20"/>
  <c r="CH856" i="20" s="1"/>
  <c r="M190" i="21"/>
  <c r="M172" i="21"/>
  <c r="Q190" i="21"/>
  <c r="Q191" i="21" s="1"/>
  <c r="AG946" i="20"/>
  <c r="AE942" i="20"/>
  <c r="Z221" i="20"/>
  <c r="Z230" i="20" s="1"/>
  <c r="Z207" i="20" s="1"/>
  <c r="Z209" i="20" s="1"/>
  <c r="AC365" i="20"/>
  <c r="P165" i="21"/>
  <c r="P190" i="21"/>
  <c r="I190" i="21"/>
  <c r="L165" i="21"/>
  <c r="J185" i="21"/>
  <c r="J191" i="21" s="1"/>
  <c r="L190" i="21"/>
  <c r="AS840" i="20"/>
  <c r="AS842" i="20" s="1"/>
  <c r="BE896" i="20"/>
  <c r="BF794" i="20"/>
  <c r="BF809" i="20"/>
  <c r="R165" i="21"/>
  <c r="BK707" i="20"/>
  <c r="Q165" i="21"/>
  <c r="K190" i="21"/>
  <c r="K191" i="21" s="1"/>
  <c r="R190" i="21"/>
  <c r="O165" i="21"/>
  <c r="P185" i="21"/>
  <c r="R172" i="21"/>
  <c r="AH154" i="20"/>
  <c r="N165" i="21"/>
  <c r="Q172" i="21"/>
  <c r="O190" i="21"/>
  <c r="AD315" i="20"/>
  <c r="BF645" i="20"/>
  <c r="BF706" i="20" s="1"/>
  <c r="H172" i="21"/>
  <c r="M185" i="21"/>
  <c r="V190" i="20"/>
  <c r="H165" i="21"/>
  <c r="AC375" i="20"/>
  <c r="C3" i="56"/>
  <c r="C4" i="56" s="1"/>
  <c r="C5" i="56" s="1"/>
  <c r="C6" i="56" s="1"/>
  <c r="C7" i="56" s="1"/>
  <c r="C8" i="56" s="1"/>
  <c r="C9" i="56" s="1"/>
  <c r="C10" i="56" s="1"/>
  <c r="C11" i="56" s="1"/>
  <c r="C12" i="56" s="1"/>
  <c r="C13" i="56" s="1"/>
  <c r="C14" i="56" s="1"/>
  <c r="C15" i="56" s="1"/>
  <c r="C16" i="56" s="1"/>
  <c r="C17" i="56" s="1"/>
  <c r="C18" i="56" s="1"/>
  <c r="C19" i="56" s="1"/>
  <c r="C20" i="56" s="1"/>
  <c r="C21" i="56" s="1"/>
  <c r="C22" i="56" s="1"/>
  <c r="C23" i="56" s="1"/>
  <c r="C24" i="56" s="1"/>
  <c r="C25" i="56" s="1"/>
  <c r="B2" i="56"/>
  <c r="B3" i="56" s="1"/>
  <c r="B4" i="56" s="1"/>
  <c r="B5" i="56" s="1"/>
  <c r="B6" i="56" s="1"/>
  <c r="B7" i="56" s="1"/>
  <c r="B8" i="56" s="1"/>
  <c r="B9" i="56" s="1"/>
  <c r="B10" i="56" s="1"/>
  <c r="B11" i="56" s="1"/>
  <c r="B12" i="56" s="1"/>
  <c r="B13" i="56" s="1"/>
  <c r="B14" i="56" s="1"/>
  <c r="B15" i="56" s="1"/>
  <c r="B16" i="56" s="1"/>
  <c r="B17" i="56" s="1"/>
  <c r="B18" i="56" s="1"/>
  <c r="B19" i="56" s="1"/>
  <c r="B20" i="56" s="1"/>
  <c r="B21" i="56" s="1"/>
  <c r="B22" i="56" s="1"/>
  <c r="B23" i="56" s="1"/>
  <c r="B24" i="56" s="1"/>
  <c r="B25" i="56" s="1"/>
  <c r="B26" i="56" s="1"/>
  <c r="B27" i="56" s="1"/>
  <c r="B28" i="56" s="1"/>
  <c r="B29" i="56" s="1"/>
  <c r="B30" i="56" s="1"/>
  <c r="B31" i="56" s="1"/>
  <c r="B32" i="56" s="1"/>
  <c r="B33" i="56" s="1"/>
  <c r="B34" i="56" s="1"/>
  <c r="B35" i="56" s="1"/>
  <c r="B36" i="56" s="1"/>
  <c r="B37" i="56" s="1"/>
  <c r="B38" i="56" s="1"/>
  <c r="B39" i="56" s="1"/>
  <c r="B40" i="56" s="1"/>
  <c r="B41" i="56" s="1"/>
  <c r="B42" i="56" s="1"/>
  <c r="B43" i="56" s="1"/>
  <c r="B44" i="56" s="1"/>
  <c r="B45" i="56" s="1"/>
  <c r="B46" i="56" s="1"/>
  <c r="B47" i="56" s="1"/>
  <c r="B48" i="56" s="1"/>
  <c r="B49" i="56" s="1"/>
  <c r="B50" i="56" s="1"/>
  <c r="B51" i="56" s="1"/>
  <c r="B52" i="56" s="1"/>
  <c r="B53" i="56" s="1"/>
  <c r="B54" i="56" s="1"/>
  <c r="B55" i="56" s="1"/>
  <c r="B56" i="56" s="1"/>
  <c r="B57" i="56" s="1"/>
  <c r="B58" i="56" s="1"/>
  <c r="B59" i="56" s="1"/>
  <c r="B60" i="56" s="1"/>
  <c r="B61" i="56" s="1"/>
  <c r="B62" i="56" s="1"/>
  <c r="B63" i="56" s="1"/>
  <c r="B64" i="56" s="1"/>
  <c r="B65" i="56" s="1"/>
  <c r="B66" i="56" s="1"/>
  <c r="B67" i="56" s="1"/>
  <c r="B68" i="56" s="1"/>
  <c r="B69" i="56" s="1"/>
  <c r="B70" i="56" s="1"/>
  <c r="B71" i="56" s="1"/>
  <c r="B72" i="56" s="1"/>
  <c r="B73" i="56" s="1"/>
  <c r="B74" i="56" s="1"/>
  <c r="B75" i="56" s="1"/>
  <c r="B76" i="56" s="1"/>
  <c r="B77" i="56" s="1"/>
  <c r="B78" i="56" s="1"/>
  <c r="B79" i="56" s="1"/>
  <c r="B80" i="56" s="1"/>
  <c r="B81" i="56" s="1"/>
  <c r="B82" i="56" s="1"/>
  <c r="B83" i="56" s="1"/>
  <c r="B84" i="56" s="1"/>
  <c r="B85" i="56" s="1"/>
  <c r="B86" i="56" s="1"/>
  <c r="B87" i="56" s="1"/>
  <c r="B88" i="56" s="1"/>
  <c r="B89" i="56" s="1"/>
  <c r="B90" i="56" s="1"/>
  <c r="B91" i="56" s="1"/>
  <c r="B92" i="56" s="1"/>
  <c r="B93" i="56" s="1"/>
  <c r="B94" i="56" s="1"/>
  <c r="B95" i="56" s="1"/>
  <c r="B96" i="56" s="1"/>
  <c r="B97" i="56" s="1"/>
  <c r="B98" i="56" s="1"/>
  <c r="B99" i="56" s="1"/>
  <c r="B100" i="56" s="1"/>
  <c r="B101" i="56" s="1"/>
  <c r="B102" i="56" s="1"/>
  <c r="B103" i="56" s="1"/>
  <c r="B104" i="56" s="1"/>
  <c r="B105" i="56" s="1"/>
  <c r="B106" i="56" s="1"/>
  <c r="B107" i="56" s="1"/>
  <c r="B108" i="56" s="1"/>
  <c r="B109" i="56" s="1"/>
  <c r="B110" i="56" s="1"/>
  <c r="B111" i="56" s="1"/>
  <c r="B112" i="56" s="1"/>
  <c r="B113" i="56" s="1"/>
  <c r="B114" i="56" s="1"/>
  <c r="B115" i="56" s="1"/>
  <c r="B116" i="56" s="1"/>
  <c r="B117" i="56" s="1"/>
  <c r="B118" i="56" s="1"/>
  <c r="B119" i="56" s="1"/>
  <c r="B120" i="56" s="1"/>
  <c r="B121" i="56" s="1"/>
  <c r="B122" i="56" s="1"/>
  <c r="B123" i="56" s="1"/>
  <c r="B124" i="56" s="1"/>
  <c r="B125" i="56" s="1"/>
  <c r="B126" i="56" s="1"/>
  <c r="B127" i="56" s="1"/>
  <c r="B128" i="56" s="1"/>
  <c r="B129" i="56" s="1"/>
  <c r="B130" i="56" s="1"/>
  <c r="B131" i="56" s="1"/>
  <c r="B132" i="56" s="1"/>
  <c r="B133" i="56" s="1"/>
  <c r="B134" i="56" s="1"/>
  <c r="B135" i="56" s="1"/>
  <c r="B136" i="56" s="1"/>
  <c r="B137" i="56" s="1"/>
  <c r="B138" i="56" s="1"/>
  <c r="B139" i="56" s="1"/>
  <c r="B140" i="56" s="1"/>
  <c r="B141" i="56" s="1"/>
  <c r="B142" i="56" s="1"/>
  <c r="B143" i="56" s="1"/>
  <c r="B144" i="56" s="1"/>
  <c r="B145" i="56" s="1"/>
  <c r="B146" i="56" s="1"/>
  <c r="B147" i="56" s="1"/>
  <c r="B148" i="56" s="1"/>
  <c r="B149" i="56" s="1"/>
  <c r="B150" i="56" s="1"/>
  <c r="B151" i="56" s="1"/>
  <c r="B152" i="56" s="1"/>
  <c r="B153" i="56" s="1"/>
  <c r="B154" i="56" s="1"/>
  <c r="B155" i="56" s="1"/>
  <c r="B156" i="56" s="1"/>
  <c r="B157" i="56" s="1"/>
  <c r="B158" i="56" s="1"/>
  <c r="B159" i="56" s="1"/>
  <c r="B160" i="56" s="1"/>
  <c r="B161" i="56" s="1"/>
  <c r="B162" i="56" s="1"/>
  <c r="B163" i="56" s="1"/>
  <c r="B164" i="56" s="1"/>
  <c r="B165" i="56" s="1"/>
  <c r="B166" i="56" s="1"/>
  <c r="B167" i="56" s="1"/>
  <c r="B168" i="56" s="1"/>
  <c r="B169" i="56" s="1"/>
  <c r="B170" i="56" s="1"/>
  <c r="B171" i="56" s="1"/>
  <c r="B172" i="56" s="1"/>
  <c r="B173" i="56" s="1"/>
  <c r="B174" i="56" s="1"/>
  <c r="B175" i="56" s="1"/>
  <c r="B176" i="56" s="1"/>
  <c r="B177" i="56" s="1"/>
  <c r="B178" i="56" s="1"/>
  <c r="B179" i="56" s="1"/>
  <c r="B180" i="56" s="1"/>
  <c r="B181" i="56" s="1"/>
  <c r="B182" i="56" s="1"/>
  <c r="B183" i="56" s="1"/>
  <c r="B184" i="56" s="1"/>
  <c r="B185" i="56" s="1"/>
  <c r="B186" i="56" s="1"/>
  <c r="B187" i="56" s="1"/>
  <c r="B188" i="56" s="1"/>
  <c r="B189" i="56" s="1"/>
  <c r="B190" i="56" s="1"/>
  <c r="B191" i="56" s="1"/>
  <c r="B192" i="56" s="1"/>
  <c r="B193" i="56" s="1"/>
  <c r="B194" i="56" s="1"/>
  <c r="B195" i="56" s="1"/>
  <c r="B196" i="56" s="1"/>
  <c r="B197" i="56" s="1"/>
  <c r="B198" i="56" s="1"/>
  <c r="B199" i="56" s="1"/>
  <c r="B200" i="56" s="1"/>
  <c r="B201" i="56" s="1"/>
  <c r="B202" i="56" s="1"/>
  <c r="B203" i="56" s="1"/>
  <c r="B204" i="56" s="1"/>
  <c r="B205" i="56" s="1"/>
  <c r="B206" i="56" s="1"/>
  <c r="B207" i="56" s="1"/>
  <c r="B208" i="56" s="1"/>
  <c r="B209" i="56" s="1"/>
  <c r="B210" i="56" s="1"/>
  <c r="B211" i="56" s="1"/>
  <c r="B212" i="56" s="1"/>
  <c r="B213" i="56" s="1"/>
  <c r="B214" i="56" s="1"/>
  <c r="B215" i="56" s="1"/>
  <c r="B216" i="56" s="1"/>
  <c r="B217" i="56" s="1"/>
  <c r="B218" i="56" s="1"/>
  <c r="B219" i="56" s="1"/>
  <c r="B220" i="56" s="1"/>
  <c r="B221" i="56" s="1"/>
  <c r="B222" i="56" s="1"/>
  <c r="B223" i="56" s="1"/>
  <c r="B224" i="56" s="1"/>
  <c r="B225" i="56" s="1"/>
  <c r="B226" i="56" s="1"/>
  <c r="B227" i="56" s="1"/>
  <c r="B228" i="56" s="1"/>
  <c r="B229" i="56" s="1"/>
  <c r="B230" i="56" s="1"/>
  <c r="B231" i="56" s="1"/>
  <c r="B232" i="56" s="1"/>
  <c r="B233" i="56" s="1"/>
  <c r="B234" i="56" s="1"/>
  <c r="B235" i="56" s="1"/>
  <c r="B236" i="56" s="1"/>
  <c r="B237" i="56" s="1"/>
  <c r="B238" i="56" s="1"/>
  <c r="B239" i="56" s="1"/>
  <c r="B240" i="56" s="1"/>
  <c r="B241" i="56" s="1"/>
  <c r="B242" i="56" s="1"/>
  <c r="B243" i="56" s="1"/>
  <c r="B244" i="56" s="1"/>
  <c r="B245" i="56" s="1"/>
  <c r="B246" i="56" s="1"/>
  <c r="B247" i="56" s="1"/>
  <c r="B248" i="56" s="1"/>
  <c r="B249" i="56" s="1"/>
  <c r="B250" i="56" s="1"/>
  <c r="B251" i="56" s="1"/>
  <c r="B252" i="56" s="1"/>
  <c r="B253" i="56" s="1"/>
  <c r="B254" i="56" s="1"/>
  <c r="B255" i="56" s="1"/>
  <c r="B256" i="56" s="1"/>
  <c r="B257" i="56" s="1"/>
  <c r="B258" i="56" s="1"/>
  <c r="B259" i="56" s="1"/>
  <c r="B260" i="56" s="1"/>
  <c r="B261" i="56" s="1"/>
  <c r="B262" i="56" s="1"/>
  <c r="B263" i="56" s="1"/>
  <c r="B264" i="56" s="1"/>
  <c r="B265" i="56" s="1"/>
  <c r="B266" i="56" s="1"/>
  <c r="B267" i="56" s="1"/>
  <c r="B268" i="56" s="1"/>
  <c r="B269" i="56" s="1"/>
  <c r="B270" i="56" s="1"/>
  <c r="B271" i="56" s="1"/>
  <c r="B272" i="56" s="1"/>
  <c r="B273" i="56" s="1"/>
  <c r="B274" i="56" s="1"/>
  <c r="B275" i="56" s="1"/>
  <c r="B276" i="56" s="1"/>
  <c r="B277" i="56" s="1"/>
  <c r="B278" i="56" s="1"/>
  <c r="B279" i="56" s="1"/>
  <c r="B280" i="56" s="1"/>
  <c r="B281" i="56" s="1"/>
  <c r="B282" i="56" s="1"/>
  <c r="B283" i="56" s="1"/>
  <c r="B284" i="56" s="1"/>
  <c r="B285" i="56" s="1"/>
  <c r="B286" i="56" s="1"/>
  <c r="B287" i="56" s="1"/>
  <c r="B288" i="56" s="1"/>
  <c r="B289" i="56" s="1"/>
  <c r="B290" i="56" s="1"/>
  <c r="B291" i="56" s="1"/>
  <c r="B292" i="56" s="1"/>
  <c r="B293" i="56" s="1"/>
  <c r="B294" i="56" s="1"/>
  <c r="B295" i="56" s="1"/>
  <c r="B296" i="56" s="1"/>
  <c r="B297" i="56" s="1"/>
  <c r="B298" i="56" s="1"/>
  <c r="B299" i="56" s="1"/>
  <c r="B300" i="56" s="1"/>
  <c r="B301" i="56" s="1"/>
  <c r="B302" i="56" s="1"/>
  <c r="B303" i="56" s="1"/>
  <c r="B304" i="56" s="1"/>
  <c r="B305" i="56" s="1"/>
  <c r="B306" i="56" s="1"/>
  <c r="B307" i="56" s="1"/>
  <c r="B308" i="56" s="1"/>
  <c r="B309" i="56" s="1"/>
  <c r="B310" i="56" s="1"/>
  <c r="B311" i="56" s="1"/>
  <c r="B312" i="56" s="1"/>
  <c r="B313" i="56" s="1"/>
  <c r="B314" i="56" s="1"/>
  <c r="B315" i="56" s="1"/>
  <c r="B316" i="56" s="1"/>
  <c r="B317" i="56" s="1"/>
  <c r="B318" i="56" s="1"/>
  <c r="B319" i="56" s="1"/>
  <c r="B320" i="56" s="1"/>
  <c r="B321" i="56" s="1"/>
  <c r="B322" i="56" s="1"/>
  <c r="B323" i="56" s="1"/>
  <c r="B324" i="56" s="1"/>
  <c r="B325" i="56" s="1"/>
  <c r="B326" i="56" s="1"/>
  <c r="B327" i="56" s="1"/>
  <c r="B328" i="56" s="1"/>
  <c r="B329" i="56" s="1"/>
  <c r="B330" i="56" s="1"/>
  <c r="B331" i="56" s="1"/>
  <c r="B332" i="56" s="1"/>
  <c r="B333" i="56" s="1"/>
  <c r="B334" i="56" s="1"/>
  <c r="B335" i="56" s="1"/>
  <c r="B336" i="56" s="1"/>
  <c r="B337" i="56" s="1"/>
  <c r="B338" i="56" s="1"/>
  <c r="B339" i="56" s="1"/>
  <c r="B340" i="56" s="1"/>
  <c r="B341" i="56" s="1"/>
  <c r="B342" i="56" s="1"/>
  <c r="B343" i="56" s="1"/>
  <c r="B344" i="56" s="1"/>
  <c r="B345" i="56" s="1"/>
  <c r="B346" i="56" s="1"/>
  <c r="B347" i="56" s="1"/>
  <c r="B348" i="56" s="1"/>
  <c r="B349" i="56" s="1"/>
  <c r="B350" i="56" s="1"/>
  <c r="B351" i="56" s="1"/>
  <c r="B352" i="56" s="1"/>
  <c r="B353" i="56" s="1"/>
  <c r="B354" i="56" s="1"/>
  <c r="B355" i="56" s="1"/>
  <c r="B356" i="56" s="1"/>
  <c r="B357" i="56" s="1"/>
  <c r="B358" i="56" s="1"/>
  <c r="B359" i="56" s="1"/>
  <c r="B360" i="56" s="1"/>
  <c r="B361" i="56" s="1"/>
  <c r="B362" i="56" s="1"/>
  <c r="B363" i="56" s="1"/>
  <c r="BF871" i="20"/>
  <c r="BF801" i="20"/>
  <c r="K140" i="20"/>
  <c r="AV769" i="20"/>
  <c r="AV770" i="20" s="1"/>
  <c r="AV780" i="20" s="1"/>
  <c r="AV786" i="20" s="1"/>
  <c r="C140" i="21"/>
  <c r="N141" i="20"/>
  <c r="BG867" i="20"/>
  <c r="CC874" i="20"/>
  <c r="CE874" i="20" s="1"/>
  <c r="CC860" i="20"/>
  <c r="DM865" i="20"/>
  <c r="BQ763" i="20"/>
  <c r="DM893" i="20"/>
  <c r="BQ696" i="20"/>
  <c r="DM846" i="20"/>
  <c r="AF569" i="20"/>
  <c r="AF475" i="20"/>
  <c r="AF522" i="20"/>
  <c r="AF940" i="20"/>
  <c r="AF941" i="20"/>
  <c r="X54" i="20"/>
  <c r="BH639" i="20"/>
  <c r="BH797" i="20" s="1"/>
  <c r="BH873" i="20" s="1"/>
  <c r="W168" i="20"/>
  <c r="W347" i="20"/>
  <c r="BH669" i="20"/>
  <c r="CL857" i="20" s="1"/>
  <c r="CM857" i="20" s="1"/>
  <c r="X80" i="20"/>
  <c r="X45" i="20"/>
  <c r="BH628" i="20"/>
  <c r="BH791" i="20" s="1"/>
  <c r="BH868" i="20" s="1"/>
  <c r="W162" i="20"/>
  <c r="BH637" i="20"/>
  <c r="BH796" i="20" s="1"/>
  <c r="BH872" i="20" s="1"/>
  <c r="X53" i="20"/>
  <c r="W167" i="20"/>
  <c r="M155" i="21"/>
  <c r="M87" i="21"/>
  <c r="K155" i="21"/>
  <c r="K87" i="21"/>
  <c r="R87" i="21"/>
  <c r="R155" i="21"/>
  <c r="O24" i="19"/>
  <c r="Y207" i="20"/>
  <c r="Y209" i="20" s="1"/>
  <c r="BJ836" i="20"/>
  <c r="AE154" i="20"/>
  <c r="BG812" i="20"/>
  <c r="BG755" i="20"/>
  <c r="BG597" i="20"/>
  <c r="BG756" i="20"/>
  <c r="AB33" i="20"/>
  <c r="BL615" i="20"/>
  <c r="BL702" i="20" s="1"/>
  <c r="L185" i="21"/>
  <c r="BE820" i="20"/>
  <c r="V172" i="20"/>
  <c r="H190" i="21"/>
  <c r="H191" i="21" s="1"/>
  <c r="P172" i="21"/>
  <c r="BH656" i="20"/>
  <c r="X68" i="20"/>
  <c r="BG644" i="20"/>
  <c r="BG799" i="20"/>
  <c r="BG875" i="20" s="1"/>
  <c r="W189" i="20"/>
  <c r="X32" i="20"/>
  <c r="BH612" i="20"/>
  <c r="E463" i="23"/>
  <c r="C14" i="27" s="1"/>
  <c r="B14" i="27" s="1"/>
  <c r="B21" i="27" s="1"/>
  <c r="BA8" i="51" s="1"/>
  <c r="AE367" i="20"/>
  <c r="AD364" i="20"/>
  <c r="AD365" i="20" s="1"/>
  <c r="AE363" i="20"/>
  <c r="BG793" i="20"/>
  <c r="BG870" i="20" s="1"/>
  <c r="BG631" i="20"/>
  <c r="AY770" i="20"/>
  <c r="AY780" i="20" s="1"/>
  <c r="AY786" i="20" s="1"/>
  <c r="CA877" i="20"/>
  <c r="CB877" i="20" s="1"/>
  <c r="BH626" i="20"/>
  <c r="BH790" i="20" s="1"/>
  <c r="W161" i="20"/>
  <c r="X43" i="20"/>
  <c r="AB60" i="20"/>
  <c r="BL648" i="20"/>
  <c r="AA219" i="20"/>
  <c r="CF871" i="20"/>
  <c r="BF819" i="20"/>
  <c r="AG422" i="20"/>
  <c r="AG134" i="20"/>
  <c r="AG160" i="20" s="1"/>
  <c r="BR583" i="20"/>
  <c r="AG218" i="20"/>
  <c r="AG234" i="20" s="1"/>
  <c r="AG345" i="20"/>
  <c r="AG112" i="20"/>
  <c r="AG428" i="20"/>
  <c r="AG259" i="20"/>
  <c r="AG351" i="20"/>
  <c r="AG938" i="20"/>
  <c r="AG270" i="20"/>
  <c r="AG385" i="20"/>
  <c r="AG311" i="20"/>
  <c r="AH15" i="20"/>
  <c r="AH946" i="20" s="1"/>
  <c r="CI875" i="20"/>
  <c r="O172" i="21"/>
  <c r="BH642" i="20"/>
  <c r="BH800" i="20" s="1"/>
  <c r="BH876" i="20" s="1"/>
  <c r="X57" i="20"/>
  <c r="W171" i="20"/>
  <c r="H87" i="21"/>
  <c r="H155" i="21"/>
  <c r="Q155" i="21"/>
  <c r="Q87" i="21"/>
  <c r="BI634" i="20"/>
  <c r="CO890" i="20" s="1"/>
  <c r="C365" i="57"/>
  <c r="C366" i="57" s="1"/>
  <c r="C367" i="57" s="1"/>
  <c r="C368" i="57" s="1"/>
  <c r="C369" i="57" s="1"/>
  <c r="C370" i="57" s="1"/>
  <c r="C371" i="57" s="1"/>
  <c r="C372" i="57" s="1"/>
  <c r="C373" i="57" s="1"/>
  <c r="C374" i="57" s="1"/>
  <c r="C375" i="57" s="1"/>
  <c r="C376" i="57" s="1"/>
  <c r="C377" i="57" s="1"/>
  <c r="C378" i="57" s="1"/>
  <c r="C379" i="57" s="1"/>
  <c r="C380" i="57" s="1"/>
  <c r="C381" i="57" s="1"/>
  <c r="C382" i="57" s="1"/>
  <c r="C383" i="57" s="1"/>
  <c r="C384" i="57" s="1"/>
  <c r="C385" i="57" s="1"/>
  <c r="C386" i="57" s="1"/>
  <c r="C387" i="57" s="1"/>
  <c r="B364" i="57"/>
  <c r="B365" i="57" s="1"/>
  <c r="B366" i="57" s="1"/>
  <c r="B367" i="57" s="1"/>
  <c r="B368" i="57" s="1"/>
  <c r="B369" i="57" s="1"/>
  <c r="B370" i="57" s="1"/>
  <c r="B371" i="57" s="1"/>
  <c r="B372" i="57" s="1"/>
  <c r="B373" i="57" s="1"/>
  <c r="B374" i="57" s="1"/>
  <c r="B375" i="57" s="1"/>
  <c r="B376" i="57" s="1"/>
  <c r="B377" i="57" s="1"/>
  <c r="B378" i="57" s="1"/>
  <c r="B379" i="57" s="1"/>
  <c r="B380" i="57" s="1"/>
  <c r="B381" i="57" s="1"/>
  <c r="B382" i="57" s="1"/>
  <c r="B383" i="57" s="1"/>
  <c r="B384" i="57" s="1"/>
  <c r="B385" i="57" s="1"/>
  <c r="B386" i="57" s="1"/>
  <c r="B387" i="57" s="1"/>
  <c r="B388" i="57" s="1"/>
  <c r="B389" i="57" s="1"/>
  <c r="B390" i="57" s="1"/>
  <c r="B391" i="57" s="1"/>
  <c r="B392" i="57" s="1"/>
  <c r="B393" i="57" s="1"/>
  <c r="B394" i="57" s="1"/>
  <c r="B395" i="57" s="1"/>
  <c r="B396" i="57" s="1"/>
  <c r="B397" i="57" s="1"/>
  <c r="B398" i="57" s="1"/>
  <c r="B399" i="57" s="1"/>
  <c r="B400" i="57" s="1"/>
  <c r="B401" i="57" s="1"/>
  <c r="B402" i="57" s="1"/>
  <c r="B403" i="57" s="1"/>
  <c r="B404" i="57" s="1"/>
  <c r="B405" i="57" s="1"/>
  <c r="B406" i="57" s="1"/>
  <c r="B407" i="57" s="1"/>
  <c r="B408" i="57" s="1"/>
  <c r="B409" i="57" s="1"/>
  <c r="B410" i="57" s="1"/>
  <c r="B411" i="57" s="1"/>
  <c r="B412" i="57" s="1"/>
  <c r="B413" i="57" s="1"/>
  <c r="B414" i="57" s="1"/>
  <c r="B415" i="57" s="1"/>
  <c r="B416" i="57" s="1"/>
  <c r="B417" i="57" s="1"/>
  <c r="AI154" i="20"/>
  <c r="AD154" i="20"/>
  <c r="AE337" i="20"/>
  <c r="AD334" i="20"/>
  <c r="AE333" i="20"/>
  <c r="L172" i="21"/>
  <c r="K165" i="21"/>
  <c r="X24" i="20"/>
  <c r="BH595" i="20"/>
  <c r="W183" i="20"/>
  <c r="AP748" i="20"/>
  <c r="AP749" i="20"/>
  <c r="BG815" i="20"/>
  <c r="BG601" i="20"/>
  <c r="AD382" i="20"/>
  <c r="Z11" i="19"/>
  <c r="Y96" i="19" s="1"/>
  <c r="BP789" i="20"/>
  <c r="BG667" i="20"/>
  <c r="BG808" i="20" s="1"/>
  <c r="V179" i="20"/>
  <c r="V180" i="20" s="1"/>
  <c r="CC895" i="20"/>
  <c r="BH641" i="20"/>
  <c r="X56" i="20"/>
  <c r="W170" i="20"/>
  <c r="B2" i="57"/>
  <c r="B3" i="57" s="1"/>
  <c r="B4" i="57" s="1"/>
  <c r="B5" i="57" s="1"/>
  <c r="B6" i="57" s="1"/>
  <c r="B7" i="57" s="1"/>
  <c r="B8" i="57" s="1"/>
  <c r="B9" i="57" s="1"/>
  <c r="B10" i="57" s="1"/>
  <c r="B11" i="57" s="1"/>
  <c r="B12" i="57" s="1"/>
  <c r="B13" i="57" s="1"/>
  <c r="B14" i="57" s="1"/>
  <c r="B15" i="57" s="1"/>
  <c r="B16" i="57" s="1"/>
  <c r="B17" i="57" s="1"/>
  <c r="B18" i="57" s="1"/>
  <c r="B19" i="57" s="1"/>
  <c r="B20" i="57" s="1"/>
  <c r="B21" i="57" s="1"/>
  <c r="B22" i="57" s="1"/>
  <c r="B23" i="57" s="1"/>
  <c r="B24" i="57" s="1"/>
  <c r="B25" i="57" s="1"/>
  <c r="B26" i="57" s="1"/>
  <c r="B27" i="57" s="1"/>
  <c r="B28" i="57" s="1"/>
  <c r="B29" i="57" s="1"/>
  <c r="B30" i="57" s="1"/>
  <c r="B31" i="57" s="1"/>
  <c r="B32" i="57" s="1"/>
  <c r="B33" i="57" s="1"/>
  <c r="B34" i="57" s="1"/>
  <c r="B35" i="57" s="1"/>
  <c r="B36" i="57" s="1"/>
  <c r="B37" i="57" s="1"/>
  <c r="B38" i="57" s="1"/>
  <c r="B39" i="57" s="1"/>
  <c r="B40" i="57" s="1"/>
  <c r="B41" i="57" s="1"/>
  <c r="B42" i="57" s="1"/>
  <c r="B43" i="57" s="1"/>
  <c r="B44" i="57" s="1"/>
  <c r="B45" i="57" s="1"/>
  <c r="B46" i="57" s="1"/>
  <c r="B47" i="57" s="1"/>
  <c r="B48" i="57" s="1"/>
  <c r="B49" i="57" s="1"/>
  <c r="B50" i="57" s="1"/>
  <c r="B51" i="57" s="1"/>
  <c r="B52" i="57" s="1"/>
  <c r="B53" i="57" s="1"/>
  <c r="B54" i="57" s="1"/>
  <c r="B55" i="57" s="1"/>
  <c r="B56" i="57" s="1"/>
  <c r="B57" i="57" s="1"/>
  <c r="B58" i="57" s="1"/>
  <c r="B59" i="57" s="1"/>
  <c r="B60" i="57" s="1"/>
  <c r="B61" i="57" s="1"/>
  <c r="B62" i="57" s="1"/>
  <c r="B63" i="57" s="1"/>
  <c r="B64" i="57" s="1"/>
  <c r="B65" i="57" s="1"/>
  <c r="B66" i="57" s="1"/>
  <c r="B67" i="57" s="1"/>
  <c r="B68" i="57" s="1"/>
  <c r="B69" i="57" s="1"/>
  <c r="B70" i="57" s="1"/>
  <c r="B71" i="57" s="1"/>
  <c r="B72" i="57" s="1"/>
  <c r="B73" i="57" s="1"/>
  <c r="B74" i="57" s="1"/>
  <c r="B75" i="57" s="1"/>
  <c r="B76" i="57" s="1"/>
  <c r="B77" i="57" s="1"/>
  <c r="B78" i="57" s="1"/>
  <c r="B79" i="57" s="1"/>
  <c r="B80" i="57" s="1"/>
  <c r="B81" i="57" s="1"/>
  <c r="B82" i="57" s="1"/>
  <c r="B83" i="57" s="1"/>
  <c r="B84" i="57" s="1"/>
  <c r="B85" i="57" s="1"/>
  <c r="B86" i="57" s="1"/>
  <c r="B87" i="57" s="1"/>
  <c r="B88" i="57" s="1"/>
  <c r="B89" i="57" s="1"/>
  <c r="B90" i="57" s="1"/>
  <c r="B91" i="57" s="1"/>
  <c r="B92" i="57" s="1"/>
  <c r="B93" i="57" s="1"/>
  <c r="B94" i="57" s="1"/>
  <c r="B95" i="57" s="1"/>
  <c r="B96" i="57" s="1"/>
  <c r="B97" i="57" s="1"/>
  <c r="B98" i="57" s="1"/>
  <c r="B99" i="57" s="1"/>
  <c r="B100" i="57" s="1"/>
  <c r="B101" i="57" s="1"/>
  <c r="B102" i="57" s="1"/>
  <c r="B103" i="57" s="1"/>
  <c r="B104" i="57" s="1"/>
  <c r="B105" i="57" s="1"/>
  <c r="B106" i="57" s="1"/>
  <c r="B107" i="57" s="1"/>
  <c r="B108" i="57" s="1"/>
  <c r="B109" i="57" s="1"/>
  <c r="B110" i="57" s="1"/>
  <c r="B111" i="57" s="1"/>
  <c r="B112" i="57" s="1"/>
  <c r="B113" i="57" s="1"/>
  <c r="B114" i="57" s="1"/>
  <c r="B115" i="57" s="1"/>
  <c r="B116" i="57" s="1"/>
  <c r="B117" i="57" s="1"/>
  <c r="B118" i="57" s="1"/>
  <c r="B119" i="57" s="1"/>
  <c r="B120" i="57" s="1"/>
  <c r="B121" i="57" s="1"/>
  <c r="B122" i="57" s="1"/>
  <c r="B123" i="57" s="1"/>
  <c r="B124" i="57" s="1"/>
  <c r="B125" i="57" s="1"/>
  <c r="B126" i="57" s="1"/>
  <c r="B127" i="57" s="1"/>
  <c r="B128" i="57" s="1"/>
  <c r="B129" i="57" s="1"/>
  <c r="B130" i="57" s="1"/>
  <c r="B131" i="57" s="1"/>
  <c r="B132" i="57" s="1"/>
  <c r="B133" i="57" s="1"/>
  <c r="B134" i="57" s="1"/>
  <c r="B135" i="57" s="1"/>
  <c r="B136" i="57" s="1"/>
  <c r="B137" i="57" s="1"/>
  <c r="B138" i="57" s="1"/>
  <c r="B139" i="57" s="1"/>
  <c r="B140" i="57" s="1"/>
  <c r="B141" i="57" s="1"/>
  <c r="B142" i="57" s="1"/>
  <c r="B143" i="57" s="1"/>
  <c r="B144" i="57" s="1"/>
  <c r="B145" i="57" s="1"/>
  <c r="B146" i="57" s="1"/>
  <c r="B147" i="57" s="1"/>
  <c r="B148" i="57" s="1"/>
  <c r="B149" i="57" s="1"/>
  <c r="B150" i="57" s="1"/>
  <c r="B151" i="57" s="1"/>
  <c r="B152" i="57" s="1"/>
  <c r="B153" i="57" s="1"/>
  <c r="B154" i="57" s="1"/>
  <c r="B155" i="57" s="1"/>
  <c r="B156" i="57" s="1"/>
  <c r="B157" i="57" s="1"/>
  <c r="B158" i="57" s="1"/>
  <c r="B159" i="57" s="1"/>
  <c r="B160" i="57" s="1"/>
  <c r="B161" i="57" s="1"/>
  <c r="B162" i="57" s="1"/>
  <c r="B163" i="57" s="1"/>
  <c r="B164" i="57" s="1"/>
  <c r="B165" i="57" s="1"/>
  <c r="B166" i="57" s="1"/>
  <c r="B167" i="57" s="1"/>
  <c r="B168" i="57" s="1"/>
  <c r="B169" i="57" s="1"/>
  <c r="B170" i="57" s="1"/>
  <c r="B171" i="57" s="1"/>
  <c r="B172" i="57" s="1"/>
  <c r="B173" i="57" s="1"/>
  <c r="B174" i="57" s="1"/>
  <c r="B175" i="57" s="1"/>
  <c r="B176" i="57" s="1"/>
  <c r="B177" i="57" s="1"/>
  <c r="B178" i="57" s="1"/>
  <c r="B179" i="57" s="1"/>
  <c r="B180" i="57" s="1"/>
  <c r="B181" i="57" s="1"/>
  <c r="B182" i="57" s="1"/>
  <c r="B183" i="57" s="1"/>
  <c r="B184" i="57" s="1"/>
  <c r="B185" i="57" s="1"/>
  <c r="B186" i="57" s="1"/>
  <c r="B187" i="57" s="1"/>
  <c r="B188" i="57" s="1"/>
  <c r="B189" i="57" s="1"/>
  <c r="B190" i="57" s="1"/>
  <c r="B191" i="57" s="1"/>
  <c r="B192" i="57" s="1"/>
  <c r="B193" i="57" s="1"/>
  <c r="B194" i="57" s="1"/>
  <c r="B195" i="57" s="1"/>
  <c r="B196" i="57" s="1"/>
  <c r="B197" i="57" s="1"/>
  <c r="B198" i="57" s="1"/>
  <c r="B199" i="57" s="1"/>
  <c r="B200" i="57" s="1"/>
  <c r="B201" i="57" s="1"/>
  <c r="B202" i="57" s="1"/>
  <c r="B203" i="57" s="1"/>
  <c r="B204" i="57" s="1"/>
  <c r="B205" i="57" s="1"/>
  <c r="B206" i="57" s="1"/>
  <c r="B207" i="57" s="1"/>
  <c r="B208" i="57" s="1"/>
  <c r="B209" i="57" s="1"/>
  <c r="B210" i="57" s="1"/>
  <c r="B211" i="57" s="1"/>
  <c r="B212" i="57" s="1"/>
  <c r="B213" i="57" s="1"/>
  <c r="B214" i="57" s="1"/>
  <c r="B215" i="57" s="1"/>
  <c r="B216" i="57" s="1"/>
  <c r="B217" i="57" s="1"/>
  <c r="B218" i="57" s="1"/>
  <c r="B219" i="57" s="1"/>
  <c r="B220" i="57" s="1"/>
  <c r="B221" i="57" s="1"/>
  <c r="B222" i="57" s="1"/>
  <c r="B223" i="57" s="1"/>
  <c r="B224" i="57" s="1"/>
  <c r="B225" i="57" s="1"/>
  <c r="B226" i="57" s="1"/>
  <c r="B227" i="57" s="1"/>
  <c r="B228" i="57" s="1"/>
  <c r="B229" i="57" s="1"/>
  <c r="B230" i="57" s="1"/>
  <c r="B231" i="57" s="1"/>
  <c r="B232" i="57" s="1"/>
  <c r="B233" i="57" s="1"/>
  <c r="B234" i="57" s="1"/>
  <c r="B235" i="57" s="1"/>
  <c r="B236" i="57" s="1"/>
  <c r="B237" i="57" s="1"/>
  <c r="B238" i="57" s="1"/>
  <c r="B239" i="57" s="1"/>
  <c r="B240" i="57" s="1"/>
  <c r="B241" i="57" s="1"/>
  <c r="B242" i="57" s="1"/>
  <c r="B243" i="57" s="1"/>
  <c r="B244" i="57" s="1"/>
  <c r="B245" i="57" s="1"/>
  <c r="B246" i="57" s="1"/>
  <c r="B247" i="57" s="1"/>
  <c r="B248" i="57" s="1"/>
  <c r="B249" i="57" s="1"/>
  <c r="B250" i="57" s="1"/>
  <c r="B251" i="57" s="1"/>
  <c r="B252" i="57" s="1"/>
  <c r="B253" i="57" s="1"/>
  <c r="B254" i="57" s="1"/>
  <c r="B255" i="57" s="1"/>
  <c r="B256" i="57" s="1"/>
  <c r="B257" i="57" s="1"/>
  <c r="B258" i="57" s="1"/>
  <c r="B259" i="57" s="1"/>
  <c r="B260" i="57" s="1"/>
  <c r="B261" i="57" s="1"/>
  <c r="B262" i="57" s="1"/>
  <c r="B263" i="57" s="1"/>
  <c r="B264" i="57" s="1"/>
  <c r="B265" i="57" s="1"/>
  <c r="B266" i="57" s="1"/>
  <c r="B267" i="57" s="1"/>
  <c r="B268" i="57" s="1"/>
  <c r="B269" i="57" s="1"/>
  <c r="B270" i="57" s="1"/>
  <c r="B271" i="57" s="1"/>
  <c r="B272" i="57" s="1"/>
  <c r="B273" i="57" s="1"/>
  <c r="B274" i="57" s="1"/>
  <c r="B275" i="57" s="1"/>
  <c r="B276" i="57" s="1"/>
  <c r="B277" i="57" s="1"/>
  <c r="B278" i="57" s="1"/>
  <c r="B279" i="57" s="1"/>
  <c r="B280" i="57" s="1"/>
  <c r="B281" i="57" s="1"/>
  <c r="B282" i="57" s="1"/>
  <c r="B283" i="57" s="1"/>
  <c r="B284" i="57" s="1"/>
  <c r="B285" i="57" s="1"/>
  <c r="B286" i="57" s="1"/>
  <c r="B287" i="57" s="1"/>
  <c r="B288" i="57" s="1"/>
  <c r="B289" i="57" s="1"/>
  <c r="B290" i="57" s="1"/>
  <c r="B291" i="57" s="1"/>
  <c r="B292" i="57" s="1"/>
  <c r="B293" i="57" s="1"/>
  <c r="B294" i="57" s="1"/>
  <c r="B295" i="57" s="1"/>
  <c r="B296" i="57" s="1"/>
  <c r="B297" i="57" s="1"/>
  <c r="B298" i="57" s="1"/>
  <c r="B299" i="57" s="1"/>
  <c r="B300" i="57" s="1"/>
  <c r="B301" i="57" s="1"/>
  <c r="B302" i="57" s="1"/>
  <c r="B303" i="57" s="1"/>
  <c r="B304" i="57" s="1"/>
  <c r="B305" i="57" s="1"/>
  <c r="B306" i="57" s="1"/>
  <c r="B307" i="57" s="1"/>
  <c r="B308" i="57" s="1"/>
  <c r="B309" i="57" s="1"/>
  <c r="B310" i="57" s="1"/>
  <c r="B311" i="57" s="1"/>
  <c r="B312" i="57" s="1"/>
  <c r="B313" i="57" s="1"/>
  <c r="B314" i="57" s="1"/>
  <c r="B315" i="57" s="1"/>
  <c r="B316" i="57" s="1"/>
  <c r="B317" i="57" s="1"/>
  <c r="B318" i="57" s="1"/>
  <c r="B319" i="57" s="1"/>
  <c r="B320" i="57" s="1"/>
  <c r="B321" i="57" s="1"/>
  <c r="B322" i="57" s="1"/>
  <c r="B323" i="57" s="1"/>
  <c r="B324" i="57" s="1"/>
  <c r="B325" i="57" s="1"/>
  <c r="B326" i="57" s="1"/>
  <c r="B327" i="57" s="1"/>
  <c r="B328" i="57" s="1"/>
  <c r="B329" i="57" s="1"/>
  <c r="B330" i="57" s="1"/>
  <c r="B331" i="57" s="1"/>
  <c r="B332" i="57" s="1"/>
  <c r="B333" i="57" s="1"/>
  <c r="B334" i="57" s="1"/>
  <c r="B335" i="57" s="1"/>
  <c r="B336" i="57" s="1"/>
  <c r="B337" i="57" s="1"/>
  <c r="B338" i="57" s="1"/>
  <c r="B339" i="57" s="1"/>
  <c r="B340" i="57" s="1"/>
  <c r="B341" i="57" s="1"/>
  <c r="B342" i="57" s="1"/>
  <c r="B343" i="57" s="1"/>
  <c r="B344" i="57" s="1"/>
  <c r="B345" i="57" s="1"/>
  <c r="B346" i="57" s="1"/>
  <c r="B347" i="57" s="1"/>
  <c r="B348" i="57" s="1"/>
  <c r="B349" i="57" s="1"/>
  <c r="B350" i="57" s="1"/>
  <c r="B351" i="57" s="1"/>
  <c r="B352" i="57" s="1"/>
  <c r="B353" i="57" s="1"/>
  <c r="B354" i="57" s="1"/>
  <c r="B355" i="57" s="1"/>
  <c r="B356" i="57" s="1"/>
  <c r="B357" i="57" s="1"/>
  <c r="B358" i="57" s="1"/>
  <c r="B359" i="57" s="1"/>
  <c r="B360" i="57" s="1"/>
  <c r="B361" i="57" s="1"/>
  <c r="B362" i="57" s="1"/>
  <c r="B363" i="57" s="1"/>
  <c r="C3" i="57"/>
  <c r="C4" i="57" s="1"/>
  <c r="C5" i="57" s="1"/>
  <c r="C6" i="57" s="1"/>
  <c r="C7" i="57" s="1"/>
  <c r="C8" i="57" s="1"/>
  <c r="C9" i="57" s="1"/>
  <c r="C10" i="57" s="1"/>
  <c r="C11" i="57" s="1"/>
  <c r="C12" i="57" s="1"/>
  <c r="C13" i="57" s="1"/>
  <c r="C14" i="57" s="1"/>
  <c r="C15" i="57" s="1"/>
  <c r="C16" i="57" s="1"/>
  <c r="C17" i="57" s="1"/>
  <c r="C18" i="57" s="1"/>
  <c r="C19" i="57" s="1"/>
  <c r="C20" i="57" s="1"/>
  <c r="C21" i="57" s="1"/>
  <c r="C22" i="57" s="1"/>
  <c r="C23" i="57" s="1"/>
  <c r="C24" i="57" s="1"/>
  <c r="C25" i="57" s="1"/>
  <c r="B364" i="56"/>
  <c r="B365" i="56" s="1"/>
  <c r="B366" i="56" s="1"/>
  <c r="B367" i="56" s="1"/>
  <c r="B368" i="56" s="1"/>
  <c r="B369" i="56" s="1"/>
  <c r="B370" i="56" s="1"/>
  <c r="B371" i="56" s="1"/>
  <c r="B372" i="56" s="1"/>
  <c r="B373" i="56" s="1"/>
  <c r="B374" i="56" s="1"/>
  <c r="B375" i="56" s="1"/>
  <c r="B376" i="56" s="1"/>
  <c r="B377" i="56" s="1"/>
  <c r="B378" i="56" s="1"/>
  <c r="B379" i="56" s="1"/>
  <c r="B380" i="56" s="1"/>
  <c r="B381" i="56" s="1"/>
  <c r="B382" i="56" s="1"/>
  <c r="B383" i="56" s="1"/>
  <c r="B384" i="56" s="1"/>
  <c r="B385" i="56" s="1"/>
  <c r="B386" i="56" s="1"/>
  <c r="B387" i="56" s="1"/>
  <c r="B388" i="56" s="1"/>
  <c r="B389" i="56" s="1"/>
  <c r="B390" i="56" s="1"/>
  <c r="B391" i="56" s="1"/>
  <c r="B392" i="56" s="1"/>
  <c r="B393" i="56" s="1"/>
  <c r="B394" i="56" s="1"/>
  <c r="B395" i="56" s="1"/>
  <c r="B396" i="56" s="1"/>
  <c r="B397" i="56" s="1"/>
  <c r="B398" i="56" s="1"/>
  <c r="B399" i="56" s="1"/>
  <c r="B400" i="56" s="1"/>
  <c r="B401" i="56" s="1"/>
  <c r="B402" i="56" s="1"/>
  <c r="B403" i="56" s="1"/>
  <c r="B404" i="56" s="1"/>
  <c r="B405" i="56" s="1"/>
  <c r="B406" i="56" s="1"/>
  <c r="B407" i="56" s="1"/>
  <c r="B408" i="56" s="1"/>
  <c r="B409" i="56" s="1"/>
  <c r="B410" i="56" s="1"/>
  <c r="B411" i="56" s="1"/>
  <c r="B412" i="56" s="1"/>
  <c r="B413" i="56" s="1"/>
  <c r="B414" i="56" s="1"/>
  <c r="B415" i="56" s="1"/>
  <c r="B416" i="56" s="1"/>
  <c r="B417" i="56" s="1"/>
  <c r="C365" i="56"/>
  <c r="C366" i="56" s="1"/>
  <c r="C367" i="56" s="1"/>
  <c r="C368" i="56" s="1"/>
  <c r="C369" i="56" s="1"/>
  <c r="C370" i="56" s="1"/>
  <c r="C371" i="56" s="1"/>
  <c r="C372" i="56" s="1"/>
  <c r="C373" i="56" s="1"/>
  <c r="C374" i="56" s="1"/>
  <c r="C375" i="56" s="1"/>
  <c r="C376" i="56" s="1"/>
  <c r="C377" i="56" s="1"/>
  <c r="C378" i="56" s="1"/>
  <c r="C379" i="56" s="1"/>
  <c r="C380" i="56" s="1"/>
  <c r="C381" i="56" s="1"/>
  <c r="C382" i="56" s="1"/>
  <c r="C383" i="56" s="1"/>
  <c r="C384" i="56" s="1"/>
  <c r="C385" i="56" s="1"/>
  <c r="C386" i="56" s="1"/>
  <c r="X47" i="20"/>
  <c r="BH630" i="20"/>
  <c r="W164" i="20"/>
  <c r="T89" i="20"/>
  <c r="T147" i="20"/>
  <c r="BE678" i="20"/>
  <c r="BE679" i="20" s="1"/>
  <c r="BE721" i="20" s="1"/>
  <c r="U139" i="20"/>
  <c r="E88" i="21"/>
  <c r="AD523" i="20"/>
  <c r="AD570" i="20"/>
  <c r="AE476" i="20"/>
  <c r="AD429" i="20"/>
  <c r="AA220" i="20"/>
  <c r="AB61" i="20"/>
  <c r="BL649" i="20"/>
  <c r="BG803" i="20"/>
  <c r="BG676" i="20"/>
  <c r="L155" i="21"/>
  <c r="L87" i="21"/>
  <c r="O155" i="21"/>
  <c r="O87" i="21"/>
  <c r="P155" i="21"/>
  <c r="P87" i="21"/>
  <c r="Z153" i="20"/>
  <c r="BK782" i="20"/>
  <c r="CU882" i="20" s="1"/>
  <c r="CZ882" i="20" s="1"/>
  <c r="W184" i="20"/>
  <c r="X25" i="20"/>
  <c r="BH596" i="20"/>
  <c r="BH813" i="20" s="1"/>
  <c r="BH878" i="20" s="1"/>
  <c r="BM657" i="20"/>
  <c r="AC69" i="20"/>
  <c r="AF154" i="20"/>
  <c r="AG154" i="20"/>
  <c r="J172" i="21"/>
  <c r="K172" i="21"/>
  <c r="J165" i="21"/>
  <c r="V185" i="20"/>
  <c r="X27" i="20"/>
  <c r="BH599" i="20"/>
  <c r="W186" i="20"/>
  <c r="W166" i="20"/>
  <c r="W58" i="20"/>
  <c r="BH636" i="20"/>
  <c r="X52" i="20"/>
  <c r="CC876" i="20"/>
  <c r="CE876" i="20" s="1"/>
  <c r="N172" i="21"/>
  <c r="C232" i="21"/>
  <c r="AY802" i="20"/>
  <c r="N173" i="20"/>
  <c r="X423" i="20"/>
  <c r="W425" i="20"/>
  <c r="W78" i="20" s="1"/>
  <c r="BH640" i="20"/>
  <c r="BH798" i="20" s="1"/>
  <c r="BH874" i="20" s="1"/>
  <c r="W169" i="20"/>
  <c r="X55" i="20"/>
  <c r="AB224" i="20"/>
  <c r="BM654" i="20"/>
  <c r="AC66" i="20"/>
  <c r="CH871" i="20"/>
  <c r="O19" i="19"/>
  <c r="AE373" i="20"/>
  <c r="AE377" i="20"/>
  <c r="AD374" i="20"/>
  <c r="AD375" i="20" s="1"/>
  <c r="AV802" i="20"/>
  <c r="AV810" i="20" s="1"/>
  <c r="K173" i="20"/>
  <c r="K181" i="20" s="1"/>
  <c r="AC341" i="20"/>
  <c r="BF814" i="20"/>
  <c r="BF877" i="20"/>
  <c r="V165" i="20"/>
  <c r="AC381" i="20"/>
  <c r="AC51" i="20" s="1"/>
  <c r="BN635" i="20" s="1"/>
  <c r="AF371" i="20"/>
  <c r="AF361" i="20"/>
  <c r="AF353" i="20"/>
  <c r="AF357" i="20"/>
  <c r="AE354" i="20"/>
  <c r="AF313" i="20"/>
  <c r="AF321" i="20"/>
  <c r="AF317" i="20"/>
  <c r="AF331" i="20"/>
  <c r="AE314" i="20"/>
  <c r="AF438" i="20"/>
  <c r="AF532" i="20"/>
  <c r="AF247" i="20"/>
  <c r="AF485" i="20"/>
  <c r="AE477" i="20"/>
  <c r="AD571" i="20"/>
  <c r="AD524" i="20"/>
  <c r="AD430" i="20"/>
  <c r="X79" i="20"/>
  <c r="W174" i="20"/>
  <c r="BH668" i="20"/>
  <c r="AE479" i="20"/>
  <c r="AD432" i="20"/>
  <c r="N87" i="21"/>
  <c r="N155" i="21"/>
  <c r="I155" i="21"/>
  <c r="I87" i="21"/>
  <c r="J155" i="21"/>
  <c r="J87" i="21"/>
  <c r="Y38" i="20"/>
  <c r="BJ621" i="20" s="1"/>
  <c r="Y263" i="20"/>
  <c r="BO783" i="20"/>
  <c r="AE323" i="20"/>
  <c r="AE327" i="20"/>
  <c r="AD324" i="20"/>
  <c r="AC340" i="20"/>
  <c r="AS749" i="20"/>
  <c r="AS748" i="20"/>
  <c r="BG638" i="20"/>
  <c r="BG645" i="20" s="1"/>
  <c r="BG706" i="20" s="1"/>
  <c r="BG795" i="20"/>
  <c r="AD355" i="20"/>
  <c r="I185" i="21"/>
  <c r="I172" i="21"/>
  <c r="BG614" i="20"/>
  <c r="BG818" i="20"/>
  <c r="BG881" i="20" s="1"/>
  <c r="AE272" i="20"/>
  <c r="AF271" i="20"/>
  <c r="AD276" i="20"/>
  <c r="AC305" i="20"/>
  <c r="Z49" i="20"/>
  <c r="AA250" i="20"/>
  <c r="AB249" i="20"/>
  <c r="DI884" i="20"/>
  <c r="X27" i="19"/>
  <c r="BO788" i="20"/>
  <c r="DG884" i="20" s="1"/>
  <c r="AD159" i="20"/>
  <c r="AE65" i="20"/>
  <c r="AD228" i="20"/>
  <c r="BO653" i="20"/>
  <c r="C748" i="57"/>
  <c r="L40" i="16"/>
  <c r="G56" i="16"/>
  <c r="Q120" i="19" s="1"/>
  <c r="G41" i="16"/>
  <c r="L33" i="16"/>
  <c r="Q112" i="19"/>
  <c r="Q114" i="19" s="1"/>
  <c r="Q116" i="19" s="1"/>
  <c r="R115" i="19" s="1"/>
  <c r="L191" i="21" l="1"/>
  <c r="BJ605" i="20"/>
  <c r="BJ701" i="20" s="1"/>
  <c r="BJ684" i="20"/>
  <c r="X138" i="20"/>
  <c r="BF729" i="20"/>
  <c r="CR853" i="20"/>
  <c r="CS853" i="20" s="1"/>
  <c r="Y188" i="20"/>
  <c r="BH725" i="20"/>
  <c r="CL899" i="20" s="1"/>
  <c r="BJ766" i="20"/>
  <c r="Y137" i="20"/>
  <c r="CF874" i="20"/>
  <c r="P22" i="19" s="1"/>
  <c r="H157" i="20"/>
  <c r="H211" i="20" s="1"/>
  <c r="H213" i="20" s="1"/>
  <c r="AS739" i="20"/>
  <c r="AA277" i="20"/>
  <c r="Z278" i="20"/>
  <c r="CK875" i="20"/>
  <c r="CN857" i="20"/>
  <c r="Y389" i="20"/>
  <c r="Y536" i="20"/>
  <c r="Z442" i="20"/>
  <c r="Y489" i="20"/>
  <c r="Z252" i="20"/>
  <c r="Y253" i="20"/>
  <c r="BJ717" i="20"/>
  <c r="BH593" i="20"/>
  <c r="BH726" i="20" s="1"/>
  <c r="BH728" i="20" s="1"/>
  <c r="AC467" i="20"/>
  <c r="AB414" i="20"/>
  <c r="AB561" i="20"/>
  <c r="AB514" i="20"/>
  <c r="BG699" i="20"/>
  <c r="BG726" i="20"/>
  <c r="BG728" i="20" s="1"/>
  <c r="BG727" i="20"/>
  <c r="CI900" i="20" s="1"/>
  <c r="BI730" i="20"/>
  <c r="CO901" i="20" s="1"/>
  <c r="AB403" i="20"/>
  <c r="AB503" i="20"/>
  <c r="AC456" i="20"/>
  <c r="AB550" i="20"/>
  <c r="AC459" i="20"/>
  <c r="AB406" i="20"/>
  <c r="AB553" i="20"/>
  <c r="AB506" i="20"/>
  <c r="AB563" i="20"/>
  <c r="AB516" i="20"/>
  <c r="AC469" i="20"/>
  <c r="AB416" i="20"/>
  <c r="AB505" i="20"/>
  <c r="AB405" i="20"/>
  <c r="AB552" i="20"/>
  <c r="AC458" i="20"/>
  <c r="AB417" i="20"/>
  <c r="AC470" i="20"/>
  <c r="AB517" i="20"/>
  <c r="AB564" i="20"/>
  <c r="CQ849" i="20"/>
  <c r="Z92" i="20"/>
  <c r="BK682" i="20" s="1"/>
  <c r="BJ664" i="20"/>
  <c r="BJ716" i="20"/>
  <c r="Z192" i="20"/>
  <c r="BK603" i="20"/>
  <c r="BK821" i="20" s="1"/>
  <c r="BK882" i="20" s="1"/>
  <c r="Z94" i="20"/>
  <c r="BJ758" i="20"/>
  <c r="BJ805" i="20"/>
  <c r="T418" i="20"/>
  <c r="T63" i="20" s="1"/>
  <c r="T565" i="20"/>
  <c r="T518" i="20"/>
  <c r="U471" i="20"/>
  <c r="CG856" i="20"/>
  <c r="Y93" i="20"/>
  <c r="BJ683" i="20" s="1"/>
  <c r="Y136" i="20"/>
  <c r="AB387" i="20"/>
  <c r="AC440" i="20"/>
  <c r="AB534" i="20"/>
  <c r="AB487" i="20"/>
  <c r="AB538" i="20"/>
  <c r="AB391" i="20"/>
  <c r="AC444" i="20"/>
  <c r="AB491" i="20"/>
  <c r="AC449" i="20"/>
  <c r="AB543" i="20"/>
  <c r="AB496" i="20"/>
  <c r="AB396" i="20"/>
  <c r="AC468" i="20"/>
  <c r="AB562" i="20"/>
  <c r="AB415" i="20"/>
  <c r="AB515" i="20"/>
  <c r="AB541" i="20"/>
  <c r="AB394" i="20"/>
  <c r="AB494" i="20"/>
  <c r="AC447" i="20"/>
  <c r="T12" i="19"/>
  <c r="CS851" i="20"/>
  <c r="CS848" i="20"/>
  <c r="AA90" i="20"/>
  <c r="CE867" i="20"/>
  <c r="CD868" i="20"/>
  <c r="CD867" i="20"/>
  <c r="CD880" i="20"/>
  <c r="CD870" i="20"/>
  <c r="CD875" i="20"/>
  <c r="CD882" i="20"/>
  <c r="CH867" i="20"/>
  <c r="CD890" i="20"/>
  <c r="CD874" i="20"/>
  <c r="CD876" i="20"/>
  <c r="CD886" i="20"/>
  <c r="CD871" i="20"/>
  <c r="CD884" i="20"/>
  <c r="BI589" i="20"/>
  <c r="Y144" i="20"/>
  <c r="BJ594" i="20"/>
  <c r="BJ773" i="20" s="1"/>
  <c r="BJ856" i="20" s="1"/>
  <c r="Z75" i="20"/>
  <c r="Z23" i="20"/>
  <c r="Z44" i="20"/>
  <c r="BK661" i="20"/>
  <c r="BK662" i="20" s="1"/>
  <c r="Z21" i="20"/>
  <c r="Z40" i="20"/>
  <c r="Z177" i="20"/>
  <c r="BK672" i="20"/>
  <c r="BK806" i="20" s="1"/>
  <c r="BK673" i="20"/>
  <c r="BK807" i="20" s="1"/>
  <c r="Z178" i="20"/>
  <c r="BI772" i="20"/>
  <c r="BI854" i="20" s="1"/>
  <c r="BK606" i="20"/>
  <c r="Z187" i="20"/>
  <c r="BJ771" i="20"/>
  <c r="BJ852" i="20" s="1"/>
  <c r="AB393" i="20"/>
  <c r="AB540" i="20"/>
  <c r="AB493" i="20"/>
  <c r="AC446" i="20"/>
  <c r="BI719" i="20"/>
  <c r="BI747" i="20"/>
  <c r="BJ611" i="20"/>
  <c r="BJ817" i="20"/>
  <c r="BJ880" i="20" s="1"/>
  <c r="Z195" i="20"/>
  <c r="BK680" i="20"/>
  <c r="Z175" i="20"/>
  <c r="BK670" i="20"/>
  <c r="BK804" i="20" s="1"/>
  <c r="CI854" i="20"/>
  <c r="CJ852" i="20"/>
  <c r="CK852" i="20"/>
  <c r="K141" i="20"/>
  <c r="K151" i="20" s="1"/>
  <c r="K471" i="20"/>
  <c r="Y146" i="20"/>
  <c r="BJ624" i="20"/>
  <c r="BJ775" i="20" s="1"/>
  <c r="BJ858" i="20" s="1"/>
  <c r="BK609" i="20"/>
  <c r="AD454" i="20"/>
  <c r="AC401" i="20"/>
  <c r="AC548" i="20"/>
  <c r="AC501" i="20"/>
  <c r="AB486" i="20"/>
  <c r="AB533" i="20"/>
  <c r="AC439" i="20"/>
  <c r="AB386" i="20"/>
  <c r="AB71" i="20" s="1"/>
  <c r="BK685" i="20"/>
  <c r="BK811" i="20" s="1"/>
  <c r="CU870" i="20" s="1"/>
  <c r="CW870" i="20" s="1"/>
  <c r="BI664" i="20"/>
  <c r="BI716" i="20"/>
  <c r="AA402" i="20"/>
  <c r="AA549" i="20"/>
  <c r="AB455" i="20"/>
  <c r="AA502" i="20"/>
  <c r="AB409" i="20"/>
  <c r="AB556" i="20"/>
  <c r="AB509" i="20"/>
  <c r="AC462" i="20"/>
  <c r="Y22" i="20"/>
  <c r="BJ590" i="20"/>
  <c r="Y143" i="20"/>
  <c r="Z397" i="20"/>
  <c r="AA450" i="20"/>
  <c r="Z497" i="20"/>
  <c r="Z544" i="20"/>
  <c r="AA408" i="20"/>
  <c r="AA29" i="20" s="1"/>
  <c r="AA508" i="20"/>
  <c r="AA555" i="20"/>
  <c r="AB461" i="20"/>
  <c r="CI899" i="20"/>
  <c r="Z176" i="20"/>
  <c r="BK671" i="20"/>
  <c r="Z41" i="20"/>
  <c r="Z46" i="20"/>
  <c r="BK663" i="20"/>
  <c r="CU851" i="20" s="1"/>
  <c r="AC460" i="20"/>
  <c r="AB507" i="20"/>
  <c r="AB407" i="20"/>
  <c r="AB28" i="20" s="1"/>
  <c r="AB554" i="20"/>
  <c r="BI591" i="20"/>
  <c r="BI823" i="20" s="1"/>
  <c r="BI855" i="20" s="1"/>
  <c r="X194" i="20"/>
  <c r="X196" i="20" s="1"/>
  <c r="X210" i="20" s="1"/>
  <c r="AA557" i="20"/>
  <c r="AA510" i="20"/>
  <c r="AB463" i="20"/>
  <c r="AA410" i="20"/>
  <c r="AA30" i="20" s="1"/>
  <c r="AC441" i="20"/>
  <c r="AB488" i="20"/>
  <c r="AB388" i="20"/>
  <c r="AB535" i="20"/>
  <c r="CO853" i="20"/>
  <c r="CQ853" i="20" s="1"/>
  <c r="BI766" i="20"/>
  <c r="CG867" i="20"/>
  <c r="CG890" i="20"/>
  <c r="CG871" i="20"/>
  <c r="CG882" i="20"/>
  <c r="CG875" i="20"/>
  <c r="CG870" i="20"/>
  <c r="CG884" i="20"/>
  <c r="CO850" i="20"/>
  <c r="BJ629" i="20"/>
  <c r="BJ792" i="20" s="1"/>
  <c r="BJ869" i="20" s="1"/>
  <c r="Y163" i="20"/>
  <c r="T18" i="19"/>
  <c r="AB465" i="20"/>
  <c r="AA559" i="20"/>
  <c r="AA412" i="20"/>
  <c r="AA31" i="20" s="1"/>
  <c r="AA512" i="20"/>
  <c r="AC551" i="20"/>
  <c r="AD457" i="20"/>
  <c r="AC504" i="20"/>
  <c r="AC404" i="20"/>
  <c r="BJ623" i="20"/>
  <c r="BJ774" i="20" s="1"/>
  <c r="BJ857" i="20" s="1"/>
  <c r="Y145" i="20"/>
  <c r="BI853" i="20"/>
  <c r="AB558" i="20"/>
  <c r="AC464" i="20"/>
  <c r="AB511" i="20"/>
  <c r="AB411" i="20"/>
  <c r="BH855" i="20"/>
  <c r="BH825" i="20"/>
  <c r="BH839" i="20" s="1"/>
  <c r="O36" i="19"/>
  <c r="CE860" i="20"/>
  <c r="CD860" i="20"/>
  <c r="AB392" i="20"/>
  <c r="AB492" i="20"/>
  <c r="AC445" i="20"/>
  <c r="AB539" i="20"/>
  <c r="AA82" i="20"/>
  <c r="AA84" i="20"/>
  <c r="AA72" i="20"/>
  <c r="AA73" i="20" s="1"/>
  <c r="AA923" i="20"/>
  <c r="AA83" i="20"/>
  <c r="AA42" i="20"/>
  <c r="BL625" i="20" s="1"/>
  <c r="AA86" i="20"/>
  <c r="BL675" i="20" s="1"/>
  <c r="BL660" i="20"/>
  <c r="AA85" i="20"/>
  <c r="BL674" i="20" s="1"/>
  <c r="AA81" i="20"/>
  <c r="AA74" i="20"/>
  <c r="AA19" i="20"/>
  <c r="AC542" i="20"/>
  <c r="AC395" i="20"/>
  <c r="AC495" i="20"/>
  <c r="AD448" i="20"/>
  <c r="CR849" i="20"/>
  <c r="BJ627" i="20"/>
  <c r="BJ777" i="20" s="1"/>
  <c r="BJ860" i="20" s="1"/>
  <c r="Y148" i="20"/>
  <c r="AB547" i="20"/>
  <c r="AC453" i="20"/>
  <c r="AB400" i="20"/>
  <c r="AB500" i="20"/>
  <c r="CL852" i="20"/>
  <c r="CQ850" i="20"/>
  <c r="CM850" i="20"/>
  <c r="BK713" i="20"/>
  <c r="CU848" i="20"/>
  <c r="CW848" i="20" s="1"/>
  <c r="U13" i="19" s="1"/>
  <c r="Z20" i="20"/>
  <c r="BK587" i="20"/>
  <c r="BK724" i="20" s="1"/>
  <c r="Z142" i="20"/>
  <c r="AA95" i="20"/>
  <c r="AA182" i="20" s="1"/>
  <c r="BL602" i="20"/>
  <c r="AA513" i="20"/>
  <c r="AB466" i="20"/>
  <c r="AA560" i="20"/>
  <c r="AA413" i="20"/>
  <c r="CN850" i="20"/>
  <c r="BJ588" i="20"/>
  <c r="BJ822" i="20" s="1"/>
  <c r="Y193" i="20"/>
  <c r="CP849" i="20"/>
  <c r="BJ816" i="20"/>
  <c r="BJ879" i="20" s="1"/>
  <c r="H565" i="20"/>
  <c r="H518" i="20"/>
  <c r="CQ890" i="20"/>
  <c r="O191" i="21"/>
  <c r="I191" i="21"/>
  <c r="R191" i="21"/>
  <c r="BF820" i="20"/>
  <c r="M191" i="21"/>
  <c r="BK836" i="20"/>
  <c r="BK838" i="20" s="1"/>
  <c r="V191" i="20"/>
  <c r="CI856" i="20"/>
  <c r="CK856" i="20" s="1"/>
  <c r="P191" i="21"/>
  <c r="BF896" i="20"/>
  <c r="AH951" i="20"/>
  <c r="U950" i="20" s="1"/>
  <c r="W190" i="20"/>
  <c r="X58" i="20"/>
  <c r="BG809" i="20"/>
  <c r="BG871" i="20"/>
  <c r="BG801" i="20"/>
  <c r="AD66" i="20"/>
  <c r="BN654" i="20"/>
  <c r="AC224" i="20"/>
  <c r="BI640" i="20"/>
  <c r="BI798" i="20" s="1"/>
  <c r="BI874" i="20" s="1"/>
  <c r="X169" i="20"/>
  <c r="Y55" i="20"/>
  <c r="X425" i="20"/>
  <c r="X78" i="20" s="1"/>
  <c r="Y423" i="20"/>
  <c r="X186" i="20"/>
  <c r="Y27" i="20"/>
  <c r="BI599" i="20"/>
  <c r="AE570" i="20"/>
  <c r="AE429" i="20"/>
  <c r="AE523" i="20"/>
  <c r="AF476" i="20"/>
  <c r="X164" i="20"/>
  <c r="BI630" i="20"/>
  <c r="Y47" i="20"/>
  <c r="AD325" i="20"/>
  <c r="Z262" i="20"/>
  <c r="AA261" i="20"/>
  <c r="Z265" i="20"/>
  <c r="Y50" i="20"/>
  <c r="BI668" i="20"/>
  <c r="Y79" i="20"/>
  <c r="X174" i="20"/>
  <c r="AE524" i="20"/>
  <c r="AE430" i="20"/>
  <c r="AE571" i="20"/>
  <c r="AF477" i="20"/>
  <c r="AF327" i="20"/>
  <c r="AF323" i="20"/>
  <c r="AE324" i="20"/>
  <c r="N181" i="20"/>
  <c r="C181" i="21" s="1"/>
  <c r="C173" i="21"/>
  <c r="O21" i="19"/>
  <c r="W172" i="20"/>
  <c r="AC61" i="20"/>
  <c r="BM649" i="20"/>
  <c r="AB220" i="20"/>
  <c r="CC861" i="20"/>
  <c r="BF768" i="20"/>
  <c r="CF868" i="20" s="1"/>
  <c r="CG868" i="20" s="1"/>
  <c r="BE776" i="20"/>
  <c r="CI871" i="20"/>
  <c r="BG819" i="20"/>
  <c r="W185" i="20"/>
  <c r="AH955" i="20"/>
  <c r="AH958" i="20" s="1"/>
  <c r="AG331" i="20"/>
  <c r="AG313" i="20"/>
  <c r="AG321" i="20"/>
  <c r="AF314" i="20"/>
  <c r="AG317" i="20"/>
  <c r="AG357" i="20"/>
  <c r="AF354" i="20"/>
  <c r="AG361" i="20"/>
  <c r="AG371" i="20"/>
  <c r="AG353" i="20"/>
  <c r="BL707" i="20"/>
  <c r="BH867" i="20"/>
  <c r="AE382" i="20"/>
  <c r="X167" i="20"/>
  <c r="Y53" i="20"/>
  <c r="BI637" i="20"/>
  <c r="BI796" i="20" s="1"/>
  <c r="BI872" i="20" s="1"/>
  <c r="BI628" i="20"/>
  <c r="BI791" i="20" s="1"/>
  <c r="BI868" i="20" s="1"/>
  <c r="X162" i="20"/>
  <c r="Y45" i="20"/>
  <c r="AF942" i="20"/>
  <c r="BG794" i="20"/>
  <c r="AV840" i="20"/>
  <c r="AV842" i="20" s="1"/>
  <c r="AF479" i="20"/>
  <c r="AE432" i="20"/>
  <c r="AF363" i="20"/>
  <c r="AF367" i="20"/>
  <c r="AE364" i="20"/>
  <c r="AE365" i="20" s="1"/>
  <c r="AY810" i="20"/>
  <c r="AY840" i="20" s="1"/>
  <c r="AY842" i="20" s="1"/>
  <c r="CA878" i="20"/>
  <c r="BI636" i="20"/>
  <c r="Y52" i="20"/>
  <c r="X166" i="20"/>
  <c r="BI596" i="20"/>
  <c r="BI813" i="20" s="1"/>
  <c r="BI878" i="20" s="1"/>
  <c r="X184" i="20"/>
  <c r="Y25" i="20"/>
  <c r="E147" i="21"/>
  <c r="G147" i="21" s="1"/>
  <c r="T149" i="20"/>
  <c r="BH755" i="20"/>
  <c r="BH756" i="20"/>
  <c r="BH597" i="20"/>
  <c r="BH812" i="20"/>
  <c r="AG438" i="20"/>
  <c r="AG532" i="20"/>
  <c r="AG247" i="20"/>
  <c r="AG485" i="20"/>
  <c r="AB219" i="20"/>
  <c r="BM648" i="20"/>
  <c r="AC60" i="20"/>
  <c r="BM615" i="20"/>
  <c r="BM702" i="20" s="1"/>
  <c r="AC33" i="20"/>
  <c r="BG814" i="20"/>
  <c r="BG877" i="20"/>
  <c r="BJ838" i="20"/>
  <c r="BJ894" i="20"/>
  <c r="BI669" i="20"/>
  <c r="CO857" i="20" s="1"/>
  <c r="CP857" i="20" s="1"/>
  <c r="Y80" i="20"/>
  <c r="B418" i="56"/>
  <c r="B419" i="56"/>
  <c r="B420" i="56" s="1"/>
  <c r="B421" i="56" s="1"/>
  <c r="B422" i="56" s="1"/>
  <c r="B423" i="56" s="1"/>
  <c r="B424" i="56" s="1"/>
  <c r="B425" i="56" s="1"/>
  <c r="B426" i="56" s="1"/>
  <c r="B427" i="56" s="1"/>
  <c r="B428" i="56" s="1"/>
  <c r="B429" i="56" s="1"/>
  <c r="B430" i="56" s="1"/>
  <c r="B431" i="56" s="1"/>
  <c r="B432" i="56" s="1"/>
  <c r="B433" i="56" s="1"/>
  <c r="B434" i="56" s="1"/>
  <c r="B435" i="56" s="1"/>
  <c r="B436" i="56" s="1"/>
  <c r="B437" i="56" s="1"/>
  <c r="B438" i="56" s="1"/>
  <c r="B439" i="56" s="1"/>
  <c r="B440" i="56" s="1"/>
  <c r="B441" i="56" s="1"/>
  <c r="B442" i="56" s="1"/>
  <c r="B443" i="56" s="1"/>
  <c r="B444" i="56" s="1"/>
  <c r="B445" i="56" s="1"/>
  <c r="B446" i="56" s="1"/>
  <c r="B447" i="56" s="1"/>
  <c r="B448" i="56" s="1"/>
  <c r="B449" i="56" s="1"/>
  <c r="B450" i="56" s="1"/>
  <c r="B451" i="56" s="1"/>
  <c r="B452" i="56" s="1"/>
  <c r="B453" i="56" s="1"/>
  <c r="B454" i="56" s="1"/>
  <c r="B455" i="56" s="1"/>
  <c r="B456" i="56" s="1"/>
  <c r="B457" i="56" s="1"/>
  <c r="B458" i="56" s="1"/>
  <c r="B459" i="56" s="1"/>
  <c r="B460" i="56" s="1"/>
  <c r="B461" i="56" s="1"/>
  <c r="B462" i="56" s="1"/>
  <c r="B463" i="56" s="1"/>
  <c r="B464" i="56" s="1"/>
  <c r="B465" i="56" s="1"/>
  <c r="B466" i="56" s="1"/>
  <c r="B467" i="56" s="1"/>
  <c r="B468" i="56" s="1"/>
  <c r="B469" i="56" s="1"/>
  <c r="B470" i="56" s="1"/>
  <c r="B471" i="56" s="1"/>
  <c r="B472" i="56" s="1"/>
  <c r="B473" i="56" s="1"/>
  <c r="B474" i="56" s="1"/>
  <c r="B475" i="56" s="1"/>
  <c r="B476" i="56" s="1"/>
  <c r="B477" i="56" s="1"/>
  <c r="B478" i="56" s="1"/>
  <c r="B479" i="56" s="1"/>
  <c r="B480" i="56" s="1"/>
  <c r="B481" i="56" s="1"/>
  <c r="B482" i="56" s="1"/>
  <c r="B483" i="56" s="1"/>
  <c r="B484" i="56" s="1"/>
  <c r="B485" i="56" s="1"/>
  <c r="B486" i="56" s="1"/>
  <c r="B487" i="56" s="1"/>
  <c r="B488" i="56" s="1"/>
  <c r="B489" i="56" s="1"/>
  <c r="B490" i="56" s="1"/>
  <c r="B491" i="56" s="1"/>
  <c r="B492" i="56" s="1"/>
  <c r="B493" i="56" s="1"/>
  <c r="B494" i="56" s="1"/>
  <c r="B495" i="56" s="1"/>
  <c r="B496" i="56" s="1"/>
  <c r="B497" i="56" s="1"/>
  <c r="B498" i="56" s="1"/>
  <c r="B499" i="56" s="1"/>
  <c r="B500" i="56" s="1"/>
  <c r="B501" i="56" s="1"/>
  <c r="B502" i="56" s="1"/>
  <c r="B503" i="56" s="1"/>
  <c r="B504" i="56" s="1"/>
  <c r="B505" i="56" s="1"/>
  <c r="B506" i="56" s="1"/>
  <c r="B507" i="56" s="1"/>
  <c r="B508" i="56" s="1"/>
  <c r="B509" i="56" s="1"/>
  <c r="B510" i="56" s="1"/>
  <c r="B511" i="56" s="1"/>
  <c r="B512" i="56" s="1"/>
  <c r="B513" i="56" s="1"/>
  <c r="B514" i="56" s="1"/>
  <c r="B515" i="56" s="1"/>
  <c r="B516" i="56" s="1"/>
  <c r="B517" i="56" s="1"/>
  <c r="B518" i="56" s="1"/>
  <c r="B519" i="56" s="1"/>
  <c r="B520" i="56" s="1"/>
  <c r="B521" i="56" s="1"/>
  <c r="B522" i="56" s="1"/>
  <c r="B523" i="56" s="1"/>
  <c r="B524" i="56" s="1"/>
  <c r="B525" i="56" s="1"/>
  <c r="B526" i="56" s="1"/>
  <c r="B527" i="56" s="1"/>
  <c r="B528" i="56" s="1"/>
  <c r="B529" i="56" s="1"/>
  <c r="B530" i="56" s="1"/>
  <c r="B531" i="56" s="1"/>
  <c r="B532" i="56" s="1"/>
  <c r="B533" i="56" s="1"/>
  <c r="B534" i="56" s="1"/>
  <c r="B535" i="56" s="1"/>
  <c r="B536" i="56" s="1"/>
  <c r="B537" i="56" s="1"/>
  <c r="B538" i="56" s="1"/>
  <c r="B539" i="56" s="1"/>
  <c r="B540" i="56" s="1"/>
  <c r="B541" i="56" s="1"/>
  <c r="B542" i="56" s="1"/>
  <c r="B543" i="56" s="1"/>
  <c r="B544" i="56" s="1"/>
  <c r="B545" i="56" s="1"/>
  <c r="B546" i="56" s="1"/>
  <c r="B547" i="56" s="1"/>
  <c r="B548" i="56" s="1"/>
  <c r="B549" i="56" s="1"/>
  <c r="B550" i="56" s="1"/>
  <c r="B551" i="56" s="1"/>
  <c r="B552" i="56" s="1"/>
  <c r="B553" i="56" s="1"/>
  <c r="B554" i="56" s="1"/>
  <c r="B555" i="56" s="1"/>
  <c r="B556" i="56" s="1"/>
  <c r="B557" i="56" s="1"/>
  <c r="B558" i="56" s="1"/>
  <c r="B559" i="56" s="1"/>
  <c r="B560" i="56" s="1"/>
  <c r="B561" i="56" s="1"/>
  <c r="B562" i="56" s="1"/>
  <c r="B563" i="56" s="1"/>
  <c r="B564" i="56" s="1"/>
  <c r="B565" i="56" s="1"/>
  <c r="B566" i="56" s="1"/>
  <c r="B567" i="56" s="1"/>
  <c r="B568" i="56" s="1"/>
  <c r="B569" i="56" s="1"/>
  <c r="B570" i="56" s="1"/>
  <c r="B571" i="56" s="1"/>
  <c r="B572" i="56" s="1"/>
  <c r="B573" i="56" s="1"/>
  <c r="B574" i="56" s="1"/>
  <c r="B575" i="56" s="1"/>
  <c r="B576" i="56" s="1"/>
  <c r="B577" i="56" s="1"/>
  <c r="B578" i="56" s="1"/>
  <c r="B579" i="56" s="1"/>
  <c r="B580" i="56" s="1"/>
  <c r="B581" i="56" s="1"/>
  <c r="B582" i="56" s="1"/>
  <c r="B583" i="56" s="1"/>
  <c r="B584" i="56" s="1"/>
  <c r="B585" i="56" s="1"/>
  <c r="B586" i="56" s="1"/>
  <c r="B587" i="56" s="1"/>
  <c r="B588" i="56" s="1"/>
  <c r="B589" i="56" s="1"/>
  <c r="B590" i="56" s="1"/>
  <c r="B591" i="56" s="1"/>
  <c r="B592" i="56" s="1"/>
  <c r="B593" i="56" s="1"/>
  <c r="B594" i="56" s="1"/>
  <c r="B595" i="56" s="1"/>
  <c r="B596" i="56" s="1"/>
  <c r="B597" i="56" s="1"/>
  <c r="B598" i="56" s="1"/>
  <c r="B599" i="56" s="1"/>
  <c r="B600" i="56" s="1"/>
  <c r="B601" i="56" s="1"/>
  <c r="B602" i="56" s="1"/>
  <c r="B603" i="56" s="1"/>
  <c r="B604" i="56" s="1"/>
  <c r="B605" i="56" s="1"/>
  <c r="B606" i="56" s="1"/>
  <c r="B607" i="56" s="1"/>
  <c r="B608" i="56" s="1"/>
  <c r="B609" i="56" s="1"/>
  <c r="B610" i="56" s="1"/>
  <c r="B611" i="56" s="1"/>
  <c r="B612" i="56" s="1"/>
  <c r="B613" i="56" s="1"/>
  <c r="B614" i="56" s="1"/>
  <c r="B615" i="56" s="1"/>
  <c r="B616" i="56" s="1"/>
  <c r="B617" i="56" s="1"/>
  <c r="B618" i="56" s="1"/>
  <c r="B619" i="56" s="1"/>
  <c r="B620" i="56" s="1"/>
  <c r="B621" i="56" s="1"/>
  <c r="B622" i="56" s="1"/>
  <c r="B623" i="56" s="1"/>
  <c r="B624" i="56" s="1"/>
  <c r="B625" i="56" s="1"/>
  <c r="B626" i="56" s="1"/>
  <c r="B627" i="56" s="1"/>
  <c r="B628" i="56" s="1"/>
  <c r="B629" i="56" s="1"/>
  <c r="B630" i="56" s="1"/>
  <c r="B631" i="56" s="1"/>
  <c r="B632" i="56" s="1"/>
  <c r="B633" i="56" s="1"/>
  <c r="B634" i="56" s="1"/>
  <c r="B635" i="56" s="1"/>
  <c r="B636" i="56" s="1"/>
  <c r="B637" i="56" s="1"/>
  <c r="B638" i="56" s="1"/>
  <c r="B639" i="56" s="1"/>
  <c r="B640" i="56" s="1"/>
  <c r="B641" i="56" s="1"/>
  <c r="B642" i="56" s="1"/>
  <c r="B643" i="56" s="1"/>
  <c r="B644" i="56" s="1"/>
  <c r="B645" i="56" s="1"/>
  <c r="B646" i="56" s="1"/>
  <c r="B647" i="56" s="1"/>
  <c r="B648" i="56" s="1"/>
  <c r="B649" i="56" s="1"/>
  <c r="B650" i="56" s="1"/>
  <c r="B651" i="56" s="1"/>
  <c r="B652" i="56" s="1"/>
  <c r="B653" i="56" s="1"/>
  <c r="B654" i="56" s="1"/>
  <c r="B655" i="56" s="1"/>
  <c r="B656" i="56" s="1"/>
  <c r="B657" i="56" s="1"/>
  <c r="B658" i="56" s="1"/>
  <c r="Y56" i="20"/>
  <c r="BI641" i="20"/>
  <c r="X170" i="20"/>
  <c r="AD381" i="20"/>
  <c r="AD51" i="20" s="1"/>
  <c r="BO635" i="20" s="1"/>
  <c r="BH803" i="20"/>
  <c r="BH676" i="20"/>
  <c r="AF337" i="20"/>
  <c r="AE334" i="20"/>
  <c r="AF333" i="20"/>
  <c r="AE374" i="20"/>
  <c r="AF373" i="20"/>
  <c r="AF377" i="20"/>
  <c r="BH667" i="20"/>
  <c r="BH808" i="20" s="1"/>
  <c r="W179" i="20"/>
  <c r="W180" i="20" s="1"/>
  <c r="BH638" i="20"/>
  <c r="BH795" i="20"/>
  <c r="BH815" i="20"/>
  <c r="BH601" i="20"/>
  <c r="BN657" i="20"/>
  <c r="AD69" i="20"/>
  <c r="O88" i="21"/>
  <c r="R88" i="21"/>
  <c r="Q88" i="21"/>
  <c r="Q89" i="21" s="1"/>
  <c r="P88" i="21"/>
  <c r="K88" i="21"/>
  <c r="K89" i="21" s="1"/>
  <c r="L88" i="21"/>
  <c r="N88" i="21"/>
  <c r="H88" i="21"/>
  <c r="H89" i="21" s="1"/>
  <c r="J88" i="21"/>
  <c r="G88" i="21"/>
  <c r="M88" i="21"/>
  <c r="I88" i="21"/>
  <c r="I89" i="21" s="1"/>
  <c r="E89" i="21"/>
  <c r="G78" i="22"/>
  <c r="T64" i="20"/>
  <c r="BH631" i="20"/>
  <c r="BH793" i="20"/>
  <c r="BH870" i="20" s="1"/>
  <c r="BH644" i="20"/>
  <c r="BH799" i="20"/>
  <c r="BH875" i="20" s="1"/>
  <c r="Y24" i="20"/>
  <c r="X183" i="20"/>
  <c r="BI595" i="20"/>
  <c r="AD335" i="20"/>
  <c r="B419" i="57"/>
  <c r="B420" i="57" s="1"/>
  <c r="B421" i="57" s="1"/>
  <c r="B422" i="57" s="1"/>
  <c r="B423" i="57" s="1"/>
  <c r="B424" i="57" s="1"/>
  <c r="B425" i="57" s="1"/>
  <c r="B426" i="57" s="1"/>
  <c r="B427" i="57" s="1"/>
  <c r="B428" i="57" s="1"/>
  <c r="B429" i="57" s="1"/>
  <c r="B430" i="57" s="1"/>
  <c r="B431" i="57" s="1"/>
  <c r="B432" i="57" s="1"/>
  <c r="B433" i="57" s="1"/>
  <c r="B434" i="57" s="1"/>
  <c r="B435" i="57" s="1"/>
  <c r="B436" i="57" s="1"/>
  <c r="B437" i="57" s="1"/>
  <c r="B438" i="57" s="1"/>
  <c r="B439" i="57" s="1"/>
  <c r="B440" i="57" s="1"/>
  <c r="B441" i="57" s="1"/>
  <c r="B442" i="57" s="1"/>
  <c r="B443" i="57" s="1"/>
  <c r="B444" i="57" s="1"/>
  <c r="B445" i="57" s="1"/>
  <c r="B446" i="57" s="1"/>
  <c r="B447" i="57" s="1"/>
  <c r="B448" i="57" s="1"/>
  <c r="B449" i="57" s="1"/>
  <c r="B450" i="57" s="1"/>
  <c r="B451" i="57" s="1"/>
  <c r="B452" i="57" s="1"/>
  <c r="B453" i="57" s="1"/>
  <c r="B454" i="57" s="1"/>
  <c r="B455" i="57" s="1"/>
  <c r="B456" i="57" s="1"/>
  <c r="B457" i="57" s="1"/>
  <c r="B458" i="57" s="1"/>
  <c r="B459" i="57" s="1"/>
  <c r="B460" i="57" s="1"/>
  <c r="B461" i="57" s="1"/>
  <c r="B462" i="57" s="1"/>
  <c r="B463" i="57" s="1"/>
  <c r="B464" i="57" s="1"/>
  <c r="B465" i="57" s="1"/>
  <c r="B466" i="57" s="1"/>
  <c r="B467" i="57" s="1"/>
  <c r="B468" i="57" s="1"/>
  <c r="B469" i="57" s="1"/>
  <c r="B470" i="57" s="1"/>
  <c r="B471" i="57" s="1"/>
  <c r="B472" i="57" s="1"/>
  <c r="B473" i="57" s="1"/>
  <c r="B474" i="57" s="1"/>
  <c r="B475" i="57" s="1"/>
  <c r="B476" i="57" s="1"/>
  <c r="B477" i="57" s="1"/>
  <c r="B478" i="57" s="1"/>
  <c r="B479" i="57" s="1"/>
  <c r="B480" i="57" s="1"/>
  <c r="B481" i="57" s="1"/>
  <c r="B482" i="57" s="1"/>
  <c r="B483" i="57" s="1"/>
  <c r="B484" i="57" s="1"/>
  <c r="B485" i="57" s="1"/>
  <c r="B486" i="57" s="1"/>
  <c r="B487" i="57" s="1"/>
  <c r="B488" i="57" s="1"/>
  <c r="B489" i="57" s="1"/>
  <c r="B490" i="57" s="1"/>
  <c r="B491" i="57" s="1"/>
  <c r="B492" i="57" s="1"/>
  <c r="B493" i="57" s="1"/>
  <c r="B494" i="57" s="1"/>
  <c r="B495" i="57" s="1"/>
  <c r="B496" i="57" s="1"/>
  <c r="B497" i="57" s="1"/>
  <c r="B498" i="57" s="1"/>
  <c r="B499" i="57" s="1"/>
  <c r="B500" i="57" s="1"/>
  <c r="B501" i="57" s="1"/>
  <c r="B502" i="57" s="1"/>
  <c r="B503" i="57" s="1"/>
  <c r="B504" i="57" s="1"/>
  <c r="B505" i="57" s="1"/>
  <c r="B506" i="57" s="1"/>
  <c r="B507" i="57" s="1"/>
  <c r="B508" i="57" s="1"/>
  <c r="B509" i="57" s="1"/>
  <c r="B510" i="57" s="1"/>
  <c r="B511" i="57" s="1"/>
  <c r="B512" i="57" s="1"/>
  <c r="B513" i="57" s="1"/>
  <c r="B514" i="57" s="1"/>
  <c r="B515" i="57" s="1"/>
  <c r="B516" i="57" s="1"/>
  <c r="B517" i="57" s="1"/>
  <c r="B518" i="57" s="1"/>
  <c r="B519" i="57" s="1"/>
  <c r="B520" i="57" s="1"/>
  <c r="B521" i="57" s="1"/>
  <c r="B522" i="57" s="1"/>
  <c r="B523" i="57" s="1"/>
  <c r="B524" i="57" s="1"/>
  <c r="B525" i="57" s="1"/>
  <c r="B526" i="57" s="1"/>
  <c r="B527" i="57" s="1"/>
  <c r="B528" i="57" s="1"/>
  <c r="B529" i="57" s="1"/>
  <c r="B530" i="57" s="1"/>
  <c r="B531" i="57" s="1"/>
  <c r="B532" i="57" s="1"/>
  <c r="B533" i="57" s="1"/>
  <c r="B534" i="57" s="1"/>
  <c r="B535" i="57" s="1"/>
  <c r="B536" i="57" s="1"/>
  <c r="B537" i="57" s="1"/>
  <c r="B538" i="57" s="1"/>
  <c r="B539" i="57" s="1"/>
  <c r="B540" i="57" s="1"/>
  <c r="B541" i="57" s="1"/>
  <c r="B542" i="57" s="1"/>
  <c r="B543" i="57" s="1"/>
  <c r="B544" i="57" s="1"/>
  <c r="B545" i="57" s="1"/>
  <c r="B546" i="57" s="1"/>
  <c r="B547" i="57" s="1"/>
  <c r="B548" i="57" s="1"/>
  <c r="B549" i="57" s="1"/>
  <c r="B550" i="57" s="1"/>
  <c r="B551" i="57" s="1"/>
  <c r="B552" i="57" s="1"/>
  <c r="B553" i="57" s="1"/>
  <c r="B554" i="57" s="1"/>
  <c r="B555" i="57" s="1"/>
  <c r="B556" i="57" s="1"/>
  <c r="B557" i="57" s="1"/>
  <c r="B558" i="57" s="1"/>
  <c r="B559" i="57" s="1"/>
  <c r="B560" i="57" s="1"/>
  <c r="B561" i="57" s="1"/>
  <c r="B562" i="57" s="1"/>
  <c r="B563" i="57" s="1"/>
  <c r="B564" i="57" s="1"/>
  <c r="B565" i="57" s="1"/>
  <c r="B566" i="57" s="1"/>
  <c r="B567" i="57" s="1"/>
  <c r="B568" i="57" s="1"/>
  <c r="B569" i="57" s="1"/>
  <c r="B570" i="57" s="1"/>
  <c r="B571" i="57" s="1"/>
  <c r="B572" i="57" s="1"/>
  <c r="B573" i="57" s="1"/>
  <c r="B574" i="57" s="1"/>
  <c r="B575" i="57" s="1"/>
  <c r="B576" i="57" s="1"/>
  <c r="B577" i="57" s="1"/>
  <c r="B578" i="57" s="1"/>
  <c r="B579" i="57" s="1"/>
  <c r="B580" i="57" s="1"/>
  <c r="B581" i="57" s="1"/>
  <c r="B582" i="57" s="1"/>
  <c r="B583" i="57" s="1"/>
  <c r="B584" i="57" s="1"/>
  <c r="B585" i="57" s="1"/>
  <c r="B586" i="57" s="1"/>
  <c r="B587" i="57" s="1"/>
  <c r="B588" i="57" s="1"/>
  <c r="B589" i="57" s="1"/>
  <c r="B590" i="57" s="1"/>
  <c r="B591" i="57" s="1"/>
  <c r="B592" i="57" s="1"/>
  <c r="B593" i="57" s="1"/>
  <c r="B594" i="57" s="1"/>
  <c r="B595" i="57" s="1"/>
  <c r="B596" i="57" s="1"/>
  <c r="B597" i="57" s="1"/>
  <c r="B598" i="57" s="1"/>
  <c r="B599" i="57" s="1"/>
  <c r="B600" i="57" s="1"/>
  <c r="B601" i="57" s="1"/>
  <c r="B602" i="57" s="1"/>
  <c r="B603" i="57" s="1"/>
  <c r="B604" i="57" s="1"/>
  <c r="B605" i="57" s="1"/>
  <c r="B606" i="57" s="1"/>
  <c r="B607" i="57" s="1"/>
  <c r="B608" i="57" s="1"/>
  <c r="B609" i="57" s="1"/>
  <c r="B610" i="57" s="1"/>
  <c r="B611" i="57" s="1"/>
  <c r="B612" i="57" s="1"/>
  <c r="B613" i="57" s="1"/>
  <c r="B614" i="57" s="1"/>
  <c r="B615" i="57" s="1"/>
  <c r="B616" i="57" s="1"/>
  <c r="B617" i="57" s="1"/>
  <c r="B618" i="57" s="1"/>
  <c r="B619" i="57" s="1"/>
  <c r="B620" i="57" s="1"/>
  <c r="B621" i="57" s="1"/>
  <c r="B622" i="57" s="1"/>
  <c r="B623" i="57" s="1"/>
  <c r="B624" i="57" s="1"/>
  <c r="B625" i="57" s="1"/>
  <c r="B626" i="57" s="1"/>
  <c r="B627" i="57" s="1"/>
  <c r="B628" i="57" s="1"/>
  <c r="B629" i="57" s="1"/>
  <c r="B630" i="57" s="1"/>
  <c r="B631" i="57" s="1"/>
  <c r="B632" i="57" s="1"/>
  <c r="B633" i="57" s="1"/>
  <c r="B634" i="57" s="1"/>
  <c r="B635" i="57" s="1"/>
  <c r="B636" i="57" s="1"/>
  <c r="B637" i="57" s="1"/>
  <c r="B638" i="57" s="1"/>
  <c r="B639" i="57" s="1"/>
  <c r="B640" i="57" s="1"/>
  <c r="B641" i="57" s="1"/>
  <c r="B642" i="57" s="1"/>
  <c r="B643" i="57" s="1"/>
  <c r="B644" i="57" s="1"/>
  <c r="B645" i="57" s="1"/>
  <c r="B646" i="57" s="1"/>
  <c r="B647" i="57" s="1"/>
  <c r="B648" i="57" s="1"/>
  <c r="B649" i="57" s="1"/>
  <c r="B650" i="57" s="1"/>
  <c r="B651" i="57" s="1"/>
  <c r="B652" i="57" s="1"/>
  <c r="B653" i="57" s="1"/>
  <c r="B654" i="57" s="1"/>
  <c r="B655" i="57" s="1"/>
  <c r="B656" i="57" s="1"/>
  <c r="B657" i="57" s="1"/>
  <c r="B658" i="57" s="1"/>
  <c r="B418" i="57"/>
  <c r="AG522" i="20"/>
  <c r="AG569" i="20"/>
  <c r="AG475" i="20"/>
  <c r="DP865" i="20"/>
  <c r="BR763" i="20"/>
  <c r="DP846" i="20"/>
  <c r="DP893" i="20"/>
  <c r="BR696" i="20"/>
  <c r="P19" i="19"/>
  <c r="CK871" i="20"/>
  <c r="BI626" i="20"/>
  <c r="BI790" i="20" s="1"/>
  <c r="X161" i="20"/>
  <c r="Y43" i="20"/>
  <c r="BP783" i="20"/>
  <c r="BH818" i="20"/>
  <c r="BH881" i="20" s="1"/>
  <c r="BH614" i="20"/>
  <c r="CF876" i="20"/>
  <c r="CH876" i="20" s="1"/>
  <c r="AE315" i="20"/>
  <c r="AF315" i="20" s="1"/>
  <c r="CL875" i="20"/>
  <c r="BI639" i="20"/>
  <c r="BI797" i="20" s="1"/>
  <c r="BI873" i="20" s="1"/>
  <c r="Y54" i="20"/>
  <c r="X168" i="20"/>
  <c r="X347" i="20"/>
  <c r="C141" i="21"/>
  <c r="N151" i="20"/>
  <c r="AY739" i="20" s="1"/>
  <c r="AE355" i="20"/>
  <c r="AE342" i="20"/>
  <c r="X171" i="20"/>
  <c r="Y57" i="20"/>
  <c r="BI642" i="20"/>
  <c r="BI800" i="20" s="1"/>
  <c r="BI876" i="20" s="1"/>
  <c r="AH351" i="20"/>
  <c r="BS583" i="20"/>
  <c r="AH345" i="20"/>
  <c r="AH270" i="20"/>
  <c r="AI15" i="20"/>
  <c r="AI955" i="20" s="1"/>
  <c r="AI958" i="20" s="1"/>
  <c r="AH112" i="20"/>
  <c r="AH385" i="20"/>
  <c r="AH428" i="20"/>
  <c r="AH311" i="20"/>
  <c r="AH259" i="20"/>
  <c r="AH422" i="20"/>
  <c r="AH218" i="20"/>
  <c r="AH234" i="20" s="1"/>
  <c r="AH938" i="20"/>
  <c r="AH134" i="20"/>
  <c r="AH160" i="20" s="1"/>
  <c r="AG941" i="20"/>
  <c r="AG940" i="20"/>
  <c r="AA221" i="20"/>
  <c r="AA230" i="20" s="1"/>
  <c r="W165" i="20"/>
  <c r="AD380" i="20"/>
  <c r="AD39" i="20" s="1"/>
  <c r="BO622" i="20" s="1"/>
  <c r="Y32" i="20"/>
  <c r="BI612" i="20"/>
  <c r="X189" i="20"/>
  <c r="BI656" i="20"/>
  <c r="Y68" i="20"/>
  <c r="AD340" i="20"/>
  <c r="AA11" i="19"/>
  <c r="Z96" i="19" s="1"/>
  <c r="BQ789" i="20"/>
  <c r="O22" i="19"/>
  <c r="AF65" i="20"/>
  <c r="AE228" i="20"/>
  <c r="BP653" i="20"/>
  <c r="BP788" i="20"/>
  <c r="DJ884" i="20" s="1"/>
  <c r="AE159" i="20"/>
  <c r="AF272" i="20"/>
  <c r="AG271" i="20"/>
  <c r="AD305" i="20"/>
  <c r="AE276" i="20"/>
  <c r="BK633" i="20"/>
  <c r="Y27" i="19"/>
  <c r="DL884" i="20"/>
  <c r="AA251" i="20"/>
  <c r="AA37" i="20"/>
  <c r="BL620" i="20" s="1"/>
  <c r="C387" i="56"/>
  <c r="C26" i="56"/>
  <c r="C388" i="57"/>
  <c r="C26" i="57"/>
  <c r="C749" i="57"/>
  <c r="G46" i="16"/>
  <c r="L41" i="16"/>
  <c r="CH874" i="20" l="1"/>
  <c r="CG874" i="20"/>
  <c r="Z188" i="20"/>
  <c r="Y138" i="20"/>
  <c r="BH699" i="20"/>
  <c r="BH727" i="20"/>
  <c r="CL900" i="20" s="1"/>
  <c r="CQ857" i="20"/>
  <c r="Z137" i="20"/>
  <c r="AA252" i="20"/>
  <c r="Z253" i="20"/>
  <c r="K157" i="20"/>
  <c r="K211" i="20" s="1"/>
  <c r="K213" i="20" s="1"/>
  <c r="AV739" i="20"/>
  <c r="AB277" i="20"/>
  <c r="AA278" i="20"/>
  <c r="Z489" i="20"/>
  <c r="AA442" i="20"/>
  <c r="Z389" i="20"/>
  <c r="Z536" i="20"/>
  <c r="CN875" i="20"/>
  <c r="BK664" i="20"/>
  <c r="BK765" i="20" s="1"/>
  <c r="BK717" i="20"/>
  <c r="AA75" i="20"/>
  <c r="AA136" i="20" s="1"/>
  <c r="CW851" i="20"/>
  <c r="AC552" i="20"/>
  <c r="AC405" i="20"/>
  <c r="AC505" i="20"/>
  <c r="AD458" i="20"/>
  <c r="BI825" i="20"/>
  <c r="BI839" i="20" s="1"/>
  <c r="BG729" i="20"/>
  <c r="AC516" i="20"/>
  <c r="AD469" i="20"/>
  <c r="AC563" i="20"/>
  <c r="AC416" i="20"/>
  <c r="AC403" i="20"/>
  <c r="AC503" i="20"/>
  <c r="AD456" i="20"/>
  <c r="AC550" i="20"/>
  <c r="AC417" i="20"/>
  <c r="AD470" i="20"/>
  <c r="AC517" i="20"/>
  <c r="AC564" i="20"/>
  <c r="AD467" i="20"/>
  <c r="AC414" i="20"/>
  <c r="AC514" i="20"/>
  <c r="AC561" i="20"/>
  <c r="BJ730" i="20"/>
  <c r="CR901" i="20" s="1"/>
  <c r="AC553" i="20"/>
  <c r="AC506" i="20"/>
  <c r="AD459" i="20"/>
  <c r="AC406" i="20"/>
  <c r="CT849" i="20"/>
  <c r="BL603" i="20"/>
  <c r="BL821" i="20" s="1"/>
  <c r="AA192" i="20"/>
  <c r="AA94" i="20"/>
  <c r="BJ853" i="20"/>
  <c r="AB560" i="20"/>
  <c r="AB513" i="20"/>
  <c r="AB413" i="20"/>
  <c r="AC466" i="20"/>
  <c r="AC400" i="20"/>
  <c r="AD453" i="20"/>
  <c r="AC500" i="20"/>
  <c r="AC547" i="20"/>
  <c r="AD542" i="20"/>
  <c r="AE448" i="20"/>
  <c r="AD495" i="20"/>
  <c r="AD395" i="20"/>
  <c r="AA177" i="20"/>
  <c r="BL672" i="20"/>
  <c r="BL806" i="20" s="1"/>
  <c r="AA176" i="20"/>
  <c r="BL671" i="20"/>
  <c r="BL609" i="20"/>
  <c r="CT853" i="20"/>
  <c r="CP853" i="20"/>
  <c r="AC388" i="20"/>
  <c r="AD441" i="20"/>
  <c r="AC535" i="20"/>
  <c r="AC488" i="20"/>
  <c r="BM602" i="20"/>
  <c r="AB95" i="20"/>
  <c r="AB182" i="20" s="1"/>
  <c r="BK629" i="20"/>
  <c r="BK792" i="20" s="1"/>
  <c r="BK869" i="20" s="1"/>
  <c r="Z163" i="20"/>
  <c r="AA544" i="20"/>
  <c r="AB450" i="20"/>
  <c r="AA497" i="20"/>
  <c r="AA397" i="20"/>
  <c r="BJ591" i="20"/>
  <c r="BJ823" i="20" s="1"/>
  <c r="BJ855" i="20" s="1"/>
  <c r="Y194" i="20"/>
  <c r="Y196" i="20" s="1"/>
  <c r="Y210" i="20" s="1"/>
  <c r="AB90" i="20"/>
  <c r="AB83" i="20"/>
  <c r="AB74" i="20"/>
  <c r="AB72" i="20"/>
  <c r="AB73" i="20" s="1"/>
  <c r="AB923" i="20"/>
  <c r="AB42" i="20"/>
  <c r="BM625" i="20" s="1"/>
  <c r="AB84" i="20"/>
  <c r="AB81" i="20"/>
  <c r="AB19" i="20"/>
  <c r="AB82" i="20"/>
  <c r="AB85" i="20"/>
  <c r="BM674" i="20" s="1"/>
  <c r="AB86" i="20"/>
  <c r="BM675" i="20" s="1"/>
  <c r="BM660" i="20"/>
  <c r="K565" i="20"/>
  <c r="K518" i="20"/>
  <c r="Q14" i="19"/>
  <c r="CK62" i="19" s="1"/>
  <c r="CI867" i="20"/>
  <c r="CJ854" i="20"/>
  <c r="Q15" i="19" s="1"/>
  <c r="CK854" i="20"/>
  <c r="BK623" i="20"/>
  <c r="BK774" i="20" s="1"/>
  <c r="BK857" i="20" s="1"/>
  <c r="Z145" i="20"/>
  <c r="BK594" i="20"/>
  <c r="BK773" i="20" s="1"/>
  <c r="BK856" i="20" s="1"/>
  <c r="Z144" i="20"/>
  <c r="BI698" i="20"/>
  <c r="BI725" i="20"/>
  <c r="AC538" i="20"/>
  <c r="AD444" i="20"/>
  <c r="AC391" i="20"/>
  <c r="AC491" i="20"/>
  <c r="BJ719" i="20"/>
  <c r="BJ747" i="20"/>
  <c r="CL854" i="20"/>
  <c r="CN854" i="20" s="1"/>
  <c r="CM852" i="20"/>
  <c r="AA20" i="20"/>
  <c r="BL587" i="20"/>
  <c r="AA142" i="20"/>
  <c r="BL713" i="20"/>
  <c r="CX848" i="20"/>
  <c r="CZ848" i="20" s="1"/>
  <c r="V13" i="19" s="1"/>
  <c r="AC558" i="20"/>
  <c r="AD464" i="20"/>
  <c r="AC511" i="20"/>
  <c r="AC411" i="20"/>
  <c r="AD504" i="20"/>
  <c r="AD551" i="20"/>
  <c r="AD404" i="20"/>
  <c r="AE457" i="20"/>
  <c r="BL606" i="20"/>
  <c r="BK624" i="20"/>
  <c r="BK775" i="20" s="1"/>
  <c r="BK858" i="20" s="1"/>
  <c r="Z146" i="20"/>
  <c r="AC556" i="20"/>
  <c r="AD462" i="20"/>
  <c r="AC509" i="20"/>
  <c r="AC409" i="20"/>
  <c r="BK684" i="20"/>
  <c r="AC486" i="20"/>
  <c r="AC386" i="20"/>
  <c r="AC71" i="20" s="1"/>
  <c r="AC533" i="20"/>
  <c r="AD439" i="20"/>
  <c r="BK611" i="20"/>
  <c r="BK817" i="20"/>
  <c r="BK880" i="20" s="1"/>
  <c r="CN852" i="20"/>
  <c r="BK824" i="20"/>
  <c r="BK883" i="20" s="1"/>
  <c r="BK766" i="20"/>
  <c r="CU853" i="20"/>
  <c r="CV853" i="20" s="1"/>
  <c r="BK816" i="20"/>
  <c r="BK879" i="20" s="1"/>
  <c r="BK608" i="20"/>
  <c r="Z143" i="20"/>
  <c r="BK590" i="20"/>
  <c r="Z22" i="20"/>
  <c r="Z93" i="20"/>
  <c r="BK683" i="20" s="1"/>
  <c r="Z136" i="20"/>
  <c r="AC487" i="20"/>
  <c r="AC387" i="20"/>
  <c r="AD440" i="20"/>
  <c r="AC534" i="20"/>
  <c r="CE878" i="20"/>
  <c r="CB878" i="20"/>
  <c r="CI874" i="20"/>
  <c r="CK874" i="20" s="1"/>
  <c r="CJ856" i="20"/>
  <c r="AA92" i="20"/>
  <c r="BL682" i="20" s="1"/>
  <c r="BK771" i="20"/>
  <c r="BK852" i="20" s="1"/>
  <c r="CV851" i="20"/>
  <c r="CV848" i="20"/>
  <c r="U12" i="19"/>
  <c r="BL663" i="20"/>
  <c r="CX851" i="20" s="1"/>
  <c r="AA46" i="20"/>
  <c r="AA41" i="20"/>
  <c r="AA44" i="20"/>
  <c r="BL661" i="20"/>
  <c r="BL662" i="20" s="1"/>
  <c r="BL664" i="20" s="1"/>
  <c r="AA40" i="20"/>
  <c r="AA23" i="20"/>
  <c r="AA21" i="20"/>
  <c r="AC392" i="20"/>
  <c r="AC492" i="20"/>
  <c r="AC539" i="20"/>
  <c r="AD445" i="20"/>
  <c r="AB559" i="20"/>
  <c r="AB512" i="20"/>
  <c r="AC465" i="20"/>
  <c r="AB412" i="20"/>
  <c r="AB31" i="20" s="1"/>
  <c r="AA91" i="20"/>
  <c r="BL681" i="20" s="1"/>
  <c r="AB410" i="20"/>
  <c r="AB30" i="20" s="1"/>
  <c r="AC463" i="20"/>
  <c r="AB510" i="20"/>
  <c r="AB557" i="20"/>
  <c r="AC507" i="20"/>
  <c r="AC554" i="20"/>
  <c r="AD460" i="20"/>
  <c r="AC407" i="20"/>
  <c r="AC28" i="20" s="1"/>
  <c r="BK805" i="20"/>
  <c r="BK758" i="20"/>
  <c r="AB555" i="20"/>
  <c r="AB408" i="20"/>
  <c r="AB29" i="20" s="1"/>
  <c r="AC461" i="20"/>
  <c r="AB508" i="20"/>
  <c r="AC455" i="20"/>
  <c r="AB502" i="20"/>
  <c r="AB402" i="20"/>
  <c r="AB549" i="20"/>
  <c r="BI765" i="20"/>
  <c r="BI767" i="20" s="1"/>
  <c r="BI718" i="20"/>
  <c r="BK605" i="20"/>
  <c r="BK701" i="20" s="1"/>
  <c r="AC393" i="20"/>
  <c r="AC493" i="20"/>
  <c r="AD446" i="20"/>
  <c r="AC540" i="20"/>
  <c r="BJ589" i="20"/>
  <c r="BI593" i="20"/>
  <c r="CU849" i="20"/>
  <c r="BL680" i="20"/>
  <c r="AA195" i="20"/>
  <c r="AD468" i="20"/>
  <c r="AC515" i="20"/>
  <c r="AC415" i="20"/>
  <c r="AC562" i="20"/>
  <c r="AD449" i="20"/>
  <c r="AC543" i="20"/>
  <c r="AC496" i="20"/>
  <c r="AC396" i="20"/>
  <c r="BE651" i="20"/>
  <c r="E63" i="21"/>
  <c r="T223" i="20"/>
  <c r="T229" i="20"/>
  <c r="CC862" i="20"/>
  <c r="CD861" i="20"/>
  <c r="BL685" i="20"/>
  <c r="BL811" i="20" s="1"/>
  <c r="CX870" i="20" s="1"/>
  <c r="CZ870" i="20" s="1"/>
  <c r="Z193" i="20"/>
  <c r="BK588" i="20"/>
  <c r="BK822" i="20" s="1"/>
  <c r="BK853" i="20" s="1"/>
  <c r="BK716" i="20"/>
  <c r="BL714" i="20"/>
  <c r="AA175" i="20"/>
  <c r="BL670" i="20"/>
  <c r="BL804" i="20" s="1"/>
  <c r="BL673" i="20"/>
  <c r="BL807" i="20" s="1"/>
  <c r="AA178" i="20"/>
  <c r="CO852" i="20"/>
  <c r="CP850" i="20"/>
  <c r="CG876" i="20"/>
  <c r="BJ772" i="20"/>
  <c r="BJ854" i="20" s="1"/>
  <c r="BK714" i="20"/>
  <c r="U18" i="19"/>
  <c r="AD401" i="20"/>
  <c r="AD548" i="20"/>
  <c r="AD501" i="20"/>
  <c r="AE454" i="20"/>
  <c r="BK627" i="20"/>
  <c r="BK777" i="20" s="1"/>
  <c r="BK860" i="20" s="1"/>
  <c r="Z148" i="20"/>
  <c r="CR850" i="20"/>
  <c r="CT850" i="20" s="1"/>
  <c r="CS849" i="20"/>
  <c r="AD447" i="20"/>
  <c r="AC494" i="20"/>
  <c r="AC394" i="20"/>
  <c r="AC541" i="20"/>
  <c r="U418" i="20"/>
  <c r="U63" i="20" s="1"/>
  <c r="U518" i="20"/>
  <c r="V471" i="20"/>
  <c r="U565" i="20"/>
  <c r="BJ765" i="20"/>
  <c r="BJ767" i="20" s="1"/>
  <c r="BJ718" i="20"/>
  <c r="BK894" i="20"/>
  <c r="BM707" i="20"/>
  <c r="BG896" i="20"/>
  <c r="X165" i="20"/>
  <c r="X185" i="20"/>
  <c r="W191" i="20"/>
  <c r="AE335" i="20"/>
  <c r="CA879" i="20"/>
  <c r="AI946" i="20"/>
  <c r="X926" i="20" s="1"/>
  <c r="AB221" i="20"/>
  <c r="AB230" i="20" s="1"/>
  <c r="AB207" i="20" s="1"/>
  <c r="AB209" i="20" s="1"/>
  <c r="AI951" i="20"/>
  <c r="AE325" i="20"/>
  <c r="AE341" i="20" s="1"/>
  <c r="AF382" i="20"/>
  <c r="BQ783" i="20"/>
  <c r="CI876" i="20"/>
  <c r="CK876" i="20" s="1"/>
  <c r="AF342" i="20"/>
  <c r="DS893" i="20"/>
  <c r="BS696" i="20"/>
  <c r="DS865" i="20"/>
  <c r="DS846" i="20"/>
  <c r="BS763" i="20"/>
  <c r="P21" i="19"/>
  <c r="BI818" i="20"/>
  <c r="BI881" i="20" s="1"/>
  <c r="BI614" i="20"/>
  <c r="AA207" i="20"/>
  <c r="AA209" i="20" s="1"/>
  <c r="BL836" i="20"/>
  <c r="AH569" i="20"/>
  <c r="AH475" i="20"/>
  <c r="AH522" i="20"/>
  <c r="AF355" i="20"/>
  <c r="T225" i="20"/>
  <c r="E225" i="21" s="1"/>
  <c r="G225" i="21" s="1"/>
  <c r="BE652" i="20"/>
  <c r="E64" i="21"/>
  <c r="U62" i="20"/>
  <c r="T67" i="20"/>
  <c r="N139" i="21"/>
  <c r="M147" i="21"/>
  <c r="M149" i="21" s="1"/>
  <c r="M150" i="21" s="1"/>
  <c r="O139" i="21"/>
  <c r="N147" i="21"/>
  <c r="N149" i="21" s="1"/>
  <c r="N150" i="21" s="1"/>
  <c r="R139" i="21"/>
  <c r="Q147" i="21"/>
  <c r="Q149" i="21" s="1"/>
  <c r="Q150" i="21" s="1"/>
  <c r="BH645" i="20"/>
  <c r="BH706" i="20" s="1"/>
  <c r="BH809" i="20"/>
  <c r="Y170" i="20"/>
  <c r="Z56" i="20"/>
  <c r="BJ641" i="20"/>
  <c r="M89" i="21"/>
  <c r="BG820" i="20"/>
  <c r="BJ596" i="20"/>
  <c r="BJ813" i="20" s="1"/>
  <c r="BJ878" i="20" s="1"/>
  <c r="Y184" i="20"/>
  <c r="Z25" i="20"/>
  <c r="BJ636" i="20"/>
  <c r="Y166" i="20"/>
  <c r="Z52" i="20"/>
  <c r="BH794" i="20"/>
  <c r="AF374" i="20"/>
  <c r="AG377" i="20"/>
  <c r="AG373" i="20"/>
  <c r="AG337" i="20"/>
  <c r="AF334" i="20"/>
  <c r="AF335" i="20" s="1"/>
  <c r="AG333" i="20"/>
  <c r="CN871" i="20"/>
  <c r="Q19" i="19"/>
  <c r="P17" i="19"/>
  <c r="CJ65" i="19" s="1"/>
  <c r="CK868" i="20"/>
  <c r="AD61" i="20"/>
  <c r="AC220" i="20"/>
  <c r="BN649" i="20"/>
  <c r="BI803" i="20"/>
  <c r="BI676" i="20"/>
  <c r="BL782" i="20"/>
  <c r="CX882" i="20" s="1"/>
  <c r="DC882" i="20" s="1"/>
  <c r="AA153" i="20"/>
  <c r="AG476" i="20"/>
  <c r="AF429" i="20"/>
  <c r="AF570" i="20"/>
  <c r="AF523" i="20"/>
  <c r="Y186" i="20"/>
  <c r="Z27" i="20"/>
  <c r="BJ599" i="20"/>
  <c r="BJ640" i="20"/>
  <c r="BJ798" i="20" s="1"/>
  <c r="BJ874" i="20" s="1"/>
  <c r="Y169" i="20"/>
  <c r="Z55" i="20"/>
  <c r="Z68" i="20"/>
  <c r="BJ656" i="20"/>
  <c r="BJ612" i="20"/>
  <c r="Y189" i="20"/>
  <c r="Z32" i="20"/>
  <c r="AG942" i="20"/>
  <c r="AH438" i="20"/>
  <c r="AH247" i="20"/>
  <c r="AH485" i="20"/>
  <c r="AH532" i="20"/>
  <c r="Z57" i="20"/>
  <c r="BJ642" i="20"/>
  <c r="BJ800" i="20" s="1"/>
  <c r="BJ876" i="20" s="1"/>
  <c r="Y171" i="20"/>
  <c r="N157" i="20"/>
  <c r="C151" i="21"/>
  <c r="BJ639" i="20"/>
  <c r="BJ797" i="20" s="1"/>
  <c r="BJ873" i="20" s="1"/>
  <c r="Y347" i="20"/>
  <c r="Y168" i="20"/>
  <c r="Z54" i="20"/>
  <c r="BI867" i="20"/>
  <c r="BI755" i="20"/>
  <c r="BI597" i="20"/>
  <c r="BI756" i="20"/>
  <c r="BI812" i="20"/>
  <c r="G89" i="21"/>
  <c r="H139" i="21"/>
  <c r="L89" i="21"/>
  <c r="L147" i="21"/>
  <c r="L149" i="21" s="1"/>
  <c r="L150" i="21" s="1"/>
  <c r="M139" i="21"/>
  <c r="R89" i="21"/>
  <c r="R147" i="21"/>
  <c r="R149" i="21" s="1"/>
  <c r="R150" i="21" s="1"/>
  <c r="AE375" i="20"/>
  <c r="AE381" i="20" s="1"/>
  <c r="AE51" i="20" s="1"/>
  <c r="BP635" i="20" s="1"/>
  <c r="B659" i="56"/>
  <c r="B660" i="56"/>
  <c r="B661" i="56" s="1"/>
  <c r="B662" i="56" s="1"/>
  <c r="B663" i="56" s="1"/>
  <c r="B664" i="56" s="1"/>
  <c r="B665" i="56" s="1"/>
  <c r="B666" i="56" s="1"/>
  <c r="B667" i="56" s="1"/>
  <c r="B668" i="56" s="1"/>
  <c r="B669" i="56" s="1"/>
  <c r="B670" i="56" s="1"/>
  <c r="B671" i="56" s="1"/>
  <c r="B672" i="56" s="1"/>
  <c r="B673" i="56" s="1"/>
  <c r="B674" i="56" s="1"/>
  <c r="B675" i="56" s="1"/>
  <c r="B676" i="56" s="1"/>
  <c r="B677" i="56" s="1"/>
  <c r="B678" i="56" s="1"/>
  <c r="B679" i="56" s="1"/>
  <c r="B680" i="56" s="1"/>
  <c r="B681" i="56" s="1"/>
  <c r="B682" i="56" s="1"/>
  <c r="B683" i="56" s="1"/>
  <c r="B684" i="56" s="1"/>
  <c r="B685" i="56" s="1"/>
  <c r="B686" i="56" s="1"/>
  <c r="B687" i="56" s="1"/>
  <c r="B688" i="56" s="1"/>
  <c r="B689" i="56" s="1"/>
  <c r="B690" i="56" s="1"/>
  <c r="B691" i="56" s="1"/>
  <c r="B692" i="56" s="1"/>
  <c r="B693" i="56" s="1"/>
  <c r="B694" i="56" s="1"/>
  <c r="B695" i="56" s="1"/>
  <c r="B696" i="56" s="1"/>
  <c r="B697" i="56" s="1"/>
  <c r="B698" i="56" s="1"/>
  <c r="B699" i="56" s="1"/>
  <c r="B700" i="56" s="1"/>
  <c r="B701" i="56" s="1"/>
  <c r="B702" i="56" s="1"/>
  <c r="B703" i="56" s="1"/>
  <c r="B704" i="56" s="1"/>
  <c r="B705" i="56" s="1"/>
  <c r="B706" i="56" s="1"/>
  <c r="B707" i="56" s="1"/>
  <c r="B708" i="56" s="1"/>
  <c r="B709" i="56" s="1"/>
  <c r="B710" i="56" s="1"/>
  <c r="B711" i="56" s="1"/>
  <c r="B712" i="56" s="1"/>
  <c r="B713" i="56" s="1"/>
  <c r="B714" i="56" s="1"/>
  <c r="B715" i="56" s="1"/>
  <c r="B716" i="56" s="1"/>
  <c r="B717" i="56" s="1"/>
  <c r="B718" i="56" s="1"/>
  <c r="B719" i="56" s="1"/>
  <c r="B720" i="56" s="1"/>
  <c r="B721" i="56" s="1"/>
  <c r="B722" i="56" s="1"/>
  <c r="B723" i="56" s="1"/>
  <c r="B724" i="56" s="1"/>
  <c r="B725" i="56" s="1"/>
  <c r="BN615" i="20"/>
  <c r="BN702" i="20" s="1"/>
  <c r="AD33" i="20"/>
  <c r="AC219" i="20"/>
  <c r="AC221" i="20" s="1"/>
  <c r="AC230" i="20" s="1"/>
  <c r="BN648" i="20"/>
  <c r="AD60" i="20"/>
  <c r="BH814" i="20"/>
  <c r="BH877" i="20"/>
  <c r="E149" i="21"/>
  <c r="G149" i="21" s="1"/>
  <c r="T150" i="20"/>
  <c r="BI638" i="20"/>
  <c r="BI795" i="20"/>
  <c r="AF432" i="20"/>
  <c r="AG479" i="20"/>
  <c r="BJ628" i="20"/>
  <c r="BJ791" i="20" s="1"/>
  <c r="BJ868" i="20" s="1"/>
  <c r="Y162" i="20"/>
  <c r="Z45" i="20"/>
  <c r="BJ637" i="20"/>
  <c r="BJ796" i="20" s="1"/>
  <c r="BJ872" i="20" s="1"/>
  <c r="Y167" i="20"/>
  <c r="Z53" i="20"/>
  <c r="AG367" i="20"/>
  <c r="AG382" i="20" s="1"/>
  <c r="AG363" i="20"/>
  <c r="AF364" i="20"/>
  <c r="AF365" i="20" s="1"/>
  <c r="CE861" i="20"/>
  <c r="CH861" i="20"/>
  <c r="Z263" i="20"/>
  <c r="Z38" i="20"/>
  <c r="BK621" i="20" s="1"/>
  <c r="Z47" i="20"/>
  <c r="Y164" i="20"/>
  <c r="BJ630" i="20"/>
  <c r="X190" i="20"/>
  <c r="BO654" i="20"/>
  <c r="AD224" i="20"/>
  <c r="AE66" i="20"/>
  <c r="U945" i="20"/>
  <c r="B659" i="57"/>
  <c r="B660" i="57"/>
  <c r="B661" i="57" s="1"/>
  <c r="B662" i="57" s="1"/>
  <c r="B663" i="57" s="1"/>
  <c r="B664" i="57" s="1"/>
  <c r="B665" i="57" s="1"/>
  <c r="B666" i="57" s="1"/>
  <c r="B667" i="57" s="1"/>
  <c r="B668" i="57" s="1"/>
  <c r="B669" i="57" s="1"/>
  <c r="B670" i="57" s="1"/>
  <c r="B671" i="57" s="1"/>
  <c r="B672" i="57" s="1"/>
  <c r="B673" i="57" s="1"/>
  <c r="B674" i="57" s="1"/>
  <c r="B675" i="57" s="1"/>
  <c r="B676" i="57" s="1"/>
  <c r="B677" i="57" s="1"/>
  <c r="B678" i="57" s="1"/>
  <c r="B679" i="57" s="1"/>
  <c r="B680" i="57" s="1"/>
  <c r="B681" i="57" s="1"/>
  <c r="B682" i="57" s="1"/>
  <c r="B683" i="57" s="1"/>
  <c r="B684" i="57" s="1"/>
  <c r="B685" i="57" s="1"/>
  <c r="B686" i="57" s="1"/>
  <c r="B687" i="57" s="1"/>
  <c r="B688" i="57" s="1"/>
  <c r="B689" i="57" s="1"/>
  <c r="B690" i="57" s="1"/>
  <c r="B691" i="57" s="1"/>
  <c r="B692" i="57" s="1"/>
  <c r="B693" i="57" s="1"/>
  <c r="B694" i="57" s="1"/>
  <c r="B695" i="57" s="1"/>
  <c r="B696" i="57" s="1"/>
  <c r="B697" i="57" s="1"/>
  <c r="B698" i="57" s="1"/>
  <c r="B699" i="57" s="1"/>
  <c r="B700" i="57" s="1"/>
  <c r="B701" i="57" s="1"/>
  <c r="B702" i="57" s="1"/>
  <c r="B703" i="57" s="1"/>
  <c r="B704" i="57" s="1"/>
  <c r="B705" i="57" s="1"/>
  <c r="B706" i="57" s="1"/>
  <c r="B707" i="57" s="1"/>
  <c r="B708" i="57" s="1"/>
  <c r="B709" i="57" s="1"/>
  <c r="B710" i="57" s="1"/>
  <c r="B711" i="57" s="1"/>
  <c r="B712" i="57" s="1"/>
  <c r="B713" i="57" s="1"/>
  <c r="B714" i="57" s="1"/>
  <c r="B715" i="57" s="1"/>
  <c r="B716" i="57" s="1"/>
  <c r="B717" i="57" s="1"/>
  <c r="B718" i="57" s="1"/>
  <c r="B719" i="57" s="1"/>
  <c r="B720" i="57" s="1"/>
  <c r="B721" i="57" s="1"/>
  <c r="B722" i="57" s="1"/>
  <c r="B723" i="57" s="1"/>
  <c r="B724" i="57" s="1"/>
  <c r="B725" i="57" s="1"/>
  <c r="J89" i="21"/>
  <c r="K139" i="21"/>
  <c r="J147" i="21"/>
  <c r="J149" i="21" s="1"/>
  <c r="J150" i="21" s="1"/>
  <c r="L139" i="21"/>
  <c r="K147" i="21"/>
  <c r="K149" i="21" s="1"/>
  <c r="K150" i="21" s="1"/>
  <c r="P139" i="21"/>
  <c r="O147" i="21"/>
  <c r="O149" i="21" s="1"/>
  <c r="O150" i="21" s="1"/>
  <c r="CL871" i="20"/>
  <c r="BH819" i="20"/>
  <c r="AE380" i="20"/>
  <c r="AE39" i="20" s="1"/>
  <c r="BP622" i="20" s="1"/>
  <c r="CL856" i="20"/>
  <c r="CM856" i="20" s="1"/>
  <c r="BJ669" i="20"/>
  <c r="CR857" i="20" s="1"/>
  <c r="CS857" i="20" s="1"/>
  <c r="Z80" i="20"/>
  <c r="AF380" i="20"/>
  <c r="AF39" i="20" s="1"/>
  <c r="BQ622" i="20" s="1"/>
  <c r="AF324" i="20"/>
  <c r="AG323" i="20"/>
  <c r="AG327" i="20"/>
  <c r="AG342" i="20" s="1"/>
  <c r="AF571" i="20"/>
  <c r="AF524" i="20"/>
  <c r="AG477" i="20"/>
  <c r="AF430" i="20"/>
  <c r="BJ634" i="20"/>
  <c r="Y58" i="20"/>
  <c r="BI631" i="20"/>
  <c r="BI793" i="20"/>
  <c r="BI870" i="20" s="1"/>
  <c r="O89" i="21"/>
  <c r="Z423" i="20"/>
  <c r="Y425" i="20"/>
  <c r="Y78" i="20" s="1"/>
  <c r="N89" i="21"/>
  <c r="V945" i="20"/>
  <c r="AH941" i="20"/>
  <c r="AH940" i="20"/>
  <c r="AH317" i="20"/>
  <c r="AH313" i="20"/>
  <c r="AH331" i="20"/>
  <c r="AH321" i="20"/>
  <c r="AG314" i="20"/>
  <c r="AG315" i="20" s="1"/>
  <c r="AI259" i="20"/>
  <c r="BT583" i="20"/>
  <c r="AI311" i="20"/>
  <c r="AI270" i="20"/>
  <c r="AI428" i="20"/>
  <c r="AI351" i="20"/>
  <c r="AI345" i="20"/>
  <c r="AI134" i="20"/>
  <c r="AI160" i="20" s="1"/>
  <c r="AI422" i="20"/>
  <c r="AI218" i="20"/>
  <c r="AI234" i="20" s="1"/>
  <c r="AI112" i="20"/>
  <c r="AI385" i="20"/>
  <c r="AH357" i="20"/>
  <c r="AH371" i="20"/>
  <c r="AH353" i="20"/>
  <c r="AH361" i="20"/>
  <c r="AG354" i="20"/>
  <c r="AG355" i="20" s="1"/>
  <c r="BJ626" i="20"/>
  <c r="BJ790" i="20" s="1"/>
  <c r="Z43" i="20"/>
  <c r="Y161" i="20"/>
  <c r="AB11" i="19"/>
  <c r="AA96" i="19" s="1"/>
  <c r="BR789" i="20"/>
  <c r="Z24" i="20"/>
  <c r="BJ595" i="20"/>
  <c r="Y183" i="20"/>
  <c r="J139" i="21"/>
  <c r="I147" i="21"/>
  <c r="I149" i="21" s="1"/>
  <c r="I150" i="21" s="1"/>
  <c r="I139" i="21"/>
  <c r="H147" i="21"/>
  <c r="H149" i="21" s="1"/>
  <c r="H150" i="21" s="1"/>
  <c r="P147" i="21"/>
  <c r="P149" i="21" s="1"/>
  <c r="P150" i="21" s="1"/>
  <c r="Q139" i="21"/>
  <c r="AE69" i="20"/>
  <c r="BO657" i="20"/>
  <c r="BH871" i="20"/>
  <c r="BH801" i="20"/>
  <c r="BI799" i="20"/>
  <c r="BI875" i="20" s="1"/>
  <c r="BI644" i="20"/>
  <c r="CO875" i="20"/>
  <c r="CT857" i="20"/>
  <c r="P89" i="21"/>
  <c r="X172" i="20"/>
  <c r="BE859" i="20"/>
  <c r="BE861" i="20" s="1"/>
  <c r="BE778" i="20"/>
  <c r="BE779" i="20" s="1"/>
  <c r="AE340" i="20"/>
  <c r="Y174" i="20"/>
  <c r="Z79" i="20"/>
  <c r="BJ668" i="20"/>
  <c r="AD341" i="20"/>
  <c r="BI601" i="20"/>
  <c r="BI815" i="20"/>
  <c r="BI667" i="20"/>
  <c r="BI808" i="20" s="1"/>
  <c r="X179" i="20"/>
  <c r="X180" i="20" s="1"/>
  <c r="AF276" i="20"/>
  <c r="AE305" i="20"/>
  <c r="BQ788" i="20"/>
  <c r="DM884" i="20" s="1"/>
  <c r="AF159" i="20"/>
  <c r="AF228" i="20"/>
  <c r="BQ653" i="20"/>
  <c r="AG65" i="20"/>
  <c r="AG272" i="20"/>
  <c r="AH271" i="20"/>
  <c r="AC249" i="20"/>
  <c r="AB250" i="20"/>
  <c r="AA49" i="20"/>
  <c r="Z27" i="19"/>
  <c r="DO884" i="20"/>
  <c r="C388" i="56"/>
  <c r="C27" i="56"/>
  <c r="C389" i="57"/>
  <c r="C27" i="57"/>
  <c r="C750" i="57"/>
  <c r="G351" i="16"/>
  <c r="J44" i="16"/>
  <c r="L46" i="16"/>
  <c r="Q122" i="19"/>
  <c r="BL605" i="20" l="1"/>
  <c r="BL701" i="20" s="1"/>
  <c r="BL684" i="20"/>
  <c r="BK730" i="20"/>
  <c r="CU901" i="20" s="1"/>
  <c r="Z138" i="20"/>
  <c r="BH729" i="20"/>
  <c r="Q22" i="19"/>
  <c r="BK718" i="20"/>
  <c r="AA188" i="20"/>
  <c r="CQ875" i="20"/>
  <c r="AB442" i="20"/>
  <c r="AA389" i="20"/>
  <c r="AA489" i="20"/>
  <c r="AA536" i="20"/>
  <c r="AC277" i="20"/>
  <c r="AB278" i="20"/>
  <c r="AB252" i="20"/>
  <c r="AA253" i="20"/>
  <c r="CN856" i="20"/>
  <c r="CW853" i="20"/>
  <c r="AB75" i="20"/>
  <c r="AB136" i="20" s="1"/>
  <c r="CZ851" i="20"/>
  <c r="BE655" i="20"/>
  <c r="BE708" i="20" s="1"/>
  <c r="BI699" i="20"/>
  <c r="BI727" i="20"/>
  <c r="CO900" i="20" s="1"/>
  <c r="BI726" i="20"/>
  <c r="BI728" i="20" s="1"/>
  <c r="AD417" i="20"/>
  <c r="AD564" i="20"/>
  <c r="AE470" i="20"/>
  <c r="AD517" i="20"/>
  <c r="AE458" i="20"/>
  <c r="AD552" i="20"/>
  <c r="AD505" i="20"/>
  <c r="AD405" i="20"/>
  <c r="AD553" i="20"/>
  <c r="AD406" i="20"/>
  <c r="AD506" i="20"/>
  <c r="AE459" i="20"/>
  <c r="CW849" i="20"/>
  <c r="AD414" i="20"/>
  <c r="AD561" i="20"/>
  <c r="AE467" i="20"/>
  <c r="AD514" i="20"/>
  <c r="AD516" i="20"/>
  <c r="AE469" i="20"/>
  <c r="AD416" i="20"/>
  <c r="AD563" i="20"/>
  <c r="Q21" i="19"/>
  <c r="AD550" i="20"/>
  <c r="AE456" i="20"/>
  <c r="AD503" i="20"/>
  <c r="AD403" i="20"/>
  <c r="AC90" i="20"/>
  <c r="AC195" i="20" s="1"/>
  <c r="BK767" i="20"/>
  <c r="BM603" i="20"/>
  <c r="BM821" i="20" s="1"/>
  <c r="AB192" i="20"/>
  <c r="AB94" i="20"/>
  <c r="I63" i="21"/>
  <c r="I223" i="21" s="1"/>
  <c r="P63" i="21"/>
  <c r="P223" i="21" s="1"/>
  <c r="N63" i="21"/>
  <c r="N223" i="21" s="1"/>
  <c r="M63" i="21"/>
  <c r="M223" i="21" s="1"/>
  <c r="K63" i="21"/>
  <c r="K223" i="21" s="1"/>
  <c r="J63" i="21"/>
  <c r="J223" i="21" s="1"/>
  <c r="G63" i="21"/>
  <c r="O63" i="21"/>
  <c r="O223" i="21" s="1"/>
  <c r="R63" i="21"/>
  <c r="R223" i="21" s="1"/>
  <c r="H63" i="21"/>
  <c r="H223" i="21" s="1"/>
  <c r="Q63" i="21"/>
  <c r="Q223" i="21" s="1"/>
  <c r="L63" i="21"/>
  <c r="L223" i="21" s="1"/>
  <c r="BL824" i="20"/>
  <c r="BL883" i="20" s="1"/>
  <c r="BL766" i="20"/>
  <c r="AD493" i="20"/>
  <c r="AE446" i="20"/>
  <c r="AD540" i="20"/>
  <c r="AD393" i="20"/>
  <c r="AC555" i="20"/>
  <c r="AD461" i="20"/>
  <c r="AC408" i="20"/>
  <c r="AC29" i="20" s="1"/>
  <c r="AC508" i="20"/>
  <c r="AA145" i="20"/>
  <c r="BL623" i="20"/>
  <c r="BL774" i="20" s="1"/>
  <c r="BL857" i="20" s="1"/>
  <c r="BK591" i="20"/>
  <c r="BK823" i="20" s="1"/>
  <c r="BK855" i="20" s="1"/>
  <c r="Z194" i="20"/>
  <c r="Z196" i="20" s="1"/>
  <c r="Z210" i="20" s="1"/>
  <c r="AF457" i="20"/>
  <c r="AE551" i="20"/>
  <c r="AE404" i="20"/>
  <c r="AE504" i="20"/>
  <c r="BL765" i="20"/>
  <c r="BL718" i="20"/>
  <c r="BL771" i="20"/>
  <c r="BL852" i="20" s="1"/>
  <c r="CO899" i="20"/>
  <c r="CJ882" i="20"/>
  <c r="CJ890" i="20"/>
  <c r="CJ867" i="20"/>
  <c r="CJ884" i="20"/>
  <c r="CJ874" i="20"/>
  <c r="CJ875" i="20"/>
  <c r="CJ876" i="20"/>
  <c r="CJ871" i="20"/>
  <c r="CJ870" i="20"/>
  <c r="CK867" i="20"/>
  <c r="BM673" i="20"/>
  <c r="BM807" i="20" s="1"/>
  <c r="AB178" i="20"/>
  <c r="AB46" i="20"/>
  <c r="BM663" i="20"/>
  <c r="DA851" i="20" s="1"/>
  <c r="AB41" i="20"/>
  <c r="AD488" i="20"/>
  <c r="AE441" i="20"/>
  <c r="AD535" i="20"/>
  <c r="AD388" i="20"/>
  <c r="AD494" i="20"/>
  <c r="AD394" i="20"/>
  <c r="AE447" i="20"/>
  <c r="AD541" i="20"/>
  <c r="BJ593" i="20"/>
  <c r="CE862" i="20"/>
  <c r="CD862" i="20"/>
  <c r="AE449" i="20"/>
  <c r="AD543" i="20"/>
  <c r="AD396" i="20"/>
  <c r="AD496" i="20"/>
  <c r="AE468" i="20"/>
  <c r="AD515" i="20"/>
  <c r="AD415" i="20"/>
  <c r="AD562" i="20"/>
  <c r="BN602" i="20"/>
  <c r="AC95" i="20"/>
  <c r="AC182" i="20" s="1"/>
  <c r="CX849" i="20"/>
  <c r="CY849" i="20" s="1"/>
  <c r="CX853" i="20"/>
  <c r="CY853" i="20" s="1"/>
  <c r="BK772" i="20"/>
  <c r="BK854" i="20" s="1"/>
  <c r="AC42" i="20"/>
  <c r="BN625" i="20" s="1"/>
  <c r="AC84" i="20"/>
  <c r="AC82" i="20"/>
  <c r="AC923" i="20"/>
  <c r="AC72" i="20"/>
  <c r="AC73" i="20" s="1"/>
  <c r="AC86" i="20"/>
  <c r="BN675" i="20" s="1"/>
  <c r="AC81" i="20"/>
  <c r="AC85" i="20"/>
  <c r="BN674" i="20" s="1"/>
  <c r="AC19" i="20"/>
  <c r="BN660" i="20"/>
  <c r="AC83" i="20"/>
  <c r="AC74" i="20"/>
  <c r="BL588" i="20"/>
  <c r="BL822" i="20" s="1"/>
  <c r="BL853" i="20" s="1"/>
  <c r="AA193" i="20"/>
  <c r="AB176" i="20"/>
  <c r="BM671" i="20"/>
  <c r="BM672" i="20"/>
  <c r="BM806" i="20" s="1"/>
  <c r="AB177" i="20"/>
  <c r="BM685" i="20"/>
  <c r="BM811" i="20" s="1"/>
  <c r="DA870" i="20" s="1"/>
  <c r="BL611" i="20"/>
  <c r="BL817" i="20"/>
  <c r="BL880" i="20" s="1"/>
  <c r="BM606" i="20"/>
  <c r="BM608" i="20" s="1"/>
  <c r="BL629" i="20"/>
  <c r="BL792" i="20" s="1"/>
  <c r="BL869" i="20" s="1"/>
  <c r="AA163" i="20"/>
  <c r="R14" i="19"/>
  <c r="CL867" i="20"/>
  <c r="CM854" i="20"/>
  <c r="R15" i="19" s="1"/>
  <c r="AE501" i="20"/>
  <c r="AE548" i="20"/>
  <c r="AE401" i="20"/>
  <c r="AF454" i="20"/>
  <c r="CO854" i="20"/>
  <c r="CQ854" i="20" s="1"/>
  <c r="CP852" i="20"/>
  <c r="E229" i="21"/>
  <c r="G229" i="21" s="1"/>
  <c r="AA137" i="20"/>
  <c r="AA138" i="20" s="1"/>
  <c r="BJ698" i="20"/>
  <c r="BJ725" i="20"/>
  <c r="AD455" i="20"/>
  <c r="AC549" i="20"/>
  <c r="AC402" i="20"/>
  <c r="AC502" i="20"/>
  <c r="AD507" i="20"/>
  <c r="AD554" i="20"/>
  <c r="AE460" i="20"/>
  <c r="AD407" i="20"/>
  <c r="AD28" i="20" s="1"/>
  <c r="BM609" i="20"/>
  <c r="BM611" i="20" s="1"/>
  <c r="AD392" i="20"/>
  <c r="AE445" i="20"/>
  <c r="AD539" i="20"/>
  <c r="AD492" i="20"/>
  <c r="AA143" i="20"/>
  <c r="BL590" i="20"/>
  <c r="AA22" i="20"/>
  <c r="BL627" i="20"/>
  <c r="BL777" i="20" s="1"/>
  <c r="BL860" i="20" s="1"/>
  <c r="AA148" i="20"/>
  <c r="CU850" i="20"/>
  <c r="CW850" i="20" s="1"/>
  <c r="CV849" i="20"/>
  <c r="AD409" i="20"/>
  <c r="AD556" i="20"/>
  <c r="AD509" i="20"/>
  <c r="AE462" i="20"/>
  <c r="AA187" i="20"/>
  <c r="AD558" i="20"/>
  <c r="AD411" i="20"/>
  <c r="AE464" i="20"/>
  <c r="AD511" i="20"/>
  <c r="BL724" i="20"/>
  <c r="CY848" i="20"/>
  <c r="CY851" i="20"/>
  <c r="V12" i="19"/>
  <c r="BL717" i="20"/>
  <c r="AD491" i="20"/>
  <c r="AE444" i="20"/>
  <c r="AD391" i="20"/>
  <c r="AD538" i="20"/>
  <c r="DA848" i="20"/>
  <c r="BM713" i="20"/>
  <c r="BM714" i="20" s="1"/>
  <c r="BM587" i="20"/>
  <c r="BM724" i="20" s="1"/>
  <c r="AB20" i="20"/>
  <c r="AB142" i="20"/>
  <c r="AB195" i="20"/>
  <c r="BM680" i="20"/>
  <c r="BL805" i="20"/>
  <c r="BL758" i="20"/>
  <c r="AF448" i="20"/>
  <c r="AE395" i="20"/>
  <c r="AE542" i="20"/>
  <c r="AE495" i="20"/>
  <c r="AD500" i="20"/>
  <c r="AD400" i="20"/>
  <c r="AE453" i="20"/>
  <c r="AD547" i="20"/>
  <c r="AC413" i="20"/>
  <c r="AD466" i="20"/>
  <c r="AC560" i="20"/>
  <c r="AC513" i="20"/>
  <c r="BJ825" i="20"/>
  <c r="BJ839" i="20" s="1"/>
  <c r="CA885" i="20"/>
  <c r="CB885" i="20" s="1"/>
  <c r="CB879" i="20"/>
  <c r="V518" i="20"/>
  <c r="W471" i="20"/>
  <c r="V418" i="20"/>
  <c r="V565" i="20"/>
  <c r="CR852" i="20"/>
  <c r="CT852" i="20" s="1"/>
  <c r="CS850" i="20"/>
  <c r="AB91" i="20"/>
  <c r="BM681" i="20" s="1"/>
  <c r="V18" i="19"/>
  <c r="E223" i="21"/>
  <c r="G223" i="21" s="1"/>
  <c r="T227" i="20"/>
  <c r="E227" i="21" s="1"/>
  <c r="G227" i="21" s="1"/>
  <c r="AC510" i="20"/>
  <c r="AC410" i="20"/>
  <c r="AC30" i="20" s="1"/>
  <c r="AC91" i="20" s="1"/>
  <c r="AC557" i="20"/>
  <c r="AD463" i="20"/>
  <c r="AC512" i="20"/>
  <c r="AC559" i="20"/>
  <c r="AC412" i="20"/>
  <c r="AC31" i="20" s="1"/>
  <c r="AD465" i="20"/>
  <c r="BL594" i="20"/>
  <c r="BL773" i="20" s="1"/>
  <c r="BL856" i="20" s="1"/>
  <c r="AA144" i="20"/>
  <c r="BL624" i="20"/>
  <c r="BL775" i="20" s="1"/>
  <c r="BL858" i="20" s="1"/>
  <c r="AA146" i="20"/>
  <c r="BK589" i="20"/>
  <c r="AE440" i="20"/>
  <c r="AD534" i="20"/>
  <c r="AD487" i="20"/>
  <c r="AD387" i="20"/>
  <c r="BK747" i="20"/>
  <c r="BK719" i="20"/>
  <c r="AD486" i="20"/>
  <c r="AD386" i="20"/>
  <c r="AD71" i="20" s="1"/>
  <c r="AD533" i="20"/>
  <c r="AE439" i="20"/>
  <c r="BL816" i="20"/>
  <c r="BL879" i="20" s="1"/>
  <c r="BL608" i="20"/>
  <c r="BL716" i="20"/>
  <c r="CQ852" i="20"/>
  <c r="BM670" i="20"/>
  <c r="BM804" i="20" s="1"/>
  <c r="AB175" i="20"/>
  <c r="AB40" i="20"/>
  <c r="AB23" i="20"/>
  <c r="AB44" i="20"/>
  <c r="AB21" i="20"/>
  <c r="BM661" i="20"/>
  <c r="AB544" i="20"/>
  <c r="AB397" i="20"/>
  <c r="AC450" i="20"/>
  <c r="AB497" i="20"/>
  <c r="AA93" i="20"/>
  <c r="BL683" i="20" s="1"/>
  <c r="AB92" i="20"/>
  <c r="BM682" i="20" s="1"/>
  <c r="BL882" i="20"/>
  <c r="X191" i="20"/>
  <c r="BM836" i="20"/>
  <c r="BM894" i="20" s="1"/>
  <c r="Y185" i="20"/>
  <c r="AF325" i="20"/>
  <c r="AF341" i="20" s="1"/>
  <c r="BR783" i="20"/>
  <c r="AF375" i="20"/>
  <c r="AF381" i="20" s="1"/>
  <c r="AF51" i="20" s="1"/>
  <c r="BQ635" i="20" s="1"/>
  <c r="Y165" i="20"/>
  <c r="BH896" i="20"/>
  <c r="AH942" i="20"/>
  <c r="BN707" i="20"/>
  <c r="Y190" i="20"/>
  <c r="BJ867" i="20"/>
  <c r="AH373" i="20"/>
  <c r="AG374" i="20"/>
  <c r="AH377" i="20"/>
  <c r="AI371" i="20"/>
  <c r="AH354" i="20"/>
  <c r="AH355" i="20" s="1"/>
  <c r="AI361" i="20"/>
  <c r="AI353" i="20"/>
  <c r="AI357" i="20"/>
  <c r="DV865" i="20"/>
  <c r="DV893" i="20"/>
  <c r="BT696" i="20"/>
  <c r="DV846" i="20"/>
  <c r="BT763" i="20"/>
  <c r="AH337" i="20"/>
  <c r="AH333" i="20"/>
  <c r="AG334" i="20"/>
  <c r="AG335" i="20" s="1"/>
  <c r="BK630" i="20"/>
  <c r="Z164" i="20"/>
  <c r="AA47" i="20"/>
  <c r="AG432" i="20"/>
  <c r="AH479" i="20"/>
  <c r="E150" i="21"/>
  <c r="G150" i="21" s="1"/>
  <c r="BE740" i="20"/>
  <c r="BO648" i="20"/>
  <c r="AD219" i="20"/>
  <c r="AE60" i="20"/>
  <c r="BI814" i="20"/>
  <c r="BI877" i="20"/>
  <c r="BI794" i="20"/>
  <c r="Z189" i="20"/>
  <c r="BK612" i="20"/>
  <c r="AA32" i="20"/>
  <c r="AA68" i="20"/>
  <c r="BK656" i="20"/>
  <c r="BJ815" i="20"/>
  <c r="BJ601" i="20"/>
  <c r="AG429" i="20"/>
  <c r="AH476" i="20"/>
  <c r="AG570" i="20"/>
  <c r="AG523" i="20"/>
  <c r="BJ638" i="20"/>
  <c r="BJ795" i="20"/>
  <c r="I64" i="21"/>
  <c r="L64" i="21"/>
  <c r="J64" i="21"/>
  <c r="G64" i="21"/>
  <c r="P64" i="21"/>
  <c r="M64" i="21"/>
  <c r="N64" i="21"/>
  <c r="R64" i="21"/>
  <c r="H64" i="21"/>
  <c r="O64" i="21"/>
  <c r="K64" i="21"/>
  <c r="Q64" i="21"/>
  <c r="BL894" i="20"/>
  <c r="BL838" i="20"/>
  <c r="BJ676" i="20"/>
  <c r="BJ803" i="20"/>
  <c r="BP657" i="20"/>
  <c r="AF69" i="20"/>
  <c r="BJ756" i="20"/>
  <c r="BJ597" i="20"/>
  <c r="BJ755" i="20"/>
  <c r="BJ812" i="20"/>
  <c r="AI522" i="20"/>
  <c r="AI569" i="20"/>
  <c r="AI475" i="20"/>
  <c r="Y179" i="20"/>
  <c r="Y180" i="20" s="1"/>
  <c r="BJ667" i="20"/>
  <c r="BJ808" i="20" s="1"/>
  <c r="AG524" i="20"/>
  <c r="AG430" i="20"/>
  <c r="AG571" i="20"/>
  <c r="AH477" i="20"/>
  <c r="AA80" i="20"/>
  <c r="BK669" i="20"/>
  <c r="CU857" i="20" s="1"/>
  <c r="CV857" i="20" s="1"/>
  <c r="Z162" i="20"/>
  <c r="BK628" i="20"/>
  <c r="BK791" i="20" s="1"/>
  <c r="BK868" i="20" s="1"/>
  <c r="AA45" i="20"/>
  <c r="BK640" i="20"/>
  <c r="BK798" i="20" s="1"/>
  <c r="BK874" i="20" s="1"/>
  <c r="Z169" i="20"/>
  <c r="AA55" i="20"/>
  <c r="BK599" i="20"/>
  <c r="AA27" i="20"/>
  <c r="Z186" i="20"/>
  <c r="BI809" i="20"/>
  <c r="BO649" i="20"/>
  <c r="AE61" i="20"/>
  <c r="AD220" i="20"/>
  <c r="CL876" i="20"/>
  <c r="CN876" i="20" s="1"/>
  <c r="Z184" i="20"/>
  <c r="AA25" i="20"/>
  <c r="BK596" i="20"/>
  <c r="BK813" i="20" s="1"/>
  <c r="BK878" i="20" s="1"/>
  <c r="E67" i="21"/>
  <c r="G82" i="22"/>
  <c r="BI819" i="20"/>
  <c r="CO871" i="20"/>
  <c r="BK668" i="20"/>
  <c r="Z174" i="20"/>
  <c r="AA79" i="20"/>
  <c r="BE738" i="20"/>
  <c r="CC869" i="20"/>
  <c r="CD869" i="20" s="1"/>
  <c r="BK595" i="20"/>
  <c r="Z183" i="20"/>
  <c r="AA24" i="20"/>
  <c r="AH363" i="20"/>
  <c r="BS783" i="20" s="1"/>
  <c r="AH367" i="20"/>
  <c r="AG364" i="20"/>
  <c r="AG365" i="20" s="1"/>
  <c r="AI485" i="20"/>
  <c r="AI532" i="20"/>
  <c r="AI438" i="20"/>
  <c r="AI247" i="20"/>
  <c r="AA423" i="20"/>
  <c r="Z425" i="20"/>
  <c r="Z78" i="20" s="1"/>
  <c r="AF340" i="20"/>
  <c r="CR875" i="20"/>
  <c r="R19" i="19"/>
  <c r="CQ871" i="20"/>
  <c r="AF66" i="20"/>
  <c r="AE224" i="20"/>
  <c r="BP654" i="20"/>
  <c r="BJ631" i="20"/>
  <c r="BJ793" i="20"/>
  <c r="BJ870" i="20" s="1"/>
  <c r="AB261" i="20"/>
  <c r="AA262" i="20"/>
  <c r="Z50" i="20"/>
  <c r="AA265" i="20"/>
  <c r="Z167" i="20"/>
  <c r="AA53" i="20"/>
  <c r="BK637" i="20"/>
  <c r="BK796" i="20" s="1"/>
  <c r="BK872" i="20" s="1"/>
  <c r="BI801" i="20"/>
  <c r="BI871" i="20"/>
  <c r="AC207" i="20"/>
  <c r="AC209" i="20" s="1"/>
  <c r="BN836" i="20"/>
  <c r="BK639" i="20"/>
  <c r="BK797" i="20" s="1"/>
  <c r="BK873" i="20" s="1"/>
  <c r="Z347" i="20"/>
  <c r="AA54" i="20"/>
  <c r="Z168" i="20"/>
  <c r="BK642" i="20"/>
  <c r="BK800" i="20" s="1"/>
  <c r="BK876" i="20" s="1"/>
  <c r="Z171" i="20"/>
  <c r="AA57" i="20"/>
  <c r="BJ818" i="20"/>
  <c r="BJ881" i="20" s="1"/>
  <c r="BJ614" i="20"/>
  <c r="CO856" i="20"/>
  <c r="CP856" i="20" s="1"/>
  <c r="Z166" i="20"/>
  <c r="AA52" i="20"/>
  <c r="BK636" i="20"/>
  <c r="BJ799" i="20"/>
  <c r="BJ875" i="20" s="1"/>
  <c r="BJ644" i="20"/>
  <c r="U229" i="20"/>
  <c r="U223" i="20"/>
  <c r="BF651" i="20"/>
  <c r="AC11" i="19"/>
  <c r="AB96" i="19" s="1"/>
  <c r="BS789" i="20"/>
  <c r="AA43" i="20"/>
  <c r="Z161" i="20"/>
  <c r="BK626" i="20"/>
  <c r="BK790" i="20" s="1"/>
  <c r="AI313" i="20"/>
  <c r="AI321" i="20"/>
  <c r="AI331" i="20"/>
  <c r="AI317" i="20"/>
  <c r="AH314" i="20"/>
  <c r="AH327" i="20"/>
  <c r="AG324" i="20"/>
  <c r="AH323" i="20"/>
  <c r="CR890" i="20"/>
  <c r="CL874" i="20"/>
  <c r="CN874" i="20" s="1"/>
  <c r="BI645" i="20"/>
  <c r="BI706" i="20" s="1"/>
  <c r="BH820" i="20"/>
  <c r="BO615" i="20"/>
  <c r="BO702" i="20" s="1"/>
  <c r="AE33" i="20"/>
  <c r="C157" i="21"/>
  <c r="N211" i="20"/>
  <c r="Y172" i="20"/>
  <c r="AA56" i="20"/>
  <c r="BK641" i="20"/>
  <c r="Z170" i="20"/>
  <c r="U222" i="20"/>
  <c r="BF650" i="20"/>
  <c r="AI271" i="20"/>
  <c r="AI272" i="20" s="1"/>
  <c r="AH272" i="20"/>
  <c r="AB37" i="20"/>
  <c r="BM620" i="20" s="1"/>
  <c r="AB251" i="20"/>
  <c r="BL633" i="20"/>
  <c r="DR884" i="20"/>
  <c r="AA27" i="19"/>
  <c r="BR653" i="20"/>
  <c r="AG228" i="20"/>
  <c r="AH65" i="20"/>
  <c r="AG276" i="20"/>
  <c r="AF305" i="20"/>
  <c r="AG159" i="20"/>
  <c r="BR788" i="20"/>
  <c r="DP884" i="20" s="1"/>
  <c r="C389" i="56"/>
  <c r="C28" i="56"/>
  <c r="C390" i="57"/>
  <c r="C28" i="57"/>
  <c r="C751" i="57"/>
  <c r="O44" i="16"/>
  <c r="J47" i="16"/>
  <c r="H227" i="21" l="1"/>
  <c r="BM717" i="20"/>
  <c r="BN680" i="20"/>
  <c r="BN824" i="20" s="1"/>
  <c r="BN883" i="20" s="1"/>
  <c r="BK593" i="20"/>
  <c r="BK699" i="20" s="1"/>
  <c r="CW857" i="20"/>
  <c r="BI729" i="20"/>
  <c r="BM817" i="20"/>
  <c r="BM880" i="20" s="1"/>
  <c r="BE709" i="20"/>
  <c r="BE710" i="20" s="1"/>
  <c r="BL767" i="20"/>
  <c r="AD277" i="20"/>
  <c r="AC278" i="20"/>
  <c r="AB389" i="20"/>
  <c r="AB536" i="20"/>
  <c r="AC442" i="20"/>
  <c r="AB489" i="20"/>
  <c r="AC252" i="20"/>
  <c r="AD252" i="20" s="1"/>
  <c r="AE252" i="20" s="1"/>
  <c r="AF252" i="20" s="1"/>
  <c r="AG252" i="20" s="1"/>
  <c r="AH252" i="20" s="1"/>
  <c r="AI252" i="20" s="1"/>
  <c r="AB253" i="20"/>
  <c r="CT875" i="20"/>
  <c r="CQ856" i="20"/>
  <c r="CZ853" i="20"/>
  <c r="DC851" i="20"/>
  <c r="AF469" i="20"/>
  <c r="AE516" i="20"/>
  <c r="AE416" i="20"/>
  <c r="AE563" i="20"/>
  <c r="AE503" i="20"/>
  <c r="AF456" i="20"/>
  <c r="AE403" i="20"/>
  <c r="AE550" i="20"/>
  <c r="AE561" i="20"/>
  <c r="AE514" i="20"/>
  <c r="AF467" i="20"/>
  <c r="AE414" i="20"/>
  <c r="AE506" i="20"/>
  <c r="AE406" i="20"/>
  <c r="AF459" i="20"/>
  <c r="AE553" i="20"/>
  <c r="CZ849" i="20"/>
  <c r="AE405" i="20"/>
  <c r="AE552" i="20"/>
  <c r="AF458" i="20"/>
  <c r="AE505" i="20"/>
  <c r="AE564" i="20"/>
  <c r="AE417" i="20"/>
  <c r="AF470" i="20"/>
  <c r="AE517" i="20"/>
  <c r="BL730" i="20"/>
  <c r="CX901" i="20" s="1"/>
  <c r="BJ699" i="20"/>
  <c r="BJ726" i="20"/>
  <c r="BJ728" i="20" s="1"/>
  <c r="BJ727" i="20"/>
  <c r="CR900" i="20" s="1"/>
  <c r="AC92" i="20"/>
  <c r="BN682" i="20" s="1"/>
  <c r="BK825" i="20"/>
  <c r="BK839" i="20" s="1"/>
  <c r="AD90" i="20"/>
  <c r="BO680" i="20" s="1"/>
  <c r="BL589" i="20"/>
  <c r="BL698" i="20" s="1"/>
  <c r="BM605" i="20"/>
  <c r="BM701" i="20" s="1"/>
  <c r="BM684" i="20"/>
  <c r="BN681" i="20"/>
  <c r="BM627" i="20"/>
  <c r="BM777" i="20" s="1"/>
  <c r="BM860" i="20" s="1"/>
  <c r="AB148" i="20"/>
  <c r="BK698" i="20"/>
  <c r="BK725" i="20"/>
  <c r="AF395" i="20"/>
  <c r="AF495" i="20"/>
  <c r="AF542" i="20"/>
  <c r="AG448" i="20"/>
  <c r="AB137" i="20"/>
  <c r="AB138" i="20" s="1"/>
  <c r="BM588" i="20"/>
  <c r="BM822" i="20" s="1"/>
  <c r="BM853" i="20" s="1"/>
  <c r="AB193" i="20"/>
  <c r="W12" i="19"/>
  <c r="DB851" i="20"/>
  <c r="DB848" i="20"/>
  <c r="AB188" i="20"/>
  <c r="CM870" i="20"/>
  <c r="CM876" i="20"/>
  <c r="CM871" i="20"/>
  <c r="CM884" i="20"/>
  <c r="CM867" i="20"/>
  <c r="CM882" i="20"/>
  <c r="CM890" i="20"/>
  <c r="CM874" i="20"/>
  <c r="CM875" i="20"/>
  <c r="W18" i="19"/>
  <c r="AC46" i="20"/>
  <c r="AC41" i="20"/>
  <c r="BN663" i="20"/>
  <c r="DD851" i="20" s="1"/>
  <c r="AB146" i="20"/>
  <c r="BM624" i="20"/>
  <c r="BM775" i="20" s="1"/>
  <c r="BM858" i="20" s="1"/>
  <c r="AG457" i="20"/>
  <c r="AF504" i="20"/>
  <c r="AF551" i="20"/>
  <c r="AF404" i="20"/>
  <c r="BN603" i="20"/>
  <c r="BN821" i="20" s="1"/>
  <c r="AC192" i="20"/>
  <c r="CA887" i="20"/>
  <c r="CB887" i="20" s="1"/>
  <c r="BL747" i="20"/>
  <c r="BL719" i="20"/>
  <c r="BM594" i="20"/>
  <c r="BM773" i="20" s="1"/>
  <c r="BM856" i="20" s="1"/>
  <c r="AB144" i="20"/>
  <c r="AD42" i="20"/>
  <c r="BO625" i="20" s="1"/>
  <c r="AD83" i="20"/>
  <c r="BO660" i="20"/>
  <c r="AD923" i="20"/>
  <c r="AD86" i="20"/>
  <c r="BO675" i="20" s="1"/>
  <c r="AD85" i="20"/>
  <c r="BO674" i="20" s="1"/>
  <c r="AD82" i="20"/>
  <c r="AD72" i="20"/>
  <c r="AD73" i="20" s="1"/>
  <c r="AD81" i="20"/>
  <c r="AD74" i="20"/>
  <c r="AD84" i="20"/>
  <c r="AD19" i="20"/>
  <c r="AD559" i="20"/>
  <c r="AE465" i="20"/>
  <c r="AD512" i="20"/>
  <c r="AD412" i="20"/>
  <c r="AD31" i="20" s="1"/>
  <c r="AE463" i="20"/>
  <c r="AD510" i="20"/>
  <c r="AD410" i="20"/>
  <c r="AD30" i="20" s="1"/>
  <c r="AD91" i="20" s="1"/>
  <c r="BO681" i="20" s="1"/>
  <c r="AD557" i="20"/>
  <c r="BM816" i="20"/>
  <c r="BM879" i="20" s="1"/>
  <c r="DA853" i="20"/>
  <c r="DC853" i="20" s="1"/>
  <c r="BM824" i="20"/>
  <c r="BM883" i="20" s="1"/>
  <c r="BM766" i="20"/>
  <c r="BM771" i="20"/>
  <c r="BM852" i="20" s="1"/>
  <c r="DC848" i="20"/>
  <c r="W13" i="19" s="1"/>
  <c r="AF464" i="20"/>
  <c r="AE411" i="20"/>
  <c r="AE558" i="20"/>
  <c r="AE511" i="20"/>
  <c r="AF462" i="20"/>
  <c r="AE409" i="20"/>
  <c r="AE509" i="20"/>
  <c r="AE556" i="20"/>
  <c r="BL591" i="20"/>
  <c r="BL823" i="20" s="1"/>
  <c r="AA194" i="20"/>
  <c r="AA196" i="20" s="1"/>
  <c r="AA210" i="20" s="1"/>
  <c r="AE455" i="20"/>
  <c r="AD549" i="20"/>
  <c r="AD502" i="20"/>
  <c r="AD402" i="20"/>
  <c r="T231" i="20"/>
  <c r="S14" i="19"/>
  <c r="CO867" i="20"/>
  <c r="CP854" i="20"/>
  <c r="S15" i="19" s="1"/>
  <c r="AB187" i="20"/>
  <c r="BN672" i="20"/>
  <c r="BN806" i="20" s="1"/>
  <c r="AC177" i="20"/>
  <c r="AC175" i="20"/>
  <c r="BN670" i="20"/>
  <c r="BN804" i="20" s="1"/>
  <c r="BN671" i="20"/>
  <c r="AC176" i="20"/>
  <c r="BN685" i="20"/>
  <c r="BN811" i="20" s="1"/>
  <c r="DD870" i="20" s="1"/>
  <c r="DF870" i="20" s="1"/>
  <c r="AF468" i="20"/>
  <c r="AE562" i="20"/>
  <c r="AE515" i="20"/>
  <c r="AE415" i="20"/>
  <c r="AE396" i="20"/>
  <c r="AF449" i="20"/>
  <c r="AE496" i="20"/>
  <c r="AE543" i="20"/>
  <c r="BM882" i="20"/>
  <c r="DA849" i="20"/>
  <c r="AB145" i="20"/>
  <c r="BM623" i="20"/>
  <c r="BM774" i="20" s="1"/>
  <c r="BM857" i="20" s="1"/>
  <c r="BN609" i="20"/>
  <c r="AE400" i="20"/>
  <c r="AE500" i="20"/>
  <c r="AF453" i="20"/>
  <c r="AE547" i="20"/>
  <c r="BM662" i="20"/>
  <c r="CU852" i="20"/>
  <c r="CW852" i="20" s="1"/>
  <c r="CV850" i="20"/>
  <c r="BL772" i="20"/>
  <c r="BL854" i="20" s="1"/>
  <c r="AE392" i="20"/>
  <c r="AE539" i="20"/>
  <c r="AE492" i="20"/>
  <c r="AF445" i="20"/>
  <c r="BO602" i="20"/>
  <c r="AD95" i="20"/>
  <c r="AD182" i="20" s="1"/>
  <c r="CR899" i="20"/>
  <c r="AF548" i="20"/>
  <c r="AG454" i="20"/>
  <c r="AF501" i="20"/>
  <c r="AF401" i="20"/>
  <c r="BN713" i="20"/>
  <c r="DD848" i="20"/>
  <c r="BN673" i="20"/>
  <c r="BN807" i="20" s="1"/>
  <c r="AC178" i="20"/>
  <c r="AF441" i="20"/>
  <c r="AE535" i="20"/>
  <c r="AE488" i="20"/>
  <c r="AE388" i="20"/>
  <c r="BM629" i="20"/>
  <c r="BM792" i="20" s="1"/>
  <c r="BM869" i="20" s="1"/>
  <c r="AB163" i="20"/>
  <c r="CN867" i="20"/>
  <c r="AE461" i="20"/>
  <c r="AD408" i="20"/>
  <c r="AD29" i="20" s="1"/>
  <c r="AD555" i="20"/>
  <c r="AD508" i="20"/>
  <c r="AE493" i="20"/>
  <c r="AF446" i="20"/>
  <c r="AE540" i="20"/>
  <c r="AE393" i="20"/>
  <c r="AB93" i="20"/>
  <c r="BM683" i="20" s="1"/>
  <c r="AC497" i="20"/>
  <c r="AC397" i="20"/>
  <c r="AC544" i="20"/>
  <c r="AD450" i="20"/>
  <c r="AB143" i="20"/>
  <c r="AB22" i="20"/>
  <c r="BM590" i="20"/>
  <c r="AE486" i="20"/>
  <c r="AF439" i="20"/>
  <c r="AE533" i="20"/>
  <c r="AE386" i="20"/>
  <c r="AE71" i="20" s="1"/>
  <c r="AE487" i="20"/>
  <c r="AE534" i="20"/>
  <c r="AE387" i="20"/>
  <c r="AF440" i="20"/>
  <c r="BN606" i="20"/>
  <c r="AC187" i="20"/>
  <c r="DC870" i="20"/>
  <c r="CR854" i="20"/>
  <c r="CT854" i="20" s="1"/>
  <c r="CS852" i="20"/>
  <c r="W518" i="20"/>
  <c r="X471" i="20"/>
  <c r="W418" i="20"/>
  <c r="W565" i="20"/>
  <c r="AD413" i="20"/>
  <c r="AD513" i="20"/>
  <c r="AD560" i="20"/>
  <c r="AE466" i="20"/>
  <c r="AF444" i="20"/>
  <c r="AE391" i="20"/>
  <c r="AE491" i="20"/>
  <c r="AE538" i="20"/>
  <c r="CX850" i="20"/>
  <c r="AE407" i="20"/>
  <c r="AE28" i="20" s="1"/>
  <c r="AE554" i="20"/>
  <c r="AF460" i="20"/>
  <c r="AE507" i="20"/>
  <c r="BM805" i="20"/>
  <c r="BM758" i="20"/>
  <c r="AC75" i="20"/>
  <c r="AC142" i="20"/>
  <c r="BN587" i="20"/>
  <c r="BN724" i="20" s="1"/>
  <c r="AC20" i="20"/>
  <c r="AC44" i="20"/>
  <c r="AC21" i="20"/>
  <c r="BN661" i="20"/>
  <c r="BN662" i="20" s="1"/>
  <c r="AC40" i="20"/>
  <c r="AC23" i="20"/>
  <c r="AC94" i="20"/>
  <c r="AE394" i="20"/>
  <c r="AE494" i="20"/>
  <c r="AE541" i="20"/>
  <c r="AF447" i="20"/>
  <c r="CT890" i="20"/>
  <c r="Y191" i="20"/>
  <c r="BM838" i="20"/>
  <c r="BJ645" i="20"/>
  <c r="BJ706" i="20" s="1"/>
  <c r="Z185" i="20"/>
  <c r="BI896" i="20"/>
  <c r="Z190" i="20"/>
  <c r="AG375" i="20"/>
  <c r="AG381" i="20" s="1"/>
  <c r="AG51" i="20" s="1"/>
  <c r="BR635" i="20" s="1"/>
  <c r="AH382" i="20"/>
  <c r="BJ809" i="20"/>
  <c r="CR856" i="20"/>
  <c r="CT856" i="20" s="1"/>
  <c r="AH342" i="20"/>
  <c r="Z165" i="20"/>
  <c r="BK644" i="20"/>
  <c r="BK799" i="20"/>
  <c r="BK875" i="20" s="1"/>
  <c r="BL626" i="20"/>
  <c r="BL790" i="20" s="1"/>
  <c r="AB43" i="20"/>
  <c r="AA161" i="20"/>
  <c r="CO874" i="20"/>
  <c r="CQ874" i="20" s="1"/>
  <c r="BM782" i="20"/>
  <c r="DA882" i="20" s="1"/>
  <c r="DF882" i="20" s="1"/>
  <c r="AB153" i="20"/>
  <c r="Z179" i="20"/>
  <c r="Z180" i="20" s="1"/>
  <c r="BK667" i="20"/>
  <c r="BK808" i="20" s="1"/>
  <c r="CC872" i="20"/>
  <c r="O16" i="19"/>
  <c r="BK815" i="20"/>
  <c r="BK601" i="20"/>
  <c r="CU875" i="20"/>
  <c r="K225" i="21"/>
  <c r="L227" i="21" s="1"/>
  <c r="K67" i="21"/>
  <c r="L229" i="21"/>
  <c r="N225" i="21"/>
  <c r="O227" i="21" s="1"/>
  <c r="O229" i="21"/>
  <c r="N67" i="21"/>
  <c r="J225" i="21"/>
  <c r="K227" i="21" s="1"/>
  <c r="J67" i="21"/>
  <c r="K229" i="21"/>
  <c r="AH523" i="20"/>
  <c r="AH429" i="20"/>
  <c r="AI476" i="20"/>
  <c r="AH570" i="20"/>
  <c r="AF60" i="20"/>
  <c r="AE219" i="20"/>
  <c r="BP648" i="20"/>
  <c r="BL630" i="20"/>
  <c r="AA164" i="20"/>
  <c r="AB47" i="20"/>
  <c r="AB56" i="20"/>
  <c r="AA170" i="20"/>
  <c r="BL641" i="20"/>
  <c r="AF33" i="20"/>
  <c r="BP615" i="20"/>
  <c r="BP702" i="20" s="1"/>
  <c r="R22" i="19"/>
  <c r="U227" i="20"/>
  <c r="BK638" i="20"/>
  <c r="BK795" i="20"/>
  <c r="BQ654" i="20"/>
  <c r="AG66" i="20"/>
  <c r="AF224" i="20"/>
  <c r="AB423" i="20"/>
  <c r="AA425" i="20"/>
  <c r="AA78" i="20" s="1"/>
  <c r="BK756" i="20"/>
  <c r="BK597" i="20"/>
  <c r="BK812" i="20"/>
  <c r="BK755" i="20"/>
  <c r="BK803" i="20"/>
  <c r="BK676" i="20"/>
  <c r="R21" i="19"/>
  <c r="AB55" i="20"/>
  <c r="BL640" i="20"/>
  <c r="BL798" i="20" s="1"/>
  <c r="BL874" i="20" s="1"/>
  <c r="AA169" i="20"/>
  <c r="AA162" i="20"/>
  <c r="BL628" i="20"/>
  <c r="BL791" i="20" s="1"/>
  <c r="BL868" i="20" s="1"/>
  <c r="AB45" i="20"/>
  <c r="BL669" i="20"/>
  <c r="CX857" i="20" s="1"/>
  <c r="CY857" i="20" s="1"/>
  <c r="AB80" i="20"/>
  <c r="AG380" i="20"/>
  <c r="AG39" i="20" s="1"/>
  <c r="BR622" i="20" s="1"/>
  <c r="P229" i="21"/>
  <c r="O67" i="21"/>
  <c r="O225" i="21"/>
  <c r="P227" i="21" s="1"/>
  <c r="M67" i="21"/>
  <c r="N229" i="21"/>
  <c r="M225" i="21"/>
  <c r="N227" i="21" s="1"/>
  <c r="L225" i="21"/>
  <c r="M227" i="21" s="1"/>
  <c r="M229" i="21"/>
  <c r="L67" i="21"/>
  <c r="AB68" i="20"/>
  <c r="BL656" i="20"/>
  <c r="CO876" i="20"/>
  <c r="CQ876" i="20" s="1"/>
  <c r="AD221" i="20"/>
  <c r="AD230" i="20" s="1"/>
  <c r="AI367" i="20"/>
  <c r="AI363" i="20"/>
  <c r="AH364" i="20"/>
  <c r="AH365" i="20" s="1"/>
  <c r="AI365" i="20"/>
  <c r="AG340" i="20"/>
  <c r="AI333" i="20"/>
  <c r="AI337" i="20"/>
  <c r="AH334" i="20"/>
  <c r="AH335" i="20" s="1"/>
  <c r="AI335" i="20" s="1"/>
  <c r="BK867" i="20"/>
  <c r="AA166" i="20"/>
  <c r="BL636" i="20"/>
  <c r="AB52" i="20"/>
  <c r="BN894" i="20"/>
  <c r="BN838" i="20"/>
  <c r="BK634" i="20"/>
  <c r="Z58" i="20"/>
  <c r="AG325" i="20"/>
  <c r="AG341" i="20" s="1"/>
  <c r="CT871" i="20"/>
  <c r="S19" i="19"/>
  <c r="AH430" i="20"/>
  <c r="AI477" i="20"/>
  <c r="AH571" i="20"/>
  <c r="AH524" i="20"/>
  <c r="BJ877" i="20"/>
  <c r="BJ814" i="20"/>
  <c r="BQ657" i="20"/>
  <c r="AG69" i="20"/>
  <c r="I229" i="21"/>
  <c r="H67" i="21"/>
  <c r="H225" i="21"/>
  <c r="I227" i="21" s="1"/>
  <c r="P225" i="21"/>
  <c r="Q227" i="21" s="1"/>
  <c r="P67" i="21"/>
  <c r="Q229" i="21"/>
  <c r="I67" i="21"/>
  <c r="I225" i="21"/>
  <c r="J227" i="21" s="1"/>
  <c r="J229" i="21"/>
  <c r="BL612" i="20"/>
  <c r="AB32" i="20"/>
  <c r="AA189" i="20"/>
  <c r="BO707" i="20"/>
  <c r="AI479" i="20"/>
  <c r="AI432" i="20" s="1"/>
  <c r="AH432" i="20"/>
  <c r="BK631" i="20"/>
  <c r="BK793" i="20"/>
  <c r="BK870" i="20" s="1"/>
  <c r="AD11" i="19"/>
  <c r="AC96" i="19" s="1"/>
  <c r="BT789" i="20"/>
  <c r="AI355" i="20"/>
  <c r="C211" i="21"/>
  <c r="N213" i="20"/>
  <c r="C213" i="21" s="1"/>
  <c r="AI323" i="20"/>
  <c r="AI327" i="20"/>
  <c r="AH324" i="20"/>
  <c r="Z172" i="20"/>
  <c r="AB57" i="20"/>
  <c r="AA171" i="20"/>
  <c r="BL642" i="20"/>
  <c r="BL800" i="20" s="1"/>
  <c r="BL876" i="20" s="1"/>
  <c r="BL639" i="20"/>
  <c r="BL797" i="20" s="1"/>
  <c r="BL873" i="20" s="1"/>
  <c r="AA347" i="20"/>
  <c r="AA168" i="20"/>
  <c r="AB54" i="20"/>
  <c r="AB53" i="20"/>
  <c r="BL637" i="20"/>
  <c r="BL796" i="20" s="1"/>
  <c r="BL872" i="20" s="1"/>
  <c r="AA167" i="20"/>
  <c r="AA38" i="20"/>
  <c r="BL621" i="20" s="1"/>
  <c r="AA263" i="20"/>
  <c r="AH315" i="20"/>
  <c r="BL595" i="20"/>
  <c r="AA183" i="20"/>
  <c r="AB24" i="20"/>
  <c r="AB79" i="20"/>
  <c r="BL668" i="20"/>
  <c r="AA174" i="20"/>
  <c r="BL596" i="20"/>
  <c r="BL813" i="20" s="1"/>
  <c r="BL878" i="20" s="1"/>
  <c r="AA184" i="20"/>
  <c r="AB25" i="20"/>
  <c r="AF61" i="20"/>
  <c r="BP649" i="20"/>
  <c r="AE220" i="20"/>
  <c r="AB27" i="20"/>
  <c r="BL599" i="20"/>
  <c r="AA186" i="20"/>
  <c r="R229" i="21"/>
  <c r="Q225" i="21"/>
  <c r="R227" i="21" s="1"/>
  <c r="Q67" i="21"/>
  <c r="R225" i="21"/>
  <c r="R67" i="21"/>
  <c r="H229" i="21"/>
  <c r="H231" i="21" s="1"/>
  <c r="G67" i="21"/>
  <c r="BJ801" i="20"/>
  <c r="BJ871" i="20"/>
  <c r="BJ819" i="20"/>
  <c r="CR871" i="20"/>
  <c r="BK614" i="20"/>
  <c r="BK818" i="20"/>
  <c r="BK881" i="20" s="1"/>
  <c r="BI820" i="20"/>
  <c r="AI373" i="20"/>
  <c r="AH374" i="20"/>
  <c r="AH375" i="20" s="1"/>
  <c r="AI377" i="20"/>
  <c r="BJ794" i="20"/>
  <c r="AH159" i="20"/>
  <c r="BS788" i="20"/>
  <c r="DS884" i="20" s="1"/>
  <c r="AI65" i="20"/>
  <c r="BS653" i="20"/>
  <c r="AH228" i="20"/>
  <c r="AD249" i="20"/>
  <c r="AC250" i="20"/>
  <c r="AC251" i="20" s="1"/>
  <c r="AB49" i="20"/>
  <c r="DU884" i="20"/>
  <c r="AB27" i="19"/>
  <c r="AH276" i="20"/>
  <c r="AG305" i="20"/>
  <c r="AI159" i="20"/>
  <c r="BT788" i="20"/>
  <c r="C390" i="56"/>
  <c r="C29" i="56"/>
  <c r="C391" i="57"/>
  <c r="C29" i="57"/>
  <c r="C752" i="57"/>
  <c r="O47" i="16"/>
  <c r="J36" i="16"/>
  <c r="J50" i="16"/>
  <c r="J29" i="16"/>
  <c r="M251" i="16"/>
  <c r="M223" i="16" s="1"/>
  <c r="M35" i="16" s="1"/>
  <c r="M305" i="16"/>
  <c r="M278" i="16"/>
  <c r="BK726" i="20" l="1"/>
  <c r="BK728" i="20" s="1"/>
  <c r="AD92" i="20"/>
  <c r="BO682" i="20" s="1"/>
  <c r="BO766" i="20" s="1"/>
  <c r="BK727" i="20"/>
  <c r="CU900" i="20" s="1"/>
  <c r="AD195" i="20"/>
  <c r="AC253" i="20"/>
  <c r="BL593" i="20"/>
  <c r="BL699" i="20" s="1"/>
  <c r="AC188" i="20"/>
  <c r="DD853" i="20"/>
  <c r="DE853" i="20" s="1"/>
  <c r="BN766" i="20"/>
  <c r="BM589" i="20"/>
  <c r="BM698" i="20" s="1"/>
  <c r="AC137" i="20"/>
  <c r="CZ857" i="20"/>
  <c r="AC489" i="20"/>
  <c r="AC389" i="20"/>
  <c r="AD442" i="20"/>
  <c r="AC536" i="20"/>
  <c r="AE277" i="20"/>
  <c r="AD278" i="20"/>
  <c r="CW875" i="20"/>
  <c r="BN717" i="20"/>
  <c r="DF851" i="20"/>
  <c r="BJ729" i="20"/>
  <c r="AF564" i="20"/>
  <c r="AF517" i="20"/>
  <c r="AF417" i="20"/>
  <c r="AG470" i="20"/>
  <c r="AF505" i="20"/>
  <c r="AF552" i="20"/>
  <c r="AG458" i="20"/>
  <c r="AF405" i="20"/>
  <c r="DC849" i="20"/>
  <c r="AF416" i="20"/>
  <c r="AF563" i="20"/>
  <c r="AF516" i="20"/>
  <c r="AG469" i="20"/>
  <c r="AF553" i="20"/>
  <c r="AF506" i="20"/>
  <c r="AG459" i="20"/>
  <c r="AF406" i="20"/>
  <c r="AF561" i="20"/>
  <c r="AF514" i="20"/>
  <c r="AF414" i="20"/>
  <c r="AG467" i="20"/>
  <c r="AF550" i="20"/>
  <c r="AG456" i="20"/>
  <c r="AF403" i="20"/>
  <c r="AF503" i="20"/>
  <c r="BM730" i="20"/>
  <c r="DA901" i="20" s="1"/>
  <c r="BN605" i="20"/>
  <c r="BN701" i="20" s="1"/>
  <c r="AD75" i="20"/>
  <c r="BL725" i="20"/>
  <c r="CX899" i="20" s="1"/>
  <c r="BN684" i="20"/>
  <c r="AD137" i="20"/>
  <c r="BN664" i="20"/>
  <c r="BN716" i="20"/>
  <c r="AD192" i="20"/>
  <c r="BO603" i="20"/>
  <c r="BO821" i="20" s="1"/>
  <c r="BO882" i="20" s="1"/>
  <c r="AD94" i="20"/>
  <c r="AE923" i="20"/>
  <c r="AE74" i="20"/>
  <c r="AE72" i="20"/>
  <c r="AE73" i="20" s="1"/>
  <c r="AE86" i="20"/>
  <c r="BP675" i="20" s="1"/>
  <c r="AE84" i="20"/>
  <c r="AE81" i="20"/>
  <c r="AE42" i="20"/>
  <c r="BP625" i="20" s="1"/>
  <c r="BP660" i="20"/>
  <c r="AE83" i="20"/>
  <c r="AE82" i="20"/>
  <c r="AE85" i="20"/>
  <c r="BP674" i="20" s="1"/>
  <c r="AE19" i="20"/>
  <c r="AF393" i="20"/>
  <c r="AF540" i="20"/>
  <c r="AG446" i="20"/>
  <c r="AF493" i="20"/>
  <c r="BN817" i="20"/>
  <c r="BN880" i="20" s="1"/>
  <c r="BN611" i="20"/>
  <c r="CS856" i="20"/>
  <c r="AF541" i="20"/>
  <c r="AG447" i="20"/>
  <c r="AF394" i="20"/>
  <c r="AF494" i="20"/>
  <c r="BN590" i="20"/>
  <c r="AC143" i="20"/>
  <c r="AC22" i="20"/>
  <c r="CX852" i="20"/>
  <c r="CZ852" i="20" s="1"/>
  <c r="CY850" i="20"/>
  <c r="AG444" i="20"/>
  <c r="AF491" i="20"/>
  <c r="AF391" i="20"/>
  <c r="AF538" i="20"/>
  <c r="AB194" i="20"/>
  <c r="AB196" i="20" s="1"/>
  <c r="AB210" i="20" s="1"/>
  <c r="BM591" i="20"/>
  <c r="BM823" i="20" s="1"/>
  <c r="BM855" i="20" s="1"/>
  <c r="BM719" i="20"/>
  <c r="BM747" i="20"/>
  <c r="AF461" i="20"/>
  <c r="AE508" i="20"/>
  <c r="AE555" i="20"/>
  <c r="AE408" i="20"/>
  <c r="AE29" i="20" s="1"/>
  <c r="AH454" i="20"/>
  <c r="AG501" i="20"/>
  <c r="AG401" i="20"/>
  <c r="AG548" i="20"/>
  <c r="AF463" i="20"/>
  <c r="AE510" i="20"/>
  <c r="AE557" i="20"/>
  <c r="AE410" i="20"/>
  <c r="AE30" i="20" s="1"/>
  <c r="AE91" i="20" s="1"/>
  <c r="BP681" i="20" s="1"/>
  <c r="AD41" i="20"/>
  <c r="BO663" i="20"/>
  <c r="DG851" i="20" s="1"/>
  <c r="AD46" i="20"/>
  <c r="AD177" i="20"/>
  <c r="BO672" i="20"/>
  <c r="BO806" i="20" s="1"/>
  <c r="BN882" i="20"/>
  <c r="AG404" i="20"/>
  <c r="AG504" i="20"/>
  <c r="AG551" i="20"/>
  <c r="AH457" i="20"/>
  <c r="BO824" i="20"/>
  <c r="BO883" i="20" s="1"/>
  <c r="DB853" i="20"/>
  <c r="DD849" i="20"/>
  <c r="DF849" i="20" s="1"/>
  <c r="BN771" i="20"/>
  <c r="BN852" i="20" s="1"/>
  <c r="AF387" i="20"/>
  <c r="AF534" i="20"/>
  <c r="AG440" i="20"/>
  <c r="AF487" i="20"/>
  <c r="AG445" i="20"/>
  <c r="AF539" i="20"/>
  <c r="AF492" i="20"/>
  <c r="AF392" i="20"/>
  <c r="AF547" i="20"/>
  <c r="AF400" i="20"/>
  <c r="AF500" i="20"/>
  <c r="AG453" i="20"/>
  <c r="AG462" i="20"/>
  <c r="AF556" i="20"/>
  <c r="AF509" i="20"/>
  <c r="AF409" i="20"/>
  <c r="BO673" i="20"/>
  <c r="BO807" i="20" s="1"/>
  <c r="AD178" i="20"/>
  <c r="AC144" i="20"/>
  <c r="BN594" i="20"/>
  <c r="BN773" i="20" s="1"/>
  <c r="BN856" i="20" s="1"/>
  <c r="BN627" i="20"/>
  <c r="BN777" i="20" s="1"/>
  <c r="BN860" i="20" s="1"/>
  <c r="AC148" i="20"/>
  <c r="AC136" i="20"/>
  <c r="AC93" i="20"/>
  <c r="BN683" i="20" s="1"/>
  <c r="AF507" i="20"/>
  <c r="AF407" i="20"/>
  <c r="AF28" i="20" s="1"/>
  <c r="AG460" i="20"/>
  <c r="AF554" i="20"/>
  <c r="AF466" i="20"/>
  <c r="AE560" i="20"/>
  <c r="AE413" i="20"/>
  <c r="AE513" i="20"/>
  <c r="AF486" i="20"/>
  <c r="AF533" i="20"/>
  <c r="AG439" i="20"/>
  <c r="AF386" i="20"/>
  <c r="AF71" i="20" s="1"/>
  <c r="DE848" i="20"/>
  <c r="X12" i="19"/>
  <c r="DE851" i="20"/>
  <c r="BM664" i="20"/>
  <c r="BM716" i="20"/>
  <c r="AF543" i="20"/>
  <c r="AG449" i="20"/>
  <c r="AF496" i="20"/>
  <c r="AF396" i="20"/>
  <c r="X18" i="19"/>
  <c r="T233" i="20"/>
  <c r="E231" i="21"/>
  <c r="G231" i="21" s="1"/>
  <c r="T232" i="20"/>
  <c r="AE402" i="20"/>
  <c r="AE549" i="20"/>
  <c r="AE502" i="20"/>
  <c r="AF455" i="20"/>
  <c r="BO609" i="20"/>
  <c r="AD188" i="20"/>
  <c r="BO670" i="20"/>
  <c r="BO804" i="20" s="1"/>
  <c r="AD175" i="20"/>
  <c r="DF848" i="20"/>
  <c r="X13" i="19" s="1"/>
  <c r="DB849" i="20"/>
  <c r="AH448" i="20"/>
  <c r="AG542" i="20"/>
  <c r="AG495" i="20"/>
  <c r="AG395" i="20"/>
  <c r="CU899" i="20"/>
  <c r="BP602" i="20"/>
  <c r="AE95" i="20"/>
  <c r="AE182" i="20" s="1"/>
  <c r="Y471" i="20"/>
  <c r="X518" i="20"/>
  <c r="X418" i="20"/>
  <c r="X565" i="20"/>
  <c r="BM772" i="20"/>
  <c r="BM854" i="20" s="1"/>
  <c r="AG441" i="20"/>
  <c r="AF488" i="20"/>
  <c r="AF535" i="20"/>
  <c r="AF388" i="20"/>
  <c r="CU854" i="20"/>
  <c r="CW854" i="20" s="1"/>
  <c r="CV852" i="20"/>
  <c r="BN758" i="20"/>
  <c r="BN805" i="20"/>
  <c r="BL855" i="20"/>
  <c r="BL825" i="20"/>
  <c r="BL839" i="20" s="1"/>
  <c r="AF511" i="20"/>
  <c r="AG464" i="20"/>
  <c r="AF411" i="20"/>
  <c r="AF558" i="20"/>
  <c r="AE412" i="20"/>
  <c r="AE31" i="20" s="1"/>
  <c r="AF465" i="20"/>
  <c r="AE512" i="20"/>
  <c r="AE559" i="20"/>
  <c r="BO671" i="20"/>
  <c r="AD176" i="20"/>
  <c r="DG848" i="20"/>
  <c r="BO713" i="20"/>
  <c r="BO714" i="20" s="1"/>
  <c r="BN629" i="20"/>
  <c r="BN792" i="20" s="1"/>
  <c r="BN869" i="20" s="1"/>
  <c r="AC163" i="20"/>
  <c r="CE872" i="20"/>
  <c r="CD872" i="20"/>
  <c r="AC145" i="20"/>
  <c r="BN623" i="20"/>
  <c r="BN774" i="20" s="1"/>
  <c r="BN857" i="20" s="1"/>
  <c r="AC193" i="20"/>
  <c r="BN588" i="20"/>
  <c r="BN822" i="20" s="1"/>
  <c r="BN853" i="20" s="1"/>
  <c r="CS854" i="20"/>
  <c r="T15" i="19" s="1"/>
  <c r="CR867" i="20"/>
  <c r="CT867" i="20" s="1"/>
  <c r="T14" i="19"/>
  <c r="BN816" i="20"/>
  <c r="BN879" i="20" s="1"/>
  <c r="BN608" i="20"/>
  <c r="AD397" i="20"/>
  <c r="AD544" i="20"/>
  <c r="AD497" i="20"/>
  <c r="AE450" i="20"/>
  <c r="BO685" i="20"/>
  <c r="BO811" i="20" s="1"/>
  <c r="DG870" i="20" s="1"/>
  <c r="DI870" i="20" s="1"/>
  <c r="BO605" i="20"/>
  <c r="BO701" i="20" s="1"/>
  <c r="BO684" i="20"/>
  <c r="CZ850" i="20"/>
  <c r="AG468" i="20"/>
  <c r="AF415" i="20"/>
  <c r="AF562" i="20"/>
  <c r="AF515" i="20"/>
  <c r="CP867" i="20"/>
  <c r="CP875" i="20"/>
  <c r="CP882" i="20"/>
  <c r="CP870" i="20"/>
  <c r="CP884" i="20"/>
  <c r="CP871" i="20"/>
  <c r="CP876" i="20"/>
  <c r="CP890" i="20"/>
  <c r="CP874" i="20"/>
  <c r="AE90" i="20"/>
  <c r="BN714" i="20"/>
  <c r="BO606" i="20"/>
  <c r="BO608" i="20" s="1"/>
  <c r="AD187" i="20"/>
  <c r="AD20" i="20"/>
  <c r="BO587" i="20"/>
  <c r="BO724" i="20" s="1"/>
  <c r="AD142" i="20"/>
  <c r="AD44" i="20"/>
  <c r="BO661" i="20"/>
  <c r="BO662" i="20" s="1"/>
  <c r="AD40" i="20"/>
  <c r="AD23" i="20"/>
  <c r="AD21" i="20"/>
  <c r="BN624" i="20"/>
  <c r="BN775" i="20" s="1"/>
  <c r="BN858" i="20" s="1"/>
  <c r="AC146" i="20"/>
  <c r="CQ867" i="20"/>
  <c r="DA850" i="20"/>
  <c r="DC850" i="20" s="1"/>
  <c r="Z191" i="20"/>
  <c r="BJ896" i="20"/>
  <c r="M231" i="21"/>
  <c r="M232" i="21" s="1"/>
  <c r="M173" i="21" s="1"/>
  <c r="CR874" i="20"/>
  <c r="T22" i="19" s="1"/>
  <c r="AI382" i="20"/>
  <c r="L231" i="21"/>
  <c r="L232" i="21" s="1"/>
  <c r="L173" i="21" s="1"/>
  <c r="AA190" i="20"/>
  <c r="Q231" i="21"/>
  <c r="Q232" i="21" s="1"/>
  <c r="Q173" i="21" s="1"/>
  <c r="AH325" i="20"/>
  <c r="AI325" i="20" s="1"/>
  <c r="J231" i="21"/>
  <c r="J232" i="21" s="1"/>
  <c r="J173" i="21" s="1"/>
  <c r="AH381" i="20"/>
  <c r="AH51" i="20" s="1"/>
  <c r="BS635" i="20" s="1"/>
  <c r="I231" i="21"/>
  <c r="I232" i="21" s="1"/>
  <c r="I173" i="21" s="1"/>
  <c r="AA172" i="20"/>
  <c r="DV884" i="20"/>
  <c r="AD27" i="19" s="1"/>
  <c r="H232" i="21"/>
  <c r="H173" i="21" s="1"/>
  <c r="H233" i="21"/>
  <c r="H140" i="21" s="1"/>
  <c r="H141" i="21" s="1"/>
  <c r="H151" i="21" s="1"/>
  <c r="R231" i="21"/>
  <c r="R232" i="21" s="1"/>
  <c r="R173" i="21" s="1"/>
  <c r="BM599" i="20"/>
  <c r="AB186" i="20"/>
  <c r="AC27" i="20"/>
  <c r="BM596" i="20"/>
  <c r="BM813" i="20" s="1"/>
  <c r="BM878" i="20" s="1"/>
  <c r="AB184" i="20"/>
  <c r="AC25" i="20"/>
  <c r="BL676" i="20"/>
  <c r="BL803" i="20"/>
  <c r="BL597" i="20"/>
  <c r="BL756" i="20"/>
  <c r="BL812" i="20"/>
  <c r="BL755" i="20"/>
  <c r="BL614" i="20"/>
  <c r="BL818" i="20"/>
  <c r="BL881" i="20" s="1"/>
  <c r="BJ820" i="20"/>
  <c r="AI524" i="20"/>
  <c r="AI571" i="20"/>
  <c r="AI430" i="20"/>
  <c r="BK645" i="20"/>
  <c r="BK706" i="20" s="1"/>
  <c r="CU890" i="20"/>
  <c r="BL795" i="20"/>
  <c r="BL638" i="20"/>
  <c r="AD207" i="20"/>
  <c r="AD209" i="20" s="1"/>
  <c r="BO836" i="20"/>
  <c r="N231" i="21"/>
  <c r="N232" i="21" s="1"/>
  <c r="N173" i="21" s="1"/>
  <c r="BM628" i="20"/>
  <c r="BM791" i="20" s="1"/>
  <c r="BM868" i="20" s="1"/>
  <c r="AC45" i="20"/>
  <c r="AB162" i="20"/>
  <c r="CU856" i="20"/>
  <c r="CV856" i="20" s="1"/>
  <c r="BK877" i="20"/>
  <c r="BK814" i="20"/>
  <c r="AC423" i="20"/>
  <c r="AB425" i="20"/>
  <c r="AB78" i="20" s="1"/>
  <c r="BK801" i="20"/>
  <c r="BK871" i="20"/>
  <c r="BM630" i="20"/>
  <c r="AC47" i="20"/>
  <c r="AB164" i="20"/>
  <c r="AE221" i="20"/>
  <c r="AE230" i="20" s="1"/>
  <c r="AA165" i="20"/>
  <c r="AH340" i="20"/>
  <c r="AB174" i="20"/>
  <c r="BM668" i="20"/>
  <c r="AC79" i="20"/>
  <c r="AH341" i="20"/>
  <c r="AC57" i="20"/>
  <c r="AB171" i="20"/>
  <c r="BM642" i="20"/>
  <c r="BM800" i="20" s="1"/>
  <c r="BM876" i="20" s="1"/>
  <c r="AI342" i="20"/>
  <c r="S21" i="19"/>
  <c r="AC55" i="20"/>
  <c r="BM640" i="20"/>
  <c r="BM798" i="20" s="1"/>
  <c r="BM874" i="20" s="1"/>
  <c r="AB169" i="20"/>
  <c r="AC56" i="20"/>
  <c r="BM641" i="20"/>
  <c r="AB170" i="20"/>
  <c r="AG60" i="20"/>
  <c r="AF219" i="20"/>
  <c r="BQ648" i="20"/>
  <c r="CU871" i="20"/>
  <c r="BK819" i="20"/>
  <c r="AC43" i="20"/>
  <c r="AB161" i="20"/>
  <c r="BM626" i="20"/>
  <c r="BM790" i="20" s="1"/>
  <c r="CR876" i="20"/>
  <c r="CT876" i="20" s="1"/>
  <c r="AB183" i="20"/>
  <c r="BM595" i="20"/>
  <c r="AC24" i="20"/>
  <c r="AC261" i="20"/>
  <c r="AA50" i="20"/>
  <c r="AB265" i="20"/>
  <c r="AB262" i="20"/>
  <c r="AC53" i="20"/>
  <c r="AB167" i="20"/>
  <c r="BM637" i="20"/>
  <c r="BM796" i="20" s="1"/>
  <c r="BM872" i="20" s="1"/>
  <c r="AH380" i="20"/>
  <c r="AH39" i="20" s="1"/>
  <c r="BS622" i="20" s="1"/>
  <c r="BR657" i="20"/>
  <c r="AH69" i="20"/>
  <c r="BK794" i="20"/>
  <c r="P231" i="21"/>
  <c r="P232" i="21" s="1"/>
  <c r="P173" i="21" s="1"/>
  <c r="BM669" i="20"/>
  <c r="DA857" i="20" s="1"/>
  <c r="DB857" i="20" s="1"/>
  <c r="AC80" i="20"/>
  <c r="BK809" i="20"/>
  <c r="AG224" i="20"/>
  <c r="BR654" i="20"/>
  <c r="AH66" i="20"/>
  <c r="U231" i="20"/>
  <c r="U232" i="20" s="1"/>
  <c r="AG33" i="20"/>
  <c r="BQ615" i="20"/>
  <c r="BQ702" i="20" s="1"/>
  <c r="BL793" i="20"/>
  <c r="BL870" i="20" s="1"/>
  <c r="BL631" i="20"/>
  <c r="K231" i="21"/>
  <c r="K232" i="21" s="1"/>
  <c r="K173" i="21" s="1"/>
  <c r="O231" i="21"/>
  <c r="O232" i="21" s="1"/>
  <c r="O173" i="21" s="1"/>
  <c r="BL867" i="20"/>
  <c r="AI375" i="20"/>
  <c r="AI381" i="20" s="1"/>
  <c r="AI51" i="20" s="1"/>
  <c r="BT635" i="20" s="1"/>
  <c r="CW871" i="20"/>
  <c r="T19" i="19"/>
  <c r="BL815" i="20"/>
  <c r="BL601" i="20"/>
  <c r="BQ649" i="20"/>
  <c r="AF220" i="20"/>
  <c r="AG61" i="20"/>
  <c r="AA185" i="20"/>
  <c r="BM639" i="20"/>
  <c r="BM797" i="20" s="1"/>
  <c r="BM873" i="20" s="1"/>
  <c r="AB347" i="20"/>
  <c r="AC54" i="20"/>
  <c r="AB168" i="20"/>
  <c r="BM612" i="20"/>
  <c r="AB189" i="20"/>
  <c r="AC32" i="20"/>
  <c r="AC52" i="20"/>
  <c r="AB166" i="20"/>
  <c r="BM636" i="20"/>
  <c r="BT783" i="20"/>
  <c r="BM656" i="20"/>
  <c r="AC68" i="20"/>
  <c r="CX875" i="20"/>
  <c r="CZ875" i="20" s="1"/>
  <c r="AA179" i="20"/>
  <c r="AA180" i="20" s="1"/>
  <c r="BL667" i="20"/>
  <c r="BL808" i="20" s="1"/>
  <c r="BL799" i="20"/>
  <c r="BL875" i="20" s="1"/>
  <c r="BL644" i="20"/>
  <c r="BP707" i="20"/>
  <c r="AI523" i="20"/>
  <c r="AI429" i="20"/>
  <c r="AI570" i="20"/>
  <c r="O20" i="19"/>
  <c r="CI64" i="19"/>
  <c r="CI66" i="19" s="1"/>
  <c r="O38" i="19" s="1"/>
  <c r="S22" i="19"/>
  <c r="AI315" i="20"/>
  <c r="DX884" i="20"/>
  <c r="AC27" i="19"/>
  <c r="AH305" i="20"/>
  <c r="AI276" i="20"/>
  <c r="AI305" i="20" s="1"/>
  <c r="AC37" i="20"/>
  <c r="BN620" i="20" s="1"/>
  <c r="BM633" i="20"/>
  <c r="AD250" i="20"/>
  <c r="AD37" i="20" s="1"/>
  <c r="BO620" i="20" s="1"/>
  <c r="AC49" i="20"/>
  <c r="AD253" i="20"/>
  <c r="AE249" i="20"/>
  <c r="BT653" i="20"/>
  <c r="AI228" i="20"/>
  <c r="C391" i="56"/>
  <c r="C30" i="56"/>
  <c r="C392" i="57"/>
  <c r="C30" i="57"/>
  <c r="C753" i="57"/>
  <c r="O36" i="16"/>
  <c r="R109" i="19"/>
  <c r="J40" i="16"/>
  <c r="R117" i="19"/>
  <c r="O50" i="16"/>
  <c r="J59" i="16"/>
  <c r="R118" i="19" s="1"/>
  <c r="J58" i="16"/>
  <c r="R119" i="19" s="1"/>
  <c r="O29" i="16"/>
  <c r="R110" i="19"/>
  <c r="J33" i="16"/>
  <c r="R35" i="16"/>
  <c r="S108" i="19"/>
  <c r="M55" i="16"/>
  <c r="BK729" i="20" l="1"/>
  <c r="DF853" i="20"/>
  <c r="DG853" i="20"/>
  <c r="DI853" i="20" s="1"/>
  <c r="AD93" i="20"/>
  <c r="BO683" i="20" s="1"/>
  <c r="BO719" i="20" s="1"/>
  <c r="BO664" i="20"/>
  <c r="BO765" i="20" s="1"/>
  <c r="BO767" i="20" s="1"/>
  <c r="BL727" i="20"/>
  <c r="CX900" i="20" s="1"/>
  <c r="BL726" i="20"/>
  <c r="BL728" i="20" s="1"/>
  <c r="AC138" i="20"/>
  <c r="DE849" i="20"/>
  <c r="BM725" i="20"/>
  <c r="DA899" i="20" s="1"/>
  <c r="CT874" i="20"/>
  <c r="BO717" i="20"/>
  <c r="BM825" i="20"/>
  <c r="BM839" i="20" s="1"/>
  <c r="DC857" i="20"/>
  <c r="AD489" i="20"/>
  <c r="AD536" i="20"/>
  <c r="AD389" i="20"/>
  <c r="AE442" i="20"/>
  <c r="AF277" i="20"/>
  <c r="AE278" i="20"/>
  <c r="CW856" i="20"/>
  <c r="DI851" i="20"/>
  <c r="BM593" i="20"/>
  <c r="BM726" i="20" s="1"/>
  <c r="BM728" i="20" s="1"/>
  <c r="DD850" i="20"/>
  <c r="DF850" i="20" s="1"/>
  <c r="AG506" i="20"/>
  <c r="AG406" i="20"/>
  <c r="AH459" i="20"/>
  <c r="AG553" i="20"/>
  <c r="AG517" i="20"/>
  <c r="AG417" i="20"/>
  <c r="AG564" i="20"/>
  <c r="AH470" i="20"/>
  <c r="AG550" i="20"/>
  <c r="AG503" i="20"/>
  <c r="AH456" i="20"/>
  <c r="AG403" i="20"/>
  <c r="AG552" i="20"/>
  <c r="AG405" i="20"/>
  <c r="AG505" i="20"/>
  <c r="AH458" i="20"/>
  <c r="AD136" i="20"/>
  <c r="AD138" i="20" s="1"/>
  <c r="BN730" i="20"/>
  <c r="DD901" i="20" s="1"/>
  <c r="AG514" i="20"/>
  <c r="AG561" i="20"/>
  <c r="AH467" i="20"/>
  <c r="AG414" i="20"/>
  <c r="AG416" i="20"/>
  <c r="AG516" i="20"/>
  <c r="AG563" i="20"/>
  <c r="AH469" i="20"/>
  <c r="AE192" i="20"/>
  <c r="BP603" i="20"/>
  <c r="BP821" i="20" s="1"/>
  <c r="AE94" i="20"/>
  <c r="BO627" i="20"/>
  <c r="BO777" i="20" s="1"/>
  <c r="BO860" i="20" s="1"/>
  <c r="AD148" i="20"/>
  <c r="BQ602" i="20"/>
  <c r="AF95" i="20"/>
  <c r="AF182" i="20" s="1"/>
  <c r="BN589" i="20"/>
  <c r="AF510" i="20"/>
  <c r="AF410" i="20"/>
  <c r="AF30" i="20" s="1"/>
  <c r="AF91" i="20" s="1"/>
  <c r="BQ681" i="20" s="1"/>
  <c r="AG463" i="20"/>
  <c r="AF557" i="20"/>
  <c r="AG538" i="20"/>
  <c r="AG491" i="20"/>
  <c r="AG391" i="20"/>
  <c r="AH444" i="20"/>
  <c r="AE176" i="20"/>
  <c r="BP671" i="20"/>
  <c r="AE46" i="20"/>
  <c r="AE41" i="20"/>
  <c r="BP663" i="20"/>
  <c r="DJ851" i="20" s="1"/>
  <c r="BO594" i="20"/>
  <c r="BO773" i="20" s="1"/>
  <c r="BO856" i="20" s="1"/>
  <c r="AD144" i="20"/>
  <c r="Y18" i="19"/>
  <c r="CS875" i="20"/>
  <c r="CS890" i="20"/>
  <c r="CS874" i="20"/>
  <c r="CS871" i="20"/>
  <c r="CS876" i="20"/>
  <c r="CS870" i="20"/>
  <c r="CS882" i="20"/>
  <c r="CS867" i="20"/>
  <c r="CS884" i="20"/>
  <c r="Y565" i="20"/>
  <c r="Z471" i="20"/>
  <c r="Y518" i="20"/>
  <c r="Y418" i="20"/>
  <c r="AF402" i="20"/>
  <c r="AF502" i="20"/>
  <c r="AG455" i="20"/>
  <c r="AF549" i="20"/>
  <c r="E232" i="21"/>
  <c r="G232" i="21" s="1"/>
  <c r="BE802" i="20"/>
  <c r="CC878" i="20" s="1"/>
  <c r="T173" i="20"/>
  <c r="E173" i="21" s="1"/>
  <c r="G173" i="21" s="1"/>
  <c r="AG466" i="20"/>
  <c r="AF560" i="20"/>
  <c r="AF413" i="20"/>
  <c r="AF513" i="20"/>
  <c r="AG487" i="20"/>
  <c r="AH440" i="20"/>
  <c r="AG534" i="20"/>
  <c r="AG387" i="20"/>
  <c r="BP606" i="20"/>
  <c r="AE187" i="20"/>
  <c r="BO816" i="20"/>
  <c r="BO879" i="20" s="1"/>
  <c r="AH548" i="20"/>
  <c r="AH501" i="20"/>
  <c r="AH401" i="20"/>
  <c r="AI454" i="20"/>
  <c r="AG461" i="20"/>
  <c r="AF555" i="20"/>
  <c r="AF408" i="20"/>
  <c r="AF29" i="20" s="1"/>
  <c r="AF508" i="20"/>
  <c r="AH447" i="20"/>
  <c r="AG541" i="20"/>
  <c r="AG394" i="20"/>
  <c r="AG494" i="20"/>
  <c r="AE75" i="20"/>
  <c r="BP672" i="20"/>
  <c r="BP806" i="20" s="1"/>
  <c r="AE177" i="20"/>
  <c r="BP673" i="20"/>
  <c r="BP807" i="20" s="1"/>
  <c r="AE178" i="20"/>
  <c r="BO716" i="20"/>
  <c r="Y12" i="19"/>
  <c r="DH848" i="20"/>
  <c r="DH851" i="20"/>
  <c r="BO758" i="20"/>
  <c r="BO805" i="20"/>
  <c r="BP685" i="20"/>
  <c r="BP811" i="20" s="1"/>
  <c r="DJ870" i="20" s="1"/>
  <c r="BO817" i="20"/>
  <c r="BO880" i="20" s="1"/>
  <c r="BO611" i="20"/>
  <c r="AG396" i="20"/>
  <c r="AG496" i="20"/>
  <c r="AG543" i="20"/>
  <c r="AH449" i="20"/>
  <c r="AF90" i="20"/>
  <c r="AC194" i="20"/>
  <c r="AC196" i="20" s="1"/>
  <c r="AC210" i="20" s="1"/>
  <c r="BN591" i="20"/>
  <c r="BN823" i="20" s="1"/>
  <c r="BN855" i="20" s="1"/>
  <c r="AD145" i="20"/>
  <c r="BO623" i="20"/>
  <c r="BO774" i="20" s="1"/>
  <c r="BO857" i="20" s="1"/>
  <c r="BO771" i="20"/>
  <c r="BO852" i="20" s="1"/>
  <c r="AE497" i="20"/>
  <c r="AE397" i="20"/>
  <c r="AF450" i="20"/>
  <c r="AE544" i="20"/>
  <c r="AI448" i="20"/>
  <c r="AH395" i="20"/>
  <c r="AH542" i="20"/>
  <c r="AH495" i="20"/>
  <c r="AF923" i="20"/>
  <c r="BQ660" i="20"/>
  <c r="AF72" i="20"/>
  <c r="AF73" i="20" s="1"/>
  <c r="AF83" i="20"/>
  <c r="AF74" i="20"/>
  <c r="AF81" i="20"/>
  <c r="AF42" i="20"/>
  <c r="BQ625" i="20" s="1"/>
  <c r="AF82" i="20"/>
  <c r="AF84" i="20"/>
  <c r="AF86" i="20"/>
  <c r="BQ675" i="20" s="1"/>
  <c r="AF85" i="20"/>
  <c r="BQ674" i="20" s="1"/>
  <c r="AF19" i="20"/>
  <c r="BN719" i="20"/>
  <c r="BN747" i="20"/>
  <c r="AH504" i="20"/>
  <c r="AH551" i="20"/>
  <c r="AH404" i="20"/>
  <c r="AI457" i="20"/>
  <c r="BO629" i="20"/>
  <c r="BO792" i="20" s="1"/>
  <c r="BO869" i="20" s="1"/>
  <c r="AD163" i="20"/>
  <c r="BN772" i="20"/>
  <c r="BN854" i="20" s="1"/>
  <c r="AH446" i="20"/>
  <c r="AG493" i="20"/>
  <c r="AG393" i="20"/>
  <c r="AG540" i="20"/>
  <c r="BP587" i="20"/>
  <c r="AE142" i="20"/>
  <c r="AE20" i="20"/>
  <c r="DJ848" i="20"/>
  <c r="DL848" i="20" s="1"/>
  <c r="Z13" i="19" s="1"/>
  <c r="BP724" i="20"/>
  <c r="BP713" i="20"/>
  <c r="BP714" i="20" s="1"/>
  <c r="DA852" i="20"/>
  <c r="DC852" i="20" s="1"/>
  <c r="DB850" i="20"/>
  <c r="AD22" i="20"/>
  <c r="BO590" i="20"/>
  <c r="AD143" i="20"/>
  <c r="AE195" i="20"/>
  <c r="BP680" i="20"/>
  <c r="AG515" i="20"/>
  <c r="AG562" i="20"/>
  <c r="AG415" i="20"/>
  <c r="AH468" i="20"/>
  <c r="BP609" i="20"/>
  <c r="BP611" i="20" s="1"/>
  <c r="AG500" i="20"/>
  <c r="AH453" i="20"/>
  <c r="AG400" i="20"/>
  <c r="AG547" i="20"/>
  <c r="BO624" i="20"/>
  <c r="BO775" i="20" s="1"/>
  <c r="BO858" i="20" s="1"/>
  <c r="AD146" i="20"/>
  <c r="AE175" i="20"/>
  <c r="BP670" i="20"/>
  <c r="BP804" i="20" s="1"/>
  <c r="DG849" i="20"/>
  <c r="DI849" i="20" s="1"/>
  <c r="BO588" i="20"/>
  <c r="BO822" i="20" s="1"/>
  <c r="AD193" i="20"/>
  <c r="BO718" i="20"/>
  <c r="AG465" i="20"/>
  <c r="AF412" i="20"/>
  <c r="AF31" i="20" s="1"/>
  <c r="AF559" i="20"/>
  <c r="AF512" i="20"/>
  <c r="AG511" i="20"/>
  <c r="AH464" i="20"/>
  <c r="AG411" i="20"/>
  <c r="AG558" i="20"/>
  <c r="U14" i="19"/>
  <c r="CV854" i="20"/>
  <c r="U15" i="19" s="1"/>
  <c r="CU867" i="20"/>
  <c r="AG535" i="20"/>
  <c r="AG488" i="20"/>
  <c r="AH441" i="20"/>
  <c r="AG388" i="20"/>
  <c r="BE769" i="20"/>
  <c r="E233" i="21"/>
  <c r="G233" i="21" s="1"/>
  <c r="T140" i="20"/>
  <c r="BM765" i="20"/>
  <c r="BM767" i="20" s="1"/>
  <c r="BM718" i="20"/>
  <c r="DI848" i="20"/>
  <c r="Y13" i="19" s="1"/>
  <c r="AG533" i="20"/>
  <c r="AH439" i="20"/>
  <c r="AG386" i="20"/>
  <c r="AG71" i="20" s="1"/>
  <c r="AG486" i="20"/>
  <c r="AE92" i="20"/>
  <c r="BP682" i="20" s="1"/>
  <c r="AH460" i="20"/>
  <c r="AG407" i="20"/>
  <c r="AG28" i="20" s="1"/>
  <c r="AG507" i="20"/>
  <c r="AG554" i="20"/>
  <c r="AG409" i="20"/>
  <c r="AH462" i="20"/>
  <c r="AG509" i="20"/>
  <c r="AG556" i="20"/>
  <c r="AG539" i="20"/>
  <c r="AG392" i="20"/>
  <c r="AG492" i="20"/>
  <c r="AH445" i="20"/>
  <c r="CX854" i="20"/>
  <c r="CZ854" i="20" s="1"/>
  <c r="CY852" i="20"/>
  <c r="AE44" i="20"/>
  <c r="BP661" i="20"/>
  <c r="BP662" i="20" s="1"/>
  <c r="BP664" i="20" s="1"/>
  <c r="BP718" i="20" s="1"/>
  <c r="AE21" i="20"/>
  <c r="AE23" i="20"/>
  <c r="AE40" i="20"/>
  <c r="BN765" i="20"/>
  <c r="BN767" i="20" s="1"/>
  <c r="BN718" i="20"/>
  <c r="CW890" i="20"/>
  <c r="I233" i="21"/>
  <c r="I140" i="21" s="1"/>
  <c r="I141" i="21" s="1"/>
  <c r="I151" i="21" s="1"/>
  <c r="M233" i="21"/>
  <c r="M140" i="21" s="1"/>
  <c r="M141" i="21" s="1"/>
  <c r="M151" i="21" s="1"/>
  <c r="AA191" i="20"/>
  <c r="L233" i="21"/>
  <c r="L140" i="21" s="1"/>
  <c r="L141" i="21" s="1"/>
  <c r="L151" i="21" s="1"/>
  <c r="AI341" i="20"/>
  <c r="J233" i="21"/>
  <c r="J140" i="21" s="1"/>
  <c r="J141" i="21" s="1"/>
  <c r="J151" i="21" s="1"/>
  <c r="N233" i="21"/>
  <c r="N140" i="21" s="1"/>
  <c r="N141" i="21" s="1"/>
  <c r="N151" i="21" s="1"/>
  <c r="Q233" i="21"/>
  <c r="Q140" i="21" s="1"/>
  <c r="Q141" i="21" s="1"/>
  <c r="Q151" i="21" s="1"/>
  <c r="AB185" i="20"/>
  <c r="AF221" i="20"/>
  <c r="AF230" i="20" s="1"/>
  <c r="AF207" i="20" s="1"/>
  <c r="AF209" i="20" s="1"/>
  <c r="BK896" i="20"/>
  <c r="AB190" i="20"/>
  <c r="AB165" i="20"/>
  <c r="AC166" i="20"/>
  <c r="BN636" i="20"/>
  <c r="AD52" i="20"/>
  <c r="U173" i="20"/>
  <c r="BF802" i="20"/>
  <c r="CF878" i="20" s="1"/>
  <c r="CG878" i="20" s="1"/>
  <c r="BM812" i="20"/>
  <c r="BM755" i="20"/>
  <c r="BM597" i="20"/>
  <c r="BM756" i="20"/>
  <c r="BQ707" i="20"/>
  <c r="BN599" i="20"/>
  <c r="AD27" i="20"/>
  <c r="AC186" i="20"/>
  <c r="CI67" i="19"/>
  <c r="O23" i="19"/>
  <c r="AH224" i="20"/>
  <c r="AI66" i="20"/>
  <c r="BS654" i="20"/>
  <c r="BL634" i="20"/>
  <c r="AA58" i="20"/>
  <c r="BN626" i="20"/>
  <c r="BN790" i="20" s="1"/>
  <c r="AD43" i="20"/>
  <c r="AC161" i="20"/>
  <c r="AD56" i="20"/>
  <c r="AC170" i="20"/>
  <c r="BN641" i="20"/>
  <c r="BM667" i="20"/>
  <c r="BM808" i="20" s="1"/>
  <c r="AB179" i="20"/>
  <c r="AB180" i="20" s="1"/>
  <c r="CU874" i="20"/>
  <c r="CW874" i="20" s="1"/>
  <c r="BL871" i="20"/>
  <c r="BL801" i="20"/>
  <c r="AD25" i="20"/>
  <c r="BN596" i="20"/>
  <c r="BN813" i="20" s="1"/>
  <c r="BN878" i="20" s="1"/>
  <c r="AC184" i="20"/>
  <c r="O233" i="21"/>
  <c r="O140" i="21" s="1"/>
  <c r="O141" i="21" s="1"/>
  <c r="O151" i="21" s="1"/>
  <c r="AD68" i="20"/>
  <c r="BN656" i="20"/>
  <c r="BM795" i="20"/>
  <c r="BM638" i="20"/>
  <c r="BN612" i="20"/>
  <c r="AD32" i="20"/>
  <c r="AC189" i="20"/>
  <c r="AC347" i="20"/>
  <c r="AC168" i="20"/>
  <c r="BN639" i="20"/>
  <c r="BN797" i="20" s="1"/>
  <c r="BN873" i="20" s="1"/>
  <c r="AD54" i="20"/>
  <c r="BR649" i="20"/>
  <c r="AH61" i="20"/>
  <c r="AG220" i="20"/>
  <c r="BL819" i="20"/>
  <c r="CX871" i="20"/>
  <c r="BL794" i="20"/>
  <c r="BR615" i="20"/>
  <c r="BR702" i="20" s="1"/>
  <c r="AH33" i="20"/>
  <c r="DA875" i="20"/>
  <c r="DC875" i="20" s="1"/>
  <c r="CU876" i="20"/>
  <c r="CW876" i="20" s="1"/>
  <c r="AD53" i="20"/>
  <c r="AC167" i="20"/>
  <c r="BN637" i="20"/>
  <c r="BN796" i="20" s="1"/>
  <c r="BN872" i="20" s="1"/>
  <c r="BN782" i="20"/>
  <c r="DD882" i="20" s="1"/>
  <c r="DI882" i="20" s="1"/>
  <c r="AC153" i="20"/>
  <c r="T21" i="19"/>
  <c r="AH60" i="20"/>
  <c r="AG219" i="20"/>
  <c r="AG221" i="20" s="1"/>
  <c r="AG230" i="20" s="1"/>
  <c r="BR648" i="20"/>
  <c r="BM676" i="20"/>
  <c r="BM803" i="20"/>
  <c r="K233" i="21"/>
  <c r="K140" i="21" s="1"/>
  <c r="K141" i="21" s="1"/>
  <c r="K151" i="21" s="1"/>
  <c r="BM631" i="20"/>
  <c r="BM793" i="20"/>
  <c r="BM870" i="20" s="1"/>
  <c r="AD423" i="20"/>
  <c r="AC425" i="20"/>
  <c r="AC78" i="20" s="1"/>
  <c r="BO894" i="20"/>
  <c r="BO838" i="20"/>
  <c r="CX856" i="20"/>
  <c r="CY856" i="20" s="1"/>
  <c r="BM815" i="20"/>
  <c r="BM601" i="20"/>
  <c r="BM614" i="20"/>
  <c r="BM818" i="20"/>
  <c r="BM881" i="20" s="1"/>
  <c r="BM799" i="20"/>
  <c r="BM875" i="20" s="1"/>
  <c r="BM644" i="20"/>
  <c r="AD55" i="20"/>
  <c r="BN640" i="20"/>
  <c r="BN798" i="20" s="1"/>
  <c r="BN874" i="20" s="1"/>
  <c r="AC169" i="20"/>
  <c r="BN669" i="20"/>
  <c r="DD857" i="20" s="1"/>
  <c r="DE857" i="20" s="1"/>
  <c r="AD80" i="20"/>
  <c r="AD79" i="20"/>
  <c r="AC174" i="20"/>
  <c r="BN668" i="20"/>
  <c r="BN630" i="20"/>
  <c r="AC164" i="20"/>
  <c r="AD47" i="20"/>
  <c r="AB172" i="20"/>
  <c r="U233" i="20"/>
  <c r="P233" i="21"/>
  <c r="P140" i="21" s="1"/>
  <c r="P141" i="21" s="1"/>
  <c r="P151" i="21" s="1"/>
  <c r="AI69" i="20"/>
  <c r="BT657" i="20" s="1"/>
  <c r="BS657" i="20"/>
  <c r="AB38" i="20"/>
  <c r="BM621" i="20" s="1"/>
  <c r="AB263" i="20"/>
  <c r="BN595" i="20"/>
  <c r="AC183" i="20"/>
  <c r="AD24" i="20"/>
  <c r="BM867" i="20"/>
  <c r="CZ871" i="20"/>
  <c r="U19" i="19"/>
  <c r="AC171" i="20"/>
  <c r="AD57" i="20"/>
  <c r="BN642" i="20"/>
  <c r="BN800" i="20" s="1"/>
  <c r="BN876" i="20" s="1"/>
  <c r="AE207" i="20"/>
  <c r="AE209" i="20" s="1"/>
  <c r="BP836" i="20"/>
  <c r="BK820" i="20"/>
  <c r="AD45" i="20"/>
  <c r="AC162" i="20"/>
  <c r="BN628" i="20"/>
  <c r="BN791" i="20" s="1"/>
  <c r="BN868" i="20" s="1"/>
  <c r="BL877" i="20"/>
  <c r="BL814" i="20"/>
  <c r="BL809" i="20"/>
  <c r="R233" i="21"/>
  <c r="R140" i="21" s="1"/>
  <c r="R141" i="21" s="1"/>
  <c r="R151" i="21" s="1"/>
  <c r="BN633" i="20"/>
  <c r="AD251" i="20"/>
  <c r="C392" i="56"/>
  <c r="C31" i="56"/>
  <c r="C393" i="57"/>
  <c r="C31" i="57"/>
  <c r="C754" i="57"/>
  <c r="R112" i="19"/>
  <c r="R114" i="19" s="1"/>
  <c r="R116" i="19" s="1"/>
  <c r="S115" i="19" s="1"/>
  <c r="O33" i="16"/>
  <c r="J41" i="16"/>
  <c r="O40" i="16"/>
  <c r="J56" i="16"/>
  <c r="R120" i="19" s="1"/>
  <c r="BO747" i="20" l="1"/>
  <c r="BP605" i="20"/>
  <c r="BP701" i="20" s="1"/>
  <c r="DH853" i="20"/>
  <c r="BL729" i="20"/>
  <c r="DE850" i="20"/>
  <c r="DD852" i="20"/>
  <c r="DF852" i="20" s="1"/>
  <c r="BP817" i="20"/>
  <c r="BP880" i="20" s="1"/>
  <c r="BP717" i="20"/>
  <c r="BP684" i="20"/>
  <c r="BO730" i="20"/>
  <c r="DG901" i="20" s="1"/>
  <c r="BM727" i="20"/>
  <c r="DA900" i="20" s="1"/>
  <c r="AG277" i="20"/>
  <c r="AF278" i="20"/>
  <c r="DF857" i="20"/>
  <c r="AE536" i="20"/>
  <c r="AE489" i="20"/>
  <c r="AF442" i="20"/>
  <c r="AE389" i="20"/>
  <c r="CZ856" i="20"/>
  <c r="BM699" i="20"/>
  <c r="DL851" i="20"/>
  <c r="AH563" i="20"/>
  <c r="AI469" i="20"/>
  <c r="AH516" i="20"/>
  <c r="AH416" i="20"/>
  <c r="AH561" i="20"/>
  <c r="AI467" i="20"/>
  <c r="AH414" i="20"/>
  <c r="AH514" i="20"/>
  <c r="AH405" i="20"/>
  <c r="AH505" i="20"/>
  <c r="AI458" i="20"/>
  <c r="AH552" i="20"/>
  <c r="AI456" i="20"/>
  <c r="AH503" i="20"/>
  <c r="AH550" i="20"/>
  <c r="AH403" i="20"/>
  <c r="AI470" i="20"/>
  <c r="AH564" i="20"/>
  <c r="AH417" i="20"/>
  <c r="AH517" i="20"/>
  <c r="AH506" i="20"/>
  <c r="AH406" i="20"/>
  <c r="AH553" i="20"/>
  <c r="AI459" i="20"/>
  <c r="BN593" i="20"/>
  <c r="AE188" i="20"/>
  <c r="BP716" i="20"/>
  <c r="BN825" i="20"/>
  <c r="BN839" i="20" s="1"/>
  <c r="AF75" i="20"/>
  <c r="AF136" i="20" s="1"/>
  <c r="AF192" i="20"/>
  <c r="BQ603" i="20"/>
  <c r="BQ821" i="20" s="1"/>
  <c r="BQ882" i="20" s="1"/>
  <c r="AF94" i="20"/>
  <c r="AG95" i="20"/>
  <c r="AG182" i="20" s="1"/>
  <c r="BR602" i="20"/>
  <c r="AG86" i="20"/>
  <c r="BR675" i="20" s="1"/>
  <c r="BR660" i="20"/>
  <c r="AG81" i="20"/>
  <c r="AG42" i="20"/>
  <c r="BR625" i="20" s="1"/>
  <c r="AG84" i="20"/>
  <c r="AG83" i="20"/>
  <c r="AG72" i="20"/>
  <c r="AG85" i="20"/>
  <c r="BR674" i="20" s="1"/>
  <c r="AG923" i="20"/>
  <c r="AG74" i="20"/>
  <c r="AG82" i="20"/>
  <c r="AG19" i="20"/>
  <c r="AH411" i="20"/>
  <c r="AH511" i="20"/>
  <c r="AI464" i="20"/>
  <c r="AH558" i="20"/>
  <c r="BP771" i="20"/>
  <c r="BP852" i="20" s="1"/>
  <c r="AH540" i="20"/>
  <c r="AH493" i="20"/>
  <c r="AI446" i="20"/>
  <c r="AH393" i="20"/>
  <c r="BQ670" i="20"/>
  <c r="BQ804" i="20" s="1"/>
  <c r="AF175" i="20"/>
  <c r="BQ713" i="20"/>
  <c r="BQ714" i="20" s="1"/>
  <c r="DM848" i="20"/>
  <c r="DO848" i="20" s="1"/>
  <c r="AA13" i="19" s="1"/>
  <c r="AH543" i="20"/>
  <c r="AH496" i="20"/>
  <c r="AH396" i="20"/>
  <c r="AI449" i="20"/>
  <c r="Z18" i="19"/>
  <c r="AE93" i="20"/>
  <c r="BP683" i="20" s="1"/>
  <c r="AE136" i="20"/>
  <c r="AI447" i="20"/>
  <c r="AH394" i="20"/>
  <c r="AH541" i="20"/>
  <c r="AH494" i="20"/>
  <c r="AG408" i="20"/>
  <c r="AG29" i="20" s="1"/>
  <c r="AG555" i="20"/>
  <c r="AG508" i="20"/>
  <c r="AH461" i="20"/>
  <c r="AG502" i="20"/>
  <c r="AG549" i="20"/>
  <c r="AH455" i="20"/>
  <c r="AG402" i="20"/>
  <c r="BP624" i="20"/>
  <c r="BP775" i="20" s="1"/>
  <c r="BP858" i="20" s="1"/>
  <c r="AE146" i="20"/>
  <c r="AH538" i="20"/>
  <c r="AH491" i="20"/>
  <c r="AH391" i="20"/>
  <c r="AI444" i="20"/>
  <c r="BN698" i="20"/>
  <c r="BN725" i="20"/>
  <c r="DJ849" i="20"/>
  <c r="DJ850" i="20" s="1"/>
  <c r="AG90" i="20"/>
  <c r="AH507" i="20"/>
  <c r="AI460" i="20"/>
  <c r="AH554" i="20"/>
  <c r="AH407" i="20"/>
  <c r="AH28" i="20" s="1"/>
  <c r="AH533" i="20"/>
  <c r="AH486" i="20"/>
  <c r="AI439" i="20"/>
  <c r="AH386" i="20"/>
  <c r="AH71" i="20" s="1"/>
  <c r="CC877" i="20"/>
  <c r="BE770" i="20"/>
  <c r="BE780" i="20" s="1"/>
  <c r="AG412" i="20"/>
  <c r="AG31" i="20" s="1"/>
  <c r="AG559" i="20"/>
  <c r="AG512" i="20"/>
  <c r="AH465" i="20"/>
  <c r="DA854" i="20"/>
  <c r="DC854" i="20" s="1"/>
  <c r="DB852" i="20"/>
  <c r="BQ673" i="20"/>
  <c r="BQ807" i="20" s="1"/>
  <c r="AF178" i="20"/>
  <c r="AF41" i="20"/>
  <c r="BQ663" i="20"/>
  <c r="DM851" i="20" s="1"/>
  <c r="AF46" i="20"/>
  <c r="BO589" i="20"/>
  <c r="AI548" i="20"/>
  <c r="AI401" i="20"/>
  <c r="AI501" i="20"/>
  <c r="AF92" i="20"/>
  <c r="BQ682" i="20" s="1"/>
  <c r="CH878" i="20"/>
  <c r="O29" i="19"/>
  <c r="CD878" i="20"/>
  <c r="Z418" i="20"/>
  <c r="Z565" i="20"/>
  <c r="Z518" i="20"/>
  <c r="AA471" i="20"/>
  <c r="AE163" i="20"/>
  <c r="BP629" i="20"/>
  <c r="BP792" i="20" s="1"/>
  <c r="BP869" i="20" s="1"/>
  <c r="AH463" i="20"/>
  <c r="AG510" i="20"/>
  <c r="AG557" i="20"/>
  <c r="AG410" i="20"/>
  <c r="AG30" i="20" s="1"/>
  <c r="AG91" i="20" s="1"/>
  <c r="BR681" i="20" s="1"/>
  <c r="AE143" i="20"/>
  <c r="BP590" i="20"/>
  <c r="AE22" i="20"/>
  <c r="CX867" i="20"/>
  <c r="CZ867" i="20" s="1"/>
  <c r="V14" i="19"/>
  <c r="CY854" i="20"/>
  <c r="V15" i="19" s="1"/>
  <c r="BQ609" i="20"/>
  <c r="AE145" i="20"/>
  <c r="BP623" i="20"/>
  <c r="BP774" i="20" s="1"/>
  <c r="BP857" i="20" s="1"/>
  <c r="BP627" i="20"/>
  <c r="BP777" i="20" s="1"/>
  <c r="BP860" i="20" s="1"/>
  <c r="AE148" i="20"/>
  <c r="AH492" i="20"/>
  <c r="AI445" i="20"/>
  <c r="AH539" i="20"/>
  <c r="AH392" i="20"/>
  <c r="CV871" i="20"/>
  <c r="CV876" i="20"/>
  <c r="CV875" i="20"/>
  <c r="CV884" i="20"/>
  <c r="CV870" i="20"/>
  <c r="CV867" i="20"/>
  <c r="CV874" i="20"/>
  <c r="CV882" i="20"/>
  <c r="CV890" i="20"/>
  <c r="BO853" i="20"/>
  <c r="AH500" i="20"/>
  <c r="AH547" i="20"/>
  <c r="AI453" i="20"/>
  <c r="AH400" i="20"/>
  <c r="AH562" i="20"/>
  <c r="AI468" i="20"/>
  <c r="AH515" i="20"/>
  <c r="AH415" i="20"/>
  <c r="AE137" i="20"/>
  <c r="BO772" i="20"/>
  <c r="BO854" i="20" s="1"/>
  <c r="Z12" i="19"/>
  <c r="DK851" i="20"/>
  <c r="DK848" i="20"/>
  <c r="AE193" i="20"/>
  <c r="BP588" i="20"/>
  <c r="BP822" i="20" s="1"/>
  <c r="BP853" i="20" s="1"/>
  <c r="AI404" i="20"/>
  <c r="AI551" i="20"/>
  <c r="AI504" i="20"/>
  <c r="BQ587" i="20"/>
  <c r="BQ724" i="20" s="1"/>
  <c r="AF20" i="20"/>
  <c r="AF142" i="20"/>
  <c r="AF176" i="20"/>
  <c r="BQ671" i="20"/>
  <c r="AF177" i="20"/>
  <c r="BQ672" i="20"/>
  <c r="BQ806" i="20" s="1"/>
  <c r="AF397" i="20"/>
  <c r="AF544" i="20"/>
  <c r="AF497" i="20"/>
  <c r="AG450" i="20"/>
  <c r="DH849" i="20"/>
  <c r="AH487" i="20"/>
  <c r="AH387" i="20"/>
  <c r="AI440" i="20"/>
  <c r="AH534" i="20"/>
  <c r="CW867" i="20"/>
  <c r="BP758" i="20"/>
  <c r="BP805" i="20"/>
  <c r="BQ606" i="20"/>
  <c r="BQ608" i="20" s="1"/>
  <c r="AF187" i="20"/>
  <c r="BP882" i="20"/>
  <c r="AH509" i="20"/>
  <c r="AH409" i="20"/>
  <c r="AH556" i="20"/>
  <c r="AI462" i="20"/>
  <c r="BP594" i="20"/>
  <c r="BP773" i="20" s="1"/>
  <c r="BP856" i="20" s="1"/>
  <c r="AE144" i="20"/>
  <c r="E140" i="21"/>
  <c r="G140" i="21" s="1"/>
  <c r="T141" i="20"/>
  <c r="AH535" i="20"/>
  <c r="AI441" i="20"/>
  <c r="AH488" i="20"/>
  <c r="AH388" i="20"/>
  <c r="BP766" i="20"/>
  <c r="BP824" i="20"/>
  <c r="BP883" i="20" s="1"/>
  <c r="DJ853" i="20"/>
  <c r="AD194" i="20"/>
  <c r="AD196" i="20" s="1"/>
  <c r="AD210" i="20" s="1"/>
  <c r="BO591" i="20"/>
  <c r="BO823" i="20" s="1"/>
  <c r="BO855" i="20" s="1"/>
  <c r="BP765" i="20"/>
  <c r="BQ661" i="20"/>
  <c r="BQ662" i="20" s="1"/>
  <c r="AF23" i="20"/>
  <c r="AF40" i="20"/>
  <c r="AF44" i="20"/>
  <c r="AF21" i="20"/>
  <c r="AI495" i="20"/>
  <c r="AI395" i="20"/>
  <c r="AI542" i="20"/>
  <c r="AF195" i="20"/>
  <c r="BQ680" i="20"/>
  <c r="DG850" i="20"/>
  <c r="BP816" i="20"/>
  <c r="BP879" i="20" s="1"/>
  <c r="BP608" i="20"/>
  <c r="AG413" i="20"/>
  <c r="AH466" i="20"/>
  <c r="AG560" i="20"/>
  <c r="AG513" i="20"/>
  <c r="DL870" i="20"/>
  <c r="BQ685" i="20"/>
  <c r="BQ811" i="20" s="1"/>
  <c r="DM870" i="20" s="1"/>
  <c r="DO870" i="20" s="1"/>
  <c r="BQ605" i="20"/>
  <c r="BQ701" i="20" s="1"/>
  <c r="BM794" i="20"/>
  <c r="AB191" i="20"/>
  <c r="BR707" i="20"/>
  <c r="BQ836" i="20"/>
  <c r="BQ838" i="20" s="1"/>
  <c r="BL896" i="20"/>
  <c r="AD164" i="20"/>
  <c r="BO630" i="20"/>
  <c r="AE47" i="20"/>
  <c r="BO639" i="20"/>
  <c r="BO797" i="20" s="1"/>
  <c r="BO873" i="20" s="1"/>
  <c r="AD347" i="20"/>
  <c r="AE54" i="20"/>
  <c r="AD168" i="20"/>
  <c r="BM801" i="20"/>
  <c r="BM871" i="20"/>
  <c r="BN867" i="20"/>
  <c r="BN815" i="20"/>
  <c r="BN601" i="20"/>
  <c r="BL820" i="20"/>
  <c r="BO628" i="20"/>
  <c r="BO791" i="20" s="1"/>
  <c r="BO868" i="20" s="1"/>
  <c r="AD162" i="20"/>
  <c r="AE45" i="20"/>
  <c r="BO595" i="20"/>
  <c r="AD183" i="20"/>
  <c r="AE24" i="20"/>
  <c r="U140" i="20"/>
  <c r="U141" i="20" s="1"/>
  <c r="BF769" i="20"/>
  <c r="BO668" i="20"/>
  <c r="AE79" i="20"/>
  <c r="AD174" i="20"/>
  <c r="AE80" i="20"/>
  <c r="BO669" i="20"/>
  <c r="DG857" i="20" s="1"/>
  <c r="DH857" i="20" s="1"/>
  <c r="DA871" i="20"/>
  <c r="BM819" i="20"/>
  <c r="BN667" i="20"/>
  <c r="BN808" i="20" s="1"/>
  <c r="AC179" i="20"/>
  <c r="AC180" i="20" s="1"/>
  <c r="BS648" i="20"/>
  <c r="AI60" i="20"/>
  <c r="AH219" i="20"/>
  <c r="BO637" i="20"/>
  <c r="BO796" i="20" s="1"/>
  <c r="BO872" i="20" s="1"/>
  <c r="AD167" i="20"/>
  <c r="AE53" i="20"/>
  <c r="BO612" i="20"/>
  <c r="AD189" i="20"/>
  <c r="AE32" i="20"/>
  <c r="U22" i="19"/>
  <c r="BN644" i="20"/>
  <c r="BN799" i="20"/>
  <c r="BN875" i="20" s="1"/>
  <c r="BO636" i="20"/>
  <c r="AD166" i="20"/>
  <c r="AE52" i="20"/>
  <c r="BS615" i="20"/>
  <c r="BS702" i="20" s="1"/>
  <c r="AI33" i="20"/>
  <c r="BT615" i="20" s="1"/>
  <c r="BT702" i="20" s="1"/>
  <c r="BO642" i="20"/>
  <c r="BO800" i="20" s="1"/>
  <c r="BO876" i="20" s="1"/>
  <c r="AD171" i="20"/>
  <c r="AE57" i="20"/>
  <c r="AC185" i="20"/>
  <c r="BN631" i="20"/>
  <c r="BN793" i="20"/>
  <c r="BN870" i="20" s="1"/>
  <c r="DI857" i="20"/>
  <c r="DD875" i="20"/>
  <c r="DF875" i="20" s="1"/>
  <c r="AE55" i="20"/>
  <c r="BO640" i="20"/>
  <c r="BO798" i="20" s="1"/>
  <c r="BO874" i="20" s="1"/>
  <c r="AD169" i="20"/>
  <c r="CX874" i="20"/>
  <c r="CZ874" i="20" s="1"/>
  <c r="AD425" i="20"/>
  <c r="AD78" i="20" s="1"/>
  <c r="AE423" i="20"/>
  <c r="DA856" i="20"/>
  <c r="DB856" i="20" s="1"/>
  <c r="U21" i="19"/>
  <c r="CX876" i="20"/>
  <c r="CZ876" i="20" s="1"/>
  <c r="AI61" i="20"/>
  <c r="BS649" i="20"/>
  <c r="AH220" i="20"/>
  <c r="BN818" i="20"/>
  <c r="BN881" i="20" s="1"/>
  <c r="BN614" i="20"/>
  <c r="AE68" i="20"/>
  <c r="BO656" i="20"/>
  <c r="BO596" i="20"/>
  <c r="BO813" i="20" s="1"/>
  <c r="BO878" i="20" s="1"/>
  <c r="AE25" i="20"/>
  <c r="AD184" i="20"/>
  <c r="AC165" i="20"/>
  <c r="CX890" i="20"/>
  <c r="BL645" i="20"/>
  <c r="BL706" i="20" s="1"/>
  <c r="AC190" i="20"/>
  <c r="BN638" i="20"/>
  <c r="BN795" i="20"/>
  <c r="AC265" i="20"/>
  <c r="AC262" i="20"/>
  <c r="AD261" i="20"/>
  <c r="AB50" i="20"/>
  <c r="AG207" i="20"/>
  <c r="AG209" i="20" s="1"/>
  <c r="BR836" i="20"/>
  <c r="BT654" i="20"/>
  <c r="AI224" i="20"/>
  <c r="BP838" i="20"/>
  <c r="BP894" i="20"/>
  <c r="BN812" i="20"/>
  <c r="BN756" i="20"/>
  <c r="BN597" i="20"/>
  <c r="BN755" i="20"/>
  <c r="BN676" i="20"/>
  <c r="BN803" i="20"/>
  <c r="BM809" i="20"/>
  <c r="DC871" i="20"/>
  <c r="V19" i="19"/>
  <c r="BO641" i="20"/>
  <c r="AD170" i="20"/>
  <c r="AE56" i="20"/>
  <c r="BO626" i="20"/>
  <c r="BO790" i="20" s="1"/>
  <c r="AE43" i="20"/>
  <c r="AD161" i="20"/>
  <c r="AD186" i="20"/>
  <c r="AE27" i="20"/>
  <c r="BO599" i="20"/>
  <c r="BM877" i="20"/>
  <c r="BM814" i="20"/>
  <c r="P29" i="19"/>
  <c r="CK878" i="20"/>
  <c r="AC172" i="20"/>
  <c r="AD49" i="20"/>
  <c r="AE253" i="20"/>
  <c r="AE250" i="20"/>
  <c r="AE37" i="20" s="1"/>
  <c r="BP620" i="20" s="1"/>
  <c r="AF249" i="20"/>
  <c r="C393" i="56"/>
  <c r="C32" i="56"/>
  <c r="C394" i="57"/>
  <c r="C32" i="57"/>
  <c r="C755" i="57"/>
  <c r="J46" i="16"/>
  <c r="O41" i="16"/>
  <c r="BQ684" i="20" l="1"/>
  <c r="AF188" i="20"/>
  <c r="DE852" i="20"/>
  <c r="DD854" i="20"/>
  <c r="DD867" i="20" s="1"/>
  <c r="AF137" i="20"/>
  <c r="AF138" i="20" s="1"/>
  <c r="BN809" i="20"/>
  <c r="BM729" i="20"/>
  <c r="AH90" i="20"/>
  <c r="AH195" i="20" s="1"/>
  <c r="AF389" i="20"/>
  <c r="AG442" i="20"/>
  <c r="AF489" i="20"/>
  <c r="AF536" i="20"/>
  <c r="AH277" i="20"/>
  <c r="AG278" i="20"/>
  <c r="DC856" i="20"/>
  <c r="BP767" i="20"/>
  <c r="DL853" i="20"/>
  <c r="DO851" i="20"/>
  <c r="AI405" i="20"/>
  <c r="AI552" i="20"/>
  <c r="AI505" i="20"/>
  <c r="DK849" i="20"/>
  <c r="BO593" i="20"/>
  <c r="BN699" i="20"/>
  <c r="BN726" i="20"/>
  <c r="BN728" i="20" s="1"/>
  <c r="BN727" i="20"/>
  <c r="DD900" i="20" s="1"/>
  <c r="AI417" i="20"/>
  <c r="AI564" i="20"/>
  <c r="AI517" i="20"/>
  <c r="AI550" i="20"/>
  <c r="AI503" i="20"/>
  <c r="AI403" i="20"/>
  <c r="AI414" i="20"/>
  <c r="AI514" i="20"/>
  <c r="AI561" i="20"/>
  <c r="AI416" i="20"/>
  <c r="AI516" i="20"/>
  <c r="AI563" i="20"/>
  <c r="BP730" i="20"/>
  <c r="DJ901" i="20" s="1"/>
  <c r="AI506" i="20"/>
  <c r="AI553" i="20"/>
  <c r="AI406" i="20"/>
  <c r="DL849" i="20"/>
  <c r="AG192" i="20"/>
  <c r="BR603" i="20"/>
  <c r="BR821" i="20" s="1"/>
  <c r="AG94" i="20"/>
  <c r="AH513" i="20"/>
  <c r="AH560" i="20"/>
  <c r="AH413" i="20"/>
  <c r="AI466" i="20"/>
  <c r="AF145" i="20"/>
  <c r="BQ623" i="20"/>
  <c r="BQ774" i="20" s="1"/>
  <c r="BQ857" i="20" s="1"/>
  <c r="AI534" i="20"/>
  <c r="AI487" i="20"/>
  <c r="AI387" i="20"/>
  <c r="AG397" i="20"/>
  <c r="AH450" i="20"/>
  <c r="AG497" i="20"/>
  <c r="AG544" i="20"/>
  <c r="DJ852" i="20"/>
  <c r="CY875" i="20"/>
  <c r="CY871" i="20"/>
  <c r="CY876" i="20"/>
  <c r="CY882" i="20"/>
  <c r="CY884" i="20"/>
  <c r="CY870" i="20"/>
  <c r="CY890" i="20"/>
  <c r="CY867" i="20"/>
  <c r="CY874" i="20"/>
  <c r="AI463" i="20"/>
  <c r="AH410" i="20"/>
  <c r="AH30" i="20" s="1"/>
  <c r="AH91" i="20" s="1"/>
  <c r="BS681" i="20" s="1"/>
  <c r="AH510" i="20"/>
  <c r="AH557" i="20"/>
  <c r="O30" i="19"/>
  <c r="CD877" i="20"/>
  <c r="CE877" i="20"/>
  <c r="CC879" i="20"/>
  <c r="AI455" i="20"/>
  <c r="AH502" i="20"/>
  <c r="AH549" i="20"/>
  <c r="AH402" i="20"/>
  <c r="BP747" i="20"/>
  <c r="BP719" i="20"/>
  <c r="BQ664" i="20"/>
  <c r="AI558" i="20"/>
  <c r="AI411" i="20"/>
  <c r="AI511" i="20"/>
  <c r="AG176" i="20"/>
  <c r="BR671" i="20"/>
  <c r="AG73" i="20"/>
  <c r="AG75" i="20" s="1"/>
  <c r="AG44" i="20"/>
  <c r="AG40" i="20"/>
  <c r="BR661" i="20"/>
  <c r="AG21" i="20"/>
  <c r="AG23" i="20"/>
  <c r="BR670" i="20"/>
  <c r="BR804" i="20" s="1"/>
  <c r="AG175" i="20"/>
  <c r="BR685" i="20"/>
  <c r="BR811" i="20" s="1"/>
  <c r="DP870" i="20" s="1"/>
  <c r="AG92" i="20"/>
  <c r="BR682" i="20" s="1"/>
  <c r="BQ766" i="20"/>
  <c r="DM853" i="20"/>
  <c r="DO853" i="20" s="1"/>
  <c r="BQ824" i="20"/>
  <c r="BQ883" i="20" s="1"/>
  <c r="BQ594" i="20"/>
  <c r="BQ773" i="20" s="1"/>
  <c r="BQ856" i="20" s="1"/>
  <c r="AF144" i="20"/>
  <c r="AI535" i="20"/>
  <c r="AI388" i="20"/>
  <c r="AI488" i="20"/>
  <c r="AF193" i="20"/>
  <c r="BQ588" i="20"/>
  <c r="BQ822" i="20" s="1"/>
  <c r="DK853" i="20"/>
  <c r="BO825" i="20"/>
  <c r="BO839" i="20" s="1"/>
  <c r="AI539" i="20"/>
  <c r="AI492" i="20"/>
  <c r="AI392" i="20"/>
  <c r="BQ817" i="20"/>
  <c r="BQ880" i="20" s="1"/>
  <c r="BQ611" i="20"/>
  <c r="BR606" i="20"/>
  <c r="AG187" i="20"/>
  <c r="AF146" i="20"/>
  <c r="BQ624" i="20"/>
  <c r="BQ775" i="20" s="1"/>
  <c r="BQ858" i="20" s="1"/>
  <c r="AH923" i="20"/>
  <c r="BS660" i="20"/>
  <c r="AH85" i="20"/>
  <c r="BS674" i="20" s="1"/>
  <c r="AH74" i="20"/>
  <c r="AH19" i="20"/>
  <c r="AH84" i="20"/>
  <c r="AH72" i="20"/>
  <c r="AH73" i="20" s="1"/>
  <c r="AH82" i="20"/>
  <c r="AH83" i="20"/>
  <c r="AH81" i="20"/>
  <c r="AH86" i="20"/>
  <c r="BS675" i="20" s="1"/>
  <c r="AH42" i="20"/>
  <c r="BS625" i="20" s="1"/>
  <c r="AH95" i="20"/>
  <c r="AH182" i="20" s="1"/>
  <c r="BS602" i="20"/>
  <c r="AG195" i="20"/>
  <c r="BR680" i="20"/>
  <c r="AI391" i="20"/>
  <c r="AI491" i="20"/>
  <c r="AI538" i="20"/>
  <c r="DN851" i="20"/>
  <c r="DN848" i="20"/>
  <c r="AA12" i="19"/>
  <c r="BP589" i="20"/>
  <c r="BR663" i="20"/>
  <c r="DP851" i="20" s="1"/>
  <c r="AG41" i="20"/>
  <c r="AG46" i="20"/>
  <c r="AG177" i="20"/>
  <c r="BR672" i="20"/>
  <c r="BR806" i="20" s="1"/>
  <c r="BR713" i="20"/>
  <c r="BR714" i="20" s="1"/>
  <c r="DP848" i="20"/>
  <c r="AA18" i="19"/>
  <c r="DR870" i="20"/>
  <c r="DL850" i="20"/>
  <c r="DG852" i="20"/>
  <c r="DH850" i="20"/>
  <c r="DI850" i="20"/>
  <c r="AI509" i="20"/>
  <c r="AI409" i="20"/>
  <c r="AI556" i="20"/>
  <c r="AF143" i="20"/>
  <c r="BQ590" i="20"/>
  <c r="AF22" i="20"/>
  <c r="DM849" i="20"/>
  <c r="BQ758" i="20"/>
  <c r="BQ805" i="20"/>
  <c r="BQ771" i="20"/>
  <c r="BQ852" i="20" s="1"/>
  <c r="DK850" i="20"/>
  <c r="AI400" i="20"/>
  <c r="AI547" i="20"/>
  <c r="AI500" i="20"/>
  <c r="BP591" i="20"/>
  <c r="BP823" i="20" s="1"/>
  <c r="AE194" i="20"/>
  <c r="AE196" i="20" s="1"/>
  <c r="AE210" i="20" s="1"/>
  <c r="BO698" i="20"/>
  <c r="BO725" i="20"/>
  <c r="DB854" i="20"/>
  <c r="W15" i="19" s="1"/>
  <c r="W14" i="19"/>
  <c r="DA867" i="20"/>
  <c r="DC867" i="20" s="1"/>
  <c r="BR609" i="20"/>
  <c r="AI386" i="20"/>
  <c r="AI71" i="20" s="1"/>
  <c r="AI486" i="20"/>
  <c r="AI533" i="20"/>
  <c r="AI541" i="20"/>
  <c r="AI494" i="20"/>
  <c r="AI394" i="20"/>
  <c r="BQ716" i="20"/>
  <c r="AI493" i="20"/>
  <c r="AI393" i="20"/>
  <c r="AI540" i="20"/>
  <c r="AG178" i="20"/>
  <c r="BR673" i="20"/>
  <c r="BR807" i="20" s="1"/>
  <c r="AF93" i="20"/>
  <c r="BQ683" i="20" s="1"/>
  <c r="BQ627" i="20"/>
  <c r="BQ777" i="20" s="1"/>
  <c r="BQ860" i="20" s="1"/>
  <c r="AF148" i="20"/>
  <c r="E141" i="21"/>
  <c r="G141" i="21" s="1"/>
  <c r="T151" i="20"/>
  <c r="AI415" i="20"/>
  <c r="AI562" i="20"/>
  <c r="AI515" i="20"/>
  <c r="BP772" i="20"/>
  <c r="BP854" i="20" s="1"/>
  <c r="AA518" i="20"/>
  <c r="AA565" i="20"/>
  <c r="AB471" i="20"/>
  <c r="AA418" i="20"/>
  <c r="AF163" i="20"/>
  <c r="BQ629" i="20"/>
  <c r="BQ792" i="20" s="1"/>
  <c r="BQ869" i="20" s="1"/>
  <c r="AI465" i="20"/>
  <c r="AH512" i="20"/>
  <c r="AH559" i="20"/>
  <c r="AH412" i="20"/>
  <c r="AH31" i="20" s="1"/>
  <c r="AI407" i="20"/>
  <c r="AI28" i="20" s="1"/>
  <c r="AI554" i="20"/>
  <c r="AI507" i="20"/>
  <c r="DD899" i="20"/>
  <c r="AH408" i="20"/>
  <c r="AH29" i="20" s="1"/>
  <c r="AH508" i="20"/>
  <c r="AH555" i="20"/>
  <c r="AI461" i="20"/>
  <c r="AE138" i="20"/>
  <c r="AI496" i="20"/>
  <c r="AI396" i="20"/>
  <c r="AI543" i="20"/>
  <c r="BQ816" i="20"/>
  <c r="BQ879" i="20" s="1"/>
  <c r="BQ717" i="20"/>
  <c r="BR587" i="20"/>
  <c r="BR724" i="20" s="1"/>
  <c r="AG142" i="20"/>
  <c r="AG20" i="20"/>
  <c r="CZ890" i="20"/>
  <c r="DD856" i="20"/>
  <c r="BQ894" i="20"/>
  <c r="AD190" i="20"/>
  <c r="BM820" i="20"/>
  <c r="BM896" i="20"/>
  <c r="BP642" i="20"/>
  <c r="BP800" i="20" s="1"/>
  <c r="BP876" i="20" s="1"/>
  <c r="AF57" i="20"/>
  <c r="AE171" i="20"/>
  <c r="BT648" i="20"/>
  <c r="AI219" i="20"/>
  <c r="AE168" i="20"/>
  <c r="AF54" i="20"/>
  <c r="BP639" i="20"/>
  <c r="BP797" i="20" s="1"/>
  <c r="BP873" i="20" s="1"/>
  <c r="AE347" i="20"/>
  <c r="BO867" i="20"/>
  <c r="DA876" i="20"/>
  <c r="DC876" i="20" s="1"/>
  <c r="BM634" i="20"/>
  <c r="AB58" i="20"/>
  <c r="BP656" i="20"/>
  <c r="AF68" i="20"/>
  <c r="AD179" i="20"/>
  <c r="AD180" i="20" s="1"/>
  <c r="BO667" i="20"/>
  <c r="BO808" i="20" s="1"/>
  <c r="AC191" i="20"/>
  <c r="AD172" i="20"/>
  <c r="BP612" i="20"/>
  <c r="AF32" i="20"/>
  <c r="AE189" i="20"/>
  <c r="BS707" i="20"/>
  <c r="DF871" i="20"/>
  <c r="W19" i="19"/>
  <c r="AF79" i="20"/>
  <c r="AE174" i="20"/>
  <c r="BP668" i="20"/>
  <c r="AF24" i="20"/>
  <c r="BP595" i="20"/>
  <c r="AE183" i="20"/>
  <c r="AE161" i="20"/>
  <c r="AF43" i="20"/>
  <c r="BP626" i="20"/>
  <c r="BP790" i="20" s="1"/>
  <c r="BO799" i="20"/>
  <c r="BO875" i="20" s="1"/>
  <c r="BO644" i="20"/>
  <c r="BN877" i="20"/>
  <c r="BN814" i="20"/>
  <c r="AF423" i="20"/>
  <c r="AE425" i="20"/>
  <c r="AE78" i="20" s="1"/>
  <c r="AF53" i="20"/>
  <c r="AE167" i="20"/>
  <c r="BP637" i="20"/>
  <c r="BP796" i="20" s="1"/>
  <c r="BP872" i="20" s="1"/>
  <c r="AE162" i="20"/>
  <c r="BP628" i="20"/>
  <c r="BP791" i="20" s="1"/>
  <c r="BP868" i="20" s="1"/>
  <c r="AF45" i="20"/>
  <c r="BO815" i="20"/>
  <c r="BO601" i="20"/>
  <c r="AE170" i="20"/>
  <c r="AF56" i="20"/>
  <c r="BP641" i="20"/>
  <c r="BR894" i="20"/>
  <c r="BR838" i="20"/>
  <c r="BO782" i="20"/>
  <c r="DG882" i="20" s="1"/>
  <c r="DL882" i="20" s="1"/>
  <c r="AE153" i="20"/>
  <c r="AH153" i="20"/>
  <c r="AF153" i="20"/>
  <c r="AG153" i="20"/>
  <c r="AI153" i="20"/>
  <c r="AD153" i="20"/>
  <c r="BN871" i="20"/>
  <c r="BN801" i="20"/>
  <c r="AE184" i="20"/>
  <c r="AF25" i="20"/>
  <c r="BP596" i="20"/>
  <c r="BP813" i="20" s="1"/>
  <c r="BP878" i="20" s="1"/>
  <c r="AI220" i="20"/>
  <c r="BT649" i="20"/>
  <c r="AF55" i="20"/>
  <c r="BP640" i="20"/>
  <c r="BP798" i="20" s="1"/>
  <c r="BP874" i="20" s="1"/>
  <c r="AE169" i="20"/>
  <c r="BO795" i="20"/>
  <c r="BO638" i="20"/>
  <c r="DG875" i="20"/>
  <c r="BO676" i="20"/>
  <c r="BO803" i="20"/>
  <c r="AD185" i="20"/>
  <c r="DD871" i="20"/>
  <c r="BN819" i="20"/>
  <c r="BP630" i="20"/>
  <c r="AE164" i="20"/>
  <c r="AF47" i="20"/>
  <c r="AF52" i="20"/>
  <c r="AE166" i="20"/>
  <c r="BP636" i="20"/>
  <c r="AE186" i="20"/>
  <c r="AF27" i="20"/>
  <c r="BP599" i="20"/>
  <c r="AD165" i="20"/>
  <c r="AC38" i="20"/>
  <c r="BN621" i="20" s="1"/>
  <c r="AC263" i="20"/>
  <c r="V21" i="19"/>
  <c r="DF856" i="20"/>
  <c r="DA874" i="20"/>
  <c r="DC874" i="20" s="1"/>
  <c r="V22" i="19"/>
  <c r="BO614" i="20"/>
  <c r="BO818" i="20"/>
  <c r="BO881" i="20" s="1"/>
  <c r="AH221" i="20"/>
  <c r="AH230" i="20" s="1"/>
  <c r="BP669" i="20"/>
  <c r="DJ857" i="20" s="1"/>
  <c r="DK857" i="20" s="1"/>
  <c r="AF80" i="20"/>
  <c r="BF770" i="20"/>
  <c r="CF877" i="20"/>
  <c r="CG877" i="20" s="1"/>
  <c r="BO812" i="20"/>
  <c r="BO756" i="20"/>
  <c r="BO597" i="20"/>
  <c r="BO755" i="20"/>
  <c r="BN794" i="20"/>
  <c r="BO793" i="20"/>
  <c r="BO870" i="20" s="1"/>
  <c r="BO631" i="20"/>
  <c r="BO633" i="20"/>
  <c r="AE251" i="20"/>
  <c r="C394" i="56"/>
  <c r="C33" i="56"/>
  <c r="C756" i="57"/>
  <c r="C395" i="57"/>
  <c r="C33" i="57"/>
  <c r="J351" i="16"/>
  <c r="R122" i="19"/>
  <c r="M44" i="16"/>
  <c r="O46" i="16"/>
  <c r="AG188" i="20" l="1"/>
  <c r="X14" i="19"/>
  <c r="DF854" i="20"/>
  <c r="DE854" i="20"/>
  <c r="X15" i="19" s="1"/>
  <c r="BS680" i="20"/>
  <c r="BS824" i="20" s="1"/>
  <c r="BS883" i="20" s="1"/>
  <c r="DN853" i="20"/>
  <c r="BQ589" i="20"/>
  <c r="BQ725" i="20" s="1"/>
  <c r="BR605" i="20"/>
  <c r="BR701" i="20" s="1"/>
  <c r="BR684" i="20"/>
  <c r="AG137" i="20"/>
  <c r="DL857" i="20"/>
  <c r="CD879" i="20"/>
  <c r="CE879" i="20"/>
  <c r="AI277" i="20"/>
  <c r="AI278" i="20" s="1"/>
  <c r="AH278" i="20"/>
  <c r="AH442" i="20"/>
  <c r="AG489" i="20"/>
  <c r="AG536" i="20"/>
  <c r="AG389" i="20"/>
  <c r="DI875" i="20"/>
  <c r="BQ730" i="20"/>
  <c r="DM901" i="20" s="1"/>
  <c r="DR851" i="20"/>
  <c r="BP593" i="20"/>
  <c r="BP699" i="20" s="1"/>
  <c r="BN729" i="20"/>
  <c r="BO699" i="20"/>
  <c r="BO727" i="20"/>
  <c r="DG900" i="20" s="1"/>
  <c r="BO726" i="20"/>
  <c r="BO728" i="20" s="1"/>
  <c r="DO849" i="20"/>
  <c r="BR717" i="20"/>
  <c r="AH92" i="20"/>
  <c r="BS682" i="20" s="1"/>
  <c r="AH75" i="20"/>
  <c r="AH136" i="20" s="1"/>
  <c r="AH192" i="20"/>
  <c r="BS603" i="20"/>
  <c r="BS821" i="20" s="1"/>
  <c r="AH94" i="20"/>
  <c r="BP855" i="20"/>
  <c r="BP825" i="20"/>
  <c r="BP839" i="20" s="1"/>
  <c r="AI508" i="20"/>
  <c r="AI555" i="20"/>
  <c r="AI408" i="20"/>
  <c r="AI29" i="20" s="1"/>
  <c r="BT602" i="20"/>
  <c r="AI95" i="20"/>
  <c r="AI182" i="20" s="1"/>
  <c r="AI412" i="20"/>
  <c r="AI31" i="20" s="1"/>
  <c r="AI512" i="20"/>
  <c r="AI559" i="20"/>
  <c r="AB518" i="20"/>
  <c r="AC471" i="20"/>
  <c r="AB565" i="20"/>
  <c r="AB418" i="20"/>
  <c r="T36" i="20"/>
  <c r="E151" i="21"/>
  <c r="G151" i="21" s="1"/>
  <c r="T18" i="20"/>
  <c r="BQ747" i="20"/>
  <c r="BQ719" i="20"/>
  <c r="DG899" i="20"/>
  <c r="BQ698" i="20"/>
  <c r="BQ772" i="20"/>
  <c r="BQ854" i="20" s="1"/>
  <c r="AI90" i="20"/>
  <c r="DL852" i="20"/>
  <c r="DG854" i="20"/>
  <c r="DH852" i="20"/>
  <c r="DI852" i="20"/>
  <c r="DQ848" i="20"/>
  <c r="AB12" i="19"/>
  <c r="DQ851" i="20"/>
  <c r="AG163" i="20"/>
  <c r="BR629" i="20"/>
  <c r="BR792" i="20" s="1"/>
  <c r="BR869" i="20" s="1"/>
  <c r="DM850" i="20"/>
  <c r="BR824" i="20"/>
  <c r="BR883" i="20" s="1"/>
  <c r="DP853" i="20"/>
  <c r="DR853" i="20" s="1"/>
  <c r="BR766" i="20"/>
  <c r="BS670" i="20"/>
  <c r="BS804" i="20" s="1"/>
  <c r="AH175" i="20"/>
  <c r="AH178" i="20"/>
  <c r="BS673" i="20"/>
  <c r="BS807" i="20" s="1"/>
  <c r="BS713" i="20"/>
  <c r="BS714" i="20" s="1"/>
  <c r="DS848" i="20"/>
  <c r="DU848" i="20" s="1"/>
  <c r="AC13" i="19" s="1"/>
  <c r="AG145" i="20"/>
  <c r="BR623" i="20"/>
  <c r="BR774" i="20" s="1"/>
  <c r="BR857" i="20" s="1"/>
  <c r="BQ765" i="20"/>
  <c r="BQ767" i="20" s="1"/>
  <c r="BQ718" i="20"/>
  <c r="BR882" i="20"/>
  <c r="AG193" i="20"/>
  <c r="BR588" i="20"/>
  <c r="BR822" i="20" s="1"/>
  <c r="BR853" i="20" s="1"/>
  <c r="BS609" i="20"/>
  <c r="BS611" i="20" s="1"/>
  <c r="AI72" i="20"/>
  <c r="AI42" i="20"/>
  <c r="BT625" i="20" s="1"/>
  <c r="AI82" i="20"/>
  <c r="AI81" i="20"/>
  <c r="AI84" i="20"/>
  <c r="AI83" i="20"/>
  <c r="AI19" i="20"/>
  <c r="BT660" i="20"/>
  <c r="AI86" i="20"/>
  <c r="BT675" i="20" s="1"/>
  <c r="AI85" i="20"/>
  <c r="BT674" i="20" s="1"/>
  <c r="AI74" i="20"/>
  <c r="AI923" i="20"/>
  <c r="AI73" i="20"/>
  <c r="DB876" i="20"/>
  <c r="DB875" i="20"/>
  <c r="DF867" i="20"/>
  <c r="DB874" i="20"/>
  <c r="DB870" i="20"/>
  <c r="DB884" i="20"/>
  <c r="DB867" i="20"/>
  <c r="DB871" i="20"/>
  <c r="DB882" i="20"/>
  <c r="BR624" i="20"/>
  <c r="BR775" i="20" s="1"/>
  <c r="BR858" i="20" s="1"/>
  <c r="AG146" i="20"/>
  <c r="DN849" i="20"/>
  <c r="BS672" i="20"/>
  <c r="BS806" i="20" s="1"/>
  <c r="AH177" i="20"/>
  <c r="AH20" i="20"/>
  <c r="AH142" i="20"/>
  <c r="BS587" i="20"/>
  <c r="BR816" i="20"/>
  <c r="BR879" i="20" s="1"/>
  <c r="BR608" i="20"/>
  <c r="BQ853" i="20"/>
  <c r="AG144" i="20"/>
  <c r="BR594" i="20"/>
  <c r="BR773" i="20" s="1"/>
  <c r="BR856" i="20" s="1"/>
  <c r="AG148" i="20"/>
  <c r="BR627" i="20"/>
  <c r="BR777" i="20" s="1"/>
  <c r="BR860" i="20" s="1"/>
  <c r="AI502" i="20"/>
  <c r="AI549" i="20"/>
  <c r="AI402" i="20"/>
  <c r="BS606" i="20"/>
  <c r="AH187" i="20"/>
  <c r="BR771" i="20"/>
  <c r="BR852" i="20" s="1"/>
  <c r="AF194" i="20"/>
  <c r="AF196" i="20" s="1"/>
  <c r="AF210" i="20" s="1"/>
  <c r="BQ591" i="20"/>
  <c r="BQ823" i="20" s="1"/>
  <c r="BQ855" i="20" s="1"/>
  <c r="BP698" i="20"/>
  <c r="BP725" i="20"/>
  <c r="BS685" i="20"/>
  <c r="BS811" i="20" s="1"/>
  <c r="DS870" i="20" s="1"/>
  <c r="DU870" i="20" s="1"/>
  <c r="AH23" i="20"/>
  <c r="BS661" i="20"/>
  <c r="AH21" i="20"/>
  <c r="AH44" i="20"/>
  <c r="AH40" i="20"/>
  <c r="DE882" i="20"/>
  <c r="DE875" i="20"/>
  <c r="DE870" i="20"/>
  <c r="DE867" i="20"/>
  <c r="DE871" i="20"/>
  <c r="DE884" i="20"/>
  <c r="BR662" i="20"/>
  <c r="DP849" i="20"/>
  <c r="BR758" i="20"/>
  <c r="BR805" i="20"/>
  <c r="DJ854" i="20"/>
  <c r="DK852" i="20"/>
  <c r="AH497" i="20"/>
  <c r="AI450" i="20"/>
  <c r="AH397" i="20"/>
  <c r="AH544" i="20"/>
  <c r="DE856" i="20"/>
  <c r="BR817" i="20"/>
  <c r="BR880" i="20" s="1"/>
  <c r="BR611" i="20"/>
  <c r="DR848" i="20"/>
  <c r="AB13" i="19" s="1"/>
  <c r="BS671" i="20"/>
  <c r="AH176" i="20"/>
  <c r="AH41" i="20"/>
  <c r="BS663" i="20"/>
  <c r="DS851" i="20" s="1"/>
  <c r="AH46" i="20"/>
  <c r="AB18" i="19"/>
  <c r="AG22" i="20"/>
  <c r="AG143" i="20"/>
  <c r="BR590" i="20"/>
  <c r="AG93" i="20"/>
  <c r="BR683" i="20" s="1"/>
  <c r="AG136" i="20"/>
  <c r="AG138" i="20" s="1"/>
  <c r="CH877" i="20"/>
  <c r="AI557" i="20"/>
  <c r="AI510" i="20"/>
  <c r="AI410" i="20"/>
  <c r="AI30" i="20" s="1"/>
  <c r="AI560" i="20"/>
  <c r="AI413" i="20"/>
  <c r="AI513" i="20"/>
  <c r="DD874" i="20"/>
  <c r="DF874" i="20" s="1"/>
  <c r="AD191" i="20"/>
  <c r="BN896" i="20"/>
  <c r="DD876" i="20"/>
  <c r="X21" i="19" s="1"/>
  <c r="AI221" i="20"/>
  <c r="AI230" i="20" s="1"/>
  <c r="BT836" i="20" s="1"/>
  <c r="BO809" i="20"/>
  <c r="BP815" i="20"/>
  <c r="BP601" i="20"/>
  <c r="BP795" i="20"/>
  <c r="BP638" i="20"/>
  <c r="BO871" i="20"/>
  <c r="BO801" i="20"/>
  <c r="W21" i="19"/>
  <c r="AG54" i="20"/>
  <c r="BQ639" i="20"/>
  <c r="BQ797" i="20" s="1"/>
  <c r="BQ873" i="20" s="1"/>
  <c r="AF168" i="20"/>
  <c r="AF347" i="20"/>
  <c r="AG80" i="20"/>
  <c r="BQ669" i="20"/>
  <c r="DM857" i="20" s="1"/>
  <c r="DN857" i="20" s="1"/>
  <c r="W22" i="19"/>
  <c r="AF186" i="20"/>
  <c r="BQ599" i="20"/>
  <c r="AG27" i="20"/>
  <c r="AE172" i="20"/>
  <c r="BP631" i="20"/>
  <c r="BP793" i="20"/>
  <c r="BP870" i="20" s="1"/>
  <c r="DI871" i="20"/>
  <c r="X19" i="19"/>
  <c r="BO819" i="20"/>
  <c r="DG871" i="20"/>
  <c r="BQ637" i="20"/>
  <c r="BQ796" i="20" s="1"/>
  <c r="BQ872" i="20" s="1"/>
  <c r="AG53" i="20"/>
  <c r="AF167" i="20"/>
  <c r="BN820" i="20"/>
  <c r="BP867" i="20"/>
  <c r="AE185" i="20"/>
  <c r="AG32" i="20"/>
  <c r="AF189" i="20"/>
  <c r="BQ612" i="20"/>
  <c r="BO794" i="20"/>
  <c r="BT707" i="20"/>
  <c r="AH207" i="20"/>
  <c r="AH209" i="20" s="1"/>
  <c r="BS836" i="20"/>
  <c r="AF170" i="20"/>
  <c r="AG56" i="20"/>
  <c r="BQ641" i="20"/>
  <c r="AF425" i="20"/>
  <c r="AF78" i="20" s="1"/>
  <c r="AG423" i="20"/>
  <c r="BP676" i="20"/>
  <c r="BP803" i="20"/>
  <c r="BO814" i="20"/>
  <c r="BO877" i="20"/>
  <c r="DJ875" i="20"/>
  <c r="DL875" i="20" s="1"/>
  <c r="AE190" i="20"/>
  <c r="AF166" i="20"/>
  <c r="BQ636" i="20"/>
  <c r="AG52" i="20"/>
  <c r="BQ640" i="20"/>
  <c r="BQ798" i="20" s="1"/>
  <c r="BQ874" i="20" s="1"/>
  <c r="AG55" i="20"/>
  <c r="AF169" i="20"/>
  <c r="BQ626" i="20"/>
  <c r="BQ790" i="20" s="1"/>
  <c r="AF161" i="20"/>
  <c r="AG43" i="20"/>
  <c r="BP755" i="20"/>
  <c r="BP756" i="20"/>
  <c r="BP597" i="20"/>
  <c r="BP812" i="20"/>
  <c r="BQ668" i="20"/>
  <c r="AG79" i="20"/>
  <c r="AF174" i="20"/>
  <c r="BP818" i="20"/>
  <c r="BP881" i="20" s="1"/>
  <c r="BP614" i="20"/>
  <c r="P30" i="19"/>
  <c r="AC50" i="20"/>
  <c r="AD265" i="20"/>
  <c r="AD262" i="20"/>
  <c r="AE261" i="20"/>
  <c r="BP782" i="20" s="1"/>
  <c r="DJ882" i="20" s="1"/>
  <c r="DO882" i="20" s="1"/>
  <c r="BQ630" i="20"/>
  <c r="AG47" i="20"/>
  <c r="AF164" i="20"/>
  <c r="DG856" i="20"/>
  <c r="DH856" i="20" s="1"/>
  <c r="BQ596" i="20"/>
  <c r="BQ813" i="20" s="1"/>
  <c r="BQ878" i="20" s="1"/>
  <c r="AG25" i="20"/>
  <c r="AF184" i="20"/>
  <c r="BP799" i="20"/>
  <c r="BP875" i="20" s="1"/>
  <c r="BP644" i="20"/>
  <c r="AF162" i="20"/>
  <c r="AG45" i="20"/>
  <c r="BQ628" i="20"/>
  <c r="BQ791" i="20" s="1"/>
  <c r="BQ868" i="20" s="1"/>
  <c r="BP667" i="20"/>
  <c r="BP808" i="20" s="1"/>
  <c r="AE179" i="20"/>
  <c r="AE180" i="20" s="1"/>
  <c r="AE165" i="20"/>
  <c r="BQ595" i="20"/>
  <c r="AF183" i="20"/>
  <c r="AG24" i="20"/>
  <c r="AG68" i="20"/>
  <c r="BQ656" i="20"/>
  <c r="DA890" i="20"/>
  <c r="DB890" i="20" s="1"/>
  <c r="BM645" i="20"/>
  <c r="BM706" i="20" s="1"/>
  <c r="AG57" i="20"/>
  <c r="BQ642" i="20"/>
  <c r="BQ800" i="20" s="1"/>
  <c r="BQ876" i="20" s="1"/>
  <c r="AF171" i="20"/>
  <c r="AE49" i="20"/>
  <c r="AF253" i="20"/>
  <c r="AG249" i="20"/>
  <c r="AF250" i="20"/>
  <c r="C395" i="56"/>
  <c r="C34" i="56"/>
  <c r="C34" i="57"/>
  <c r="C396" i="57"/>
  <c r="C757" i="57"/>
  <c r="R44" i="16"/>
  <c r="M47" i="16"/>
  <c r="BR589" i="20" l="1"/>
  <c r="BR698" i="20" s="1"/>
  <c r="AH188" i="20"/>
  <c r="DS853" i="20"/>
  <c r="DT853" i="20" s="1"/>
  <c r="BS766" i="20"/>
  <c r="BS605" i="20"/>
  <c r="BS701" i="20" s="1"/>
  <c r="BS684" i="20"/>
  <c r="AH137" i="20"/>
  <c r="AH138" i="20" s="1"/>
  <c r="DO857" i="20"/>
  <c r="AI442" i="20"/>
  <c r="AH389" i="20"/>
  <c r="AH489" i="20"/>
  <c r="AH536" i="20"/>
  <c r="DI856" i="20"/>
  <c r="AH93" i="20"/>
  <c r="BS683" i="20" s="1"/>
  <c r="BS719" i="20" s="1"/>
  <c r="DU853" i="20"/>
  <c r="BP726" i="20"/>
  <c r="BP728" i="20" s="1"/>
  <c r="BP727" i="20"/>
  <c r="DJ900" i="20" s="1"/>
  <c r="DU851" i="20"/>
  <c r="BO729" i="20"/>
  <c r="DR849" i="20"/>
  <c r="BR730" i="20"/>
  <c r="DP901" i="20" s="1"/>
  <c r="DE874" i="20"/>
  <c r="AI75" i="20"/>
  <c r="AI136" i="20" s="1"/>
  <c r="BS817" i="20"/>
  <c r="BS880" i="20" s="1"/>
  <c r="BT603" i="20"/>
  <c r="BT821" i="20" s="1"/>
  <c r="BT882" i="20" s="1"/>
  <c r="AI192" i="20"/>
  <c r="AI94" i="20"/>
  <c r="AI92" i="20"/>
  <c r="BT682" i="20" s="1"/>
  <c r="BR747" i="20"/>
  <c r="BR719" i="20"/>
  <c r="AH146" i="20"/>
  <c r="BS624" i="20"/>
  <c r="BS775" i="20" s="1"/>
  <c r="BS858" i="20" s="1"/>
  <c r="DK854" i="20"/>
  <c r="Z15" i="19" s="1"/>
  <c r="Z14" i="19"/>
  <c r="DJ867" i="20"/>
  <c r="BR664" i="20"/>
  <c r="BR716" i="20"/>
  <c r="DS849" i="20"/>
  <c r="DS850" i="20" s="1"/>
  <c r="AC18" i="19"/>
  <c r="BS816" i="20"/>
  <c r="BS879" i="20" s="1"/>
  <c r="BS608" i="20"/>
  <c r="BQ825" i="20"/>
  <c r="BQ839" i="20" s="1"/>
  <c r="BS771" i="20"/>
  <c r="BS852" i="20" s="1"/>
  <c r="DV848" i="20"/>
  <c r="DX848" i="20" s="1"/>
  <c r="AD13" i="19" s="1"/>
  <c r="BT713" i="20"/>
  <c r="BT670" i="20"/>
  <c r="BT804" i="20" s="1"/>
  <c r="AI175" i="20"/>
  <c r="BS662" i="20"/>
  <c r="DQ849" i="20"/>
  <c r="DM899" i="20"/>
  <c r="BE619" i="20"/>
  <c r="E36" i="21"/>
  <c r="T48" i="20"/>
  <c r="U443" i="20"/>
  <c r="U390" i="20" s="1"/>
  <c r="U76" i="20" s="1"/>
  <c r="U490" i="20"/>
  <c r="T152" i="20"/>
  <c r="U537" i="20"/>
  <c r="T158" i="20"/>
  <c r="BS882" i="20"/>
  <c r="BR591" i="20"/>
  <c r="BR823" i="20" s="1"/>
  <c r="BR855" i="20" s="1"/>
  <c r="AG194" i="20"/>
  <c r="AG196" i="20" s="1"/>
  <c r="AG210" i="20" s="1"/>
  <c r="AH143" i="20"/>
  <c r="AH22" i="20"/>
  <c r="BS590" i="20"/>
  <c r="AI21" i="20"/>
  <c r="AI23" i="20"/>
  <c r="AI44" i="20"/>
  <c r="AI40" i="20"/>
  <c r="BT661" i="20"/>
  <c r="BS717" i="20"/>
  <c r="BT609" i="20"/>
  <c r="BT611" i="20" s="1"/>
  <c r="DF876" i="20"/>
  <c r="BR772" i="20"/>
  <c r="BR854" i="20" s="1"/>
  <c r="AI497" i="20"/>
  <c r="AI397" i="20"/>
  <c r="AI544" i="20"/>
  <c r="DE876" i="20"/>
  <c r="AH145" i="20"/>
  <c r="BS623" i="20"/>
  <c r="BS774" i="20" s="1"/>
  <c r="BS857" i="20" s="1"/>
  <c r="BS594" i="20"/>
  <c r="BS773" i="20" s="1"/>
  <c r="BS856" i="20" s="1"/>
  <c r="AH144" i="20"/>
  <c r="DJ899" i="20"/>
  <c r="AI46" i="20"/>
  <c r="BT663" i="20"/>
  <c r="DV851" i="20" s="1"/>
  <c r="DX851" i="20" s="1"/>
  <c r="AI41" i="20"/>
  <c r="BT587" i="20"/>
  <c r="BT724" i="20" s="1"/>
  <c r="AI20" i="20"/>
  <c r="AI142" i="20"/>
  <c r="BT671" i="20"/>
  <c r="AI176" i="20"/>
  <c r="DT848" i="20"/>
  <c r="AC12" i="19"/>
  <c r="DT851" i="20"/>
  <c r="BS724" i="20"/>
  <c r="DP850" i="20"/>
  <c r="DR850" i="20" s="1"/>
  <c r="DQ853" i="20"/>
  <c r="AI195" i="20"/>
  <c r="BT680" i="20"/>
  <c r="AI178" i="20"/>
  <c r="BT673" i="20"/>
  <c r="BT807" i="20" s="1"/>
  <c r="DL854" i="20"/>
  <c r="DH854" i="20"/>
  <c r="Y15" i="19" s="1"/>
  <c r="Y14" i="19"/>
  <c r="DG867" i="20"/>
  <c r="DI854" i="20"/>
  <c r="AC518" i="20"/>
  <c r="AC565" i="20"/>
  <c r="AD471" i="20"/>
  <c r="AC418" i="20"/>
  <c r="BT606" i="20"/>
  <c r="AI91" i="20"/>
  <c r="BT681" i="20" s="1"/>
  <c r="BS629" i="20"/>
  <c r="BS792" i="20" s="1"/>
  <c r="BS869" i="20" s="1"/>
  <c r="AH163" i="20"/>
  <c r="BS758" i="20"/>
  <c r="BS805" i="20"/>
  <c r="AH148" i="20"/>
  <c r="BS627" i="20"/>
  <c r="BS777" i="20" s="1"/>
  <c r="BS860" i="20" s="1"/>
  <c r="AH193" i="20"/>
  <c r="BS588" i="20"/>
  <c r="BS822" i="20" s="1"/>
  <c r="BS853" i="20" s="1"/>
  <c r="AI177" i="20"/>
  <c r="BT672" i="20"/>
  <c r="BT806" i="20" s="1"/>
  <c r="DM852" i="20"/>
  <c r="DN850" i="20"/>
  <c r="DO850" i="20"/>
  <c r="BQ593" i="20"/>
  <c r="BE586" i="20"/>
  <c r="T212" i="20"/>
  <c r="E212" i="21" s="1"/>
  <c r="G212" i="21" s="1"/>
  <c r="E18" i="21"/>
  <c r="T26" i="20"/>
  <c r="BT685" i="20"/>
  <c r="BT811" i="20" s="1"/>
  <c r="DV870" i="20" s="1"/>
  <c r="AD18" i="19" s="1"/>
  <c r="X22" i="19"/>
  <c r="DC890" i="20"/>
  <c r="BP794" i="20"/>
  <c r="AI207" i="20"/>
  <c r="AI209" i="20" s="1"/>
  <c r="BO820" i="20"/>
  <c r="BO896" i="20"/>
  <c r="BQ756" i="20"/>
  <c r="BQ755" i="20"/>
  <c r="BQ812" i="20"/>
  <c r="BQ597" i="20"/>
  <c r="BR656" i="20"/>
  <c r="AH68" i="20"/>
  <c r="AH45" i="20"/>
  <c r="BR628" i="20"/>
  <c r="BR791" i="20" s="1"/>
  <c r="BR868" i="20" s="1"/>
  <c r="AG162" i="20"/>
  <c r="AD38" i="20"/>
  <c r="BO621" i="20" s="1"/>
  <c r="AD263" i="20"/>
  <c r="BQ676" i="20"/>
  <c r="BQ803" i="20"/>
  <c r="BR636" i="20"/>
  <c r="AG166" i="20"/>
  <c r="AH52" i="20"/>
  <c r="DJ856" i="20"/>
  <c r="DK856" i="20" s="1"/>
  <c r="AF179" i="20"/>
  <c r="AF180" i="20" s="1"/>
  <c r="BQ667" i="20"/>
  <c r="BQ808" i="20" s="1"/>
  <c r="BS838" i="20"/>
  <c r="BS894" i="20"/>
  <c r="DG876" i="20"/>
  <c r="DI876" i="20" s="1"/>
  <c r="AF190" i="20"/>
  <c r="AH80" i="20"/>
  <c r="BR669" i="20"/>
  <c r="DP857" i="20" s="1"/>
  <c r="DQ857" i="20" s="1"/>
  <c r="BT894" i="20"/>
  <c r="BT838" i="20"/>
  <c r="BP819" i="20"/>
  <c r="DJ871" i="20"/>
  <c r="AG174" i="20"/>
  <c r="BR668" i="20"/>
  <c r="AH79" i="20"/>
  <c r="BQ867" i="20"/>
  <c r="BQ818" i="20"/>
  <c r="BQ881" i="20" s="1"/>
  <c r="BQ614" i="20"/>
  <c r="BQ815" i="20"/>
  <c r="BQ601" i="20"/>
  <c r="AG171" i="20"/>
  <c r="AH57" i="20"/>
  <c r="BR642" i="20"/>
  <c r="BR800" i="20" s="1"/>
  <c r="BR876" i="20" s="1"/>
  <c r="BR595" i="20"/>
  <c r="AH24" i="20"/>
  <c r="AG183" i="20"/>
  <c r="BR596" i="20"/>
  <c r="BR813" i="20" s="1"/>
  <c r="BR878" i="20" s="1"/>
  <c r="AH25" i="20"/>
  <c r="AG184" i="20"/>
  <c r="AG164" i="20"/>
  <c r="AH47" i="20"/>
  <c r="BR630" i="20"/>
  <c r="BP814" i="20"/>
  <c r="BP877" i="20"/>
  <c r="AG161" i="20"/>
  <c r="AH43" i="20"/>
  <c r="BR626" i="20"/>
  <c r="BR790" i="20" s="1"/>
  <c r="AH55" i="20"/>
  <c r="BR640" i="20"/>
  <c r="BR798" i="20" s="1"/>
  <c r="BR874" i="20" s="1"/>
  <c r="AG169" i="20"/>
  <c r="BQ638" i="20"/>
  <c r="BQ795" i="20"/>
  <c r="BP809" i="20"/>
  <c r="BQ799" i="20"/>
  <c r="BQ875" i="20" s="1"/>
  <c r="BQ644" i="20"/>
  <c r="AH32" i="20"/>
  <c r="AG189" i="20"/>
  <c r="BR612" i="20"/>
  <c r="Y19" i="19"/>
  <c r="DL871" i="20"/>
  <c r="AH54" i="20"/>
  <c r="AG168" i="20"/>
  <c r="BR639" i="20"/>
  <c r="BR797" i="20" s="1"/>
  <c r="BR873" i="20" s="1"/>
  <c r="AG347" i="20"/>
  <c r="DG874" i="20"/>
  <c r="DI874" i="20" s="1"/>
  <c r="AG425" i="20"/>
  <c r="AG78" i="20" s="1"/>
  <c r="AH423" i="20"/>
  <c r="AG167" i="20"/>
  <c r="AH53" i="20"/>
  <c r="BR637" i="20"/>
  <c r="BR796" i="20" s="1"/>
  <c r="BR872" i="20" s="1"/>
  <c r="DM875" i="20"/>
  <c r="AF185" i="20"/>
  <c r="BQ631" i="20"/>
  <c r="BQ793" i="20"/>
  <c r="BQ870" i="20" s="1"/>
  <c r="BN634" i="20"/>
  <c r="AC58" i="20"/>
  <c r="AF165" i="20"/>
  <c r="AF172" i="20"/>
  <c r="AH56" i="20"/>
  <c r="AG170" i="20"/>
  <c r="BR641" i="20"/>
  <c r="AE191" i="20"/>
  <c r="AH27" i="20"/>
  <c r="AG186" i="20"/>
  <c r="BR599" i="20"/>
  <c r="BP801" i="20"/>
  <c r="BP871" i="20"/>
  <c r="BP633" i="20"/>
  <c r="AF37" i="20"/>
  <c r="BQ620" i="20" s="1"/>
  <c r="AF251" i="20"/>
  <c r="C396" i="56"/>
  <c r="C35" i="56"/>
  <c r="C35" i="57"/>
  <c r="C397" i="57"/>
  <c r="C758" i="57"/>
  <c r="R47" i="16"/>
  <c r="M29" i="16"/>
  <c r="M50" i="16"/>
  <c r="M58" i="16" s="1"/>
  <c r="S119" i="19" s="1"/>
  <c r="M36" i="16"/>
  <c r="P251" i="16"/>
  <c r="P223" i="16" s="1"/>
  <c r="P35" i="16" s="1"/>
  <c r="P305" i="16"/>
  <c r="P278" i="16"/>
  <c r="BR725" i="20" l="1"/>
  <c r="DR857" i="20"/>
  <c r="DL856" i="20"/>
  <c r="AI389" i="20"/>
  <c r="AI489" i="20"/>
  <c r="AI536" i="20"/>
  <c r="DO875" i="20"/>
  <c r="BS747" i="20"/>
  <c r="BP729" i="20"/>
  <c r="BS730" i="20"/>
  <c r="DS901" i="20" s="1"/>
  <c r="DT849" i="20"/>
  <c r="BQ699" i="20"/>
  <c r="BQ727" i="20"/>
  <c r="BQ726" i="20"/>
  <c r="BQ728" i="20" s="1"/>
  <c r="DU849" i="20"/>
  <c r="BT684" i="20"/>
  <c r="BR825" i="20"/>
  <c r="BR839" i="20" s="1"/>
  <c r="AI187" i="20"/>
  <c r="E26" i="21"/>
  <c r="T34" i="20"/>
  <c r="P77" i="22"/>
  <c r="DS852" i="20"/>
  <c r="AI193" i="20"/>
  <c r="BT588" i="20"/>
  <c r="BT822" i="20" s="1"/>
  <c r="AI163" i="20"/>
  <c r="BT629" i="20"/>
  <c r="BT792" i="20" s="1"/>
  <c r="BT869" i="20" s="1"/>
  <c r="BT662" i="20"/>
  <c r="DV849" i="20"/>
  <c r="DV850" i="20" s="1"/>
  <c r="DV852" i="20" s="1"/>
  <c r="DW852" i="20" s="1"/>
  <c r="AI143" i="20"/>
  <c r="BT590" i="20"/>
  <c r="AI22" i="20"/>
  <c r="AH194" i="20"/>
  <c r="AH196" i="20" s="1"/>
  <c r="AH210" i="20" s="1"/>
  <c r="BS591" i="20"/>
  <c r="BS823" i="20" s="1"/>
  <c r="BS855" i="20" s="1"/>
  <c r="E152" i="21"/>
  <c r="G152" i="21" s="1"/>
  <c r="T156" i="20"/>
  <c r="Q36" i="21"/>
  <c r="O36" i="21"/>
  <c r="H36" i="21"/>
  <c r="I36" i="21"/>
  <c r="R36" i="21"/>
  <c r="J36" i="21"/>
  <c r="K36" i="21"/>
  <c r="G36" i="21"/>
  <c r="G48" i="21" s="1"/>
  <c r="G59" i="21" s="1"/>
  <c r="P36" i="21"/>
  <c r="M36" i="21"/>
  <c r="N36" i="21"/>
  <c r="L36" i="21"/>
  <c r="BS589" i="20"/>
  <c r="BR765" i="20"/>
  <c r="BR767" i="20" s="1"/>
  <c r="BR718" i="20"/>
  <c r="BT817" i="20"/>
  <c r="BT880" i="20" s="1"/>
  <c r="BT605" i="20"/>
  <c r="BT701" i="20" s="1"/>
  <c r="Q18" i="21"/>
  <c r="O18" i="21"/>
  <c r="P18" i="21"/>
  <c r="N18" i="21"/>
  <c r="R18" i="21"/>
  <c r="L18" i="21"/>
  <c r="K18" i="21"/>
  <c r="M18" i="21"/>
  <c r="I18" i="21"/>
  <c r="J18" i="21"/>
  <c r="G18" i="21"/>
  <c r="G26" i="21" s="1"/>
  <c r="G34" i="21" s="1"/>
  <c r="H18" i="21"/>
  <c r="BT608" i="20"/>
  <c r="BT816" i="20"/>
  <c r="BT879" i="20" s="1"/>
  <c r="BT771" i="20"/>
  <c r="BT852" i="20" s="1"/>
  <c r="BT589" i="20"/>
  <c r="DP899" i="20"/>
  <c r="BR593" i="20"/>
  <c r="AI188" i="20"/>
  <c r="BT623" i="20"/>
  <c r="BT774" i="20" s="1"/>
  <c r="BT857" i="20" s="1"/>
  <c r="AI145" i="20"/>
  <c r="AI93" i="20"/>
  <c r="BT683" i="20" s="1"/>
  <c r="BE745" i="20"/>
  <c r="CC897" i="20" s="1"/>
  <c r="BE704" i="20"/>
  <c r="BE734" i="20"/>
  <c r="CC889" i="20"/>
  <c r="BE787" i="20"/>
  <c r="BE781" i="20"/>
  <c r="BE632" i="20"/>
  <c r="DX870" i="20"/>
  <c r="DK884" i="20"/>
  <c r="DK875" i="20"/>
  <c r="DK871" i="20"/>
  <c r="DK870" i="20"/>
  <c r="DK867" i="20"/>
  <c r="DK882" i="20"/>
  <c r="AI137" i="20"/>
  <c r="AI138" i="20" s="1"/>
  <c r="DP852" i="20"/>
  <c r="DR852" i="20" s="1"/>
  <c r="DU850" i="20"/>
  <c r="DQ850" i="20"/>
  <c r="DT850" i="20"/>
  <c r="BT758" i="20"/>
  <c r="BT805" i="20"/>
  <c r="AI146" i="20"/>
  <c r="BT624" i="20"/>
  <c r="BT775" i="20" s="1"/>
  <c r="BT858" i="20" s="1"/>
  <c r="BT627" i="20"/>
  <c r="BT777" i="20" s="1"/>
  <c r="BT860" i="20" s="1"/>
  <c r="AI148" i="20"/>
  <c r="E158" i="21"/>
  <c r="G158" i="21" s="1"/>
  <c r="T181" i="20"/>
  <c r="E181" i="21" s="1"/>
  <c r="G181" i="21" s="1"/>
  <c r="BF665" i="20"/>
  <c r="U155" i="20"/>
  <c r="U87" i="20"/>
  <c r="U88" i="20" s="1"/>
  <c r="BT714" i="20"/>
  <c r="DW848" i="20"/>
  <c r="AD12" i="19"/>
  <c r="DW851" i="20"/>
  <c r="BE598" i="20"/>
  <c r="CF886" i="20"/>
  <c r="BE841" i="20"/>
  <c r="DM854" i="20"/>
  <c r="DN852" i="20"/>
  <c r="DO852" i="20"/>
  <c r="AD418" i="20"/>
  <c r="AD565" i="20"/>
  <c r="AD518" i="20"/>
  <c r="AE471" i="20"/>
  <c r="DH874" i="20"/>
  <c r="DH875" i="20"/>
  <c r="DH867" i="20"/>
  <c r="DH884" i="20"/>
  <c r="DL867" i="20"/>
  <c r="DH876" i="20"/>
  <c r="DH871" i="20"/>
  <c r="DH882" i="20"/>
  <c r="DH870" i="20"/>
  <c r="DI867" i="20"/>
  <c r="BT824" i="20"/>
  <c r="BT883" i="20" s="1"/>
  <c r="BT766" i="20"/>
  <c r="DV853" i="20"/>
  <c r="AI144" i="20"/>
  <c r="BT594" i="20"/>
  <c r="BT773" i="20" s="1"/>
  <c r="BT856" i="20" s="1"/>
  <c r="BS772" i="20"/>
  <c r="BS854" i="20" s="1"/>
  <c r="E48" i="21"/>
  <c r="P79" i="22"/>
  <c r="T59" i="20"/>
  <c r="BS664" i="20"/>
  <c r="BS716" i="20"/>
  <c r="BT717" i="20"/>
  <c r="AF191" i="20"/>
  <c r="AG165" i="20"/>
  <c r="DJ876" i="20"/>
  <c r="DK876" i="20" s="1"/>
  <c r="AG190" i="20"/>
  <c r="BP820" i="20"/>
  <c r="Y22" i="19"/>
  <c r="BR614" i="20"/>
  <c r="BR818" i="20"/>
  <c r="BR881" i="20" s="1"/>
  <c r="BQ871" i="20"/>
  <c r="BQ801" i="20"/>
  <c r="BR793" i="20"/>
  <c r="BR870" i="20" s="1"/>
  <c r="BR631" i="20"/>
  <c r="BR803" i="20"/>
  <c r="BR676" i="20"/>
  <c r="AI27" i="20"/>
  <c r="BS599" i="20"/>
  <c r="AH186" i="20"/>
  <c r="BS641" i="20"/>
  <c r="AH170" i="20"/>
  <c r="AI56" i="20"/>
  <c r="BN645" i="20"/>
  <c r="BN706" i="20" s="1"/>
  <c r="DD890" i="20"/>
  <c r="DE890" i="20" s="1"/>
  <c r="AH168" i="20"/>
  <c r="BS639" i="20"/>
  <c r="BS797" i="20" s="1"/>
  <c r="BS873" i="20" s="1"/>
  <c r="AH347" i="20"/>
  <c r="AI54" i="20"/>
  <c r="AH164" i="20"/>
  <c r="BS630" i="20"/>
  <c r="AI47" i="20"/>
  <c r="BQ794" i="20"/>
  <c r="Y21" i="19"/>
  <c r="BR795" i="20"/>
  <c r="BR638" i="20"/>
  <c r="BQ809" i="20"/>
  <c r="AF261" i="20"/>
  <c r="AD50" i="20"/>
  <c r="AE265" i="20"/>
  <c r="AE262" i="20"/>
  <c r="BS628" i="20"/>
  <c r="BS791" i="20" s="1"/>
  <c r="BS868" i="20" s="1"/>
  <c r="AH162" i="20"/>
  <c r="AI45" i="20"/>
  <c r="BQ814" i="20"/>
  <c r="BQ877" i="20"/>
  <c r="AI43" i="20"/>
  <c r="BS626" i="20"/>
  <c r="BS790" i="20" s="1"/>
  <c r="AH161" i="20"/>
  <c r="AI25" i="20"/>
  <c r="AH184" i="20"/>
  <c r="BS596" i="20"/>
  <c r="BS813" i="20" s="1"/>
  <c r="BS878" i="20" s="1"/>
  <c r="BR755" i="20"/>
  <c r="BR756" i="20"/>
  <c r="BR597" i="20"/>
  <c r="BR812" i="20"/>
  <c r="DM856" i="20"/>
  <c r="DN856" i="20" s="1"/>
  <c r="AI423" i="20"/>
  <c r="AI425" i="20" s="1"/>
  <c r="AI78" i="20" s="1"/>
  <c r="AH425" i="20"/>
  <c r="AH78" i="20" s="1"/>
  <c r="AI32" i="20"/>
  <c r="BS612" i="20"/>
  <c r="AH189" i="20"/>
  <c r="AH169" i="20"/>
  <c r="BS640" i="20"/>
  <c r="BS798" i="20" s="1"/>
  <c r="BS874" i="20" s="1"/>
  <c r="AI55" i="20"/>
  <c r="BP896" i="20"/>
  <c r="AG185" i="20"/>
  <c r="AH171" i="20"/>
  <c r="BS642" i="20"/>
  <c r="BS800" i="20" s="1"/>
  <c r="BS876" i="20" s="1"/>
  <c r="AI57" i="20"/>
  <c r="BQ819" i="20"/>
  <c r="DM871" i="20"/>
  <c r="DO871" i="20"/>
  <c r="Z19" i="19"/>
  <c r="DP875" i="20"/>
  <c r="DJ874" i="20"/>
  <c r="DK874" i="20" s="1"/>
  <c r="AI68" i="20"/>
  <c r="BT656" i="20" s="1"/>
  <c r="BS656" i="20"/>
  <c r="AG172" i="20"/>
  <c r="BR601" i="20"/>
  <c r="BR815" i="20"/>
  <c r="BR799" i="20"/>
  <c r="BR875" i="20" s="1"/>
  <c r="BR644" i="20"/>
  <c r="AI53" i="20"/>
  <c r="BS637" i="20"/>
  <c r="BS796" i="20" s="1"/>
  <c r="BS872" i="20" s="1"/>
  <c r="AH167" i="20"/>
  <c r="AG179" i="20"/>
  <c r="AG180" i="20" s="1"/>
  <c r="BR667" i="20"/>
  <c r="BR808" i="20" s="1"/>
  <c r="BR867" i="20"/>
  <c r="BS595" i="20"/>
  <c r="AH183" i="20"/>
  <c r="AI24" i="20"/>
  <c r="AI79" i="20"/>
  <c r="BS668" i="20"/>
  <c r="AH174" i="20"/>
  <c r="BS669" i="20"/>
  <c r="DS857" i="20" s="1"/>
  <c r="DT857" i="20" s="1"/>
  <c r="AI80" i="20"/>
  <c r="BT669" i="20" s="1"/>
  <c r="DV857" i="20" s="1"/>
  <c r="DV875" i="20" s="1"/>
  <c r="AI52" i="20"/>
  <c r="BS636" i="20"/>
  <c r="AH166" i="20"/>
  <c r="AH249" i="20"/>
  <c r="AF49" i="20"/>
  <c r="AG250" i="20"/>
  <c r="AG251" i="20" s="1"/>
  <c r="AG253" i="20"/>
  <c r="C397" i="56"/>
  <c r="C36" i="56"/>
  <c r="C36" i="57"/>
  <c r="C398" i="57"/>
  <c r="C759" i="57"/>
  <c r="S109" i="19"/>
  <c r="R36" i="16"/>
  <c r="M40" i="16"/>
  <c r="M59" i="16"/>
  <c r="S118" i="19" s="1"/>
  <c r="S110" i="19"/>
  <c r="R29" i="16"/>
  <c r="M33" i="16"/>
  <c r="S117" i="19"/>
  <c r="R50" i="16"/>
  <c r="P55" i="16"/>
  <c r="U35" i="16"/>
  <c r="T108" i="19"/>
  <c r="DU857" i="20" l="1"/>
  <c r="DR875" i="20"/>
  <c r="DO856" i="20"/>
  <c r="DL874" i="20"/>
  <c r="DW853" i="20"/>
  <c r="DX853" i="20"/>
  <c r="BS593" i="20"/>
  <c r="BS699" i="20" s="1"/>
  <c r="DW849" i="20"/>
  <c r="DW850" i="20"/>
  <c r="BT730" i="20"/>
  <c r="DV901" i="20" s="1"/>
  <c r="BR699" i="20"/>
  <c r="BR727" i="20"/>
  <c r="BR726" i="20"/>
  <c r="BR728" i="20" s="1"/>
  <c r="DX849" i="20"/>
  <c r="DM900" i="20"/>
  <c r="BQ729" i="20"/>
  <c r="DL876" i="20"/>
  <c r="BS825" i="20"/>
  <c r="BS839" i="20" s="1"/>
  <c r="DW857" i="20"/>
  <c r="U89" i="20"/>
  <c r="U64" i="20" s="1"/>
  <c r="V139" i="20"/>
  <c r="U147" i="20"/>
  <c r="U149" i="20" s="1"/>
  <c r="U150" i="20" s="1"/>
  <c r="BF678" i="20"/>
  <c r="BT719" i="20"/>
  <c r="BT747" i="20"/>
  <c r="K212" i="21"/>
  <c r="K26" i="21"/>
  <c r="K34" i="21" s="1"/>
  <c r="P212" i="21"/>
  <c r="P26" i="21"/>
  <c r="P34" i="21" s="1"/>
  <c r="BS698" i="20"/>
  <c r="BS725" i="20"/>
  <c r="J48" i="21"/>
  <c r="J59" i="21" s="1"/>
  <c r="J152" i="21"/>
  <c r="J156" i="21" s="1"/>
  <c r="J157" i="21" s="1"/>
  <c r="J158" i="21"/>
  <c r="J181" i="21" s="1"/>
  <c r="BT772" i="20"/>
  <c r="BT854" i="20" s="1"/>
  <c r="DS854" i="20"/>
  <c r="DX852" i="20"/>
  <c r="DT852" i="20"/>
  <c r="BF741" i="20"/>
  <c r="BF737" i="20"/>
  <c r="BE705" i="20"/>
  <c r="BE646" i="20"/>
  <c r="BE736" i="20"/>
  <c r="BE735" i="20"/>
  <c r="J212" i="21"/>
  <c r="J26" i="21"/>
  <c r="J34" i="21" s="1"/>
  <c r="L212" i="21"/>
  <c r="L26" i="21"/>
  <c r="L34" i="21" s="1"/>
  <c r="O26" i="21"/>
  <c r="O34" i="21" s="1"/>
  <c r="O212" i="21"/>
  <c r="P158" i="21"/>
  <c r="P181" i="21" s="1"/>
  <c r="P48" i="21"/>
  <c r="P59" i="21" s="1"/>
  <c r="P152" i="21"/>
  <c r="P156" i="21" s="1"/>
  <c r="P157" i="21" s="1"/>
  <c r="R158" i="21"/>
  <c r="R181" i="21" s="1"/>
  <c r="R152" i="21"/>
  <c r="R156" i="21" s="1"/>
  <c r="R157" i="21" s="1"/>
  <c r="R48" i="21"/>
  <c r="R59" i="21" s="1"/>
  <c r="Q48" i="21"/>
  <c r="Q59" i="21" s="1"/>
  <c r="Q158" i="21"/>
  <c r="Q181" i="21" s="1"/>
  <c r="Q152" i="21"/>
  <c r="Q156" i="21" s="1"/>
  <c r="Q157" i="21" s="1"/>
  <c r="DV854" i="20"/>
  <c r="BT853" i="20"/>
  <c r="DN854" i="20"/>
  <c r="AA15" i="19" s="1"/>
  <c r="AA14" i="19"/>
  <c r="DM867" i="20"/>
  <c r="DO854" i="20"/>
  <c r="AB15" i="19" s="1"/>
  <c r="CD889" i="20"/>
  <c r="CI71" i="19"/>
  <c r="CI76" i="19" s="1"/>
  <c r="CE889" i="20"/>
  <c r="CC891" i="20"/>
  <c r="BS765" i="20"/>
  <c r="BS767" i="20" s="1"/>
  <c r="BS718" i="20"/>
  <c r="AE518" i="20"/>
  <c r="AE565" i="20"/>
  <c r="AF471" i="20"/>
  <c r="AE418" i="20"/>
  <c r="BF720" i="20"/>
  <c r="BF677" i="20"/>
  <c r="BF784" i="20"/>
  <c r="CF880" i="20" s="1"/>
  <c r="CH880" i="20" s="1"/>
  <c r="CF858" i="20"/>
  <c r="CH858" i="20" s="1"/>
  <c r="BE785" i="20"/>
  <c r="BE786" i="20" s="1"/>
  <c r="CC881" i="20"/>
  <c r="BE743" i="20"/>
  <c r="BE752" i="20"/>
  <c r="BE744" i="20"/>
  <c r="BE746" i="20"/>
  <c r="BE749" i="20"/>
  <c r="P81" i="22"/>
  <c r="I212" i="21"/>
  <c r="I26" i="21"/>
  <c r="I34" i="21" s="1"/>
  <c r="R212" i="21"/>
  <c r="R26" i="21"/>
  <c r="R34" i="21" s="1"/>
  <c r="Q212" i="21"/>
  <c r="Q26" i="21"/>
  <c r="Q34" i="21" s="1"/>
  <c r="L158" i="21"/>
  <c r="L181" i="21" s="1"/>
  <c r="L48" i="21"/>
  <c r="L59" i="21" s="1"/>
  <c r="L152" i="21"/>
  <c r="L156" i="21" s="1"/>
  <c r="L157" i="21" s="1"/>
  <c r="I158" i="21"/>
  <c r="I181" i="21" s="1"/>
  <c r="I152" i="21"/>
  <c r="I156" i="21" s="1"/>
  <c r="I157" i="21" s="1"/>
  <c r="I48" i="21"/>
  <c r="I59" i="21" s="1"/>
  <c r="BE739" i="20"/>
  <c r="E156" i="21"/>
  <c r="G156" i="21" s="1"/>
  <c r="T157" i="20"/>
  <c r="BT664" i="20"/>
  <c r="BT716" i="20"/>
  <c r="T35" i="20"/>
  <c r="E35" i="21" s="1"/>
  <c r="G80" i="22"/>
  <c r="E34" i="21"/>
  <c r="T70" i="20"/>
  <c r="E70" i="21" s="1"/>
  <c r="BE700" i="20"/>
  <c r="BE616" i="20"/>
  <c r="BE733" i="20"/>
  <c r="G70" i="21"/>
  <c r="G35" i="21"/>
  <c r="M152" i="21"/>
  <c r="M156" i="21" s="1"/>
  <c r="M157" i="21" s="1"/>
  <c r="M48" i="21"/>
  <c r="M59" i="21" s="1"/>
  <c r="M158" i="21"/>
  <c r="M181" i="21" s="1"/>
  <c r="O158" i="21"/>
  <c r="O181" i="21" s="1"/>
  <c r="O152" i="21"/>
  <c r="O156" i="21" s="1"/>
  <c r="O157" i="21" s="1"/>
  <c r="O48" i="21"/>
  <c r="O59" i="21" s="1"/>
  <c r="G81" i="22"/>
  <c r="E59" i="21"/>
  <c r="CG886" i="20"/>
  <c r="P32" i="19"/>
  <c r="CH886" i="20"/>
  <c r="DU852" i="20"/>
  <c r="DP854" i="20"/>
  <c r="DQ852" i="20"/>
  <c r="CC883" i="20"/>
  <c r="BE810" i="20"/>
  <c r="BT698" i="20"/>
  <c r="BT725" i="20"/>
  <c r="H26" i="21"/>
  <c r="H34" i="21" s="1"/>
  <c r="H212" i="21"/>
  <c r="M26" i="21"/>
  <c r="M34" i="21" s="1"/>
  <c r="M212" i="21"/>
  <c r="N212" i="21"/>
  <c r="N26" i="21"/>
  <c r="N34" i="21" s="1"/>
  <c r="N48" i="21"/>
  <c r="N59" i="21" s="1"/>
  <c r="N158" i="21"/>
  <c r="N181" i="21" s="1"/>
  <c r="N152" i="21"/>
  <c r="N156" i="21" s="1"/>
  <c r="N157" i="21" s="1"/>
  <c r="K48" i="21"/>
  <c r="K59" i="21" s="1"/>
  <c r="K152" i="21"/>
  <c r="K156" i="21" s="1"/>
  <c r="K157" i="21" s="1"/>
  <c r="K158" i="21"/>
  <c r="K181" i="21" s="1"/>
  <c r="H152" i="21"/>
  <c r="H156" i="21" s="1"/>
  <c r="H157" i="21" s="1"/>
  <c r="H158" i="21"/>
  <c r="H181" i="21" s="1"/>
  <c r="H48" i="21"/>
  <c r="H59" i="21" s="1"/>
  <c r="AI194" i="20"/>
  <c r="AI196" i="20" s="1"/>
  <c r="AI210" i="20" s="1"/>
  <c r="BT591" i="20"/>
  <c r="BT823" i="20" s="1"/>
  <c r="BT855" i="20" s="1"/>
  <c r="DX850" i="20"/>
  <c r="DF890" i="20"/>
  <c r="AH185" i="20"/>
  <c r="AG191" i="20"/>
  <c r="Z21" i="19"/>
  <c r="BQ896" i="20"/>
  <c r="BR794" i="20"/>
  <c r="AH165" i="20"/>
  <c r="AH172" i="20"/>
  <c r="DM876" i="20"/>
  <c r="DO876" i="20" s="1"/>
  <c r="BT667" i="20"/>
  <c r="BT808" i="20" s="1"/>
  <c r="AI179" i="20"/>
  <c r="BS799" i="20"/>
  <c r="BS875" i="20" s="1"/>
  <c r="BS644" i="20"/>
  <c r="BT595" i="20"/>
  <c r="AI183" i="20"/>
  <c r="AI167" i="20"/>
  <c r="BT637" i="20"/>
  <c r="BT796" i="20" s="1"/>
  <c r="BT872" i="20" s="1"/>
  <c r="BS614" i="20"/>
  <c r="BS818" i="20"/>
  <c r="BS881" i="20" s="1"/>
  <c r="BS867" i="20"/>
  <c r="AH190" i="20"/>
  <c r="BR809" i="20"/>
  <c r="AI174" i="20"/>
  <c r="BT668" i="20"/>
  <c r="AI171" i="20"/>
  <c r="BT642" i="20"/>
  <c r="BT800" i="20" s="1"/>
  <c r="BT876" i="20" s="1"/>
  <c r="DM874" i="20"/>
  <c r="BR814" i="20"/>
  <c r="BR877" i="20"/>
  <c r="BQ782" i="20"/>
  <c r="DM882" i="20" s="1"/>
  <c r="DR882" i="20" s="1"/>
  <c r="BS795" i="20"/>
  <c r="BS638" i="20"/>
  <c r="AA19" i="19"/>
  <c r="DR871" i="20"/>
  <c r="AI189" i="20"/>
  <c r="BT612" i="20"/>
  <c r="BT626" i="20"/>
  <c r="BT790" i="20" s="1"/>
  <c r="AI161" i="20"/>
  <c r="BQ820" i="20"/>
  <c r="AE263" i="20"/>
  <c r="AE38" i="20"/>
  <c r="BP621" i="20" s="1"/>
  <c r="BS631" i="20"/>
  <c r="BS793" i="20"/>
  <c r="BS870" i="20" s="1"/>
  <c r="BT641" i="20"/>
  <c r="AI170" i="20"/>
  <c r="BS601" i="20"/>
  <c r="BS815" i="20"/>
  <c r="BO634" i="20"/>
  <c r="AD58" i="20"/>
  <c r="BR871" i="20"/>
  <c r="BR801" i="20"/>
  <c r="AI168" i="20"/>
  <c r="AI347" i="20"/>
  <c r="BT639" i="20"/>
  <c r="BT797" i="20" s="1"/>
  <c r="BT873" i="20" s="1"/>
  <c r="DX857" i="20"/>
  <c r="DS875" i="20"/>
  <c r="DX875" i="20" s="1"/>
  <c r="BT640" i="20"/>
  <c r="BT798" i="20" s="1"/>
  <c r="BT874" i="20" s="1"/>
  <c r="AI169" i="20"/>
  <c r="AI164" i="20"/>
  <c r="BT630" i="20"/>
  <c r="AI166" i="20"/>
  <c r="BT636" i="20"/>
  <c r="BS803" i="20"/>
  <c r="BS676" i="20"/>
  <c r="BS812" i="20"/>
  <c r="BS755" i="20"/>
  <c r="BS597" i="20"/>
  <c r="BS756" i="20"/>
  <c r="BR819" i="20"/>
  <c r="DP871" i="20"/>
  <c r="DO874" i="20"/>
  <c r="Z22" i="19"/>
  <c r="AH179" i="20"/>
  <c r="AH180" i="20" s="1"/>
  <c r="BS667" i="20"/>
  <c r="BS808" i="20" s="1"/>
  <c r="AI184" i="20"/>
  <c r="BT596" i="20"/>
  <c r="BT813" i="20" s="1"/>
  <c r="BT878" i="20" s="1"/>
  <c r="AI162" i="20"/>
  <c r="BT628" i="20"/>
  <c r="BT791" i="20" s="1"/>
  <c r="BT868" i="20" s="1"/>
  <c r="BT599" i="20"/>
  <c r="AI186" i="20"/>
  <c r="DP856" i="20"/>
  <c r="DQ856" i="20" s="1"/>
  <c r="BQ633" i="20"/>
  <c r="AG37" i="20"/>
  <c r="BR620" i="20" s="1"/>
  <c r="AH253" i="20"/>
  <c r="AH250" i="20"/>
  <c r="AH37" i="20" s="1"/>
  <c r="BS620" i="20" s="1"/>
  <c r="AI249" i="20"/>
  <c r="AG49" i="20"/>
  <c r="C398" i="56"/>
  <c r="C37" i="56"/>
  <c r="C399" i="57"/>
  <c r="C760" i="57"/>
  <c r="C37" i="57"/>
  <c r="S112" i="19"/>
  <c r="S114" i="19" s="1"/>
  <c r="S116" i="19" s="1"/>
  <c r="T115" i="19" s="1"/>
  <c r="R40" i="16"/>
  <c r="M56" i="16"/>
  <c r="S120" i="19" s="1"/>
  <c r="M41" i="16"/>
  <c r="R33" i="16"/>
  <c r="BS726" i="20" l="1"/>
  <c r="BS728" i="20" s="1"/>
  <c r="DU875" i="20"/>
  <c r="DR856" i="20"/>
  <c r="BS727" i="20"/>
  <c r="DS900" i="20" s="1"/>
  <c r="BT593" i="20"/>
  <c r="BT699" i="20" s="1"/>
  <c r="DP900" i="20"/>
  <c r="BR729" i="20"/>
  <c r="N211" i="21"/>
  <c r="N213" i="21" s="1"/>
  <c r="BT825" i="20"/>
  <c r="BT839" i="20" s="1"/>
  <c r="H211" i="21"/>
  <c r="H213" i="21" s="1"/>
  <c r="K211" i="21"/>
  <c r="K213" i="21" s="1"/>
  <c r="O211" i="21"/>
  <c r="O213" i="21" s="1"/>
  <c r="M211" i="21"/>
  <c r="M213" i="21" s="1"/>
  <c r="I211" i="21"/>
  <c r="I213" i="21" s="1"/>
  <c r="M70" i="21"/>
  <c r="M35" i="21"/>
  <c r="DQ854" i="20"/>
  <c r="DP867" i="20"/>
  <c r="DU854" i="20"/>
  <c r="AB14" i="19"/>
  <c r="BE703" i="20"/>
  <c r="BE617" i="20"/>
  <c r="BE750" i="20" s="1"/>
  <c r="BE751" i="20"/>
  <c r="T211" i="20"/>
  <c r="E157" i="21"/>
  <c r="G157" i="21" s="1"/>
  <c r="CG880" i="20"/>
  <c r="P24" i="19"/>
  <c r="P36" i="19" s="1"/>
  <c r="DN874" i="20"/>
  <c r="DN870" i="20"/>
  <c r="DN875" i="20"/>
  <c r="DN882" i="20"/>
  <c r="DN867" i="20"/>
  <c r="DN876" i="20"/>
  <c r="DN884" i="20"/>
  <c r="DN871" i="20"/>
  <c r="DO867" i="20"/>
  <c r="J35" i="21"/>
  <c r="J70" i="21"/>
  <c r="BF679" i="20"/>
  <c r="BF721" i="20" s="1"/>
  <c r="BF776" i="20"/>
  <c r="BG768" i="20"/>
  <c r="CI868" i="20" s="1"/>
  <c r="CF861" i="20"/>
  <c r="N70" i="21"/>
  <c r="N35" i="21"/>
  <c r="Q35" i="21"/>
  <c r="Q70" i="21"/>
  <c r="I70" i="21"/>
  <c r="I35" i="21"/>
  <c r="CE881" i="20"/>
  <c r="CD881" i="20"/>
  <c r="CC885" i="20"/>
  <c r="O25" i="19"/>
  <c r="CC894" i="20"/>
  <c r="P211" i="21"/>
  <c r="P213" i="21" s="1"/>
  <c r="O70" i="21"/>
  <c r="O35" i="21"/>
  <c r="DS899" i="20"/>
  <c r="K70" i="21"/>
  <c r="K35" i="21"/>
  <c r="BF740" i="20"/>
  <c r="U151" i="20"/>
  <c r="AF518" i="20"/>
  <c r="AF418" i="20"/>
  <c r="AG471" i="20"/>
  <c r="AF565" i="20"/>
  <c r="H70" i="21"/>
  <c r="H35" i="21"/>
  <c r="CD883" i="20"/>
  <c r="O26" i="19"/>
  <c r="L211" i="21"/>
  <c r="L213" i="21" s="1"/>
  <c r="BE840" i="20"/>
  <c r="BE842" i="20" s="1"/>
  <c r="CE891" i="20"/>
  <c r="CD891" i="20"/>
  <c r="O34" i="19"/>
  <c r="O35" i="19" s="1"/>
  <c r="DR854" i="20"/>
  <c r="DV867" i="20"/>
  <c r="AD14" i="19"/>
  <c r="DW854" i="20"/>
  <c r="AD15" i="19" s="1"/>
  <c r="L70" i="21"/>
  <c r="L35" i="21"/>
  <c r="CC896" i="20"/>
  <c r="P83" i="22"/>
  <c r="BE748" i="20"/>
  <c r="BE658" i="20"/>
  <c r="DV899" i="20"/>
  <c r="BT765" i="20"/>
  <c r="BT767" i="20" s="1"/>
  <c r="BT718" i="20"/>
  <c r="R35" i="21"/>
  <c r="R70" i="21"/>
  <c r="CG858" i="20"/>
  <c r="CF860" i="20"/>
  <c r="CF895" i="20"/>
  <c r="Q211" i="21"/>
  <c r="Q213" i="21" s="1"/>
  <c r="R211" i="21"/>
  <c r="R213" i="21" s="1"/>
  <c r="DS867" i="20"/>
  <c r="AC14" i="19"/>
  <c r="DT854" i="20"/>
  <c r="AC15" i="19" s="1"/>
  <c r="DX854" i="20"/>
  <c r="J211" i="21"/>
  <c r="J213" i="21" s="1"/>
  <c r="P70" i="21"/>
  <c r="P35" i="21"/>
  <c r="V62" i="20"/>
  <c r="V63" i="20"/>
  <c r="U225" i="20"/>
  <c r="U67" i="20"/>
  <c r="BF652" i="20"/>
  <c r="BF655" i="20" s="1"/>
  <c r="AI180" i="20"/>
  <c r="AH191" i="20"/>
  <c r="AA21" i="19"/>
  <c r="BR896" i="20"/>
  <c r="DP876" i="20"/>
  <c r="BS877" i="20"/>
  <c r="BS814" i="20"/>
  <c r="BT795" i="20"/>
  <c r="BT638" i="20"/>
  <c r="BT867" i="20"/>
  <c r="AA22" i="19"/>
  <c r="DS856" i="20"/>
  <c r="DT856" i="20" s="1"/>
  <c r="AI172" i="20"/>
  <c r="BT799" i="20"/>
  <c r="BT875" i="20" s="1"/>
  <c r="BT644" i="20"/>
  <c r="AG261" i="20"/>
  <c r="AF262" i="20"/>
  <c r="AF265" i="20"/>
  <c r="AE50" i="20"/>
  <c r="BS801" i="20"/>
  <c r="BS871" i="20"/>
  <c r="BS896" i="20" s="1"/>
  <c r="BR820" i="20"/>
  <c r="AI185" i="20"/>
  <c r="BT601" i="20"/>
  <c r="BT815" i="20"/>
  <c r="DP874" i="20"/>
  <c r="DR874" i="20" s="1"/>
  <c r="DS871" i="20"/>
  <c r="BS819" i="20"/>
  <c r="BT676" i="20"/>
  <c r="BT803" i="20"/>
  <c r="BT809" i="20" s="1"/>
  <c r="DV856" i="20"/>
  <c r="BS794" i="20"/>
  <c r="BT812" i="20"/>
  <c r="BT756" i="20"/>
  <c r="BT597" i="20"/>
  <c r="BT755" i="20"/>
  <c r="AI190" i="20"/>
  <c r="DU871" i="20"/>
  <c r="AB19" i="19"/>
  <c r="BS809" i="20"/>
  <c r="BT631" i="20"/>
  <c r="BT793" i="20"/>
  <c r="BT870" i="20" s="1"/>
  <c r="BO645" i="20"/>
  <c r="BO706" i="20" s="1"/>
  <c r="DG890" i="20"/>
  <c r="DH890" i="20" s="1"/>
  <c r="AI165" i="20"/>
  <c r="BT614" i="20"/>
  <c r="BT818" i="20"/>
  <c r="BT881" i="20" s="1"/>
  <c r="AH251" i="20"/>
  <c r="AI250" i="20" s="1"/>
  <c r="AI37" i="20" s="1"/>
  <c r="BT620" i="20" s="1"/>
  <c r="BR633" i="20"/>
  <c r="C38" i="56"/>
  <c r="C399" i="56"/>
  <c r="C400" i="57"/>
  <c r="C761" i="57"/>
  <c r="C38" i="57"/>
  <c r="M46" i="16"/>
  <c r="R41" i="16"/>
  <c r="BS729" i="20" l="1"/>
  <c r="BT727" i="20"/>
  <c r="DU856" i="20"/>
  <c r="BT726" i="20"/>
  <c r="BT728" i="20" s="1"/>
  <c r="DT867" i="20"/>
  <c r="DT884" i="20"/>
  <c r="DT871" i="20"/>
  <c r="DT870" i="20"/>
  <c r="DX867" i="20"/>
  <c r="DT875" i="20"/>
  <c r="CJ868" i="20"/>
  <c r="CN868" i="20"/>
  <c r="Q17" i="19"/>
  <c r="CK65" i="19" s="1"/>
  <c r="DQ876" i="20"/>
  <c r="DQ870" i="20"/>
  <c r="DQ875" i="20"/>
  <c r="DQ867" i="20"/>
  <c r="DQ884" i="20"/>
  <c r="DU867" i="20"/>
  <c r="DQ874" i="20"/>
  <c r="DQ871" i="20"/>
  <c r="BF708" i="20"/>
  <c r="BF709" i="20"/>
  <c r="BF710" i="20" s="1"/>
  <c r="V222" i="20"/>
  <c r="BG650" i="20"/>
  <c r="CG860" i="20"/>
  <c r="CH860" i="20"/>
  <c r="CF862" i="20"/>
  <c r="O28" i="19"/>
  <c r="O31" i="19" s="1"/>
  <c r="O33" i="19" s="1"/>
  <c r="O37" i="19"/>
  <c r="AI47" i="19" s="1"/>
  <c r="CI70" i="19"/>
  <c r="CI77" i="19" s="1"/>
  <c r="BF859" i="20"/>
  <c r="BF861" i="20" s="1"/>
  <c r="BF778" i="20"/>
  <c r="BF779" i="20" s="1"/>
  <c r="DR867" i="20"/>
  <c r="V229" i="20"/>
  <c r="BG651" i="20"/>
  <c r="V223" i="20"/>
  <c r="DV874" i="20"/>
  <c r="AD22" i="19" s="1"/>
  <c r="DW856" i="20"/>
  <c r="DW875" i="20"/>
  <c r="DW884" i="20"/>
  <c r="DW871" i="20"/>
  <c r="DW870" i="20"/>
  <c r="DW867" i="20"/>
  <c r="DR876" i="20"/>
  <c r="CE885" i="20"/>
  <c r="CD885" i="20"/>
  <c r="CC887" i="20"/>
  <c r="T213" i="20"/>
  <c r="E213" i="21" s="1"/>
  <c r="G213" i="21" s="1"/>
  <c r="E211" i="21"/>
  <c r="G211" i="21" s="1"/>
  <c r="AH471" i="20"/>
  <c r="AG418" i="20"/>
  <c r="AG518" i="20"/>
  <c r="AG565" i="20"/>
  <c r="U36" i="20"/>
  <c r="U18" i="20"/>
  <c r="CK861" i="20"/>
  <c r="CG861" i="20"/>
  <c r="G83" i="22"/>
  <c r="CC898" i="20"/>
  <c r="DI890" i="20"/>
  <c r="AB21" i="19"/>
  <c r="DS876" i="20"/>
  <c r="AC21" i="19" s="1"/>
  <c r="DV871" i="20"/>
  <c r="AD19" i="19" s="1"/>
  <c r="BT819" i="20"/>
  <c r="AF38" i="20"/>
  <c r="BQ621" i="20" s="1"/>
  <c r="AF263" i="20"/>
  <c r="BT871" i="20"/>
  <c r="BT801" i="20"/>
  <c r="DX871" i="20"/>
  <c r="AC19" i="19"/>
  <c r="BR782" i="20"/>
  <c r="DP882" i="20" s="1"/>
  <c r="DU882" i="20" s="1"/>
  <c r="DX856" i="20"/>
  <c r="DS874" i="20"/>
  <c r="DT874" i="20" s="1"/>
  <c r="BS820" i="20"/>
  <c r="BT877" i="20"/>
  <c r="BT814" i="20"/>
  <c r="DU874" i="20"/>
  <c r="AB22" i="19"/>
  <c r="AI191" i="20"/>
  <c r="BP634" i="20"/>
  <c r="AE58" i="20"/>
  <c r="BT794" i="20"/>
  <c r="AH49" i="20"/>
  <c r="AI251" i="20"/>
  <c r="AI49" i="20" s="1"/>
  <c r="BT633" i="20" s="1"/>
  <c r="AI253" i="20"/>
  <c r="C39" i="56"/>
  <c r="C400" i="56"/>
  <c r="C762" i="57"/>
  <c r="C401" i="57"/>
  <c r="C39" i="57"/>
  <c r="M351" i="16"/>
  <c r="P44" i="16"/>
  <c r="R46" i="16"/>
  <c r="S122" i="19"/>
  <c r="DV900" i="20" l="1"/>
  <c r="BT729" i="20"/>
  <c r="DW874" i="20"/>
  <c r="V227" i="20"/>
  <c r="BF586" i="20"/>
  <c r="U26" i="20"/>
  <c r="U34" i="20" s="1"/>
  <c r="U212" i="20"/>
  <c r="DU876" i="20"/>
  <c r="CG862" i="20"/>
  <c r="CH862" i="20"/>
  <c r="DQ882" i="20"/>
  <c r="CF869" i="20"/>
  <c r="BF780" i="20"/>
  <c r="BF738" i="20"/>
  <c r="V443" i="20"/>
  <c r="V390" i="20" s="1"/>
  <c r="V76" i="20" s="1"/>
  <c r="U152" i="20"/>
  <c r="U156" i="20" s="1"/>
  <c r="BF619" i="20"/>
  <c r="U48" i="20"/>
  <c r="U59" i="20" s="1"/>
  <c r="V490" i="20"/>
  <c r="V537" i="20"/>
  <c r="U158" i="20"/>
  <c r="U181" i="20" s="1"/>
  <c r="AH418" i="20"/>
  <c r="AH565" i="20"/>
  <c r="AI471" i="20"/>
  <c r="AH518" i="20"/>
  <c r="CE887" i="20"/>
  <c r="CD887" i="20"/>
  <c r="V231" i="20"/>
  <c r="V232" i="20" s="1"/>
  <c r="O39" i="19"/>
  <c r="CI79" i="19"/>
  <c r="AW47" i="19"/>
  <c r="AP47" i="19" s="1"/>
  <c r="AT47" i="19" s="1"/>
  <c r="AU47" i="19" s="1"/>
  <c r="BE47" i="19"/>
  <c r="AR47" i="19" s="1"/>
  <c r="BI47" i="19"/>
  <c r="AS47" i="19" s="1"/>
  <c r="BA47" i="19"/>
  <c r="AQ47" i="19" s="1"/>
  <c r="DT876" i="20"/>
  <c r="BT820" i="20"/>
  <c r="BT896" i="20"/>
  <c r="DV876" i="20"/>
  <c r="AC22" i="19"/>
  <c r="DX874" i="20"/>
  <c r="AF50" i="20"/>
  <c r="AH261" i="20"/>
  <c r="AG265" i="20"/>
  <c r="AG262" i="20"/>
  <c r="BP645" i="20"/>
  <c r="BP706" i="20" s="1"/>
  <c r="DJ890" i="20"/>
  <c r="DK890" i="20" s="1"/>
  <c r="BS633" i="20"/>
  <c r="C401" i="56"/>
  <c r="C40" i="56"/>
  <c r="C402" i="57"/>
  <c r="C40" i="57"/>
  <c r="C763" i="57"/>
  <c r="U44" i="16"/>
  <c r="P47" i="16"/>
  <c r="BF745" i="20" l="1"/>
  <c r="CF897" i="20" s="1"/>
  <c r="BF781" i="20"/>
  <c r="BF787" i="20"/>
  <c r="BF704" i="20"/>
  <c r="BF632" i="20"/>
  <c r="CF889" i="20"/>
  <c r="CH889" i="20" s="1"/>
  <c r="BF734" i="20"/>
  <c r="U35" i="20"/>
  <c r="U70" i="20"/>
  <c r="AD21" i="19"/>
  <c r="DW876" i="20"/>
  <c r="DX876" i="20"/>
  <c r="BG802" i="20"/>
  <c r="CI878" i="20" s="1"/>
  <c r="V173" i="20"/>
  <c r="AI565" i="20"/>
  <c r="AI518" i="20"/>
  <c r="AI418" i="20"/>
  <c r="BF739" i="20"/>
  <c r="U157" i="20"/>
  <c r="U211" i="20" s="1"/>
  <c r="U213" i="20" s="1"/>
  <c r="CH869" i="20"/>
  <c r="CG869" i="20"/>
  <c r="P16" i="19"/>
  <c r="CF872" i="20"/>
  <c r="BF841" i="20"/>
  <c r="BF598" i="20"/>
  <c r="CI886" i="20"/>
  <c r="O40" i="19"/>
  <c r="AI48" i="19"/>
  <c r="V87" i="20"/>
  <c r="V88" i="20" s="1"/>
  <c r="V155" i="20"/>
  <c r="BG665" i="20"/>
  <c r="V233" i="20"/>
  <c r="DL890" i="20"/>
  <c r="BQ634" i="20"/>
  <c r="AF58" i="20"/>
  <c r="AG38" i="20"/>
  <c r="BR621" i="20" s="1"/>
  <c r="AG263" i="20"/>
  <c r="BS782" i="20"/>
  <c r="DS882" i="20" s="1"/>
  <c r="C402" i="56"/>
  <c r="C41" i="56"/>
  <c r="C403" i="57"/>
  <c r="C41" i="57"/>
  <c r="C764" i="57"/>
  <c r="U47" i="16"/>
  <c r="P29" i="16"/>
  <c r="P50" i="16"/>
  <c r="P58" i="16" s="1"/>
  <c r="T119" i="19" s="1"/>
  <c r="P36" i="16"/>
  <c r="S251" i="16"/>
  <c r="S223" i="16" s="1"/>
  <c r="S35" i="16" s="1"/>
  <c r="S305" i="16"/>
  <c r="S278" i="16"/>
  <c r="V89" i="20" l="1"/>
  <c r="V64" i="20" s="1"/>
  <c r="W139" i="20"/>
  <c r="BG678" i="20"/>
  <c r="V147" i="20"/>
  <c r="V149" i="20" s="1"/>
  <c r="V150" i="20" s="1"/>
  <c r="BG740" i="20" s="1"/>
  <c r="CH872" i="20"/>
  <c r="CG872" i="20"/>
  <c r="CF879" i="20"/>
  <c r="BG769" i="20"/>
  <c r="V140" i="20"/>
  <c r="V141" i="20" s="1"/>
  <c r="BF810" i="20"/>
  <c r="CF883" i="20"/>
  <c r="CH883" i="20" s="1"/>
  <c r="BF749" i="20"/>
  <c r="BF746" i="20"/>
  <c r="BF744" i="20"/>
  <c r="BF743" i="20"/>
  <c r="CF896" i="20" s="1"/>
  <c r="BF752" i="20"/>
  <c r="DX882" i="20"/>
  <c r="DT882" i="20"/>
  <c r="CJ886" i="20"/>
  <c r="Q32" i="19"/>
  <c r="CK886" i="20"/>
  <c r="CJ64" i="19"/>
  <c r="CJ66" i="19" s="1"/>
  <c r="P20" i="19"/>
  <c r="BG720" i="20"/>
  <c r="CI858" i="20"/>
  <c r="CK858" i="20" s="1"/>
  <c r="BG784" i="20"/>
  <c r="CI880" i="20" s="1"/>
  <c r="CK880" i="20" s="1"/>
  <c r="BG677" i="20"/>
  <c r="BF616" i="20"/>
  <c r="BF700" i="20"/>
  <c r="BF733" i="20"/>
  <c r="CG889" i="20"/>
  <c r="CJ71" i="19"/>
  <c r="CJ76" i="19" s="1"/>
  <c r="CF891" i="20"/>
  <c r="BF785" i="20"/>
  <c r="BF786" i="20" s="1"/>
  <c r="CF881" i="20"/>
  <c r="BG737" i="20"/>
  <c r="BG741" i="20"/>
  <c r="BE49" i="19"/>
  <c r="AR48" i="19" s="1"/>
  <c r="BA49" i="19"/>
  <c r="AQ48" i="19" s="1"/>
  <c r="BI49" i="19"/>
  <c r="AS48" i="19" s="1"/>
  <c r="AW49" i="19"/>
  <c r="AP48" i="19" s="1"/>
  <c r="AT48" i="19" s="1"/>
  <c r="AU48" i="19" s="1"/>
  <c r="CJ878" i="20"/>
  <c r="CN878" i="20"/>
  <c r="Q29" i="19"/>
  <c r="BF735" i="20"/>
  <c r="BF736" i="20"/>
  <c r="BF646" i="20"/>
  <c r="BF705" i="20"/>
  <c r="BQ645" i="20"/>
  <c r="BQ706" i="20" s="1"/>
  <c r="DM890" i="20"/>
  <c r="DN890" i="20" s="1"/>
  <c r="AI261" i="20"/>
  <c r="AH262" i="20"/>
  <c r="AG50" i="20"/>
  <c r="AH265" i="20"/>
  <c r="C403" i="56"/>
  <c r="C42" i="56"/>
  <c r="C404" i="57"/>
  <c r="C42" i="57"/>
  <c r="C765" i="57"/>
  <c r="P59" i="16"/>
  <c r="T118" i="19" s="1"/>
  <c r="U50" i="16"/>
  <c r="T117" i="19"/>
  <c r="T109" i="19"/>
  <c r="U36" i="16"/>
  <c r="P40" i="16"/>
  <c r="U29" i="16"/>
  <c r="T110" i="19"/>
  <c r="P33" i="16"/>
  <c r="U108" i="19"/>
  <c r="S55" i="16"/>
  <c r="X35" i="16"/>
  <c r="BF840" i="20" l="1"/>
  <c r="BF842" i="20" s="1"/>
  <c r="P23" i="19"/>
  <c r="CJ67" i="19"/>
  <c r="AU46" i="19"/>
  <c r="AU45" i="19"/>
  <c r="CH891" i="20"/>
  <c r="CG891" i="20"/>
  <c r="P34" i="19"/>
  <c r="P35" i="19" s="1"/>
  <c r="AI65" i="19" s="1"/>
  <c r="CJ880" i="20"/>
  <c r="Q24" i="19"/>
  <c r="Q36" i="19" s="1"/>
  <c r="P38" i="19"/>
  <c r="BG679" i="20"/>
  <c r="BG721" i="20" s="1"/>
  <c r="BH768" i="20"/>
  <c r="CL868" i="20" s="1"/>
  <c r="CI861" i="20"/>
  <c r="BG776" i="20"/>
  <c r="CH879" i="20"/>
  <c r="CG879" i="20"/>
  <c r="CF885" i="20"/>
  <c r="CJ858" i="20"/>
  <c r="CI860" i="20"/>
  <c r="CI895" i="20"/>
  <c r="V151" i="20"/>
  <c r="CG883" i="20"/>
  <c r="P26" i="19"/>
  <c r="CK883" i="20"/>
  <c r="BF748" i="20"/>
  <c r="BF658" i="20"/>
  <c r="CH881" i="20"/>
  <c r="CG881" i="20"/>
  <c r="P25" i="19"/>
  <c r="CJ70" i="19" s="1"/>
  <c r="CJ77" i="19" s="1"/>
  <c r="P39" i="19" s="1"/>
  <c r="CF894" i="20"/>
  <c r="BF751" i="20"/>
  <c r="CF898" i="20" s="1"/>
  <c r="BF703" i="20"/>
  <c r="BF617" i="20"/>
  <c r="BF750" i="20" s="1"/>
  <c r="CI877" i="20"/>
  <c r="BG770" i="20"/>
  <c r="V67" i="20"/>
  <c r="W62" i="20"/>
  <c r="BG652" i="20"/>
  <c r="BG655" i="20" s="1"/>
  <c r="W63" i="20"/>
  <c r="V225" i="20"/>
  <c r="DO890" i="20"/>
  <c r="AH38" i="20"/>
  <c r="BS621" i="20" s="1"/>
  <c r="AH263" i="20"/>
  <c r="BT782" i="20"/>
  <c r="DV882" i="20" s="1"/>
  <c r="DW882" i="20" s="1"/>
  <c r="BR634" i="20"/>
  <c r="AG58" i="20"/>
  <c r="C43" i="56"/>
  <c r="C404" i="56"/>
  <c r="C766" i="57"/>
  <c r="C405" i="57"/>
  <c r="C43" i="57"/>
  <c r="T112" i="19"/>
  <c r="T114" i="19" s="1"/>
  <c r="T116" i="19" s="1"/>
  <c r="U115" i="19" s="1"/>
  <c r="P56" i="16"/>
  <c r="T120" i="19" s="1"/>
  <c r="U40" i="16"/>
  <c r="P41" i="16"/>
  <c r="U33" i="16"/>
  <c r="BG778" i="20" l="1"/>
  <c r="BG779" i="20" s="1"/>
  <c r="BG859" i="20"/>
  <c r="BG861" i="20" s="1"/>
  <c r="AU71" i="19"/>
  <c r="AJ32" i="19" s="1"/>
  <c r="AI44" i="19"/>
  <c r="BG708" i="20"/>
  <c r="BG709" i="20"/>
  <c r="BG710" i="20" s="1"/>
  <c r="CJ877" i="20"/>
  <c r="CK877" i="20"/>
  <c r="Q30" i="19"/>
  <c r="CJ860" i="20"/>
  <c r="CK860" i="20"/>
  <c r="CI862" i="20"/>
  <c r="CH885" i="20"/>
  <c r="CG885" i="20"/>
  <c r="CF887" i="20"/>
  <c r="CN861" i="20"/>
  <c r="CJ861" i="20"/>
  <c r="BH650" i="20"/>
  <c r="W222" i="20"/>
  <c r="CM868" i="20"/>
  <c r="CQ868" i="20"/>
  <c r="R17" i="19"/>
  <c r="P37" i="19"/>
  <c r="AL47" i="19" s="1"/>
  <c r="V36" i="20"/>
  <c r="V18" i="20"/>
  <c r="W229" i="20"/>
  <c r="W223" i="20"/>
  <c r="W227" i="20" s="1"/>
  <c r="BH651" i="20"/>
  <c r="BG780" i="20"/>
  <c r="CJ79" i="19"/>
  <c r="P28" i="19"/>
  <c r="P31" i="19" s="1"/>
  <c r="P33" i="19" s="1"/>
  <c r="AI265" i="20"/>
  <c r="AI262" i="20"/>
  <c r="AH50" i="20"/>
  <c r="BR645" i="20"/>
  <c r="BR706" i="20" s="1"/>
  <c r="DP890" i="20"/>
  <c r="DQ890" i="20" s="1"/>
  <c r="C44" i="56"/>
  <c r="C405" i="56"/>
  <c r="C767" i="57"/>
  <c r="C44" i="57"/>
  <c r="C406" i="57"/>
  <c r="U41" i="16"/>
  <c r="P46" i="16"/>
  <c r="W231" i="20" l="1"/>
  <c r="W232" i="20" s="1"/>
  <c r="W443" i="20"/>
  <c r="W390" i="20" s="1"/>
  <c r="W76" i="20" s="1"/>
  <c r="BG619" i="20"/>
  <c r="V158" i="20"/>
  <c r="V181" i="20" s="1"/>
  <c r="W537" i="20"/>
  <c r="V48" i="20"/>
  <c r="V59" i="20" s="1"/>
  <c r="V152" i="20"/>
  <c r="V156" i="20" s="1"/>
  <c r="W490" i="20"/>
  <c r="AI32" i="19"/>
  <c r="AJ33" i="19"/>
  <c r="AI33" i="19" s="1"/>
  <c r="AL48" i="19"/>
  <c r="P40" i="19"/>
  <c r="CJ862" i="20"/>
  <c r="CK862" i="20"/>
  <c r="V212" i="20"/>
  <c r="BG586" i="20"/>
  <c r="V26" i="20"/>
  <c r="V34" i="20" s="1"/>
  <c r="CH887" i="20"/>
  <c r="CG887" i="20"/>
  <c r="BG738" i="20"/>
  <c r="CI869" i="20"/>
  <c r="CK869" i="20" s="1"/>
  <c r="DR890" i="20"/>
  <c r="BS634" i="20"/>
  <c r="AH58" i="20"/>
  <c r="AI38" i="20"/>
  <c r="BT621" i="20" s="1"/>
  <c r="AI263" i="20"/>
  <c r="AI50" i="20" s="1"/>
  <c r="C406" i="56"/>
  <c r="C45" i="56"/>
  <c r="C768" i="57"/>
  <c r="C407" i="57"/>
  <c r="C45" i="57"/>
  <c r="P351" i="16"/>
  <c r="S44" i="16"/>
  <c r="U46" i="16"/>
  <c r="T122" i="19"/>
  <c r="V157" i="20" l="1"/>
  <c r="V211" i="20" s="1"/>
  <c r="V213" i="20" s="1"/>
  <c r="BG739" i="20"/>
  <c r="CJ869" i="20"/>
  <c r="Q16" i="19"/>
  <c r="CI872" i="20"/>
  <c r="V35" i="20"/>
  <c r="V70" i="20"/>
  <c r="W87" i="20"/>
  <c r="W88" i="20" s="1"/>
  <c r="BH665" i="20"/>
  <c r="W155" i="20"/>
  <c r="BG745" i="20"/>
  <c r="CI897" i="20" s="1"/>
  <c r="CI889" i="20"/>
  <c r="CK889" i="20" s="1"/>
  <c r="BG734" i="20"/>
  <c r="BG781" i="20"/>
  <c r="BG787" i="20"/>
  <c r="BG632" i="20"/>
  <c r="BG704" i="20"/>
  <c r="CL886" i="20"/>
  <c r="BG841" i="20"/>
  <c r="BG598" i="20"/>
  <c r="W233" i="20"/>
  <c r="BH802" i="20"/>
  <c r="CL878" i="20" s="1"/>
  <c r="W173" i="20"/>
  <c r="BT634" i="20"/>
  <c r="BT645" i="20" s="1"/>
  <c r="BT706" i="20" s="1"/>
  <c r="AI58" i="20"/>
  <c r="BS645" i="20"/>
  <c r="BS706" i="20" s="1"/>
  <c r="DS890" i="20"/>
  <c r="DT890" i="20" s="1"/>
  <c r="C46" i="56"/>
  <c r="C407" i="56"/>
  <c r="C769" i="57"/>
  <c r="C408" i="57"/>
  <c r="C46" i="57"/>
  <c r="X44" i="16"/>
  <c r="S47" i="16"/>
  <c r="BG810" i="20" l="1"/>
  <c r="CI883" i="20"/>
  <c r="CK64" i="19"/>
  <c r="CK66" i="19" s="1"/>
  <c r="Q20" i="19"/>
  <c r="CM878" i="20"/>
  <c r="R29" i="19"/>
  <c r="CQ878" i="20"/>
  <c r="CM886" i="20"/>
  <c r="CN886" i="20"/>
  <c r="R32" i="19"/>
  <c r="CI881" i="20"/>
  <c r="CK881" i="20" s="1"/>
  <c r="BG785" i="20"/>
  <c r="BG786" i="20" s="1"/>
  <c r="BH737" i="20"/>
  <c r="BH741" i="20"/>
  <c r="W140" i="20"/>
  <c r="W141" i="20" s="1"/>
  <c r="BH769" i="20"/>
  <c r="BG749" i="20"/>
  <c r="BG746" i="20"/>
  <c r="BG743" i="20"/>
  <c r="CI896" i="20" s="1"/>
  <c r="BG752" i="20"/>
  <c r="BG744" i="20"/>
  <c r="BH720" i="20"/>
  <c r="BH677" i="20"/>
  <c r="BH784" i="20"/>
  <c r="CL880" i="20" s="1"/>
  <c r="CN880" i="20" s="1"/>
  <c r="CL858" i="20"/>
  <c r="CN858" i="20" s="1"/>
  <c r="CJ872" i="20"/>
  <c r="CK872" i="20"/>
  <c r="CI879" i="20"/>
  <c r="BG616" i="20"/>
  <c r="BG733" i="20"/>
  <c r="BG700" i="20"/>
  <c r="BG735" i="20"/>
  <c r="BG646" i="20"/>
  <c r="BG705" i="20"/>
  <c r="BG736" i="20"/>
  <c r="CJ889" i="20"/>
  <c r="CI891" i="20"/>
  <c r="CK71" i="19"/>
  <c r="CK76" i="19" s="1"/>
  <c r="CN889" i="20"/>
  <c r="W89" i="20"/>
  <c r="W64" i="20" s="1"/>
  <c r="W147" i="20"/>
  <c r="W149" i="20" s="1"/>
  <c r="W150" i="20" s="1"/>
  <c r="BH740" i="20" s="1"/>
  <c r="X139" i="20"/>
  <c r="BH678" i="20"/>
  <c r="DU890" i="20"/>
  <c r="DV890" i="20"/>
  <c r="C47" i="56"/>
  <c r="C408" i="56"/>
  <c r="C770" i="57"/>
  <c r="C409" i="57"/>
  <c r="C47" i="57"/>
  <c r="S50" i="16"/>
  <c r="S29" i="16"/>
  <c r="S36" i="16"/>
  <c r="X47" i="16"/>
  <c r="V251" i="16"/>
  <c r="V223" i="16" s="1"/>
  <c r="V35" i="16" s="1"/>
  <c r="V305" i="16"/>
  <c r="V278" i="16"/>
  <c r="BG840" i="20" l="1"/>
  <c r="BG842" i="20" s="1"/>
  <c r="CM880" i="20"/>
  <c r="R24" i="19"/>
  <c r="R36" i="19" s="1"/>
  <c r="CL877" i="20"/>
  <c r="BH770" i="20"/>
  <c r="DX890" i="20"/>
  <c r="DW890" i="20"/>
  <c r="BH679" i="20"/>
  <c r="BH721" i="20" s="1"/>
  <c r="W151" i="20"/>
  <c r="CJ881" i="20"/>
  <c r="Q25" i="19"/>
  <c r="CK70" i="19" s="1"/>
  <c r="CK77" i="19" s="1"/>
  <c r="Q39" i="19" s="1"/>
  <c r="CI894" i="20"/>
  <c r="Q38" i="19"/>
  <c r="CK891" i="20"/>
  <c r="CJ891" i="20"/>
  <c r="Q34" i="19"/>
  <c r="Q35" i="19" s="1"/>
  <c r="BG748" i="20"/>
  <c r="BG658" i="20"/>
  <c r="BG703" i="20"/>
  <c r="BG751" i="20"/>
  <c r="CI898" i="20" s="1"/>
  <c r="BG617" i="20"/>
  <c r="BG750" i="20" s="1"/>
  <c r="CJ883" i="20"/>
  <c r="Q26" i="19"/>
  <c r="CN883" i="20"/>
  <c r="BH776" i="20"/>
  <c r="BI768" i="20"/>
  <c r="CO868" i="20" s="1"/>
  <c r="CP868" i="20" s="1"/>
  <c r="CL861" i="20"/>
  <c r="CJ879" i="20"/>
  <c r="CK879" i="20"/>
  <c r="CI885" i="20"/>
  <c r="Q23" i="19"/>
  <c r="Q28" i="19" s="1"/>
  <c r="Q31" i="19" s="1"/>
  <c r="Q33" i="19" s="1"/>
  <c r="CK67" i="19"/>
  <c r="W225" i="20"/>
  <c r="W67" i="20"/>
  <c r="X63" i="20"/>
  <c r="BH652" i="20"/>
  <c r="BH655" i="20" s="1"/>
  <c r="X62" i="20"/>
  <c r="CM858" i="20"/>
  <c r="CL895" i="20"/>
  <c r="CL860" i="20"/>
  <c r="C409" i="56"/>
  <c r="C48" i="56"/>
  <c r="C771" i="57"/>
  <c r="C410" i="57"/>
  <c r="C48" i="57"/>
  <c r="X50" i="16"/>
  <c r="U117" i="19"/>
  <c r="S59" i="16"/>
  <c r="U118" i="19" s="1"/>
  <c r="X29" i="16"/>
  <c r="U110" i="19"/>
  <c r="S33" i="16"/>
  <c r="U109" i="19"/>
  <c r="X36" i="16"/>
  <c r="S40" i="16"/>
  <c r="V108" i="19"/>
  <c r="V55" i="16"/>
  <c r="AA35" i="16"/>
  <c r="S58" i="16"/>
  <c r="U119" i="19" s="1"/>
  <c r="CT868" i="20" l="1"/>
  <c r="S17" i="19"/>
  <c r="Q37" i="19"/>
  <c r="AM47" i="19" s="1"/>
  <c r="BI650" i="20"/>
  <c r="X222" i="20"/>
  <c r="CQ861" i="20"/>
  <c r="CM861" i="20"/>
  <c r="W36" i="20"/>
  <c r="W18" i="20"/>
  <c r="BH709" i="20"/>
  <c r="BH710" i="20" s="1"/>
  <c r="BH708" i="20"/>
  <c r="CM877" i="20"/>
  <c r="CN877" i="20"/>
  <c r="R30" i="19"/>
  <c r="X223" i="20"/>
  <c r="BI651" i="20"/>
  <c r="X229" i="20"/>
  <c r="BH778" i="20"/>
  <c r="BH779" i="20" s="1"/>
  <c r="BH780" i="20" s="1"/>
  <c r="BH859" i="20"/>
  <c r="BH861" i="20" s="1"/>
  <c r="CK79" i="19"/>
  <c r="CM860" i="20"/>
  <c r="CN860" i="20"/>
  <c r="CL862" i="20"/>
  <c r="CJ885" i="20"/>
  <c r="CK885" i="20"/>
  <c r="CI887" i="20"/>
  <c r="C49" i="56"/>
  <c r="C410" i="56"/>
  <c r="C411" i="57"/>
  <c r="C772" i="57"/>
  <c r="C49" i="57"/>
  <c r="S56" i="16"/>
  <c r="U120" i="19" s="1"/>
  <c r="X40" i="16"/>
  <c r="X33" i="16"/>
  <c r="S41" i="16"/>
  <c r="U112" i="19"/>
  <c r="U114" i="19" s="1"/>
  <c r="U116" i="19" s="1"/>
  <c r="V115" i="19" s="1"/>
  <c r="X227" i="20" l="1"/>
  <c r="X231" i="20" s="1"/>
  <c r="X232" i="20" s="1"/>
  <c r="CM862" i="20"/>
  <c r="CN862" i="20"/>
  <c r="Q40" i="19"/>
  <c r="AM48" i="19"/>
  <c r="W212" i="20"/>
  <c r="BH586" i="20"/>
  <c r="W26" i="20"/>
  <c r="W34" i="20" s="1"/>
  <c r="CK887" i="20"/>
  <c r="CJ887" i="20"/>
  <c r="W158" i="20"/>
  <c r="W181" i="20" s="1"/>
  <c r="BH619" i="20"/>
  <c r="W48" i="20"/>
  <c r="W59" i="20" s="1"/>
  <c r="X443" i="20"/>
  <c r="X390" i="20" s="1"/>
  <c r="X76" i="20" s="1"/>
  <c r="X490" i="20"/>
  <c r="X537" i="20"/>
  <c r="W152" i="20"/>
  <c r="W156" i="20" s="1"/>
  <c r="CL869" i="20"/>
  <c r="CN869" i="20" s="1"/>
  <c r="BH738" i="20"/>
  <c r="C50" i="56"/>
  <c r="C411" i="56"/>
  <c r="C412" i="57"/>
  <c r="C773" i="57"/>
  <c r="C50" i="57"/>
  <c r="S46" i="16"/>
  <c r="X41" i="16"/>
  <c r="X87" i="20" l="1"/>
  <c r="X155" i="20"/>
  <c r="BI665" i="20"/>
  <c r="BH739" i="20"/>
  <c r="W157" i="20"/>
  <c r="W211" i="20" s="1"/>
  <c r="W213" i="20" s="1"/>
  <c r="BH598" i="20"/>
  <c r="BH841" i="20"/>
  <c r="CO886" i="20"/>
  <c r="W70" i="20"/>
  <c r="W35" i="20"/>
  <c r="BH745" i="20"/>
  <c r="CL897" i="20" s="1"/>
  <c r="BH704" i="20"/>
  <c r="CL889" i="20"/>
  <c r="BH734" i="20"/>
  <c r="BH781" i="20"/>
  <c r="BH787" i="20"/>
  <c r="BH632" i="20"/>
  <c r="X233" i="20"/>
  <c r="CM869" i="20"/>
  <c r="R16" i="19"/>
  <c r="R20" i="19" s="1"/>
  <c r="R23" i="19" s="1"/>
  <c r="CL872" i="20"/>
  <c r="X173" i="20"/>
  <c r="BI802" i="20"/>
  <c r="CO878" i="20" s="1"/>
  <c r="C51" i="56"/>
  <c r="C412" i="56"/>
  <c r="C774" i="57"/>
  <c r="C51" i="57"/>
  <c r="C413" i="57"/>
  <c r="S351" i="16"/>
  <c r="V44" i="16"/>
  <c r="X46" i="16"/>
  <c r="U122" i="19"/>
  <c r="CM872" i="20" l="1"/>
  <c r="CN872" i="20"/>
  <c r="CL879" i="20"/>
  <c r="X140" i="20"/>
  <c r="X141" i="20" s="1"/>
  <c r="BI769" i="20"/>
  <c r="BH700" i="20"/>
  <c r="BH616" i="20"/>
  <c r="BH733" i="20"/>
  <c r="BI737" i="20"/>
  <c r="BI741" i="20"/>
  <c r="BH736" i="20"/>
  <c r="BH646" i="20"/>
  <c r="BH735" i="20"/>
  <c r="BH705" i="20"/>
  <c r="CM889" i="20"/>
  <c r="CL891" i="20"/>
  <c r="CQ889" i="20"/>
  <c r="X88" i="20"/>
  <c r="X89" i="20" s="1"/>
  <c r="X64" i="20" s="1"/>
  <c r="CP878" i="20"/>
  <c r="CT878" i="20"/>
  <c r="S29" i="19"/>
  <c r="BH810" i="20"/>
  <c r="CL883" i="20"/>
  <c r="BH749" i="20"/>
  <c r="BH752" i="20"/>
  <c r="BH746" i="20"/>
  <c r="BH744" i="20"/>
  <c r="BH743" i="20"/>
  <c r="CL896" i="20" s="1"/>
  <c r="CP886" i="20"/>
  <c r="CQ886" i="20"/>
  <c r="S32" i="19"/>
  <c r="BH785" i="20"/>
  <c r="BH786" i="20" s="1"/>
  <c r="CL881" i="20"/>
  <c r="CN881" i="20" s="1"/>
  <c r="BI720" i="20"/>
  <c r="BI784" i="20"/>
  <c r="CO880" i="20" s="1"/>
  <c r="CQ880" i="20" s="1"/>
  <c r="BI677" i="20"/>
  <c r="CO858" i="20"/>
  <c r="CQ858" i="20" s="1"/>
  <c r="C52" i="56"/>
  <c r="C413" i="56"/>
  <c r="C775" i="57"/>
  <c r="C52" i="57"/>
  <c r="C414" i="57"/>
  <c r="AA44" i="16"/>
  <c r="V47" i="16"/>
  <c r="X225" i="20" l="1"/>
  <c r="Y62" i="20"/>
  <c r="X67" i="20"/>
  <c r="Y63" i="20"/>
  <c r="BI652" i="20"/>
  <c r="BI655" i="20" s="1"/>
  <c r="BH703" i="20"/>
  <c r="BH617" i="20"/>
  <c r="BH750" i="20" s="1"/>
  <c r="BH751" i="20"/>
  <c r="CL898" i="20" s="1"/>
  <c r="CP858" i="20"/>
  <c r="CO860" i="20"/>
  <c r="CO895" i="20"/>
  <c r="CM881" i="20"/>
  <c r="R25" i="19"/>
  <c r="CL894" i="20"/>
  <c r="CQ881" i="20"/>
  <c r="X147" i="20"/>
  <c r="X149" i="20" s="1"/>
  <c r="X150" i="20" s="1"/>
  <c r="BI740" i="20" s="1"/>
  <c r="BI678" i="20"/>
  <c r="BI679" i="20" s="1"/>
  <c r="BI721" i="20" s="1"/>
  <c r="Y139" i="20"/>
  <c r="CM879" i="20"/>
  <c r="CN879" i="20"/>
  <c r="CL885" i="20"/>
  <c r="BH840" i="20"/>
  <c r="BH842" i="20" s="1"/>
  <c r="BI770" i="20"/>
  <c r="CO877" i="20"/>
  <c r="CP880" i="20"/>
  <c r="S24" i="19"/>
  <c r="S36" i="19" s="1"/>
  <c r="CM883" i="20"/>
  <c r="CQ883" i="20"/>
  <c r="R26" i="19"/>
  <c r="CN891" i="20"/>
  <c r="CM891" i="20"/>
  <c r="R34" i="19"/>
  <c r="R35" i="19" s="1"/>
  <c r="BH748" i="20"/>
  <c r="BH658" i="20"/>
  <c r="C53" i="56"/>
  <c r="C414" i="56"/>
  <c r="C53" i="57"/>
  <c r="C415" i="57"/>
  <c r="C776" i="57"/>
  <c r="AA47" i="16"/>
  <c r="V50" i="16"/>
  <c r="V59" i="16" s="1"/>
  <c r="V118" i="19" s="1"/>
  <c r="V29" i="16"/>
  <c r="V36" i="16"/>
  <c r="Y251" i="16"/>
  <c r="Y223" i="16" s="1"/>
  <c r="Y35" i="16" s="1"/>
  <c r="Y278" i="16"/>
  <c r="Y305" i="16"/>
  <c r="X151" i="20" l="1"/>
  <c r="X36" i="20" s="1"/>
  <c r="BJ651" i="20"/>
  <c r="Y229" i="20"/>
  <c r="Y223" i="20"/>
  <c r="X18" i="20"/>
  <c r="CP877" i="20"/>
  <c r="CQ877" i="20"/>
  <c r="S30" i="19"/>
  <c r="CM885" i="20"/>
  <c r="CN885" i="20"/>
  <c r="CL887" i="20"/>
  <c r="BI776" i="20"/>
  <c r="CO861" i="20"/>
  <c r="CO862" i="20" s="1"/>
  <c r="BJ768" i="20"/>
  <c r="CR868" i="20" s="1"/>
  <c r="R28" i="19"/>
  <c r="R31" i="19" s="1"/>
  <c r="R33" i="19" s="1"/>
  <c r="R37" i="19"/>
  <c r="CP860" i="20"/>
  <c r="CQ860" i="20"/>
  <c r="Y222" i="20"/>
  <c r="BJ650" i="20"/>
  <c r="BI708" i="20"/>
  <c r="BI709" i="20"/>
  <c r="BI710" i="20" s="1"/>
  <c r="C54" i="56"/>
  <c r="C415" i="56"/>
  <c r="C777" i="57"/>
  <c r="C54" i="57"/>
  <c r="C416" i="57"/>
  <c r="V58" i="16"/>
  <c r="V119" i="19" s="1"/>
  <c r="AA29" i="16"/>
  <c r="V110" i="19"/>
  <c r="V33" i="16"/>
  <c r="AA36" i="16"/>
  <c r="V109" i="19"/>
  <c r="V40" i="16"/>
  <c r="V117" i="19"/>
  <c r="AA50" i="16"/>
  <c r="W108" i="19"/>
  <c r="Y55" i="16"/>
  <c r="AD35" i="16"/>
  <c r="Y227" i="20" l="1"/>
  <c r="Y231" i="20" s="1"/>
  <c r="BI859" i="20"/>
  <c r="BI861" i="20" s="1"/>
  <c r="BI778" i="20"/>
  <c r="BI779" i="20" s="1"/>
  <c r="CN887" i="20"/>
  <c r="CM887" i="20"/>
  <c r="X152" i="20"/>
  <c r="X156" i="20" s="1"/>
  <c r="Y490" i="20"/>
  <c r="Y443" i="20"/>
  <c r="Y390" i="20" s="1"/>
  <c r="Y76" i="20" s="1"/>
  <c r="X48" i="20"/>
  <c r="X59" i="20" s="1"/>
  <c r="X158" i="20"/>
  <c r="X181" i="20" s="1"/>
  <c r="Y537" i="20"/>
  <c r="BI619" i="20"/>
  <c r="CS868" i="20"/>
  <c r="T17" i="19"/>
  <c r="CW868" i="20"/>
  <c r="X212" i="20"/>
  <c r="BI586" i="20"/>
  <c r="X26" i="20"/>
  <c r="X34" i="20" s="1"/>
  <c r="CT861" i="20"/>
  <c r="CP861" i="20"/>
  <c r="CP862" i="20"/>
  <c r="CQ862" i="20"/>
  <c r="C55" i="56"/>
  <c r="C416" i="56"/>
  <c r="C55" i="57"/>
  <c r="C417" i="57"/>
  <c r="C778" i="57"/>
  <c r="V56" i="16"/>
  <c r="V120" i="19" s="1"/>
  <c r="AA40" i="16"/>
  <c r="V41" i="16"/>
  <c r="AA33" i="16"/>
  <c r="V112" i="19"/>
  <c r="V114" i="19" s="1"/>
  <c r="V116" i="19" s="1"/>
  <c r="W115" i="19" s="1"/>
  <c r="BI745" i="20" l="1"/>
  <c r="CO897" i="20" s="1"/>
  <c r="BI781" i="20"/>
  <c r="BI704" i="20"/>
  <c r="CO889" i="20"/>
  <c r="BI632" i="20"/>
  <c r="BI787" i="20"/>
  <c r="BI734" i="20"/>
  <c r="BJ665" i="20"/>
  <c r="Y87" i="20"/>
  <c r="Y88" i="20" s="1"/>
  <c r="Y89" i="20" s="1"/>
  <c r="Y64" i="20" s="1"/>
  <c r="BJ652" i="20" s="1"/>
  <c r="BJ655" i="20" s="1"/>
  <c r="Y155" i="20"/>
  <c r="BI598" i="20"/>
  <c r="CR886" i="20"/>
  <c r="BI841" i="20"/>
  <c r="Y232" i="20"/>
  <c r="Y233" i="20"/>
  <c r="BI738" i="20"/>
  <c r="BI780" i="20"/>
  <c r="CO869" i="20"/>
  <c r="CQ869" i="20" s="1"/>
  <c r="X70" i="20"/>
  <c r="X35" i="20"/>
  <c r="BI739" i="20"/>
  <c r="X157" i="20"/>
  <c r="X211" i="20" s="1"/>
  <c r="X213" i="20" s="1"/>
  <c r="C417" i="56"/>
  <c r="C56" i="56"/>
  <c r="C57" i="56" s="1"/>
  <c r="C56" i="57"/>
  <c r="C57" i="57" s="1"/>
  <c r="C419" i="57"/>
  <c r="C418" i="57"/>
  <c r="C779" i="57"/>
  <c r="V46" i="16"/>
  <c r="AA41" i="16"/>
  <c r="Z139" i="20" l="1"/>
  <c r="Y147" i="20"/>
  <c r="Y149" i="20" s="1"/>
  <c r="Y150" i="20" s="1"/>
  <c r="BJ740" i="20" s="1"/>
  <c r="Y225" i="20"/>
  <c r="Z63" i="20"/>
  <c r="Z229" i="20" s="1"/>
  <c r="Y67" i="20"/>
  <c r="BJ678" i="20"/>
  <c r="CR861" i="20" s="1"/>
  <c r="Z62" i="20"/>
  <c r="BK650" i="20" s="1"/>
  <c r="BJ720" i="20"/>
  <c r="BJ784" i="20"/>
  <c r="CR880" i="20" s="1"/>
  <c r="CT880" i="20" s="1"/>
  <c r="BJ677" i="20"/>
  <c r="BJ679" i="20" s="1"/>
  <c r="BJ721" i="20" s="1"/>
  <c r="CR858" i="20"/>
  <c r="CT858" i="20" s="1"/>
  <c r="BI749" i="20"/>
  <c r="BI743" i="20"/>
  <c r="CO896" i="20" s="1"/>
  <c r="BI744" i="20"/>
  <c r="BI752" i="20"/>
  <c r="BI746" i="20"/>
  <c r="CS886" i="20"/>
  <c r="T32" i="19"/>
  <c r="CT886" i="20"/>
  <c r="CP889" i="20"/>
  <c r="CT889" i="20"/>
  <c r="CO891" i="20"/>
  <c r="Y140" i="20"/>
  <c r="Y141" i="20" s="1"/>
  <c r="BJ769" i="20"/>
  <c r="BI733" i="20"/>
  <c r="BI616" i="20"/>
  <c r="BI700" i="20"/>
  <c r="CP869" i="20"/>
  <c r="S16" i="19"/>
  <c r="S20" i="19" s="1"/>
  <c r="S23" i="19" s="1"/>
  <c r="CO872" i="20"/>
  <c r="BJ802" i="20"/>
  <c r="CR878" i="20" s="1"/>
  <c r="Y173" i="20"/>
  <c r="BJ737" i="20"/>
  <c r="BJ741" i="20"/>
  <c r="CO883" i="20"/>
  <c r="BI810" i="20"/>
  <c r="CO881" i="20"/>
  <c r="BI785" i="20"/>
  <c r="BI786" i="20" s="1"/>
  <c r="BI646" i="20"/>
  <c r="BI736" i="20"/>
  <c r="BI735" i="20"/>
  <c r="BI705" i="20"/>
  <c r="BJ709" i="20"/>
  <c r="BJ710" i="20" s="1"/>
  <c r="BJ708" i="20"/>
  <c r="C418" i="56"/>
  <c r="C419" i="56"/>
  <c r="C58" i="56"/>
  <c r="C58" i="57"/>
  <c r="C420" i="57"/>
  <c r="C780" i="57"/>
  <c r="C781" i="57"/>
  <c r="V351" i="16"/>
  <c r="V122" i="19"/>
  <c r="Y44" i="16"/>
  <c r="AA46" i="16"/>
  <c r="Y151" i="20" l="1"/>
  <c r="Y36" i="20" s="1"/>
  <c r="Z222" i="20"/>
  <c r="BK651" i="20"/>
  <c r="Z223" i="20"/>
  <c r="BJ776" i="20"/>
  <c r="BJ778" i="20" s="1"/>
  <c r="BJ779" i="20" s="1"/>
  <c r="BK768" i="20"/>
  <c r="CU868" i="20" s="1"/>
  <c r="CV868" i="20" s="1"/>
  <c r="CQ891" i="20"/>
  <c r="CP891" i="20"/>
  <c r="S34" i="19"/>
  <c r="S35" i="19" s="1"/>
  <c r="CW861" i="20"/>
  <c r="CS861" i="20"/>
  <c r="CS880" i="20"/>
  <c r="T24" i="19"/>
  <c r="T36" i="19" s="1"/>
  <c r="BI748" i="20"/>
  <c r="BI658" i="20"/>
  <c r="CP883" i="20"/>
  <c r="S26" i="19"/>
  <c r="CT883" i="20"/>
  <c r="CS878" i="20"/>
  <c r="T29" i="19"/>
  <c r="CW878" i="20"/>
  <c r="CR877" i="20"/>
  <c r="BJ770" i="20"/>
  <c r="CP881" i="20"/>
  <c r="S25" i="19"/>
  <c r="S28" i="19" s="1"/>
  <c r="S31" i="19" s="1"/>
  <c r="S33" i="19" s="1"/>
  <c r="CT881" i="20"/>
  <c r="CO894" i="20"/>
  <c r="BI617" i="20"/>
  <c r="BI750" i="20" s="1"/>
  <c r="BI703" i="20"/>
  <c r="BI751" i="20"/>
  <c r="CO898" i="20" s="1"/>
  <c r="BI840" i="20"/>
  <c r="BI842" i="20" s="1"/>
  <c r="CP872" i="20"/>
  <c r="CQ872" i="20"/>
  <c r="CO879" i="20"/>
  <c r="CS858" i="20"/>
  <c r="CR895" i="20"/>
  <c r="CR860" i="20"/>
  <c r="C420" i="56"/>
  <c r="C59" i="56"/>
  <c r="C59" i="57"/>
  <c r="C421" i="57"/>
  <c r="C782" i="57"/>
  <c r="AD44" i="16"/>
  <c r="Y47" i="16"/>
  <c r="Y18" i="20" l="1"/>
  <c r="BJ859" i="20"/>
  <c r="BJ861" i="20" s="1"/>
  <c r="Z227" i="20"/>
  <c r="Z231" i="20" s="1"/>
  <c r="Z232" i="20" s="1"/>
  <c r="Z173" i="20" s="1"/>
  <c r="U17" i="19"/>
  <c r="CZ868" i="20"/>
  <c r="S37" i="19"/>
  <c r="CS860" i="20"/>
  <c r="CT860" i="20"/>
  <c r="CP879" i="20"/>
  <c r="CQ879" i="20"/>
  <c r="CO885" i="20"/>
  <c r="CS877" i="20"/>
  <c r="CT877" i="20"/>
  <c r="T30" i="19"/>
  <c r="CR862" i="20"/>
  <c r="Z537" i="20"/>
  <c r="Y48" i="20"/>
  <c r="Y59" i="20" s="1"/>
  <c r="Y158" i="20"/>
  <c r="Y181" i="20" s="1"/>
  <c r="Z490" i="20"/>
  <c r="BJ619" i="20"/>
  <c r="BJ745" i="20" s="1"/>
  <c r="CR897" i="20" s="1"/>
  <c r="Z443" i="20"/>
  <c r="Z390" i="20" s="1"/>
  <c r="Z76" i="20" s="1"/>
  <c r="Y152" i="20"/>
  <c r="Y156" i="20" s="1"/>
  <c r="CR869" i="20"/>
  <c r="BJ738" i="20"/>
  <c r="BJ780" i="20"/>
  <c r="Y26" i="20"/>
  <c r="Y34" i="20" s="1"/>
  <c r="BJ586" i="20"/>
  <c r="Y212" i="20"/>
  <c r="C421" i="56"/>
  <c r="C60" i="56"/>
  <c r="C60" i="57"/>
  <c r="C422" i="57"/>
  <c r="C783" i="57"/>
  <c r="Y36" i="16"/>
  <c r="AD47" i="16"/>
  <c r="Y50" i="16"/>
  <c r="Y59" i="16" s="1"/>
  <c r="W118" i="19" s="1"/>
  <c r="Y29" i="16"/>
  <c r="AB251" i="16"/>
  <c r="AB223" i="16" s="1"/>
  <c r="AB35" i="16" s="1"/>
  <c r="AB278" i="16"/>
  <c r="AB305" i="16"/>
  <c r="Z233" i="20" l="1"/>
  <c r="BK802" i="20"/>
  <c r="CU878" i="20" s="1"/>
  <c r="CV878" i="20" s="1"/>
  <c r="CS869" i="20"/>
  <c r="CT869" i="20"/>
  <c r="CS862" i="20"/>
  <c r="CT862" i="20"/>
  <c r="CP885" i="20"/>
  <c r="CQ885" i="20"/>
  <c r="CO887" i="20"/>
  <c r="BJ734" i="20"/>
  <c r="BJ704" i="20"/>
  <c r="BJ781" i="20"/>
  <c r="CR889" i="20"/>
  <c r="CS889" i="20" s="1"/>
  <c r="BJ632" i="20"/>
  <c r="BJ787" i="20"/>
  <c r="BJ598" i="20"/>
  <c r="CU886" i="20"/>
  <c r="CV886" i="20" s="1"/>
  <c r="BJ841" i="20"/>
  <c r="T16" i="19"/>
  <c r="T20" i="19" s="1"/>
  <c r="T23" i="19" s="1"/>
  <c r="CR872" i="20"/>
  <c r="Z140" i="20"/>
  <c r="Z141" i="20" s="1"/>
  <c r="BK769" i="20"/>
  <c r="Y35" i="20"/>
  <c r="Y70" i="20"/>
  <c r="BJ739" i="20"/>
  <c r="Y157" i="20"/>
  <c r="Y211" i="20" s="1"/>
  <c r="Y213" i="20" s="1"/>
  <c r="BK665" i="20"/>
  <c r="BK720" i="20" s="1"/>
  <c r="Z87" i="20"/>
  <c r="Z88" i="20" s="1"/>
  <c r="Z155" i="20"/>
  <c r="C422" i="56"/>
  <c r="C61" i="56"/>
  <c r="C61" i="57"/>
  <c r="C423" i="57"/>
  <c r="C784" i="57"/>
  <c r="Y58" i="16"/>
  <c r="W119" i="19" s="1"/>
  <c r="W109" i="19"/>
  <c r="AD36" i="16"/>
  <c r="Y40" i="16"/>
  <c r="W117" i="19"/>
  <c r="AD50" i="16"/>
  <c r="W110" i="19"/>
  <c r="AD29" i="16"/>
  <c r="Y33" i="16"/>
  <c r="AG35" i="16"/>
  <c r="X108" i="19"/>
  <c r="AB55" i="16"/>
  <c r="CZ878" i="20" l="1"/>
  <c r="U29" i="19"/>
  <c r="CQ887" i="20"/>
  <c r="CP887" i="20"/>
  <c r="BJ749" i="20"/>
  <c r="BJ743" i="20"/>
  <c r="CR896" i="20" s="1"/>
  <c r="BJ744" i="20"/>
  <c r="BJ746" i="20"/>
  <c r="BJ752" i="20"/>
  <c r="CS872" i="20"/>
  <c r="CT872" i="20"/>
  <c r="CR879" i="20"/>
  <c r="CW886" i="20"/>
  <c r="U32" i="19"/>
  <c r="CR891" i="20"/>
  <c r="CW889" i="20"/>
  <c r="BK741" i="20"/>
  <c r="BK737" i="20"/>
  <c r="BJ616" i="20"/>
  <c r="BJ700" i="20"/>
  <c r="BJ733" i="20"/>
  <c r="BJ785" i="20"/>
  <c r="BJ786" i="20" s="1"/>
  <c r="CR881" i="20"/>
  <c r="CS881" i="20" s="1"/>
  <c r="Z89" i="20"/>
  <c r="Z64" i="20" s="1"/>
  <c r="BK678" i="20"/>
  <c r="Z147" i="20"/>
  <c r="Z149" i="20" s="1"/>
  <c r="Z150" i="20" s="1"/>
  <c r="BK740" i="20" s="1"/>
  <c r="AA139" i="20"/>
  <c r="CU877" i="20"/>
  <c r="BK770" i="20"/>
  <c r="CR883" i="20"/>
  <c r="CS883" i="20" s="1"/>
  <c r="BJ810" i="20"/>
  <c r="CU858" i="20"/>
  <c r="BK677" i="20"/>
  <c r="BK679" i="20" s="1"/>
  <c r="BK721" i="20" s="1"/>
  <c r="BK784" i="20"/>
  <c r="CU880" i="20" s="1"/>
  <c r="BJ705" i="20"/>
  <c r="BJ736" i="20"/>
  <c r="BJ646" i="20"/>
  <c r="BJ748" i="20" s="1"/>
  <c r="BJ735" i="20"/>
  <c r="C423" i="56"/>
  <c r="C62" i="56"/>
  <c r="C62" i="57"/>
  <c r="C424" i="57"/>
  <c r="C785" i="57"/>
  <c r="W112" i="19"/>
  <c r="W114" i="19" s="1"/>
  <c r="W116" i="19" s="1"/>
  <c r="X115" i="19" s="1"/>
  <c r="AD40" i="16"/>
  <c r="Y56" i="16"/>
  <c r="W120" i="19" s="1"/>
  <c r="AD33" i="16"/>
  <c r="Y41" i="16"/>
  <c r="CV880" i="20" l="1"/>
  <c r="CW880" i="20"/>
  <c r="CV858" i="20"/>
  <c r="CW858" i="20"/>
  <c r="CT891" i="20"/>
  <c r="CS891" i="20"/>
  <c r="CV877" i="20"/>
  <c r="CW877" i="20"/>
  <c r="CS879" i="20"/>
  <c r="CT879" i="20"/>
  <c r="Z151" i="20"/>
  <c r="Z18" i="20" s="1"/>
  <c r="BJ658" i="20"/>
  <c r="BJ840" i="20"/>
  <c r="BJ842" i="20" s="1"/>
  <c r="CU895" i="20"/>
  <c r="CU860" i="20"/>
  <c r="CU861" i="20"/>
  <c r="BL768" i="20"/>
  <c r="BK776" i="20"/>
  <c r="U30" i="19"/>
  <c r="BK652" i="20"/>
  <c r="BK655" i="20" s="1"/>
  <c r="AA63" i="20"/>
  <c r="AA62" i="20"/>
  <c r="Z67" i="20"/>
  <c r="Z225" i="20"/>
  <c r="CR885" i="20"/>
  <c r="U24" i="19"/>
  <c r="U36" i="19" s="1"/>
  <c r="CW883" i="20"/>
  <c r="T26" i="19"/>
  <c r="T25" i="19"/>
  <c r="CW881" i="20"/>
  <c r="CR894" i="20"/>
  <c r="BJ751" i="20"/>
  <c r="CR898" i="20" s="1"/>
  <c r="BJ617" i="20"/>
  <c r="BJ750" i="20" s="1"/>
  <c r="BJ703" i="20"/>
  <c r="T34" i="19"/>
  <c r="T35" i="19" s="1"/>
  <c r="C424" i="56"/>
  <c r="C63" i="56"/>
  <c r="C425" i="57"/>
  <c r="C63" i="57"/>
  <c r="C786" i="57"/>
  <c r="Y46" i="16"/>
  <c r="AD41" i="16"/>
  <c r="CS885" i="20" l="1"/>
  <c r="CT885" i="20"/>
  <c r="CV860" i="20"/>
  <c r="CW860" i="20"/>
  <c r="CZ861" i="20"/>
  <c r="CV861" i="20"/>
  <c r="Z36" i="20"/>
  <c r="BK619" i="20" s="1"/>
  <c r="BK745" i="20" s="1"/>
  <c r="CU897" i="20" s="1"/>
  <c r="T37" i="19"/>
  <c r="T28" i="19"/>
  <c r="T31" i="19" s="1"/>
  <c r="T33" i="19" s="1"/>
  <c r="BK778" i="20"/>
  <c r="BK779" i="20" s="1"/>
  <c r="BK859" i="20"/>
  <c r="BK861" i="20" s="1"/>
  <c r="CU862" i="20"/>
  <c r="CR887" i="20"/>
  <c r="AA222" i="20"/>
  <c r="BL650" i="20"/>
  <c r="CX868" i="20"/>
  <c r="CY868" i="20" s="1"/>
  <c r="AA229" i="20"/>
  <c r="AA223" i="20"/>
  <c r="BL651" i="20"/>
  <c r="BK708" i="20"/>
  <c r="BK709" i="20"/>
  <c r="BK710" i="20" s="1"/>
  <c r="Z212" i="20"/>
  <c r="BK586" i="20"/>
  <c r="Z26" i="20"/>
  <c r="Z34" i="20" s="1"/>
  <c r="C425" i="56"/>
  <c r="C64" i="56"/>
  <c r="C426" i="57"/>
  <c r="C64" i="57"/>
  <c r="C787" i="57"/>
  <c r="Y351" i="16"/>
  <c r="W122" i="19"/>
  <c r="AB44" i="16"/>
  <c r="AD46" i="16"/>
  <c r="CT887" i="20" l="1"/>
  <c r="CS887" i="20"/>
  <c r="CV862" i="20"/>
  <c r="CW862" i="20"/>
  <c r="Z158" i="20"/>
  <c r="Z181" i="20" s="1"/>
  <c r="Z152" i="20"/>
  <c r="Z156" i="20" s="1"/>
  <c r="Z157" i="20" s="1"/>
  <c r="AA490" i="20"/>
  <c r="AA537" i="20"/>
  <c r="Z48" i="20"/>
  <c r="Z59" i="20" s="1"/>
  <c r="Z70" i="20" s="1"/>
  <c r="AA443" i="20"/>
  <c r="AA390" i="20" s="1"/>
  <c r="AA76" i="20" s="1"/>
  <c r="BL665" i="20" s="1"/>
  <c r="BL720" i="20" s="1"/>
  <c r="AA227" i="20"/>
  <c r="AA231" i="20" s="1"/>
  <c r="AA232" i="20" s="1"/>
  <c r="BK632" i="20"/>
  <c r="CU889" i="20"/>
  <c r="CV889" i="20" s="1"/>
  <c r="BK704" i="20"/>
  <c r="BK787" i="20"/>
  <c r="BK734" i="20"/>
  <c r="BK781" i="20"/>
  <c r="BK841" i="20"/>
  <c r="CX886" i="20"/>
  <c r="CY886" i="20" s="1"/>
  <c r="BK598" i="20"/>
  <c r="Z35" i="20"/>
  <c r="V17" i="19"/>
  <c r="DC868" i="20"/>
  <c r="BK738" i="20"/>
  <c r="CU869" i="20"/>
  <c r="BK780" i="20"/>
  <c r="C426" i="56"/>
  <c r="C65" i="56"/>
  <c r="C427" i="57"/>
  <c r="C65" i="57"/>
  <c r="C788" i="57"/>
  <c r="AG44" i="16"/>
  <c r="AB47" i="16"/>
  <c r="CV869" i="20" l="1"/>
  <c r="CW869" i="20"/>
  <c r="BK749" i="20"/>
  <c r="BK743" i="20"/>
  <c r="CU896" i="20" s="1"/>
  <c r="BK746" i="20"/>
  <c r="BK744" i="20"/>
  <c r="BK752" i="20"/>
  <c r="Z211" i="20"/>
  <c r="Z213" i="20" s="1"/>
  <c r="BK739" i="20"/>
  <c r="AA87" i="20"/>
  <c r="AA88" i="20" s="1"/>
  <c r="AA89" i="20" s="1"/>
  <c r="AA64" i="20" s="1"/>
  <c r="AA155" i="20"/>
  <c r="BL741" i="20" s="1"/>
  <c r="BK616" i="20"/>
  <c r="BK700" i="20"/>
  <c r="BK733" i="20"/>
  <c r="BK735" i="20"/>
  <c r="BK736" i="20"/>
  <c r="BK705" i="20"/>
  <c r="BK646" i="20"/>
  <c r="BK748" i="20" s="1"/>
  <c r="AA173" i="20"/>
  <c r="BL802" i="20"/>
  <c r="CX878" i="20" s="1"/>
  <c r="CY878" i="20" s="1"/>
  <c r="CU872" i="20"/>
  <c r="U16" i="19"/>
  <c r="U20" i="19" s="1"/>
  <c r="U23" i="19" s="1"/>
  <c r="CZ886" i="20"/>
  <c r="V32" i="19"/>
  <c r="CU883" i="20"/>
  <c r="CV883" i="20" s="1"/>
  <c r="BK810" i="20"/>
  <c r="BL784" i="20"/>
  <c r="CX880" i="20" s="1"/>
  <c r="CX858" i="20"/>
  <c r="BL677" i="20"/>
  <c r="BK785" i="20"/>
  <c r="BK786" i="20" s="1"/>
  <c r="CU881" i="20"/>
  <c r="CV881" i="20" s="1"/>
  <c r="CU891" i="20"/>
  <c r="CZ889" i="20"/>
  <c r="AA233" i="20"/>
  <c r="C427" i="56"/>
  <c r="C66" i="56"/>
  <c r="C428" i="57"/>
  <c r="C66" i="57"/>
  <c r="C789" i="57"/>
  <c r="AB29" i="16"/>
  <c r="AB36" i="16"/>
  <c r="AG47" i="16"/>
  <c r="AB50" i="16"/>
  <c r="AB58" i="16" s="1"/>
  <c r="X119" i="19" s="1"/>
  <c r="AE251" i="16"/>
  <c r="AE223" i="16" s="1"/>
  <c r="AE35" i="16" s="1"/>
  <c r="AE305" i="16"/>
  <c r="AE278" i="16"/>
  <c r="CY858" i="20" l="1"/>
  <c r="CZ858" i="20"/>
  <c r="CY880" i="20"/>
  <c r="CZ880" i="20"/>
  <c r="CW891" i="20"/>
  <c r="CV891" i="20"/>
  <c r="CV872" i="20"/>
  <c r="CW872" i="20"/>
  <c r="BL737" i="20"/>
  <c r="BK840" i="20"/>
  <c r="BK842" i="20" s="1"/>
  <c r="BK658" i="20"/>
  <c r="U25" i="19"/>
  <c r="U37" i="19" s="1"/>
  <c r="CU894" i="20"/>
  <c r="CZ881" i="20"/>
  <c r="CZ883" i="20"/>
  <c r="U26" i="19"/>
  <c r="V29" i="19"/>
  <c r="DC878" i="20"/>
  <c r="BK617" i="20"/>
  <c r="BK750" i="20" s="1"/>
  <c r="BK703" i="20"/>
  <c r="BK751" i="20"/>
  <c r="CU898" i="20" s="1"/>
  <c r="BL769" i="20"/>
  <c r="AA140" i="20"/>
  <c r="AA141" i="20" s="1"/>
  <c r="CX860" i="20"/>
  <c r="CX895" i="20"/>
  <c r="AA225" i="20"/>
  <c r="AA67" i="20"/>
  <c r="BL652" i="20"/>
  <c r="BL655" i="20" s="1"/>
  <c r="AB63" i="20"/>
  <c r="AB62" i="20"/>
  <c r="V24" i="19"/>
  <c r="V36" i="19" s="1"/>
  <c r="U34" i="19"/>
  <c r="U35" i="19" s="1"/>
  <c r="BL678" i="20"/>
  <c r="BL679" i="20" s="1"/>
  <c r="BL721" i="20" s="1"/>
  <c r="AB139" i="20"/>
  <c r="AA147" i="20"/>
  <c r="AA149" i="20" s="1"/>
  <c r="AA150" i="20" s="1"/>
  <c r="BL740" i="20" s="1"/>
  <c r="CU879" i="20"/>
  <c r="C428" i="56"/>
  <c r="C67" i="56"/>
  <c r="C429" i="57"/>
  <c r="C67" i="57"/>
  <c r="C790" i="57"/>
  <c r="AB59" i="16"/>
  <c r="X118" i="19" s="1"/>
  <c r="X110" i="19"/>
  <c r="AG29" i="16"/>
  <c r="AB33" i="16"/>
  <c r="AG36" i="16"/>
  <c r="X109" i="19"/>
  <c r="AB40" i="16"/>
  <c r="AG50" i="16"/>
  <c r="X117" i="19"/>
  <c r="Y108" i="19"/>
  <c r="AE55" i="16"/>
  <c r="AJ35" i="16"/>
  <c r="CV879" i="20" l="1"/>
  <c r="CW879" i="20"/>
  <c r="CY860" i="20"/>
  <c r="CZ860" i="20"/>
  <c r="U28" i="19"/>
  <c r="U31" i="19" s="1"/>
  <c r="U33" i="19" s="1"/>
  <c r="AB223" i="20"/>
  <c r="BM651" i="20"/>
  <c r="AB229" i="20"/>
  <c r="CX877" i="20"/>
  <c r="BL770" i="20"/>
  <c r="CX861" i="20"/>
  <c r="BL776" i="20"/>
  <c r="BM768" i="20"/>
  <c r="DA868" i="20" s="1"/>
  <c r="DB868" i="20" s="1"/>
  <c r="BL708" i="20"/>
  <c r="BL709" i="20"/>
  <c r="BL710" i="20" s="1"/>
  <c r="CU885" i="20"/>
  <c r="AB222" i="20"/>
  <c r="BM650" i="20"/>
  <c r="AA151" i="20"/>
  <c r="C68" i="56"/>
  <c r="C429" i="56"/>
  <c r="C430" i="57"/>
  <c r="C68" i="57"/>
  <c r="C791" i="57"/>
  <c r="AG33" i="16"/>
  <c r="AB41" i="16"/>
  <c r="AB56" i="16"/>
  <c r="X120" i="19" s="1"/>
  <c r="AG40" i="16"/>
  <c r="X112" i="19"/>
  <c r="X114" i="19" s="1"/>
  <c r="X116" i="19" s="1"/>
  <c r="Y115" i="19" s="1"/>
  <c r="CV885" i="20" l="1"/>
  <c r="CW885" i="20"/>
  <c r="DC861" i="20"/>
  <c r="CY861" i="20"/>
  <c r="CY877" i="20"/>
  <c r="CZ877" i="20"/>
  <c r="AB227" i="20"/>
  <c r="AB231" i="20" s="1"/>
  <c r="AB232" i="20" s="1"/>
  <c r="BM802" i="20" s="1"/>
  <c r="DA878" i="20" s="1"/>
  <c r="CX862" i="20"/>
  <c r="CU887" i="20"/>
  <c r="W17" i="19"/>
  <c r="DF868" i="20"/>
  <c r="V30" i="19"/>
  <c r="BL778" i="20"/>
  <c r="BL779" i="20" s="1"/>
  <c r="BL780" i="20" s="1"/>
  <c r="BL859" i="20"/>
  <c r="BL861" i="20" s="1"/>
  <c r="AA36" i="20"/>
  <c r="AA18" i="20"/>
  <c r="C69" i="56"/>
  <c r="C430" i="56"/>
  <c r="C431" i="57"/>
  <c r="C69" i="57"/>
  <c r="C792" i="57"/>
  <c r="AB46" i="16"/>
  <c r="AG41" i="16"/>
  <c r="W29" i="19" l="1"/>
  <c r="DB878" i="20"/>
  <c r="CY862" i="20"/>
  <c r="CZ862" i="20"/>
  <c r="CW887" i="20"/>
  <c r="CV887" i="20"/>
  <c r="DF878" i="20"/>
  <c r="AB173" i="20"/>
  <c r="AB233" i="20"/>
  <c r="AB140" i="20" s="1"/>
  <c r="AB141" i="20" s="1"/>
  <c r="BL586" i="20"/>
  <c r="AA26" i="20"/>
  <c r="AA34" i="20" s="1"/>
  <c r="AA212" i="20"/>
  <c r="AB537" i="20"/>
  <c r="AB490" i="20"/>
  <c r="BL619" i="20"/>
  <c r="BL745" i="20" s="1"/>
  <c r="CX897" i="20" s="1"/>
  <c r="AB443" i="20"/>
  <c r="AB390" i="20" s="1"/>
  <c r="AB76" i="20" s="1"/>
  <c r="AA158" i="20"/>
  <c r="AA181" i="20" s="1"/>
  <c r="AA48" i="20"/>
  <c r="AA59" i="20" s="1"/>
  <c r="AA152" i="20"/>
  <c r="AA156" i="20" s="1"/>
  <c r="CX869" i="20"/>
  <c r="BL738" i="20"/>
  <c r="C431" i="56"/>
  <c r="C70" i="56"/>
  <c r="C70" i="57"/>
  <c r="C432" i="57"/>
  <c r="C793" i="57"/>
  <c r="AB351" i="16"/>
  <c r="AG46" i="16"/>
  <c r="X122" i="19"/>
  <c r="AE44" i="16"/>
  <c r="CY869" i="20" l="1"/>
  <c r="CZ869" i="20"/>
  <c r="BM769" i="20"/>
  <c r="DA877" i="20" s="1"/>
  <c r="BM665" i="20"/>
  <c r="BM720" i="20" s="1"/>
  <c r="AB87" i="20"/>
  <c r="AB88" i="20" s="1"/>
  <c r="AB155" i="20"/>
  <c r="CX872" i="20"/>
  <c r="V16" i="19"/>
  <c r="V20" i="19" s="1"/>
  <c r="V23" i="19" s="1"/>
  <c r="BL739" i="20"/>
  <c r="AA157" i="20"/>
  <c r="AA211" i="20" s="1"/>
  <c r="AA213" i="20" s="1"/>
  <c r="BL781" i="20"/>
  <c r="CX889" i="20"/>
  <c r="CY889" i="20" s="1"/>
  <c r="BL734" i="20"/>
  <c r="BL787" i="20"/>
  <c r="BL704" i="20"/>
  <c r="BL632" i="20"/>
  <c r="AA70" i="20"/>
  <c r="AA35" i="20"/>
  <c r="BL598" i="20"/>
  <c r="BL841" i="20"/>
  <c r="DA886" i="20"/>
  <c r="DB886" i="20" s="1"/>
  <c r="C71" i="56"/>
  <c r="C432" i="56"/>
  <c r="C71" i="57"/>
  <c r="C433" i="57"/>
  <c r="C794" i="57"/>
  <c r="AJ44" i="16"/>
  <c r="AE47" i="16"/>
  <c r="BL749" i="20" l="1"/>
  <c r="BL743" i="20"/>
  <c r="CX896" i="20" s="1"/>
  <c r="BL744" i="20"/>
  <c r="BL746" i="20"/>
  <c r="BL752" i="20"/>
  <c r="CY872" i="20"/>
  <c r="CZ872" i="20"/>
  <c r="W30" i="19"/>
  <c r="DB877" i="20"/>
  <c r="DC877" i="20"/>
  <c r="BM770" i="20"/>
  <c r="CX883" i="20"/>
  <c r="CY883" i="20" s="1"/>
  <c r="BL810" i="20"/>
  <c r="CX879" i="20"/>
  <c r="DC886" i="20"/>
  <c r="W32" i="19"/>
  <c r="BM741" i="20"/>
  <c r="BM737" i="20"/>
  <c r="BL705" i="20"/>
  <c r="BL736" i="20"/>
  <c r="BL735" i="20"/>
  <c r="BL646" i="20"/>
  <c r="BL748" i="20" s="1"/>
  <c r="CX891" i="20"/>
  <c r="AB89" i="20"/>
  <c r="AB64" i="20" s="1"/>
  <c r="BM678" i="20"/>
  <c r="AC139" i="20"/>
  <c r="AB147" i="20"/>
  <c r="AB149" i="20" s="1"/>
  <c r="AB150" i="20" s="1"/>
  <c r="BL616" i="20"/>
  <c r="BL700" i="20"/>
  <c r="BL733" i="20"/>
  <c r="BL785" i="20"/>
  <c r="BL786" i="20" s="1"/>
  <c r="CX881" i="20"/>
  <c r="CY881" i="20" s="1"/>
  <c r="BM677" i="20"/>
  <c r="BM784" i="20"/>
  <c r="DA880" i="20" s="1"/>
  <c r="DA858" i="20"/>
  <c r="C72" i="56"/>
  <c r="C433" i="56"/>
  <c r="C72" i="57"/>
  <c r="C434" i="57"/>
  <c r="C795" i="57"/>
  <c r="AE50" i="16"/>
  <c r="AE58" i="16" s="1"/>
  <c r="Y119" i="19" s="1"/>
  <c r="AE29" i="16"/>
  <c r="AJ47" i="16"/>
  <c r="AE36" i="16"/>
  <c r="AH251" i="16"/>
  <c r="AH223" i="16" s="1"/>
  <c r="AH35" i="16" s="1"/>
  <c r="AH278" i="16"/>
  <c r="AH305" i="16"/>
  <c r="BM679" i="20" l="1"/>
  <c r="BM721" i="20" s="1"/>
  <c r="DB858" i="20"/>
  <c r="DC858" i="20"/>
  <c r="BL840" i="20"/>
  <c r="BL842" i="20" s="1"/>
  <c r="DB880" i="20"/>
  <c r="DC880" i="20"/>
  <c r="CY879" i="20"/>
  <c r="CZ879" i="20"/>
  <c r="CZ891" i="20"/>
  <c r="CY891" i="20"/>
  <c r="BM776" i="20"/>
  <c r="BN768" i="20"/>
  <c r="DD868" i="20" s="1"/>
  <c r="DA861" i="20"/>
  <c r="BL658" i="20"/>
  <c r="CX894" i="20"/>
  <c r="V25" i="19"/>
  <c r="DC881" i="20"/>
  <c r="BL751" i="20"/>
  <c r="CX898" i="20" s="1"/>
  <c r="BL617" i="20"/>
  <c r="BL750" i="20" s="1"/>
  <c r="BL703" i="20"/>
  <c r="AC62" i="20"/>
  <c r="AB225" i="20"/>
  <c r="AC63" i="20"/>
  <c r="BM652" i="20"/>
  <c r="BM655" i="20" s="1"/>
  <c r="AB67" i="20"/>
  <c r="CX885" i="20"/>
  <c r="DA895" i="20"/>
  <c r="DA860" i="20"/>
  <c r="BM740" i="20"/>
  <c r="AB151" i="20"/>
  <c r="W24" i="19"/>
  <c r="W36" i="19" s="1"/>
  <c r="V34" i="19"/>
  <c r="V35" i="19" s="1"/>
  <c r="V26" i="19"/>
  <c r="C73" i="56"/>
  <c r="C434" i="56"/>
  <c r="C73" i="57"/>
  <c r="C435" i="57"/>
  <c r="C796" i="57"/>
  <c r="AJ29" i="16"/>
  <c r="Y110" i="19"/>
  <c r="AE33" i="16"/>
  <c r="AJ36" i="16"/>
  <c r="Y109" i="19"/>
  <c r="AE40" i="16"/>
  <c r="AJ50" i="16"/>
  <c r="Y117" i="19"/>
  <c r="AM35" i="16"/>
  <c r="Z108" i="19"/>
  <c r="AH55" i="16"/>
  <c r="AE59" i="16"/>
  <c r="Y118" i="19" s="1"/>
  <c r="DF861" i="20" l="1"/>
  <c r="DB861" i="20"/>
  <c r="DI868" i="20"/>
  <c r="DE868" i="20"/>
  <c r="CY885" i="20"/>
  <c r="CZ885" i="20"/>
  <c r="DB860" i="20"/>
  <c r="DC860" i="20"/>
  <c r="X17" i="19"/>
  <c r="CX887" i="20"/>
  <c r="DA862" i="20"/>
  <c r="AC222" i="20"/>
  <c r="BN650" i="20"/>
  <c r="AB18" i="20"/>
  <c r="AB36" i="20"/>
  <c r="BM708" i="20"/>
  <c r="BM709" i="20"/>
  <c r="BM710" i="20" s="1"/>
  <c r="V37" i="19"/>
  <c r="V28" i="19"/>
  <c r="V31" i="19" s="1"/>
  <c r="V33" i="19" s="1"/>
  <c r="AC223" i="20"/>
  <c r="AC229" i="20"/>
  <c r="BN651" i="20"/>
  <c r="BM778" i="20"/>
  <c r="BM779" i="20" s="1"/>
  <c r="BM859" i="20"/>
  <c r="BM861" i="20" s="1"/>
  <c r="C74" i="56"/>
  <c r="C435" i="56"/>
  <c r="C436" i="57"/>
  <c r="C74" i="57"/>
  <c r="C797" i="57"/>
  <c r="AE41" i="16"/>
  <c r="Y122" i="19"/>
  <c r="AJ33" i="16"/>
  <c r="AJ40" i="16"/>
  <c r="AE56" i="16"/>
  <c r="Y112" i="19"/>
  <c r="Y114" i="19" s="1"/>
  <c r="Y116" i="19" s="1"/>
  <c r="Z115" i="19" s="1"/>
  <c r="CZ887" i="20" l="1"/>
  <c r="CY887" i="20"/>
  <c r="DB862" i="20"/>
  <c r="DC862" i="20"/>
  <c r="AC227" i="20"/>
  <c r="AC231" i="20" s="1"/>
  <c r="AC232" i="20" s="1"/>
  <c r="AB26" i="20"/>
  <c r="AB34" i="20" s="1"/>
  <c r="AB212" i="20"/>
  <c r="BM586" i="20"/>
  <c r="BM738" i="20"/>
  <c r="DA869" i="20"/>
  <c r="BM780" i="20"/>
  <c r="BM619" i="20"/>
  <c r="BM745" i="20" s="1"/>
  <c r="DA897" i="20" s="1"/>
  <c r="AB158" i="20"/>
  <c r="AB181" i="20" s="1"/>
  <c r="AC490" i="20"/>
  <c r="AB152" i="20"/>
  <c r="AB156" i="20" s="1"/>
  <c r="AC443" i="20"/>
  <c r="AC390" i="20" s="1"/>
  <c r="AC76" i="20" s="1"/>
  <c r="AC537" i="20"/>
  <c r="AB48" i="20"/>
  <c r="AB59" i="20" s="1"/>
  <c r="C75" i="56"/>
  <c r="C436" i="56"/>
  <c r="C437" i="57"/>
  <c r="C798" i="57"/>
  <c r="C75" i="57"/>
  <c r="AE46" i="16"/>
  <c r="AJ41" i="16"/>
  <c r="DB869" i="20" l="1"/>
  <c r="DC869" i="20"/>
  <c r="AC87" i="20"/>
  <c r="AC88" i="20" s="1"/>
  <c r="AC147" i="20" s="1"/>
  <c r="AC149" i="20" s="1"/>
  <c r="AC150" i="20" s="1"/>
  <c r="AC155" i="20"/>
  <c r="BN665" i="20"/>
  <c r="BN720" i="20" s="1"/>
  <c r="BM781" i="20"/>
  <c r="BM632" i="20"/>
  <c r="BM734" i="20"/>
  <c r="DA889" i="20"/>
  <c r="BM787" i="20"/>
  <c r="BM704" i="20"/>
  <c r="BM598" i="20"/>
  <c r="BM841" i="20"/>
  <c r="DD886" i="20"/>
  <c r="DE886" i="20" s="1"/>
  <c r="BM739" i="20"/>
  <c r="AB157" i="20"/>
  <c r="AB211" i="20" s="1"/>
  <c r="AB213" i="20" s="1"/>
  <c r="AC233" i="20"/>
  <c r="W16" i="19"/>
  <c r="W20" i="19" s="1"/>
  <c r="W23" i="19" s="1"/>
  <c r="DA872" i="20"/>
  <c r="AB70" i="20"/>
  <c r="AB35" i="20"/>
  <c r="AC173" i="20"/>
  <c r="BN802" i="20"/>
  <c r="DD878" i="20" s="1"/>
  <c r="DE878" i="20" s="1"/>
  <c r="C76" i="56"/>
  <c r="C437" i="56"/>
  <c r="C438" i="57"/>
  <c r="C799" i="57"/>
  <c r="C76" i="57"/>
  <c r="AE351" i="16"/>
  <c r="A351" i="16" s="1"/>
  <c r="AH44" i="16"/>
  <c r="AJ46" i="16"/>
  <c r="DB889" i="20" l="1"/>
  <c r="DC889" i="20"/>
  <c r="DB872" i="20"/>
  <c r="DC872" i="20"/>
  <c r="BM749" i="20"/>
  <c r="BM743" i="20"/>
  <c r="DA896" i="20" s="1"/>
  <c r="BM746" i="20"/>
  <c r="BM744" i="20"/>
  <c r="BM752" i="20"/>
  <c r="BN678" i="20"/>
  <c r="BO768" i="20" s="1"/>
  <c r="DG868" i="20" s="1"/>
  <c r="DH868" i="20" s="1"/>
  <c r="AD139" i="20"/>
  <c r="AC89" i="20"/>
  <c r="AC64" i="20" s="1"/>
  <c r="AC67" i="20" s="1"/>
  <c r="DF886" i="20"/>
  <c r="X32" i="19"/>
  <c r="DA883" i="20"/>
  <c r="BM810" i="20"/>
  <c r="DA881" i="20"/>
  <c r="DB881" i="20" s="1"/>
  <c r="BM785" i="20"/>
  <c r="BM786" i="20" s="1"/>
  <c r="AC140" i="20"/>
  <c r="AC141" i="20" s="1"/>
  <c r="AC151" i="20" s="1"/>
  <c r="BN769" i="20"/>
  <c r="DA891" i="20"/>
  <c r="BN784" i="20"/>
  <c r="DD880" i="20" s="1"/>
  <c r="BN677" i="20"/>
  <c r="DD858" i="20"/>
  <c r="DI878" i="20"/>
  <c r="X29" i="19"/>
  <c r="DA879" i="20"/>
  <c r="BM616" i="20"/>
  <c r="BM700" i="20"/>
  <c r="BM733" i="20"/>
  <c r="BN741" i="20"/>
  <c r="BN737" i="20"/>
  <c r="BM705" i="20"/>
  <c r="BM646" i="20"/>
  <c r="BM748" i="20" s="1"/>
  <c r="BM735" i="20"/>
  <c r="BM736" i="20"/>
  <c r="C438" i="56"/>
  <c r="C77" i="56"/>
  <c r="C439" i="57"/>
  <c r="C800" i="57"/>
  <c r="C77" i="57"/>
  <c r="BN740" i="20"/>
  <c r="AM44" i="16"/>
  <c r="AH47" i="16"/>
  <c r="DB883" i="20" l="1"/>
  <c r="DC883" i="20"/>
  <c r="DE858" i="20"/>
  <c r="DF858" i="20"/>
  <c r="DE880" i="20"/>
  <c r="DF880" i="20"/>
  <c r="DB879" i="20"/>
  <c r="DC879" i="20"/>
  <c r="DC891" i="20"/>
  <c r="DB891" i="20"/>
  <c r="AD62" i="20"/>
  <c r="AD222" i="20" s="1"/>
  <c r="BN776" i="20"/>
  <c r="BN778" i="20" s="1"/>
  <c r="BN779" i="20" s="1"/>
  <c r="AC225" i="20"/>
  <c r="AD63" i="20"/>
  <c r="AD223" i="20" s="1"/>
  <c r="BN652" i="20"/>
  <c r="BN655" i="20" s="1"/>
  <c r="DD861" i="20"/>
  <c r="BN679" i="20"/>
  <c r="BN721" i="20" s="1"/>
  <c r="BM840" i="20"/>
  <c r="BM842" i="20" s="1"/>
  <c r="BM658" i="20"/>
  <c r="DA885" i="20"/>
  <c r="DD877" i="20"/>
  <c r="BN770" i="20"/>
  <c r="X24" i="19"/>
  <c r="X36" i="19" s="1"/>
  <c r="W26" i="19"/>
  <c r="BM751" i="20"/>
  <c r="DA898" i="20" s="1"/>
  <c r="BM617" i="20"/>
  <c r="BM750" i="20" s="1"/>
  <c r="BM703" i="20"/>
  <c r="W34" i="19"/>
  <c r="W35" i="19" s="1"/>
  <c r="DD895" i="20"/>
  <c r="DD860" i="20"/>
  <c r="W25" i="19"/>
  <c r="W37" i="19" s="1"/>
  <c r="DA894" i="20"/>
  <c r="DF881" i="20"/>
  <c r="C439" i="56"/>
  <c r="C78" i="56"/>
  <c r="C801" i="57"/>
  <c r="C440" i="57"/>
  <c r="C78" i="57"/>
  <c r="AC36" i="20"/>
  <c r="AC18" i="20"/>
  <c r="Y17" i="19"/>
  <c r="DL868" i="20"/>
  <c r="AM47" i="16"/>
  <c r="AH36" i="16"/>
  <c r="AH50" i="16"/>
  <c r="AH29" i="16"/>
  <c r="AK251" i="16"/>
  <c r="AK223" i="16" s="1"/>
  <c r="AK35" i="16" s="1"/>
  <c r="AK278" i="16"/>
  <c r="AK305" i="16"/>
  <c r="DE877" i="20" l="1"/>
  <c r="DF877" i="20"/>
  <c r="DE860" i="20"/>
  <c r="DF860" i="20"/>
  <c r="DI861" i="20"/>
  <c r="DE861" i="20"/>
  <c r="DB885" i="20"/>
  <c r="DC885" i="20"/>
  <c r="BN708" i="20"/>
  <c r="AD229" i="20"/>
  <c r="BO651" i="20"/>
  <c r="BN709" i="20"/>
  <c r="BN710" i="20" s="1"/>
  <c r="BO650" i="20"/>
  <c r="BN859" i="20"/>
  <c r="BN861" i="20" s="1"/>
  <c r="W28" i="19"/>
  <c r="W31" i="19" s="1"/>
  <c r="W33" i="19" s="1"/>
  <c r="DD862" i="20"/>
  <c r="X30" i="19"/>
  <c r="DA887" i="20"/>
  <c r="AD227" i="20"/>
  <c r="C440" i="56"/>
  <c r="C79" i="56"/>
  <c r="C802" i="57"/>
  <c r="C441" i="57"/>
  <c r="C79" i="57"/>
  <c r="BN738" i="20"/>
  <c r="DD869" i="20"/>
  <c r="BN780" i="20"/>
  <c r="AD443" i="20"/>
  <c r="AD390" i="20" s="1"/>
  <c r="AD76" i="20" s="1"/>
  <c r="BN619" i="20"/>
  <c r="BN745" i="20" s="1"/>
  <c r="DD897" i="20" s="1"/>
  <c r="AC48" i="20"/>
  <c r="AC59" i="20" s="1"/>
  <c r="AC152" i="20"/>
  <c r="AC156" i="20" s="1"/>
  <c r="AC158" i="20"/>
  <c r="AC181" i="20" s="1"/>
  <c r="AD537" i="20"/>
  <c r="AD490" i="20"/>
  <c r="AC212" i="20"/>
  <c r="AC26" i="20"/>
  <c r="AC34" i="20" s="1"/>
  <c r="BN586" i="20"/>
  <c r="Z117" i="19"/>
  <c r="AM50" i="16"/>
  <c r="AM36" i="16"/>
  <c r="Z109" i="19"/>
  <c r="AH40" i="16"/>
  <c r="AM29" i="16"/>
  <c r="Z110" i="19"/>
  <c r="AH33" i="16"/>
  <c r="AP35" i="16"/>
  <c r="AA108" i="19"/>
  <c r="AK55" i="16"/>
  <c r="AH59" i="16"/>
  <c r="Z118" i="19" s="1"/>
  <c r="AH58" i="16"/>
  <c r="Z119" i="19" s="1"/>
  <c r="DE869" i="20" l="1"/>
  <c r="DF869" i="20"/>
  <c r="DC887" i="20"/>
  <c r="DB887" i="20"/>
  <c r="DE862" i="20"/>
  <c r="DF862" i="20"/>
  <c r="AD231" i="20"/>
  <c r="AD232" i="20" s="1"/>
  <c r="AD173" i="20" s="1"/>
  <c r="C80" i="56"/>
  <c r="C441" i="56"/>
  <c r="C803" i="57"/>
  <c r="C442" i="57"/>
  <c r="C80" i="57"/>
  <c r="BO665" i="20"/>
  <c r="BO720" i="20" s="1"/>
  <c r="AD87" i="20"/>
  <c r="AD155" i="20"/>
  <c r="DG886" i="20"/>
  <c r="BN598" i="20"/>
  <c r="BN841" i="20"/>
  <c r="BN704" i="20"/>
  <c r="BN781" i="20"/>
  <c r="BN787" i="20"/>
  <c r="DD889" i="20"/>
  <c r="BN734" i="20"/>
  <c r="BN632" i="20"/>
  <c r="BN739" i="20"/>
  <c r="AC157" i="20"/>
  <c r="AC211" i="20" s="1"/>
  <c r="AC213" i="20" s="1"/>
  <c r="X16" i="19"/>
  <c r="X20" i="19" s="1"/>
  <c r="DD872" i="20"/>
  <c r="AC35" i="20"/>
  <c r="AC70" i="20"/>
  <c r="Z112" i="19"/>
  <c r="Z114" i="19" s="1"/>
  <c r="Z116" i="19" s="1"/>
  <c r="AA115" i="19" s="1"/>
  <c r="AM40" i="16"/>
  <c r="AH56" i="16"/>
  <c r="AM33" i="16"/>
  <c r="Z122" i="19"/>
  <c r="AH41" i="16"/>
  <c r="DE889" i="20" l="1"/>
  <c r="DF889" i="20"/>
  <c r="DI886" i="20"/>
  <c r="DH886" i="20"/>
  <c r="BN749" i="20"/>
  <c r="BN743" i="20"/>
  <c r="DD896" i="20" s="1"/>
  <c r="BN752" i="20"/>
  <c r="BN746" i="20"/>
  <c r="BN744" i="20"/>
  <c r="DE872" i="20"/>
  <c r="DF872" i="20"/>
  <c r="BO802" i="20"/>
  <c r="DG878" i="20" s="1"/>
  <c r="AD233" i="20"/>
  <c r="AD140" i="20" s="1"/>
  <c r="AD141" i="20" s="1"/>
  <c r="C442" i="56"/>
  <c r="C81" i="56"/>
  <c r="C443" i="57"/>
  <c r="C804" i="57"/>
  <c r="C81" i="57"/>
  <c r="DD883" i="20"/>
  <c r="BN810" i="20"/>
  <c r="DG858" i="20"/>
  <c r="BO677" i="20"/>
  <c r="BO784" i="20"/>
  <c r="DG880" i="20" s="1"/>
  <c r="X23" i="19"/>
  <c r="DD891" i="20"/>
  <c r="AD88" i="20"/>
  <c r="BO737" i="20"/>
  <c r="BO741" i="20"/>
  <c r="BN735" i="20"/>
  <c r="BN736" i="20"/>
  <c r="BN705" i="20"/>
  <c r="BN646" i="20"/>
  <c r="BN748" i="20" s="1"/>
  <c r="Y32" i="19"/>
  <c r="BN616" i="20"/>
  <c r="BN733" i="20"/>
  <c r="BN700" i="20"/>
  <c r="DD879" i="20"/>
  <c r="BN785" i="20"/>
  <c r="BN786" i="20" s="1"/>
  <c r="DD881" i="20"/>
  <c r="DE881" i="20" s="1"/>
  <c r="AH46" i="16"/>
  <c r="AM41" i="16"/>
  <c r="DE883" i="20" l="1"/>
  <c r="DF883" i="20"/>
  <c r="DH880" i="20"/>
  <c r="DI880" i="20"/>
  <c r="DH858" i="20"/>
  <c r="DI858" i="20"/>
  <c r="DL878" i="20"/>
  <c r="DH878" i="20"/>
  <c r="DF891" i="20"/>
  <c r="DE891" i="20"/>
  <c r="DE879" i="20"/>
  <c r="DF879" i="20"/>
  <c r="BO769" i="20"/>
  <c r="BO770" i="20" s="1"/>
  <c r="Y29" i="19"/>
  <c r="C443" i="56"/>
  <c r="C82" i="56"/>
  <c r="C444" i="57"/>
  <c r="C805" i="57"/>
  <c r="C82" i="57"/>
  <c r="Y24" i="19"/>
  <c r="Y36" i="19" s="1"/>
  <c r="X25" i="19"/>
  <c r="X37" i="19" s="1"/>
  <c r="DD894" i="20"/>
  <c r="DI881" i="20"/>
  <c r="DD885" i="20"/>
  <c r="BN617" i="20"/>
  <c r="BN750" i="20" s="1"/>
  <c r="BN751" i="20"/>
  <c r="DD898" i="20" s="1"/>
  <c r="BN703" i="20"/>
  <c r="X34" i="19"/>
  <c r="X35" i="19" s="1"/>
  <c r="X26" i="19"/>
  <c r="AE139" i="20"/>
  <c r="AD147" i="20"/>
  <c r="AD149" i="20" s="1"/>
  <c r="AD150" i="20" s="1"/>
  <c r="BO740" i="20" s="1"/>
  <c r="BO678" i="20"/>
  <c r="BO679" i="20" s="1"/>
  <c r="BO721" i="20" s="1"/>
  <c r="DG860" i="20"/>
  <c r="DG895" i="20"/>
  <c r="BN658" i="20"/>
  <c r="BN840" i="20"/>
  <c r="BN842" i="20" s="1"/>
  <c r="AD89" i="20"/>
  <c r="AD64" i="20" s="1"/>
  <c r="AH351" i="16"/>
  <c r="AK44" i="16"/>
  <c r="AM46" i="16"/>
  <c r="DG877" i="20" l="1"/>
  <c r="DH877" i="20" s="1"/>
  <c r="DH860" i="20"/>
  <c r="DI860" i="20"/>
  <c r="DE885" i="20"/>
  <c r="DF885" i="20"/>
  <c r="X28" i="19"/>
  <c r="X31" i="19" s="1"/>
  <c r="X33" i="19" s="1"/>
  <c r="C444" i="56"/>
  <c r="C83" i="56"/>
  <c r="C445" i="57"/>
  <c r="C806" i="57"/>
  <c r="C83" i="57"/>
  <c r="DD887" i="20"/>
  <c r="DE887" i="20" s="1"/>
  <c r="AD151" i="20"/>
  <c r="AE62" i="20"/>
  <c r="AD67" i="20"/>
  <c r="AE63" i="20"/>
  <c r="AD225" i="20"/>
  <c r="BO652" i="20"/>
  <c r="BO655" i="20" s="1"/>
  <c r="BO776" i="20"/>
  <c r="BP768" i="20"/>
  <c r="DJ868" i="20" s="1"/>
  <c r="DK868" i="20" s="1"/>
  <c r="DG861" i="20"/>
  <c r="AP44" i="16"/>
  <c r="AK47" i="16"/>
  <c r="DI877" i="20" l="1"/>
  <c r="Y30" i="19"/>
  <c r="DL861" i="20"/>
  <c r="DH861" i="20"/>
  <c r="DF887" i="20"/>
  <c r="DG862" i="20"/>
  <c r="C445" i="56"/>
  <c r="C84" i="56"/>
  <c r="C446" i="57"/>
  <c r="C807" i="57"/>
  <c r="C84" i="57"/>
  <c r="Z17" i="19"/>
  <c r="DO868" i="20"/>
  <c r="AE222" i="20"/>
  <c r="BP650" i="20"/>
  <c r="AE229" i="20"/>
  <c r="AE223" i="20"/>
  <c r="BP651" i="20"/>
  <c r="BO709" i="20"/>
  <c r="BO710" i="20" s="1"/>
  <c r="BO708" i="20"/>
  <c r="BO778" i="20"/>
  <c r="BO779" i="20" s="1"/>
  <c r="BO859" i="20"/>
  <c r="BO861" i="20" s="1"/>
  <c r="AD18" i="20"/>
  <c r="AD36" i="20"/>
  <c r="AP47" i="16"/>
  <c r="AK29" i="16"/>
  <c r="AK50" i="16"/>
  <c r="AK36" i="16"/>
  <c r="AN251" i="16"/>
  <c r="AN223" i="16" s="1"/>
  <c r="AN35" i="16" s="1"/>
  <c r="AN278" i="16"/>
  <c r="AN305" i="16"/>
  <c r="DH862" i="20" l="1"/>
  <c r="DI862" i="20"/>
  <c r="C446" i="56"/>
  <c r="C85" i="56"/>
  <c r="C808" i="57"/>
  <c r="C447" i="57"/>
  <c r="C85" i="57"/>
  <c r="AE227" i="20"/>
  <c r="AE231" i="20" s="1"/>
  <c r="AE232" i="20" s="1"/>
  <c r="BO738" i="20"/>
  <c r="DG869" i="20"/>
  <c r="BO780" i="20"/>
  <c r="AD26" i="20"/>
  <c r="AD34" i="20" s="1"/>
  <c r="AD212" i="20"/>
  <c r="BO586" i="20"/>
  <c r="AE443" i="20"/>
  <c r="AE390" i="20" s="1"/>
  <c r="AE76" i="20" s="1"/>
  <c r="BO619" i="20"/>
  <c r="BO745" i="20" s="1"/>
  <c r="DG897" i="20" s="1"/>
  <c r="AE537" i="20"/>
  <c r="AD48" i="20"/>
  <c r="AD59" i="20" s="1"/>
  <c r="AD152" i="20"/>
  <c r="AD156" i="20" s="1"/>
  <c r="AD158" i="20"/>
  <c r="AD181" i="20" s="1"/>
  <c r="AE490" i="20"/>
  <c r="AA117" i="19"/>
  <c r="AP50" i="16"/>
  <c r="AK59" i="16"/>
  <c r="AA118" i="19" s="1"/>
  <c r="AK58" i="16"/>
  <c r="AA119" i="19" s="1"/>
  <c r="AA110" i="19"/>
  <c r="AP29" i="16"/>
  <c r="AK33" i="16"/>
  <c r="AA109" i="19"/>
  <c r="AP36" i="16"/>
  <c r="AK40" i="16"/>
  <c r="AN55" i="16"/>
  <c r="AS35" i="16"/>
  <c r="AB108" i="19"/>
  <c r="DH869" i="20" l="1"/>
  <c r="DI869" i="20"/>
  <c r="C447" i="56"/>
  <c r="C86" i="56"/>
  <c r="C809" i="57"/>
  <c r="C448" i="57"/>
  <c r="C86" i="57"/>
  <c r="AE233" i="20"/>
  <c r="BP769" i="20" s="1"/>
  <c r="AD35" i="20"/>
  <c r="AD70" i="20"/>
  <c r="AE173" i="20"/>
  <c r="BP802" i="20"/>
  <c r="DJ878" i="20" s="1"/>
  <c r="DK878" i="20" s="1"/>
  <c r="AE155" i="20"/>
  <c r="BP665" i="20"/>
  <c r="BP720" i="20" s="1"/>
  <c r="AE87" i="20"/>
  <c r="BO704" i="20"/>
  <c r="DG889" i="20"/>
  <c r="BO787" i="20"/>
  <c r="BO734" i="20"/>
  <c r="BO632" i="20"/>
  <c r="BO781" i="20"/>
  <c r="Y16" i="19"/>
  <c r="Y20" i="19" s="1"/>
  <c r="DG872" i="20"/>
  <c r="BO739" i="20"/>
  <c r="AD157" i="20"/>
  <c r="AD211" i="20" s="1"/>
  <c r="AD213" i="20" s="1"/>
  <c r="DJ886" i="20"/>
  <c r="BO598" i="20"/>
  <c r="BO841" i="20"/>
  <c r="AP40" i="16"/>
  <c r="AK56" i="16"/>
  <c r="AK41" i="16"/>
  <c r="AP33" i="16"/>
  <c r="AA122" i="19"/>
  <c r="AA112" i="19"/>
  <c r="AA114" i="19" s="1"/>
  <c r="AA116" i="19" s="1"/>
  <c r="AB115" i="19" s="1"/>
  <c r="DH889" i="20" l="1"/>
  <c r="DI889" i="20"/>
  <c r="BO749" i="20"/>
  <c r="BO752" i="20"/>
  <c r="BO743" i="20"/>
  <c r="DG896" i="20" s="1"/>
  <c r="BO746" i="20"/>
  <c r="BO744" i="20"/>
  <c r="DL886" i="20"/>
  <c r="DK886" i="20"/>
  <c r="DH872" i="20"/>
  <c r="DI872" i="20"/>
  <c r="AE140" i="20"/>
  <c r="AE141" i="20" s="1"/>
  <c r="C448" i="56"/>
  <c r="C87" i="56"/>
  <c r="C87" i="57"/>
  <c r="C810" i="57"/>
  <c r="C449" i="57"/>
  <c r="DG879" i="20"/>
  <c r="DJ877" i="20"/>
  <c r="BP770" i="20"/>
  <c r="BO736" i="20"/>
  <c r="BO705" i="20"/>
  <c r="BO735" i="20"/>
  <c r="BO646" i="20"/>
  <c r="BO748" i="20" s="1"/>
  <c r="DG891" i="20"/>
  <c r="BO810" i="20"/>
  <c r="DG883" i="20"/>
  <c r="DO878" i="20"/>
  <c r="Z29" i="19"/>
  <c r="BP737" i="20"/>
  <c r="BP741" i="20"/>
  <c r="BP677" i="20"/>
  <c r="DJ858" i="20"/>
  <c r="BP784" i="20"/>
  <c r="DJ880" i="20" s="1"/>
  <c r="Z32" i="19"/>
  <c r="BO733" i="20"/>
  <c r="BO616" i="20"/>
  <c r="BO700" i="20"/>
  <c r="DG881" i="20"/>
  <c r="DH881" i="20" s="1"/>
  <c r="BO785" i="20"/>
  <c r="BO786" i="20" s="1"/>
  <c r="AE88" i="20"/>
  <c r="AE89" i="20" s="1"/>
  <c r="AE64" i="20" s="1"/>
  <c r="Y23" i="19"/>
  <c r="AK46" i="16"/>
  <c r="AP41" i="16"/>
  <c r="DH883" i="20" l="1"/>
  <c r="DI883" i="20"/>
  <c r="DK858" i="20"/>
  <c r="DL858" i="20"/>
  <c r="DK880" i="20"/>
  <c r="DL880" i="20"/>
  <c r="DI891" i="20"/>
  <c r="DH891" i="20"/>
  <c r="DK877" i="20"/>
  <c r="DL877" i="20"/>
  <c r="DH879" i="20"/>
  <c r="DI879" i="20"/>
  <c r="BO840" i="20"/>
  <c r="BO842" i="20" s="1"/>
  <c r="C449" i="56"/>
  <c r="C88" i="56"/>
  <c r="C88" i="57"/>
  <c r="C811" i="57"/>
  <c r="C450" i="57"/>
  <c r="Y25" i="19"/>
  <c r="Y37" i="19" s="1"/>
  <c r="DG894" i="20"/>
  <c r="DL881" i="20"/>
  <c r="Y34" i="19"/>
  <c r="Y35" i="19" s="1"/>
  <c r="DJ860" i="20"/>
  <c r="DJ895" i="20"/>
  <c r="AE147" i="20"/>
  <c r="AE149" i="20" s="1"/>
  <c r="AE150" i="20" s="1"/>
  <c r="AF139" i="20"/>
  <c r="BP678" i="20"/>
  <c r="BP679" i="20" s="1"/>
  <c r="BP721" i="20" s="1"/>
  <c r="Y26" i="19"/>
  <c r="DG885" i="20"/>
  <c r="AE225" i="20"/>
  <c r="BP652" i="20"/>
  <c r="BP655" i="20" s="1"/>
  <c r="AE67" i="20"/>
  <c r="AF62" i="20"/>
  <c r="AF63" i="20"/>
  <c r="Z24" i="19"/>
  <c r="Z36" i="19" s="1"/>
  <c r="Z30" i="19"/>
  <c r="BO617" i="20"/>
  <c r="BO750" i="20" s="1"/>
  <c r="BO703" i="20"/>
  <c r="BO751" i="20"/>
  <c r="DG898" i="20" s="1"/>
  <c r="BO658" i="20"/>
  <c r="AK351" i="16"/>
  <c r="AN44" i="16"/>
  <c r="AP46" i="16"/>
  <c r="DH885" i="20" l="1"/>
  <c r="DI885" i="20"/>
  <c r="DK860" i="20"/>
  <c r="DL860" i="20"/>
  <c r="Y28" i="19"/>
  <c r="Y31" i="19" s="1"/>
  <c r="Y33" i="19" s="1"/>
  <c r="C89" i="56"/>
  <c r="C450" i="56"/>
  <c r="C89" i="57"/>
  <c r="C812" i="57"/>
  <c r="C451" i="57"/>
  <c r="BP740" i="20"/>
  <c r="AE151" i="20"/>
  <c r="BQ651" i="20"/>
  <c r="AF223" i="20"/>
  <c r="AF229" i="20"/>
  <c r="BP708" i="20"/>
  <c r="BP709" i="20"/>
  <c r="BP710" i="20" s="1"/>
  <c r="DJ861" i="20"/>
  <c r="BP776" i="20"/>
  <c r="BQ768" i="20"/>
  <c r="AF222" i="20"/>
  <c r="BQ650" i="20"/>
  <c r="DG887" i="20"/>
  <c r="DH887" i="20" s="1"/>
  <c r="AS44" i="16"/>
  <c r="AN47" i="16"/>
  <c r="DO861" i="20" l="1"/>
  <c r="DK861" i="20"/>
  <c r="AF227" i="20"/>
  <c r="AF231" i="20" s="1"/>
  <c r="AF232" i="20" s="1"/>
  <c r="DI887" i="20"/>
  <c r="C90" i="56"/>
  <c r="C451" i="56"/>
  <c r="C90" i="57"/>
  <c r="C813" i="57"/>
  <c r="C452" i="57"/>
  <c r="DJ862" i="20"/>
  <c r="DM868" i="20"/>
  <c r="DN868" i="20" s="1"/>
  <c r="AE36" i="20"/>
  <c r="AE18" i="20"/>
  <c r="BP778" i="20"/>
  <c r="BP779" i="20" s="1"/>
  <c r="BP859" i="20"/>
  <c r="BP861" i="20" s="1"/>
  <c r="AS47" i="16"/>
  <c r="AN29" i="16"/>
  <c r="AN50" i="16"/>
  <c r="AN58" i="16" s="1"/>
  <c r="AB119" i="19" s="1"/>
  <c r="AN36" i="16"/>
  <c r="AQ251" i="16"/>
  <c r="AQ223" i="16" s="1"/>
  <c r="AQ35" i="16" s="1"/>
  <c r="AQ305" i="16"/>
  <c r="AQ278" i="16"/>
  <c r="DK862" i="20" l="1"/>
  <c r="DL862" i="20"/>
  <c r="C452" i="56"/>
  <c r="C91" i="56"/>
  <c r="C814" i="57"/>
  <c r="C91" i="57"/>
  <c r="C453" i="57"/>
  <c r="AA17" i="19"/>
  <c r="DR868" i="20"/>
  <c r="AF233" i="20"/>
  <c r="BQ802" i="20"/>
  <c r="DM878" i="20" s="1"/>
  <c r="DN878" i="20" s="1"/>
  <c r="AF173" i="20"/>
  <c r="AE48" i="20"/>
  <c r="AE59" i="20" s="1"/>
  <c r="AE152" i="20"/>
  <c r="AE156" i="20" s="1"/>
  <c r="AE158" i="20"/>
  <c r="AE181" i="20" s="1"/>
  <c r="AF490" i="20"/>
  <c r="AF537" i="20"/>
  <c r="BP619" i="20"/>
  <c r="BP745" i="20" s="1"/>
  <c r="DJ897" i="20" s="1"/>
  <c r="AF443" i="20"/>
  <c r="AF390" i="20" s="1"/>
  <c r="AF76" i="20" s="1"/>
  <c r="AE212" i="20"/>
  <c r="BP586" i="20"/>
  <c r="AE26" i="20"/>
  <c r="AE34" i="20" s="1"/>
  <c r="DJ869" i="20"/>
  <c r="BP738" i="20"/>
  <c r="BP780" i="20"/>
  <c r="AN59" i="16"/>
  <c r="AB118" i="19" s="1"/>
  <c r="AS50" i="16"/>
  <c r="AB117" i="19"/>
  <c r="AB109" i="19"/>
  <c r="AS36" i="16"/>
  <c r="AN40" i="16"/>
  <c r="AS29" i="16"/>
  <c r="AB110" i="19"/>
  <c r="AN33" i="16"/>
  <c r="AC108" i="19"/>
  <c r="AQ55" i="16"/>
  <c r="AV35" i="16"/>
  <c r="DK869" i="20" l="1"/>
  <c r="DL869" i="20"/>
  <c r="C453" i="56"/>
  <c r="C92" i="56"/>
  <c r="C92" i="57"/>
  <c r="C815" i="57"/>
  <c r="C454" i="57"/>
  <c r="Z16" i="19"/>
  <c r="Z20" i="19" s="1"/>
  <c r="DJ872" i="20"/>
  <c r="BP632" i="20"/>
  <c r="BP787" i="20"/>
  <c r="BP704" i="20"/>
  <c r="BP781" i="20"/>
  <c r="DJ889" i="20"/>
  <c r="BP734" i="20"/>
  <c r="BQ769" i="20"/>
  <c r="AF140" i="20"/>
  <c r="AF141" i="20" s="1"/>
  <c r="AF155" i="20"/>
  <c r="BQ665" i="20"/>
  <c r="BQ720" i="20" s="1"/>
  <c r="AF87" i="20"/>
  <c r="DR878" i="20"/>
  <c r="AA29" i="19"/>
  <c r="BP598" i="20"/>
  <c r="DM886" i="20"/>
  <c r="BP841" i="20"/>
  <c r="AE70" i="20"/>
  <c r="AE35" i="20"/>
  <c r="BP739" i="20"/>
  <c r="AE157" i="20"/>
  <c r="AE211" i="20" s="1"/>
  <c r="AE213" i="20" s="1"/>
  <c r="AB112" i="19"/>
  <c r="AB114" i="19" s="1"/>
  <c r="AB116" i="19" s="1"/>
  <c r="AC115" i="19" s="1"/>
  <c r="AN56" i="16"/>
  <c r="AS40" i="16"/>
  <c r="AN41" i="16"/>
  <c r="AB122" i="19"/>
  <c r="AS33" i="16"/>
  <c r="DK889" i="20" l="1"/>
  <c r="DL889" i="20"/>
  <c r="DO886" i="20"/>
  <c r="DN886" i="20"/>
  <c r="BP749" i="20"/>
  <c r="BP743" i="20"/>
  <c r="DJ896" i="20" s="1"/>
  <c r="BP744" i="20"/>
  <c r="BP746" i="20"/>
  <c r="BP752" i="20"/>
  <c r="DK872" i="20"/>
  <c r="DL872" i="20"/>
  <c r="C454" i="56"/>
  <c r="C93" i="56"/>
  <c r="C93" i="57"/>
  <c r="C816" i="57"/>
  <c r="C455" i="57"/>
  <c r="BP733" i="20"/>
  <c r="BP616" i="20"/>
  <c r="BP700" i="20"/>
  <c r="Z23" i="19"/>
  <c r="AA32" i="19"/>
  <c r="DM877" i="20"/>
  <c r="BQ770" i="20"/>
  <c r="DJ879" i="20"/>
  <c r="BQ741" i="20"/>
  <c r="BQ737" i="20"/>
  <c r="BP646" i="20"/>
  <c r="BP748" i="20" s="1"/>
  <c r="BP736" i="20"/>
  <c r="BP705" i="20"/>
  <c r="BP735" i="20"/>
  <c r="BQ677" i="20"/>
  <c r="DM858" i="20"/>
  <c r="BQ784" i="20"/>
  <c r="DM880" i="20" s="1"/>
  <c r="DJ883" i="20"/>
  <c r="BP810" i="20"/>
  <c r="AF88" i="20"/>
  <c r="AF89" i="20" s="1"/>
  <c r="AF64" i="20" s="1"/>
  <c r="BP785" i="20"/>
  <c r="BP786" i="20" s="1"/>
  <c r="DJ881" i="20"/>
  <c r="DK881" i="20" s="1"/>
  <c r="DJ891" i="20"/>
  <c r="AS41" i="16"/>
  <c r="AN46" i="16"/>
  <c r="DK883" i="20" l="1"/>
  <c r="DL883" i="20"/>
  <c r="DN880" i="20"/>
  <c r="DO880" i="20"/>
  <c r="DN858" i="20"/>
  <c r="DO858" i="20"/>
  <c r="DK879" i="20"/>
  <c r="DL879" i="20"/>
  <c r="DN877" i="20"/>
  <c r="DO877" i="20"/>
  <c r="DL891" i="20"/>
  <c r="DK891" i="20"/>
  <c r="C455" i="56"/>
  <c r="C94" i="56"/>
  <c r="C94" i="57"/>
  <c r="C817" i="57"/>
  <c r="C456" i="57"/>
  <c r="BP840" i="20"/>
  <c r="BP842" i="20" s="1"/>
  <c r="BP751" i="20"/>
  <c r="DJ898" i="20" s="1"/>
  <c r="BP617" i="20"/>
  <c r="BP750" i="20" s="1"/>
  <c r="BP703" i="20"/>
  <c r="DJ885" i="20"/>
  <c r="AG63" i="20"/>
  <c r="AF67" i="20"/>
  <c r="AG62" i="20"/>
  <c r="AF225" i="20"/>
  <c r="BQ652" i="20"/>
  <c r="BQ655" i="20" s="1"/>
  <c r="DM895" i="20"/>
  <c r="DM860" i="20"/>
  <c r="AA24" i="19"/>
  <c r="AA36" i="19" s="1"/>
  <c r="Z26" i="19"/>
  <c r="Z25" i="19"/>
  <c r="Z37" i="19" s="1"/>
  <c r="DJ894" i="20"/>
  <c r="DO881" i="20"/>
  <c r="Z34" i="19"/>
  <c r="Z35" i="19" s="1"/>
  <c r="BQ678" i="20"/>
  <c r="BQ679" i="20" s="1"/>
  <c r="BQ721" i="20" s="1"/>
  <c r="AF147" i="20"/>
  <c r="AF149" i="20" s="1"/>
  <c r="AF150" i="20" s="1"/>
  <c r="AG139" i="20"/>
  <c r="AA30" i="19"/>
  <c r="BP658" i="20"/>
  <c r="AN351" i="16"/>
  <c r="AQ44" i="16"/>
  <c r="AS46" i="16"/>
  <c r="DN860" i="20" l="1"/>
  <c r="DO860" i="20"/>
  <c r="DK885" i="20"/>
  <c r="DL885" i="20"/>
  <c r="C456" i="56"/>
  <c r="C95" i="56"/>
  <c r="C95" i="57"/>
  <c r="C818" i="57"/>
  <c r="C457" i="57"/>
  <c r="AG222" i="20"/>
  <c r="BR650" i="20"/>
  <c r="BQ708" i="20"/>
  <c r="BQ709" i="20"/>
  <c r="BQ710" i="20" s="1"/>
  <c r="DJ887" i="20"/>
  <c r="DK887" i="20" s="1"/>
  <c r="Z28" i="19"/>
  <c r="Z31" i="19" s="1"/>
  <c r="Z33" i="19" s="1"/>
  <c r="BQ740" i="20"/>
  <c r="AF151" i="20"/>
  <c r="AG229" i="20"/>
  <c r="BR651" i="20"/>
  <c r="AG223" i="20"/>
  <c r="BQ776" i="20"/>
  <c r="BR768" i="20"/>
  <c r="DM861" i="20"/>
  <c r="AV44" i="16"/>
  <c r="AQ47" i="16"/>
  <c r="DR861" i="20" l="1"/>
  <c r="DN861" i="20"/>
  <c r="AG227" i="20"/>
  <c r="AG231" i="20" s="1"/>
  <c r="AG232" i="20" s="1"/>
  <c r="DL887" i="20"/>
  <c r="C457" i="56"/>
  <c r="C96" i="56"/>
  <c r="C96" i="57"/>
  <c r="C458" i="57"/>
  <c r="C819" i="57"/>
  <c r="DM862" i="20"/>
  <c r="AF18" i="20"/>
  <c r="AF36" i="20"/>
  <c r="BQ778" i="20"/>
  <c r="BQ779" i="20" s="1"/>
  <c r="BQ859" i="20"/>
  <c r="BQ861" i="20" s="1"/>
  <c r="DP868" i="20"/>
  <c r="DQ868" i="20" s="1"/>
  <c r="AQ50" i="16"/>
  <c r="AQ29" i="16"/>
  <c r="AQ36" i="16"/>
  <c r="AV47" i="16"/>
  <c r="AT251" i="16"/>
  <c r="AT223" i="16" s="1"/>
  <c r="AT35" i="16" s="1"/>
  <c r="AT278" i="16"/>
  <c r="AT305" i="16"/>
  <c r="DN862" i="20" l="1"/>
  <c r="DO862" i="20"/>
  <c r="AG233" i="20"/>
  <c r="AG140" i="20" s="1"/>
  <c r="AG141" i="20" s="1"/>
  <c r="C458" i="56"/>
  <c r="C97" i="56"/>
  <c r="C97" i="57"/>
  <c r="C459" i="57"/>
  <c r="C820" i="57"/>
  <c r="DM869" i="20"/>
  <c r="BQ738" i="20"/>
  <c r="BQ780" i="20"/>
  <c r="BQ586" i="20"/>
  <c r="AF26" i="20"/>
  <c r="AF34" i="20" s="1"/>
  <c r="AF212" i="20"/>
  <c r="AG173" i="20"/>
  <c r="BR802" i="20"/>
  <c r="DP878" i="20" s="1"/>
  <c r="DQ878" i="20" s="1"/>
  <c r="AB17" i="19"/>
  <c r="DU868" i="20"/>
  <c r="AF48" i="20"/>
  <c r="AF59" i="20" s="1"/>
  <c r="AF152" i="20"/>
  <c r="AF156" i="20" s="1"/>
  <c r="AF158" i="20"/>
  <c r="AF181" i="20" s="1"/>
  <c r="AG443" i="20"/>
  <c r="AG390" i="20" s="1"/>
  <c r="AG76" i="20" s="1"/>
  <c r="AG490" i="20"/>
  <c r="AG537" i="20"/>
  <c r="BQ619" i="20"/>
  <c r="BQ745" i="20" s="1"/>
  <c r="DM897" i="20" s="1"/>
  <c r="AV50" i="16"/>
  <c r="AC117" i="19"/>
  <c r="AQ59" i="16"/>
  <c r="AC118" i="19" s="1"/>
  <c r="AV29" i="16"/>
  <c r="AC110" i="19"/>
  <c r="AQ33" i="16"/>
  <c r="AC109" i="19"/>
  <c r="AV36" i="16"/>
  <c r="AQ40" i="16"/>
  <c r="AT55" i="16"/>
  <c r="AQ58" i="16"/>
  <c r="AC119" i="19" s="1"/>
  <c r="DN869" i="20" l="1"/>
  <c r="DO869" i="20"/>
  <c r="BR769" i="20"/>
  <c r="BR770" i="20" s="1"/>
  <c r="C459" i="56"/>
  <c r="C98" i="56"/>
  <c r="C821" i="57"/>
  <c r="C98" i="57"/>
  <c r="C460" i="57"/>
  <c r="BQ787" i="20"/>
  <c r="BQ704" i="20"/>
  <c r="BQ781" i="20"/>
  <c r="DM889" i="20"/>
  <c r="BQ734" i="20"/>
  <c r="BQ632" i="20"/>
  <c r="BQ598" i="20"/>
  <c r="BQ841" i="20"/>
  <c r="DP886" i="20"/>
  <c r="AA16" i="19"/>
  <c r="AA20" i="19" s="1"/>
  <c r="DM872" i="20"/>
  <c r="AF35" i="20"/>
  <c r="AF70" i="20"/>
  <c r="BQ739" i="20"/>
  <c r="AF157" i="20"/>
  <c r="AF211" i="20" s="1"/>
  <c r="AF213" i="20" s="1"/>
  <c r="AG155" i="20"/>
  <c r="BR665" i="20"/>
  <c r="BR720" i="20" s="1"/>
  <c r="AG87" i="20"/>
  <c r="DU878" i="20"/>
  <c r="AB29" i="19"/>
  <c r="AQ56" i="16"/>
  <c r="AV40" i="16"/>
  <c r="AV33" i="16"/>
  <c r="AQ41" i="16"/>
  <c r="AC122" i="19"/>
  <c r="AC112" i="19"/>
  <c r="AC114" i="19" s="1"/>
  <c r="AC116" i="19" s="1"/>
  <c r="DN889" i="20" l="1"/>
  <c r="DO889" i="20"/>
  <c r="BQ749" i="20"/>
  <c r="BQ743" i="20"/>
  <c r="DM896" i="20" s="1"/>
  <c r="BQ746" i="20"/>
  <c r="BQ744" i="20"/>
  <c r="BQ752" i="20"/>
  <c r="DR886" i="20"/>
  <c r="DQ886" i="20"/>
  <c r="DN872" i="20"/>
  <c r="DO872" i="20"/>
  <c r="DP877" i="20"/>
  <c r="C460" i="56"/>
  <c r="C99" i="56"/>
  <c r="C99" i="57"/>
  <c r="C822" i="57"/>
  <c r="C461" i="57"/>
  <c r="BQ785" i="20"/>
  <c r="BQ786" i="20" s="1"/>
  <c r="DM881" i="20"/>
  <c r="DN881" i="20" s="1"/>
  <c r="BQ616" i="20"/>
  <c r="BQ733" i="20"/>
  <c r="BQ700" i="20"/>
  <c r="BR737" i="20"/>
  <c r="BR741" i="20"/>
  <c r="DM891" i="20"/>
  <c r="AB32" i="19"/>
  <c r="DM879" i="20"/>
  <c r="BQ736" i="20"/>
  <c r="BQ646" i="20"/>
  <c r="BQ748" i="20" s="1"/>
  <c r="BQ705" i="20"/>
  <c r="BQ735" i="20"/>
  <c r="AA23" i="19"/>
  <c r="BQ810" i="20"/>
  <c r="DM883" i="20"/>
  <c r="DP858" i="20"/>
  <c r="BR677" i="20"/>
  <c r="BR784" i="20"/>
  <c r="DP880" i="20" s="1"/>
  <c r="AG88" i="20"/>
  <c r="AQ46" i="16"/>
  <c r="AV41" i="16"/>
  <c r="DN883" i="20" l="1"/>
  <c r="DO883" i="20"/>
  <c r="DQ858" i="20"/>
  <c r="DR858" i="20"/>
  <c r="DQ880" i="20"/>
  <c r="DR880" i="20"/>
  <c r="DO891" i="20"/>
  <c r="DN891" i="20"/>
  <c r="DN879" i="20"/>
  <c r="DO879" i="20"/>
  <c r="AB30" i="19"/>
  <c r="DQ877" i="20"/>
  <c r="DR877" i="20"/>
  <c r="C461" i="56"/>
  <c r="C100" i="56"/>
  <c r="C100" i="57"/>
  <c r="C823" i="57"/>
  <c r="C462" i="57"/>
  <c r="BQ840" i="20"/>
  <c r="BQ842" i="20" s="1"/>
  <c r="AG147" i="20"/>
  <c r="AG149" i="20" s="1"/>
  <c r="AG150" i="20" s="1"/>
  <c r="BR678" i="20"/>
  <c r="AH139" i="20"/>
  <c r="DM885" i="20"/>
  <c r="AB24" i="19"/>
  <c r="AB36" i="19" s="1"/>
  <c r="AA26" i="19"/>
  <c r="AA25" i="19"/>
  <c r="AA37" i="19" s="1"/>
  <c r="DM894" i="20"/>
  <c r="DR881" i="20"/>
  <c r="DP895" i="20"/>
  <c r="DP860" i="20"/>
  <c r="AG89" i="20"/>
  <c r="AG64" i="20" s="1"/>
  <c r="BQ751" i="20"/>
  <c r="DM898" i="20" s="1"/>
  <c r="BQ703" i="20"/>
  <c r="BQ617" i="20"/>
  <c r="BQ750" i="20" s="1"/>
  <c r="AA34" i="19"/>
  <c r="AA35" i="19" s="1"/>
  <c r="BQ658" i="20"/>
  <c r="AQ351" i="16"/>
  <c r="AT44" i="16"/>
  <c r="AT47" i="16" s="1"/>
  <c r="AV46" i="16"/>
  <c r="DQ860" i="20" l="1"/>
  <c r="DR860" i="20"/>
  <c r="DN885" i="20"/>
  <c r="DO885" i="20"/>
  <c r="AA28" i="19"/>
  <c r="AA31" i="19" s="1"/>
  <c r="AA33" i="19" s="1"/>
  <c r="C462" i="56"/>
  <c r="C101" i="56"/>
  <c r="C824" i="57"/>
  <c r="C463" i="57"/>
  <c r="C101" i="57"/>
  <c r="DM887" i="20"/>
  <c r="DN887" i="20" s="1"/>
  <c r="BR740" i="20"/>
  <c r="AG151" i="20"/>
  <c r="BR652" i="20"/>
  <c r="BR655" i="20" s="1"/>
  <c r="AH62" i="20"/>
  <c r="AH63" i="20"/>
  <c r="AG67" i="20"/>
  <c r="AG225" i="20"/>
  <c r="BR776" i="20"/>
  <c r="BS768" i="20"/>
  <c r="DP861" i="20"/>
  <c r="BR679" i="20"/>
  <c r="BR721" i="20" s="1"/>
  <c r="AT50" i="16"/>
  <c r="AT58" i="16" s="1"/>
  <c r="AT29" i="16"/>
  <c r="AT33" i="16" s="1"/>
  <c r="AT36" i="16"/>
  <c r="AT40" i="16" s="1"/>
  <c r="AT56" i="16" s="1"/>
  <c r="DU861" i="20" l="1"/>
  <c r="DQ861" i="20"/>
  <c r="DP862" i="20"/>
  <c r="DO887" i="20"/>
  <c r="C463" i="56"/>
  <c r="C102" i="56"/>
  <c r="C825" i="57"/>
  <c r="C464" i="57"/>
  <c r="C102" i="57"/>
  <c r="AG36" i="20"/>
  <c r="AG18" i="20"/>
  <c r="DS868" i="20"/>
  <c r="DT868" i="20" s="1"/>
  <c r="AH223" i="20"/>
  <c r="AH229" i="20"/>
  <c r="BS651" i="20"/>
  <c r="BR778" i="20"/>
  <c r="BR779" i="20" s="1"/>
  <c r="BR859" i="20"/>
  <c r="BR861" i="20" s="1"/>
  <c r="BR708" i="20"/>
  <c r="BR709" i="20"/>
  <c r="BR710" i="20" s="1"/>
  <c r="AH222" i="20"/>
  <c r="BS650" i="20"/>
  <c r="AT41" i="16"/>
  <c r="AT46" i="16" s="1"/>
  <c r="AT351" i="16" s="1"/>
  <c r="AT59" i="16"/>
  <c r="DQ862" i="20" l="1"/>
  <c r="DR862" i="20"/>
  <c r="AH227" i="20"/>
  <c r="AH231" i="20" s="1"/>
  <c r="AH232" i="20" s="1"/>
  <c r="C464" i="56"/>
  <c r="C103" i="56"/>
  <c r="C826" i="57"/>
  <c r="C465" i="57"/>
  <c r="C103" i="57"/>
  <c r="AC17" i="19"/>
  <c r="DX868" i="20"/>
  <c r="BR738" i="20"/>
  <c r="DP869" i="20"/>
  <c r="BR780" i="20"/>
  <c r="AG152" i="20"/>
  <c r="AG156" i="20" s="1"/>
  <c r="AG158" i="20"/>
  <c r="AG181" i="20" s="1"/>
  <c r="AG48" i="20"/>
  <c r="AG59" i="20" s="1"/>
  <c r="AH490" i="20"/>
  <c r="AH443" i="20"/>
  <c r="AH390" i="20" s="1"/>
  <c r="AH76" i="20" s="1"/>
  <c r="AH537" i="20"/>
  <c r="BR619" i="20"/>
  <c r="BR745" i="20" s="1"/>
  <c r="DP897" i="20" s="1"/>
  <c r="AG26" i="20"/>
  <c r="AG34" i="20" s="1"/>
  <c r="BR586" i="20"/>
  <c r="AG212" i="20"/>
  <c r="DQ869" i="20" l="1"/>
  <c r="DR869" i="20"/>
  <c r="C465" i="56"/>
  <c r="C104" i="56"/>
  <c r="C466" i="57"/>
  <c r="C827" i="57"/>
  <c r="C104" i="57"/>
  <c r="AH173" i="20"/>
  <c r="BS802" i="20"/>
  <c r="DS878" i="20" s="1"/>
  <c r="DT878" i="20" s="1"/>
  <c r="AH233" i="20"/>
  <c r="BR781" i="20"/>
  <c r="BR734" i="20"/>
  <c r="BR632" i="20"/>
  <c r="BR704" i="20"/>
  <c r="BR787" i="20"/>
  <c r="DP889" i="20"/>
  <c r="AB16" i="19"/>
  <c r="AB20" i="19" s="1"/>
  <c r="DP872" i="20"/>
  <c r="BR739" i="20"/>
  <c r="AG157" i="20"/>
  <c r="AG211" i="20" s="1"/>
  <c r="AG213" i="20" s="1"/>
  <c r="AG35" i="20"/>
  <c r="AG70" i="20"/>
  <c r="AH155" i="20"/>
  <c r="AH87" i="20"/>
  <c r="BS665" i="20"/>
  <c r="BS720" i="20" s="1"/>
  <c r="BR841" i="20"/>
  <c r="DS886" i="20"/>
  <c r="BR598" i="20"/>
  <c r="DQ889" i="20" l="1"/>
  <c r="DR889" i="20"/>
  <c r="DU886" i="20"/>
  <c r="DT886" i="20"/>
  <c r="DQ872" i="20"/>
  <c r="DR872" i="20"/>
  <c r="BR749" i="20"/>
  <c r="BR743" i="20"/>
  <c r="DP896" i="20" s="1"/>
  <c r="BR746" i="20"/>
  <c r="BR744" i="20"/>
  <c r="BR752" i="20"/>
  <c r="C466" i="56"/>
  <c r="C105" i="56"/>
  <c r="C467" i="57"/>
  <c r="C828" i="57"/>
  <c r="C105" i="57"/>
  <c r="DP879" i="20"/>
  <c r="AH88" i="20"/>
  <c r="AH140" i="20"/>
  <c r="AH141" i="20" s="1"/>
  <c r="BS769" i="20"/>
  <c r="BR785" i="20"/>
  <c r="BR786" i="20" s="1"/>
  <c r="DP881" i="20"/>
  <c r="DQ881" i="20" s="1"/>
  <c r="DP891" i="20"/>
  <c r="AB23" i="19"/>
  <c r="BS677" i="20"/>
  <c r="DS858" i="20"/>
  <c r="BS784" i="20"/>
  <c r="DS880" i="20" s="1"/>
  <c r="BR733" i="20"/>
  <c r="BR616" i="20"/>
  <c r="BR700" i="20"/>
  <c r="BR646" i="20"/>
  <c r="BR748" i="20" s="1"/>
  <c r="BR735" i="20"/>
  <c r="BR736" i="20"/>
  <c r="BR705" i="20"/>
  <c r="DX878" i="20"/>
  <c r="AC29" i="19"/>
  <c r="AC32" i="19"/>
  <c r="BS741" i="20"/>
  <c r="BS737" i="20"/>
  <c r="BR810" i="20"/>
  <c r="DP883" i="20"/>
  <c r="DQ883" i="20" l="1"/>
  <c r="DR883" i="20"/>
  <c r="DT880" i="20"/>
  <c r="DU880" i="20"/>
  <c r="DT858" i="20"/>
  <c r="DU858" i="20"/>
  <c r="DR891" i="20"/>
  <c r="DQ891" i="20"/>
  <c r="DQ879" i="20"/>
  <c r="DR879" i="20"/>
  <c r="C467" i="56"/>
  <c r="C106" i="56"/>
  <c r="C468" i="57"/>
  <c r="C829" i="57"/>
  <c r="C106" i="57"/>
  <c r="BR751" i="20"/>
  <c r="DP898" i="20" s="1"/>
  <c r="BR617" i="20"/>
  <c r="BR750" i="20" s="1"/>
  <c r="BR703" i="20"/>
  <c r="DP885" i="20"/>
  <c r="AB34" i="19"/>
  <c r="AB35" i="19" s="1"/>
  <c r="AB26" i="19"/>
  <c r="DS860" i="20"/>
  <c r="DS895" i="20"/>
  <c r="DS877" i="20"/>
  <c r="BS770" i="20"/>
  <c r="AI139" i="20"/>
  <c r="AH147" i="20"/>
  <c r="AH149" i="20" s="1"/>
  <c r="AH150" i="20" s="1"/>
  <c r="BS740" i="20" s="1"/>
  <c r="BS678" i="20"/>
  <c r="AC24" i="19"/>
  <c r="AC36" i="19" s="1"/>
  <c r="AH89" i="20"/>
  <c r="AH64" i="20" s="1"/>
  <c r="BR840" i="20"/>
  <c r="BR842" i="20" s="1"/>
  <c r="AB25" i="19"/>
  <c r="AB37" i="19" s="1"/>
  <c r="DU881" i="20"/>
  <c r="DP894" i="20"/>
  <c r="BR658" i="20"/>
  <c r="DQ885" i="20" l="1"/>
  <c r="DR885" i="20"/>
  <c r="DT860" i="20"/>
  <c r="DU860" i="20"/>
  <c r="DT877" i="20"/>
  <c r="DU877" i="20"/>
  <c r="AB28" i="19"/>
  <c r="AB31" i="19" s="1"/>
  <c r="AB33" i="19" s="1"/>
  <c r="C468" i="56"/>
  <c r="C107" i="56"/>
  <c r="C469" i="57"/>
  <c r="C830" i="57"/>
  <c r="C107" i="57"/>
  <c r="BS776" i="20"/>
  <c r="BT768" i="20"/>
  <c r="DS861" i="20"/>
  <c r="AC30" i="19"/>
  <c r="DP887" i="20"/>
  <c r="DQ887" i="20" s="1"/>
  <c r="AH151" i="20"/>
  <c r="AH225" i="20"/>
  <c r="BS652" i="20"/>
  <c r="BS655" i="20" s="1"/>
  <c r="AH67" i="20"/>
  <c r="AI63" i="20"/>
  <c r="AI62" i="20"/>
  <c r="BS679" i="20"/>
  <c r="BS721" i="20" s="1"/>
  <c r="DX861" i="20" l="1"/>
  <c r="DT861" i="20"/>
  <c r="DR887" i="20"/>
  <c r="DS862" i="20"/>
  <c r="C469" i="56"/>
  <c r="C108" i="56"/>
  <c r="C831" i="57"/>
  <c r="C470" i="57"/>
  <c r="C108" i="57"/>
  <c r="AH36" i="20"/>
  <c r="AH18" i="20"/>
  <c r="BS778" i="20"/>
  <c r="BS779" i="20" s="1"/>
  <c r="BS859" i="20"/>
  <c r="BS861" i="20" s="1"/>
  <c r="DV868" i="20"/>
  <c r="AI223" i="20"/>
  <c r="BT651" i="20"/>
  <c r="AI229" i="20"/>
  <c r="BS709" i="20"/>
  <c r="BS710" i="20" s="1"/>
  <c r="BS708" i="20"/>
  <c r="AI222" i="20"/>
  <c r="BT650" i="20"/>
  <c r="AD17" i="19" l="1"/>
  <c r="DW868" i="20"/>
  <c r="DT862" i="20"/>
  <c r="DU862" i="20"/>
  <c r="AI227" i="20"/>
  <c r="AI231" i="20" s="1"/>
  <c r="AI232" i="20" s="1"/>
  <c r="AI173" i="20" s="1"/>
  <c r="C470" i="56"/>
  <c r="C109" i="56"/>
  <c r="C832" i="57"/>
  <c r="C471" i="57"/>
  <c r="C109" i="57"/>
  <c r="BS738" i="20"/>
  <c r="DS869" i="20"/>
  <c r="BS780" i="20"/>
  <c r="AH26" i="20"/>
  <c r="AH34" i="20" s="1"/>
  <c r="AH212" i="20"/>
  <c r="BS586" i="20"/>
  <c r="BS619" i="20"/>
  <c r="BS745" i="20" s="1"/>
  <c r="DS897" i="20" s="1"/>
  <c r="AH152" i="20"/>
  <c r="AH156" i="20" s="1"/>
  <c r="AH158" i="20"/>
  <c r="AH181" i="20" s="1"/>
  <c r="AI443" i="20"/>
  <c r="AI390" i="20" s="1"/>
  <c r="AI76" i="20" s="1"/>
  <c r="AH48" i="20"/>
  <c r="AH59" i="20" s="1"/>
  <c r="AI537" i="20"/>
  <c r="AI490" i="20"/>
  <c r="DT869" i="20" l="1"/>
  <c r="DU869" i="20"/>
  <c r="C471" i="56"/>
  <c r="C110" i="56"/>
  <c r="C833" i="57"/>
  <c r="C472" i="57"/>
  <c r="C110" i="57"/>
  <c r="BT802" i="20"/>
  <c r="DV878" i="20" s="1"/>
  <c r="AI233" i="20"/>
  <c r="BT769" i="20" s="1"/>
  <c r="AC16" i="19"/>
  <c r="AC20" i="19" s="1"/>
  <c r="DS872" i="20"/>
  <c r="DS889" i="20"/>
  <c r="BS734" i="20"/>
  <c r="BS787" i="20"/>
  <c r="BS704" i="20"/>
  <c r="BS632" i="20"/>
  <c r="BS781" i="20"/>
  <c r="BS739" i="20"/>
  <c r="AH157" i="20"/>
  <c r="AH211" i="20" s="1"/>
  <c r="AH213" i="20" s="1"/>
  <c r="AH35" i="20"/>
  <c r="AH70" i="20"/>
  <c r="AI155" i="20"/>
  <c r="BT665" i="20"/>
  <c r="BT720" i="20" s="1"/>
  <c r="AI87" i="20"/>
  <c r="DV886" i="20"/>
  <c r="DW886" i="20" s="1"/>
  <c r="BS598" i="20"/>
  <c r="BS841" i="20"/>
  <c r="DT889" i="20" l="1"/>
  <c r="DU889" i="20"/>
  <c r="BS749" i="20"/>
  <c r="BS746" i="20"/>
  <c r="BS744" i="20"/>
  <c r="BS743" i="20"/>
  <c r="DS896" i="20" s="1"/>
  <c r="BS752" i="20"/>
  <c r="AD29" i="19"/>
  <c r="DW878" i="20"/>
  <c r="DT872" i="20"/>
  <c r="DU872" i="20"/>
  <c r="AD32" i="19"/>
  <c r="DX886" i="20"/>
  <c r="C472" i="56"/>
  <c r="C111" i="56"/>
  <c r="C834" i="57"/>
  <c r="C473" i="57"/>
  <c r="C111" i="57"/>
  <c r="AI140" i="20"/>
  <c r="AI141" i="20" s="1"/>
  <c r="AC23" i="19"/>
  <c r="AI88" i="20"/>
  <c r="BS616" i="20"/>
  <c r="BS700" i="20"/>
  <c r="BS733" i="20"/>
  <c r="DS891" i="20"/>
  <c r="DV858" i="20"/>
  <c r="BT784" i="20"/>
  <c r="DV880" i="20" s="1"/>
  <c r="DX880" i="20" s="1"/>
  <c r="BT677" i="20"/>
  <c r="DS879" i="20"/>
  <c r="DV877" i="20"/>
  <c r="BT770" i="20"/>
  <c r="BS810" i="20"/>
  <c r="DS883" i="20"/>
  <c r="DS881" i="20"/>
  <c r="DT881" i="20" s="1"/>
  <c r="BS785" i="20"/>
  <c r="BS786" i="20" s="1"/>
  <c r="BT741" i="20"/>
  <c r="BT737" i="20"/>
  <c r="BS705" i="20"/>
  <c r="BS735" i="20"/>
  <c r="BS736" i="20"/>
  <c r="BS646" i="20"/>
  <c r="BS748" i="20" s="1"/>
  <c r="DT883" i="20" l="1"/>
  <c r="DU883" i="20"/>
  <c r="DW858" i="20"/>
  <c r="DX858" i="20"/>
  <c r="AD30" i="19"/>
  <c r="DW877" i="20"/>
  <c r="DX877" i="20"/>
  <c r="DU891" i="20"/>
  <c r="DT891" i="20"/>
  <c r="AD24" i="19"/>
  <c r="AD36" i="19" s="1"/>
  <c r="DW880" i="20"/>
  <c r="DT879" i="20"/>
  <c r="DU879" i="20"/>
  <c r="BS658" i="20"/>
  <c r="C473" i="56"/>
  <c r="C112" i="56"/>
  <c r="C835" i="57"/>
  <c r="C474" i="57"/>
  <c r="C112" i="57"/>
  <c r="AC34" i="19"/>
  <c r="AC35" i="19" s="1"/>
  <c r="AC26" i="19"/>
  <c r="BT678" i="20"/>
  <c r="BT679" i="20" s="1"/>
  <c r="BT721" i="20" s="1"/>
  <c r="AI147" i="20"/>
  <c r="AI149" i="20" s="1"/>
  <c r="AI150" i="20" s="1"/>
  <c r="AC25" i="19"/>
  <c r="AC37" i="19" s="1"/>
  <c r="DS894" i="20"/>
  <c r="DX881" i="20"/>
  <c r="BS840" i="20"/>
  <c r="BS842" i="20" s="1"/>
  <c r="DV860" i="20"/>
  <c r="DV895" i="20"/>
  <c r="DS885" i="20"/>
  <c r="AI89" i="20"/>
  <c r="AI64" i="20" s="1"/>
  <c r="BS703" i="20"/>
  <c r="BS617" i="20"/>
  <c r="BS750" i="20" s="1"/>
  <c r="BS751" i="20"/>
  <c r="DS898" i="20" s="1"/>
  <c r="DT885" i="20" l="1"/>
  <c r="DU885" i="20"/>
  <c r="DW860" i="20"/>
  <c r="DX860" i="20"/>
  <c r="AC28" i="19"/>
  <c r="AC31" i="19" s="1"/>
  <c r="AC33" i="19" s="1"/>
  <c r="C474" i="56"/>
  <c r="C113" i="56"/>
  <c r="C836" i="57"/>
  <c r="C475" i="57"/>
  <c r="C113" i="57"/>
  <c r="BT776" i="20"/>
  <c r="DV861" i="20"/>
  <c r="AI225" i="20"/>
  <c r="BT652" i="20"/>
  <c r="BT655" i="20" s="1"/>
  <c r="AI67" i="20"/>
  <c r="BT740" i="20"/>
  <c r="AI151" i="20"/>
  <c r="DS887" i="20"/>
  <c r="DT887" i="20" s="1"/>
  <c r="DV862" i="20" l="1"/>
  <c r="DW861" i="20"/>
  <c r="DU887" i="20"/>
  <c r="C475" i="56"/>
  <c r="C114" i="56"/>
  <c r="C837" i="57"/>
  <c r="C476" i="57"/>
  <c r="C114" i="57"/>
  <c r="BT778" i="20"/>
  <c r="BT779" i="20" s="1"/>
  <c r="BT859" i="20"/>
  <c r="BT861" i="20" s="1"/>
  <c r="BT709" i="20"/>
  <c r="BT710" i="20" s="1"/>
  <c r="BT708" i="20"/>
  <c r="AI18" i="20"/>
  <c r="AI36" i="20"/>
  <c r="DW862" i="20" l="1"/>
  <c r="DX862" i="20"/>
  <c r="C476" i="56"/>
  <c r="C115" i="56"/>
  <c r="C838" i="57"/>
  <c r="C477" i="57"/>
  <c r="C115" i="57"/>
  <c r="DV869" i="20"/>
  <c r="BT738" i="20"/>
  <c r="BT780" i="20"/>
  <c r="AI158" i="20"/>
  <c r="AI181" i="20" s="1"/>
  <c r="AI48" i="20"/>
  <c r="AI59" i="20" s="1"/>
  <c r="BT619" i="20"/>
  <c r="BT745" i="20" s="1"/>
  <c r="DV897" i="20" s="1"/>
  <c r="AI152" i="20"/>
  <c r="AI156" i="20" s="1"/>
  <c r="AI212" i="20"/>
  <c r="AI26" i="20"/>
  <c r="AI34" i="20" s="1"/>
  <c r="BT586" i="20"/>
  <c r="DW869" i="20" l="1"/>
  <c r="DX869" i="20"/>
  <c r="C477" i="56"/>
  <c r="C116" i="56"/>
  <c r="C839" i="57"/>
  <c r="C478" i="57"/>
  <c r="C116" i="57"/>
  <c r="DV872" i="20"/>
  <c r="AD16" i="19"/>
  <c r="AD20" i="19" s="1"/>
  <c r="AI35" i="20"/>
  <c r="AI70" i="20"/>
  <c r="BT598" i="20"/>
  <c r="BT841" i="20"/>
  <c r="BT739" i="20"/>
  <c r="AI157" i="20"/>
  <c r="AI211" i="20" s="1"/>
  <c r="AI213" i="20" s="1"/>
  <c r="BT734" i="20"/>
  <c r="BT704" i="20"/>
  <c r="DV889" i="20"/>
  <c r="DX889" i="20" s="1"/>
  <c r="BT632" i="20"/>
  <c r="BT781" i="20"/>
  <c r="BT787" i="20"/>
  <c r="DV891" i="20" l="1"/>
  <c r="DW891" i="20" s="1"/>
  <c r="DW889" i="20"/>
  <c r="BT749" i="20"/>
  <c r="BT743" i="20"/>
  <c r="DV896" i="20" s="1"/>
  <c r="BT746" i="20"/>
  <c r="BT744" i="20"/>
  <c r="BT752" i="20"/>
  <c r="DV879" i="20"/>
  <c r="DW872" i="20"/>
  <c r="DX872" i="20"/>
  <c r="C478" i="56"/>
  <c r="C117" i="56"/>
  <c r="C840" i="57"/>
  <c r="C479" i="57"/>
  <c r="C117" i="57"/>
  <c r="AD23" i="19"/>
  <c r="BT616" i="20"/>
  <c r="BT700" i="20"/>
  <c r="BT733" i="20"/>
  <c r="BT705" i="20"/>
  <c r="BT735" i="20"/>
  <c r="BT646" i="20"/>
  <c r="BT748" i="20" s="1"/>
  <c r="BT736" i="20"/>
  <c r="BT785" i="20"/>
  <c r="BT786" i="20" s="1"/>
  <c r="DV881" i="20"/>
  <c r="DW881" i="20" s="1"/>
  <c r="BT810" i="20"/>
  <c r="DV883" i="20"/>
  <c r="DX883" i="20" s="1"/>
  <c r="AD34" i="19" l="1"/>
  <c r="AD35" i="19" s="1"/>
  <c r="DX891" i="20"/>
  <c r="AD26" i="19"/>
  <c r="DW883" i="20"/>
  <c r="DW879" i="20"/>
  <c r="DX879" i="20"/>
  <c r="BT840" i="20"/>
  <c r="BT842" i="20" s="1"/>
  <c r="C479" i="56"/>
  <c r="C118" i="56"/>
  <c r="C841" i="57"/>
  <c r="C480" i="57"/>
  <c r="C118" i="57"/>
  <c r="AD25" i="19"/>
  <c r="AD37" i="19" s="1"/>
  <c r="DV894" i="20"/>
  <c r="BT617" i="20"/>
  <c r="BT750" i="20" s="1"/>
  <c r="BT703" i="20"/>
  <c r="BT751" i="20"/>
  <c r="DV898" i="20" s="1"/>
  <c r="DV885" i="20"/>
  <c r="BT658" i="20"/>
  <c r="DV887" i="20" l="1"/>
  <c r="DW885" i="20"/>
  <c r="DX885" i="20"/>
  <c r="AD28" i="19"/>
  <c r="AD31" i="19" s="1"/>
  <c r="AD33" i="19" s="1"/>
  <c r="C480" i="56"/>
  <c r="C119" i="56"/>
  <c r="C842" i="57"/>
  <c r="C481" i="57"/>
  <c r="C119" i="57"/>
  <c r="DX887" i="20" l="1"/>
  <c r="DW887" i="20"/>
  <c r="C481" i="56"/>
  <c r="C120" i="56"/>
  <c r="C843" i="57"/>
  <c r="C482" i="57"/>
  <c r="C120" i="57"/>
  <c r="C482" i="56" l="1"/>
  <c r="C121" i="56"/>
  <c r="C844" i="57"/>
  <c r="C483" i="57"/>
  <c r="C121" i="57"/>
  <c r="C483" i="56" l="1"/>
  <c r="C122" i="56"/>
  <c r="C845" i="57"/>
  <c r="C484" i="57"/>
  <c r="C122" i="57"/>
  <c r="C484" i="56" l="1"/>
  <c r="C123" i="56"/>
  <c r="C846" i="57"/>
  <c r="C485" i="57"/>
  <c r="C123" i="57"/>
  <c r="C485" i="56" l="1"/>
  <c r="C124" i="56"/>
  <c r="C847" i="57"/>
  <c r="C486" i="57"/>
  <c r="C124" i="57"/>
  <c r="C486" i="56" l="1"/>
  <c r="C125" i="56"/>
  <c r="C848" i="57"/>
  <c r="C487" i="57"/>
  <c r="C125" i="57"/>
  <c r="C487" i="56" l="1"/>
  <c r="C126" i="56"/>
  <c r="C849" i="57"/>
  <c r="C488" i="57"/>
  <c r="C126" i="57"/>
  <c r="C488" i="56" l="1"/>
  <c r="C127" i="56"/>
  <c r="C850" i="57"/>
  <c r="C489" i="57"/>
  <c r="C127" i="57"/>
  <c r="C489" i="56" l="1"/>
  <c r="C128" i="56"/>
  <c r="C851" i="57"/>
  <c r="C490" i="57"/>
  <c r="C128" i="57"/>
  <c r="C490" i="56" l="1"/>
  <c r="C129" i="56"/>
  <c r="C852" i="57"/>
  <c r="C491" i="57"/>
  <c r="C129" i="57"/>
  <c r="C491" i="56" l="1"/>
  <c r="C130" i="56"/>
  <c r="C853" i="57"/>
  <c r="C492" i="57"/>
  <c r="C130" i="57"/>
  <c r="C492" i="56" l="1"/>
  <c r="C131" i="56"/>
  <c r="C854" i="57"/>
  <c r="C493" i="57"/>
  <c r="C131" i="57"/>
  <c r="C493" i="56" l="1"/>
  <c r="C132" i="56"/>
  <c r="C855" i="57"/>
  <c r="C494" i="57"/>
  <c r="C132" i="57"/>
  <c r="C494" i="56" l="1"/>
  <c r="C133" i="56"/>
  <c r="C856" i="57"/>
  <c r="C495" i="57"/>
  <c r="C133" i="57"/>
  <c r="C495" i="56" l="1"/>
  <c r="C134" i="56"/>
  <c r="C857" i="57"/>
  <c r="C496" i="57"/>
  <c r="C134" i="57"/>
  <c r="C496" i="56" l="1"/>
  <c r="C135" i="56"/>
  <c r="C858" i="57"/>
  <c r="C497" i="57"/>
  <c r="C135" i="57"/>
  <c r="C497" i="56" l="1"/>
  <c r="C136" i="56"/>
  <c r="C859" i="57"/>
  <c r="C498" i="57"/>
  <c r="C136" i="57"/>
  <c r="C498" i="56" l="1"/>
  <c r="C137" i="56"/>
  <c r="C860" i="57"/>
  <c r="C499" i="57"/>
  <c r="C137" i="57"/>
  <c r="C499" i="56" l="1"/>
  <c r="C138" i="56"/>
  <c r="C861" i="57"/>
  <c r="C500" i="57"/>
  <c r="C138" i="57"/>
  <c r="C500" i="56" l="1"/>
  <c r="C139" i="56"/>
  <c r="C862" i="57"/>
  <c r="C501" i="57"/>
  <c r="C139" i="57"/>
  <c r="C501" i="56" l="1"/>
  <c r="C140" i="56"/>
  <c r="C863" i="57"/>
  <c r="C502" i="57"/>
  <c r="C140" i="57"/>
  <c r="C502" i="56" l="1"/>
  <c r="C141" i="56"/>
  <c r="C864" i="57"/>
  <c r="C503" i="57"/>
  <c r="C141" i="57"/>
  <c r="C503" i="56" l="1"/>
  <c r="C142" i="56"/>
  <c r="C865" i="57"/>
  <c r="C504" i="57"/>
  <c r="C142" i="57"/>
  <c r="C504" i="56" l="1"/>
  <c r="C143" i="56"/>
  <c r="C866" i="57"/>
  <c r="C505" i="57"/>
  <c r="C143" i="57"/>
  <c r="C505" i="56" l="1"/>
  <c r="C144" i="56"/>
  <c r="B5" i="54" s="1"/>
  <c r="I5" i="54" s="1"/>
  <c r="C867" i="57"/>
  <c r="C506" i="57"/>
  <c r="B3" i="54" s="1"/>
  <c r="C144" i="57"/>
  <c r="B2" i="54" s="1"/>
  <c r="E3" i="54" l="1"/>
  <c r="I3" i="54"/>
  <c r="E2" i="54"/>
  <c r="I2" i="54"/>
  <c r="E5" i="54"/>
  <c r="A5" i="54"/>
  <c r="D5" i="54"/>
  <c r="F5" i="54"/>
  <c r="G5" i="54"/>
  <c r="G3" i="54"/>
  <c r="F3" i="54"/>
  <c r="A3" i="54"/>
  <c r="G2" i="54"/>
  <c r="A2" i="54"/>
  <c r="F2" i="54"/>
  <c r="C506" i="56"/>
  <c r="B6" i="54" s="1"/>
  <c r="I6" i="54" s="1"/>
  <c r="D144" i="56"/>
  <c r="C145" i="56"/>
  <c r="C868" i="57"/>
  <c r="B4" i="54" s="1"/>
  <c r="I4" i="54" s="1"/>
  <c r="C507" i="57"/>
  <c r="D506" i="57"/>
  <c r="C145" i="57"/>
  <c r="D144" i="57"/>
  <c r="E4" i="54" l="1"/>
  <c r="E6" i="54"/>
  <c r="G6" i="54"/>
  <c r="D6" i="54"/>
  <c r="F6" i="54"/>
  <c r="A6" i="54"/>
  <c r="A4" i="54"/>
  <c r="G4" i="54"/>
  <c r="F4" i="54"/>
  <c r="D506" i="56"/>
  <c r="C507" i="56"/>
  <c r="E144" i="56"/>
  <c r="D3" i="56"/>
  <c r="E3" i="56" s="1"/>
  <c r="D2" i="56"/>
  <c r="D4" i="56"/>
  <c r="E4" i="56" s="1"/>
  <c r="D5" i="56"/>
  <c r="E5" i="56" s="1"/>
  <c r="D6" i="56"/>
  <c r="E6" i="56" s="1"/>
  <c r="D7" i="56"/>
  <c r="E7" i="56" s="1"/>
  <c r="D8" i="56"/>
  <c r="E8" i="56" s="1"/>
  <c r="D9" i="56"/>
  <c r="E9" i="56" s="1"/>
  <c r="D10" i="56"/>
  <c r="E10" i="56" s="1"/>
  <c r="D11" i="56"/>
  <c r="E11" i="56" s="1"/>
  <c r="D12" i="56"/>
  <c r="E12" i="56" s="1"/>
  <c r="D13" i="56"/>
  <c r="E13" i="56" s="1"/>
  <c r="D14" i="56"/>
  <c r="E14" i="56" s="1"/>
  <c r="D15" i="56"/>
  <c r="E15" i="56" s="1"/>
  <c r="D16" i="56"/>
  <c r="E16" i="56" s="1"/>
  <c r="D17" i="56"/>
  <c r="E17" i="56" s="1"/>
  <c r="D18" i="56"/>
  <c r="E18" i="56" s="1"/>
  <c r="D19" i="56"/>
  <c r="E19" i="56" s="1"/>
  <c r="D20" i="56"/>
  <c r="E20" i="56" s="1"/>
  <c r="D21" i="56"/>
  <c r="E21" i="56" s="1"/>
  <c r="D22" i="56"/>
  <c r="E22" i="56" s="1"/>
  <c r="D23" i="56"/>
  <c r="E23" i="56" s="1"/>
  <c r="D24" i="56"/>
  <c r="E24" i="56" s="1"/>
  <c r="D25" i="56"/>
  <c r="E25" i="56" s="1"/>
  <c r="D26" i="56"/>
  <c r="E26" i="56" s="1"/>
  <c r="D27" i="56"/>
  <c r="E27" i="56" s="1"/>
  <c r="D28" i="56"/>
  <c r="E28" i="56" s="1"/>
  <c r="D29" i="56"/>
  <c r="E29" i="56" s="1"/>
  <c r="D30" i="56"/>
  <c r="E30" i="56" s="1"/>
  <c r="D31" i="56"/>
  <c r="E31" i="56" s="1"/>
  <c r="D32" i="56"/>
  <c r="E32" i="56" s="1"/>
  <c r="D33" i="56"/>
  <c r="E33" i="56" s="1"/>
  <c r="D34" i="56"/>
  <c r="E34" i="56" s="1"/>
  <c r="D35" i="56"/>
  <c r="E35" i="56" s="1"/>
  <c r="D36" i="56"/>
  <c r="E36" i="56" s="1"/>
  <c r="D37" i="56"/>
  <c r="E37" i="56" s="1"/>
  <c r="D38" i="56"/>
  <c r="E38" i="56" s="1"/>
  <c r="D39" i="56"/>
  <c r="E39" i="56" s="1"/>
  <c r="D40" i="56"/>
  <c r="E40" i="56" s="1"/>
  <c r="D41" i="56"/>
  <c r="E41" i="56" s="1"/>
  <c r="D42" i="56"/>
  <c r="E42" i="56" s="1"/>
  <c r="D43" i="56"/>
  <c r="E43" i="56" s="1"/>
  <c r="D44" i="56"/>
  <c r="E44" i="56" s="1"/>
  <c r="D45" i="56"/>
  <c r="E45" i="56" s="1"/>
  <c r="D46" i="56"/>
  <c r="E46" i="56" s="1"/>
  <c r="D47" i="56"/>
  <c r="E47" i="56" s="1"/>
  <c r="D48" i="56"/>
  <c r="E48" i="56" s="1"/>
  <c r="D49" i="56"/>
  <c r="E49" i="56" s="1"/>
  <c r="D50" i="56"/>
  <c r="E50" i="56" s="1"/>
  <c r="D51" i="56"/>
  <c r="E51" i="56" s="1"/>
  <c r="D52" i="56"/>
  <c r="E52" i="56" s="1"/>
  <c r="D53" i="56"/>
  <c r="E53" i="56" s="1"/>
  <c r="D54" i="56"/>
  <c r="E54" i="56" s="1"/>
  <c r="D55" i="56"/>
  <c r="D57" i="56"/>
  <c r="E57" i="56" s="1"/>
  <c r="D58" i="56"/>
  <c r="E58" i="56" s="1"/>
  <c r="D59" i="56"/>
  <c r="E59" i="56" s="1"/>
  <c r="D60" i="56"/>
  <c r="E60" i="56" s="1"/>
  <c r="D61" i="56"/>
  <c r="E61" i="56" s="1"/>
  <c r="D62" i="56"/>
  <c r="E62" i="56" s="1"/>
  <c r="D63" i="56"/>
  <c r="E63" i="56" s="1"/>
  <c r="D64" i="56"/>
  <c r="E64" i="56" s="1"/>
  <c r="D65" i="56"/>
  <c r="E65" i="56" s="1"/>
  <c r="D66" i="56"/>
  <c r="E66" i="56" s="1"/>
  <c r="D67" i="56"/>
  <c r="E67" i="56" s="1"/>
  <c r="D68" i="56"/>
  <c r="E68" i="56" s="1"/>
  <c r="D69" i="56"/>
  <c r="E69" i="56" s="1"/>
  <c r="D70" i="56"/>
  <c r="E70" i="56" s="1"/>
  <c r="D71" i="56"/>
  <c r="E71" i="56" s="1"/>
  <c r="D72" i="56"/>
  <c r="E72" i="56" s="1"/>
  <c r="D73" i="56"/>
  <c r="E73" i="56" s="1"/>
  <c r="D74" i="56"/>
  <c r="E74" i="56" s="1"/>
  <c r="D75" i="56"/>
  <c r="E75" i="56" s="1"/>
  <c r="D76" i="56"/>
  <c r="E76" i="56" s="1"/>
  <c r="D77" i="56"/>
  <c r="E77" i="56" s="1"/>
  <c r="D78" i="56"/>
  <c r="E78" i="56" s="1"/>
  <c r="D79" i="56"/>
  <c r="E79" i="56" s="1"/>
  <c r="D80" i="56"/>
  <c r="E80" i="56" s="1"/>
  <c r="D81" i="56"/>
  <c r="E81" i="56" s="1"/>
  <c r="D82" i="56"/>
  <c r="E82" i="56" s="1"/>
  <c r="D83" i="56"/>
  <c r="E83" i="56" s="1"/>
  <c r="D84" i="56"/>
  <c r="E84" i="56" s="1"/>
  <c r="D85" i="56"/>
  <c r="E85" i="56" s="1"/>
  <c r="D86" i="56"/>
  <c r="E86" i="56" s="1"/>
  <c r="D87" i="56"/>
  <c r="E87" i="56" s="1"/>
  <c r="D88" i="56"/>
  <c r="E88" i="56" s="1"/>
  <c r="D89" i="56"/>
  <c r="E89" i="56" s="1"/>
  <c r="D90" i="56"/>
  <c r="E90" i="56" s="1"/>
  <c r="D91" i="56"/>
  <c r="E91" i="56" s="1"/>
  <c r="D92" i="56"/>
  <c r="E92" i="56" s="1"/>
  <c r="D93" i="56"/>
  <c r="E93" i="56" s="1"/>
  <c r="D94" i="56"/>
  <c r="E94" i="56" s="1"/>
  <c r="D95" i="56"/>
  <c r="E95" i="56" s="1"/>
  <c r="D96" i="56"/>
  <c r="E96" i="56" s="1"/>
  <c r="D97" i="56"/>
  <c r="E97" i="56" s="1"/>
  <c r="D98" i="56"/>
  <c r="E98" i="56" s="1"/>
  <c r="D99" i="56"/>
  <c r="E99" i="56" s="1"/>
  <c r="D100" i="56"/>
  <c r="E100" i="56" s="1"/>
  <c r="D101" i="56"/>
  <c r="E101" i="56" s="1"/>
  <c r="D102" i="56"/>
  <c r="E102" i="56" s="1"/>
  <c r="D103" i="56"/>
  <c r="E103" i="56" s="1"/>
  <c r="D104" i="56"/>
  <c r="E104" i="56" s="1"/>
  <c r="D105" i="56"/>
  <c r="E105" i="56" s="1"/>
  <c r="D106" i="56"/>
  <c r="E106" i="56" s="1"/>
  <c r="D107" i="56"/>
  <c r="E107" i="56" s="1"/>
  <c r="D108" i="56"/>
  <c r="E108" i="56" s="1"/>
  <c r="D109" i="56"/>
  <c r="E109" i="56" s="1"/>
  <c r="D110" i="56"/>
  <c r="E110" i="56" s="1"/>
  <c r="D111" i="56"/>
  <c r="E111" i="56" s="1"/>
  <c r="D112" i="56"/>
  <c r="E112" i="56" s="1"/>
  <c r="D113" i="56"/>
  <c r="E113" i="56" s="1"/>
  <c r="D114" i="56"/>
  <c r="E114" i="56" s="1"/>
  <c r="D115" i="56"/>
  <c r="E115" i="56" s="1"/>
  <c r="D116" i="56"/>
  <c r="E116" i="56" s="1"/>
  <c r="D117" i="56"/>
  <c r="E117" i="56" s="1"/>
  <c r="D118" i="56"/>
  <c r="E118" i="56" s="1"/>
  <c r="D119" i="56"/>
  <c r="E119" i="56" s="1"/>
  <c r="D120" i="56"/>
  <c r="E120" i="56" s="1"/>
  <c r="D121" i="56"/>
  <c r="E121" i="56" s="1"/>
  <c r="D122" i="56"/>
  <c r="E122" i="56" s="1"/>
  <c r="D123" i="56"/>
  <c r="E123" i="56" s="1"/>
  <c r="D124" i="56"/>
  <c r="E124" i="56" s="1"/>
  <c r="D125" i="56"/>
  <c r="E125" i="56" s="1"/>
  <c r="D126" i="56"/>
  <c r="E126" i="56" s="1"/>
  <c r="D127" i="56"/>
  <c r="E127" i="56" s="1"/>
  <c r="D128" i="56"/>
  <c r="E128" i="56" s="1"/>
  <c r="D129" i="56"/>
  <c r="E129" i="56" s="1"/>
  <c r="D130" i="56"/>
  <c r="E130" i="56" s="1"/>
  <c r="D131" i="56"/>
  <c r="E131" i="56" s="1"/>
  <c r="D132" i="56"/>
  <c r="E132" i="56" s="1"/>
  <c r="D133" i="56"/>
  <c r="E133" i="56" s="1"/>
  <c r="D134" i="56"/>
  <c r="E134" i="56" s="1"/>
  <c r="D135" i="56"/>
  <c r="E135" i="56" s="1"/>
  <c r="D136" i="56"/>
  <c r="E136" i="56" s="1"/>
  <c r="D137" i="56"/>
  <c r="E137" i="56" s="1"/>
  <c r="D138" i="56"/>
  <c r="E138" i="56" s="1"/>
  <c r="D139" i="56"/>
  <c r="E139" i="56" s="1"/>
  <c r="D140" i="56"/>
  <c r="E140" i="56" s="1"/>
  <c r="D141" i="56"/>
  <c r="E141" i="56" s="1"/>
  <c r="D142" i="56"/>
  <c r="E142" i="56" s="1"/>
  <c r="D143" i="56"/>
  <c r="E143" i="56" s="1"/>
  <c r="D145" i="56"/>
  <c r="E145" i="56" s="1"/>
  <c r="C146" i="56"/>
  <c r="E506" i="57"/>
  <c r="D365" i="57"/>
  <c r="E365" i="57" s="1"/>
  <c r="D364" i="57"/>
  <c r="E364" i="57" s="1"/>
  <c r="D366" i="57"/>
  <c r="E366" i="57" s="1"/>
  <c r="D367" i="57"/>
  <c r="E367" i="57" s="1"/>
  <c r="D368" i="57"/>
  <c r="E368" i="57" s="1"/>
  <c r="D369" i="57"/>
  <c r="E369" i="57" s="1"/>
  <c r="D370" i="57"/>
  <c r="E370" i="57" s="1"/>
  <c r="D371" i="57"/>
  <c r="E371" i="57" s="1"/>
  <c r="D372" i="57"/>
  <c r="E372" i="57" s="1"/>
  <c r="D373" i="57"/>
  <c r="E373" i="57" s="1"/>
  <c r="D374" i="57"/>
  <c r="E374" i="57" s="1"/>
  <c r="D375" i="57"/>
  <c r="E375" i="57" s="1"/>
  <c r="D376" i="57"/>
  <c r="E376" i="57" s="1"/>
  <c r="D377" i="57"/>
  <c r="E377" i="57" s="1"/>
  <c r="D378" i="57"/>
  <c r="E378" i="57" s="1"/>
  <c r="D379" i="57"/>
  <c r="E379" i="57" s="1"/>
  <c r="D380" i="57"/>
  <c r="E380" i="57" s="1"/>
  <c r="D381" i="57"/>
  <c r="E381" i="57" s="1"/>
  <c r="D382" i="57"/>
  <c r="E382" i="57" s="1"/>
  <c r="D383" i="57"/>
  <c r="E383" i="57" s="1"/>
  <c r="D384" i="57"/>
  <c r="E384" i="57" s="1"/>
  <c r="D385" i="57"/>
  <c r="E385" i="57" s="1"/>
  <c r="D386" i="57"/>
  <c r="E386" i="57" s="1"/>
  <c r="D387" i="57"/>
  <c r="E387" i="57" s="1"/>
  <c r="D388" i="57"/>
  <c r="E388" i="57" s="1"/>
  <c r="D389" i="57"/>
  <c r="E389" i="57" s="1"/>
  <c r="D390" i="57"/>
  <c r="E390" i="57" s="1"/>
  <c r="D391" i="57"/>
  <c r="E391" i="57" s="1"/>
  <c r="D392" i="57"/>
  <c r="E392" i="57" s="1"/>
  <c r="D393" i="57"/>
  <c r="E393" i="57" s="1"/>
  <c r="D394" i="57"/>
  <c r="E394" i="57" s="1"/>
  <c r="D395" i="57"/>
  <c r="E395" i="57" s="1"/>
  <c r="D396" i="57"/>
  <c r="E396" i="57" s="1"/>
  <c r="D397" i="57"/>
  <c r="E397" i="57" s="1"/>
  <c r="D398" i="57"/>
  <c r="E398" i="57" s="1"/>
  <c r="D399" i="57"/>
  <c r="E399" i="57" s="1"/>
  <c r="D400" i="57"/>
  <c r="E400" i="57" s="1"/>
  <c r="D401" i="57"/>
  <c r="E401" i="57" s="1"/>
  <c r="D402" i="57"/>
  <c r="E402" i="57" s="1"/>
  <c r="D403" i="57"/>
  <c r="E403" i="57" s="1"/>
  <c r="D404" i="57"/>
  <c r="E404" i="57" s="1"/>
  <c r="D405" i="57"/>
  <c r="E405" i="57" s="1"/>
  <c r="D406" i="57"/>
  <c r="E406" i="57" s="1"/>
  <c r="D407" i="57"/>
  <c r="E407" i="57" s="1"/>
  <c r="D408" i="57"/>
  <c r="E408" i="57" s="1"/>
  <c r="D409" i="57"/>
  <c r="E409" i="57" s="1"/>
  <c r="D410" i="57"/>
  <c r="E410" i="57" s="1"/>
  <c r="D411" i="57"/>
  <c r="E411" i="57" s="1"/>
  <c r="D412" i="57"/>
  <c r="E412" i="57" s="1"/>
  <c r="D413" i="57"/>
  <c r="E413" i="57" s="1"/>
  <c r="D414" i="57"/>
  <c r="E414" i="57" s="1"/>
  <c r="D415" i="57"/>
  <c r="E415" i="57" s="1"/>
  <c r="D416" i="57"/>
  <c r="E416" i="57" s="1"/>
  <c r="D417" i="57"/>
  <c r="D419" i="57"/>
  <c r="E419" i="57" s="1"/>
  <c r="D420" i="57"/>
  <c r="E420" i="57" s="1"/>
  <c r="D421" i="57"/>
  <c r="E421" i="57" s="1"/>
  <c r="D422" i="57"/>
  <c r="E422" i="57" s="1"/>
  <c r="D423" i="57"/>
  <c r="E423" i="57" s="1"/>
  <c r="D424" i="57"/>
  <c r="E424" i="57" s="1"/>
  <c r="D425" i="57"/>
  <c r="E425" i="57" s="1"/>
  <c r="D426" i="57"/>
  <c r="E426" i="57" s="1"/>
  <c r="D427" i="57"/>
  <c r="E427" i="57" s="1"/>
  <c r="D428" i="57"/>
  <c r="E428" i="57" s="1"/>
  <c r="D429" i="57"/>
  <c r="E429" i="57" s="1"/>
  <c r="D430" i="57"/>
  <c r="E430" i="57" s="1"/>
  <c r="D431" i="57"/>
  <c r="E431" i="57" s="1"/>
  <c r="D432" i="57"/>
  <c r="E432" i="57" s="1"/>
  <c r="D433" i="57"/>
  <c r="E433" i="57" s="1"/>
  <c r="D434" i="57"/>
  <c r="E434" i="57" s="1"/>
  <c r="D435" i="57"/>
  <c r="E435" i="57" s="1"/>
  <c r="D436" i="57"/>
  <c r="E436" i="57" s="1"/>
  <c r="D437" i="57"/>
  <c r="E437" i="57" s="1"/>
  <c r="D438" i="57"/>
  <c r="E438" i="57" s="1"/>
  <c r="D439" i="57"/>
  <c r="E439" i="57" s="1"/>
  <c r="D440" i="57"/>
  <c r="E440" i="57" s="1"/>
  <c r="D441" i="57"/>
  <c r="E441" i="57" s="1"/>
  <c r="D442" i="57"/>
  <c r="E442" i="57" s="1"/>
  <c r="D443" i="57"/>
  <c r="E443" i="57" s="1"/>
  <c r="D444" i="57"/>
  <c r="E444" i="57" s="1"/>
  <c r="D445" i="57"/>
  <c r="E445" i="57" s="1"/>
  <c r="D446" i="57"/>
  <c r="E446" i="57" s="1"/>
  <c r="D447" i="57"/>
  <c r="E447" i="57" s="1"/>
  <c r="D448" i="57"/>
  <c r="E448" i="57" s="1"/>
  <c r="D449" i="57"/>
  <c r="E449" i="57" s="1"/>
  <c r="D450" i="57"/>
  <c r="E450" i="57" s="1"/>
  <c r="D451" i="57"/>
  <c r="E451" i="57" s="1"/>
  <c r="D452" i="57"/>
  <c r="E452" i="57" s="1"/>
  <c r="D453" i="57"/>
  <c r="E453" i="57" s="1"/>
  <c r="D454" i="57"/>
  <c r="E454" i="57" s="1"/>
  <c r="D455" i="57"/>
  <c r="E455" i="57" s="1"/>
  <c r="D456" i="57"/>
  <c r="E456" i="57" s="1"/>
  <c r="D457" i="57"/>
  <c r="E457" i="57" s="1"/>
  <c r="D458" i="57"/>
  <c r="E458" i="57" s="1"/>
  <c r="D459" i="57"/>
  <c r="E459" i="57" s="1"/>
  <c r="D460" i="57"/>
  <c r="E460" i="57" s="1"/>
  <c r="D461" i="57"/>
  <c r="E461" i="57" s="1"/>
  <c r="D462" i="57"/>
  <c r="E462" i="57" s="1"/>
  <c r="D463" i="57"/>
  <c r="E463" i="57" s="1"/>
  <c r="D464" i="57"/>
  <c r="E464" i="57" s="1"/>
  <c r="D465" i="57"/>
  <c r="E465" i="57" s="1"/>
  <c r="D466" i="57"/>
  <c r="E466" i="57" s="1"/>
  <c r="D467" i="57"/>
  <c r="E467" i="57" s="1"/>
  <c r="D468" i="57"/>
  <c r="E468" i="57" s="1"/>
  <c r="D469" i="57"/>
  <c r="E469" i="57" s="1"/>
  <c r="D470" i="57"/>
  <c r="E470" i="57" s="1"/>
  <c r="D471" i="57"/>
  <c r="E471" i="57" s="1"/>
  <c r="D472" i="57"/>
  <c r="E472" i="57" s="1"/>
  <c r="D473" i="57"/>
  <c r="E473" i="57" s="1"/>
  <c r="D474" i="57"/>
  <c r="E474" i="57" s="1"/>
  <c r="D475" i="57"/>
  <c r="E475" i="57" s="1"/>
  <c r="D476" i="57"/>
  <c r="E476" i="57" s="1"/>
  <c r="D477" i="57"/>
  <c r="E477" i="57" s="1"/>
  <c r="D478" i="57"/>
  <c r="E478" i="57" s="1"/>
  <c r="D479" i="57"/>
  <c r="E479" i="57" s="1"/>
  <c r="D480" i="57"/>
  <c r="E480" i="57" s="1"/>
  <c r="D481" i="57"/>
  <c r="E481" i="57" s="1"/>
  <c r="D482" i="57"/>
  <c r="E482" i="57" s="1"/>
  <c r="D483" i="57"/>
  <c r="E483" i="57" s="1"/>
  <c r="D484" i="57"/>
  <c r="E484" i="57" s="1"/>
  <c r="D485" i="57"/>
  <c r="E485" i="57" s="1"/>
  <c r="D486" i="57"/>
  <c r="E486" i="57" s="1"/>
  <c r="D487" i="57"/>
  <c r="E487" i="57" s="1"/>
  <c r="D488" i="57"/>
  <c r="E488" i="57" s="1"/>
  <c r="D489" i="57"/>
  <c r="E489" i="57" s="1"/>
  <c r="D490" i="57"/>
  <c r="E490" i="57" s="1"/>
  <c r="D491" i="57"/>
  <c r="E491" i="57" s="1"/>
  <c r="D492" i="57"/>
  <c r="E492" i="57" s="1"/>
  <c r="D493" i="57"/>
  <c r="E493" i="57" s="1"/>
  <c r="D494" i="57"/>
  <c r="E494" i="57" s="1"/>
  <c r="D495" i="57"/>
  <c r="E495" i="57" s="1"/>
  <c r="D496" i="57"/>
  <c r="E496" i="57" s="1"/>
  <c r="D497" i="57"/>
  <c r="E497" i="57" s="1"/>
  <c r="D498" i="57"/>
  <c r="E498" i="57" s="1"/>
  <c r="D499" i="57"/>
  <c r="E499" i="57" s="1"/>
  <c r="D500" i="57"/>
  <c r="E500" i="57" s="1"/>
  <c r="D501" i="57"/>
  <c r="E501" i="57" s="1"/>
  <c r="D502" i="57"/>
  <c r="E502" i="57" s="1"/>
  <c r="D503" i="57"/>
  <c r="E503" i="57" s="1"/>
  <c r="D504" i="57"/>
  <c r="E504" i="57" s="1"/>
  <c r="D505" i="57"/>
  <c r="E505" i="57" s="1"/>
  <c r="D868" i="57"/>
  <c r="C869" i="57"/>
  <c r="D507" i="57"/>
  <c r="E507" i="57" s="1"/>
  <c r="C508" i="57"/>
  <c r="D145" i="57"/>
  <c r="E145" i="57" s="1"/>
  <c r="C146" i="57"/>
  <c r="E144" i="57"/>
  <c r="D2" i="57"/>
  <c r="D3" i="57"/>
  <c r="E3" i="57" s="1"/>
  <c r="D4" i="57"/>
  <c r="E4" i="57" s="1"/>
  <c r="D5" i="57"/>
  <c r="E5" i="57" s="1"/>
  <c r="D6" i="57"/>
  <c r="E6" i="57" s="1"/>
  <c r="D7" i="57"/>
  <c r="E7" i="57" s="1"/>
  <c r="D8" i="57"/>
  <c r="E8" i="57" s="1"/>
  <c r="D9" i="57"/>
  <c r="E9" i="57" s="1"/>
  <c r="D10" i="57"/>
  <c r="E10" i="57" s="1"/>
  <c r="D11" i="57"/>
  <c r="E11" i="57" s="1"/>
  <c r="D12" i="57"/>
  <c r="E12" i="57" s="1"/>
  <c r="D13" i="57"/>
  <c r="E13" i="57" s="1"/>
  <c r="D14" i="57"/>
  <c r="E14" i="57" s="1"/>
  <c r="D15" i="57"/>
  <c r="E15" i="57" s="1"/>
  <c r="D16" i="57"/>
  <c r="E16" i="57" s="1"/>
  <c r="D17" i="57"/>
  <c r="E17" i="57" s="1"/>
  <c r="D18" i="57"/>
  <c r="E18" i="57" s="1"/>
  <c r="D19" i="57"/>
  <c r="E19" i="57" s="1"/>
  <c r="D20" i="57"/>
  <c r="E20" i="57" s="1"/>
  <c r="D21" i="57"/>
  <c r="E21" i="57" s="1"/>
  <c r="D22" i="57"/>
  <c r="E22" i="57" s="1"/>
  <c r="D23" i="57"/>
  <c r="E23" i="57" s="1"/>
  <c r="D24" i="57"/>
  <c r="E24" i="57" s="1"/>
  <c r="D25" i="57"/>
  <c r="E25" i="57" s="1"/>
  <c r="D26" i="57"/>
  <c r="E26" i="57" s="1"/>
  <c r="D27" i="57"/>
  <c r="E27" i="57" s="1"/>
  <c r="D28" i="57"/>
  <c r="E28" i="57" s="1"/>
  <c r="D29" i="57"/>
  <c r="E29" i="57" s="1"/>
  <c r="D30" i="57"/>
  <c r="E30" i="57" s="1"/>
  <c r="D31" i="57"/>
  <c r="E31" i="57" s="1"/>
  <c r="D32" i="57"/>
  <c r="E32" i="57" s="1"/>
  <c r="D33" i="57"/>
  <c r="E33" i="57" s="1"/>
  <c r="D34" i="57"/>
  <c r="E34" i="57" s="1"/>
  <c r="D35" i="57"/>
  <c r="E35" i="57" s="1"/>
  <c r="D36" i="57"/>
  <c r="E36" i="57" s="1"/>
  <c r="D37" i="57"/>
  <c r="E37" i="57" s="1"/>
  <c r="D38" i="57"/>
  <c r="E38" i="57" s="1"/>
  <c r="D39" i="57"/>
  <c r="E39" i="57" s="1"/>
  <c r="D40" i="57"/>
  <c r="E40" i="57" s="1"/>
  <c r="D41" i="57"/>
  <c r="E41" i="57" s="1"/>
  <c r="D42" i="57"/>
  <c r="E42" i="57" s="1"/>
  <c r="D43" i="57"/>
  <c r="E43" i="57" s="1"/>
  <c r="D44" i="57"/>
  <c r="E44" i="57" s="1"/>
  <c r="D45" i="57"/>
  <c r="E45" i="57" s="1"/>
  <c r="D46" i="57"/>
  <c r="E46" i="57" s="1"/>
  <c r="D47" i="57"/>
  <c r="E47" i="57" s="1"/>
  <c r="D48" i="57"/>
  <c r="E48" i="57" s="1"/>
  <c r="D49" i="57"/>
  <c r="E49" i="57" s="1"/>
  <c r="D50" i="57"/>
  <c r="E50" i="57" s="1"/>
  <c r="D51" i="57"/>
  <c r="E51" i="57" s="1"/>
  <c r="D52" i="57"/>
  <c r="E52" i="57" s="1"/>
  <c r="D53" i="57"/>
  <c r="E53" i="57" s="1"/>
  <c r="D54" i="57"/>
  <c r="E54" i="57" s="1"/>
  <c r="D55" i="57"/>
  <c r="D57" i="57"/>
  <c r="E57" i="57" s="1"/>
  <c r="D58" i="57"/>
  <c r="E58" i="57" s="1"/>
  <c r="D59" i="57"/>
  <c r="E59" i="57" s="1"/>
  <c r="D60" i="57"/>
  <c r="E60" i="57" s="1"/>
  <c r="D61" i="57"/>
  <c r="E61" i="57" s="1"/>
  <c r="D62" i="57"/>
  <c r="E62" i="57" s="1"/>
  <c r="D63" i="57"/>
  <c r="E63" i="57" s="1"/>
  <c r="D64" i="57"/>
  <c r="E64" i="57" s="1"/>
  <c r="D65" i="57"/>
  <c r="E65" i="57" s="1"/>
  <c r="D66" i="57"/>
  <c r="E66" i="57" s="1"/>
  <c r="D67" i="57"/>
  <c r="E67" i="57" s="1"/>
  <c r="D68" i="57"/>
  <c r="E68" i="57" s="1"/>
  <c r="D69" i="57"/>
  <c r="E69" i="57" s="1"/>
  <c r="D70" i="57"/>
  <c r="E70" i="57" s="1"/>
  <c r="D71" i="57"/>
  <c r="E71" i="57" s="1"/>
  <c r="D72" i="57"/>
  <c r="E72" i="57" s="1"/>
  <c r="D73" i="57"/>
  <c r="E73" i="57" s="1"/>
  <c r="D74" i="57"/>
  <c r="E74" i="57" s="1"/>
  <c r="D75" i="57"/>
  <c r="E75" i="57" s="1"/>
  <c r="D76" i="57"/>
  <c r="E76" i="57" s="1"/>
  <c r="D77" i="57"/>
  <c r="E77" i="57" s="1"/>
  <c r="D78" i="57"/>
  <c r="E78" i="57" s="1"/>
  <c r="D79" i="57"/>
  <c r="E79" i="57" s="1"/>
  <c r="D80" i="57"/>
  <c r="E80" i="57" s="1"/>
  <c r="D81" i="57"/>
  <c r="E81" i="57" s="1"/>
  <c r="D82" i="57"/>
  <c r="E82" i="57" s="1"/>
  <c r="D83" i="57"/>
  <c r="E83" i="57" s="1"/>
  <c r="D84" i="57"/>
  <c r="E84" i="57" s="1"/>
  <c r="D85" i="57"/>
  <c r="E85" i="57" s="1"/>
  <c r="D86" i="57"/>
  <c r="E86" i="57" s="1"/>
  <c r="D87" i="57"/>
  <c r="E87" i="57" s="1"/>
  <c r="D88" i="57"/>
  <c r="E88" i="57" s="1"/>
  <c r="D89" i="57"/>
  <c r="E89" i="57" s="1"/>
  <c r="D90" i="57"/>
  <c r="E90" i="57" s="1"/>
  <c r="D91" i="57"/>
  <c r="E91" i="57" s="1"/>
  <c r="D92" i="57"/>
  <c r="E92" i="57" s="1"/>
  <c r="D93" i="57"/>
  <c r="E93" i="57" s="1"/>
  <c r="D94" i="57"/>
  <c r="E94" i="57" s="1"/>
  <c r="D95" i="57"/>
  <c r="E95" i="57" s="1"/>
  <c r="D96" i="57"/>
  <c r="E96" i="57" s="1"/>
  <c r="D97" i="57"/>
  <c r="E97" i="57" s="1"/>
  <c r="D98" i="57"/>
  <c r="E98" i="57" s="1"/>
  <c r="D99" i="57"/>
  <c r="E99" i="57" s="1"/>
  <c r="D100" i="57"/>
  <c r="E100" i="57" s="1"/>
  <c r="D101" i="57"/>
  <c r="E101" i="57" s="1"/>
  <c r="D102" i="57"/>
  <c r="E102" i="57" s="1"/>
  <c r="D103" i="57"/>
  <c r="E103" i="57" s="1"/>
  <c r="D104" i="57"/>
  <c r="E104" i="57" s="1"/>
  <c r="D105" i="57"/>
  <c r="E105" i="57" s="1"/>
  <c r="D106" i="57"/>
  <c r="E106" i="57" s="1"/>
  <c r="D107" i="57"/>
  <c r="E107" i="57" s="1"/>
  <c r="D108" i="57"/>
  <c r="E108" i="57" s="1"/>
  <c r="D109" i="57"/>
  <c r="E109" i="57" s="1"/>
  <c r="D110" i="57"/>
  <c r="E110" i="57" s="1"/>
  <c r="D111" i="57"/>
  <c r="E111" i="57" s="1"/>
  <c r="D112" i="57"/>
  <c r="E112" i="57" s="1"/>
  <c r="D113" i="57"/>
  <c r="E113" i="57" s="1"/>
  <c r="D114" i="57"/>
  <c r="E114" i="57" s="1"/>
  <c r="D115" i="57"/>
  <c r="E115" i="57" s="1"/>
  <c r="D116" i="57"/>
  <c r="E116" i="57" s="1"/>
  <c r="D117" i="57"/>
  <c r="E117" i="57" s="1"/>
  <c r="D118" i="57"/>
  <c r="E118" i="57" s="1"/>
  <c r="D119" i="57"/>
  <c r="E119" i="57" s="1"/>
  <c r="D120" i="57"/>
  <c r="E120" i="57" s="1"/>
  <c r="D121" i="57"/>
  <c r="E121" i="57" s="1"/>
  <c r="D122" i="57"/>
  <c r="E122" i="57" s="1"/>
  <c r="D123" i="57"/>
  <c r="E123" i="57" s="1"/>
  <c r="D124" i="57"/>
  <c r="E124" i="57" s="1"/>
  <c r="D125" i="57"/>
  <c r="E125" i="57" s="1"/>
  <c r="D126" i="57"/>
  <c r="E126" i="57" s="1"/>
  <c r="D127" i="57"/>
  <c r="E127" i="57" s="1"/>
  <c r="D128" i="57"/>
  <c r="E128" i="57" s="1"/>
  <c r="D129" i="57"/>
  <c r="E129" i="57" s="1"/>
  <c r="D130" i="57"/>
  <c r="E130" i="57" s="1"/>
  <c r="D131" i="57"/>
  <c r="E131" i="57" s="1"/>
  <c r="D132" i="57"/>
  <c r="E132" i="57" s="1"/>
  <c r="D133" i="57"/>
  <c r="E133" i="57" s="1"/>
  <c r="D134" i="57"/>
  <c r="E134" i="57" s="1"/>
  <c r="D135" i="57"/>
  <c r="E135" i="57" s="1"/>
  <c r="D136" i="57"/>
  <c r="E136" i="57" s="1"/>
  <c r="D137" i="57"/>
  <c r="E137" i="57" s="1"/>
  <c r="D138" i="57"/>
  <c r="E138" i="57" s="1"/>
  <c r="D139" i="57"/>
  <c r="E139" i="57" s="1"/>
  <c r="D140" i="57"/>
  <c r="E140" i="57" s="1"/>
  <c r="D141" i="57"/>
  <c r="E141" i="57" s="1"/>
  <c r="D142" i="57"/>
  <c r="E142" i="57" s="1"/>
  <c r="D143" i="57"/>
  <c r="E143" i="57" s="1"/>
  <c r="E2" i="57" l="1"/>
  <c r="E2" i="56"/>
  <c r="E55" i="56"/>
  <c r="D56" i="56"/>
  <c r="E56" i="56" s="1"/>
  <c r="E506" i="56"/>
  <c r="D364" i="56"/>
  <c r="E364" i="56" s="1"/>
  <c r="D365" i="56"/>
  <c r="E365" i="56" s="1"/>
  <c r="D366" i="56"/>
  <c r="E366" i="56" s="1"/>
  <c r="D367" i="56"/>
  <c r="E367" i="56" s="1"/>
  <c r="D368" i="56"/>
  <c r="E368" i="56" s="1"/>
  <c r="D369" i="56"/>
  <c r="E369" i="56" s="1"/>
  <c r="D370" i="56"/>
  <c r="E370" i="56" s="1"/>
  <c r="D371" i="56"/>
  <c r="E371" i="56" s="1"/>
  <c r="D372" i="56"/>
  <c r="E372" i="56" s="1"/>
  <c r="D373" i="56"/>
  <c r="E373" i="56" s="1"/>
  <c r="D374" i="56"/>
  <c r="E374" i="56" s="1"/>
  <c r="D375" i="56"/>
  <c r="E375" i="56" s="1"/>
  <c r="D376" i="56"/>
  <c r="E376" i="56" s="1"/>
  <c r="D377" i="56"/>
  <c r="E377" i="56" s="1"/>
  <c r="D378" i="56"/>
  <c r="E378" i="56" s="1"/>
  <c r="D379" i="56"/>
  <c r="E379" i="56" s="1"/>
  <c r="D380" i="56"/>
  <c r="E380" i="56" s="1"/>
  <c r="D381" i="56"/>
  <c r="E381" i="56" s="1"/>
  <c r="D382" i="56"/>
  <c r="E382" i="56" s="1"/>
  <c r="D383" i="56"/>
  <c r="E383" i="56" s="1"/>
  <c r="D384" i="56"/>
  <c r="E384" i="56" s="1"/>
  <c r="D385" i="56"/>
  <c r="E385" i="56" s="1"/>
  <c r="D386" i="56"/>
  <c r="E386" i="56" s="1"/>
  <c r="D387" i="56"/>
  <c r="E387" i="56" s="1"/>
  <c r="D388" i="56"/>
  <c r="E388" i="56" s="1"/>
  <c r="D389" i="56"/>
  <c r="E389" i="56" s="1"/>
  <c r="D390" i="56"/>
  <c r="E390" i="56" s="1"/>
  <c r="D391" i="56"/>
  <c r="E391" i="56" s="1"/>
  <c r="D392" i="56"/>
  <c r="E392" i="56" s="1"/>
  <c r="D393" i="56"/>
  <c r="E393" i="56" s="1"/>
  <c r="D394" i="56"/>
  <c r="E394" i="56" s="1"/>
  <c r="D395" i="56"/>
  <c r="E395" i="56" s="1"/>
  <c r="D396" i="56"/>
  <c r="E396" i="56" s="1"/>
  <c r="D397" i="56"/>
  <c r="E397" i="56" s="1"/>
  <c r="D398" i="56"/>
  <c r="E398" i="56" s="1"/>
  <c r="D399" i="56"/>
  <c r="E399" i="56" s="1"/>
  <c r="D400" i="56"/>
  <c r="E400" i="56" s="1"/>
  <c r="D401" i="56"/>
  <c r="E401" i="56" s="1"/>
  <c r="D402" i="56"/>
  <c r="E402" i="56" s="1"/>
  <c r="D403" i="56"/>
  <c r="E403" i="56" s="1"/>
  <c r="D404" i="56"/>
  <c r="E404" i="56" s="1"/>
  <c r="D405" i="56"/>
  <c r="E405" i="56" s="1"/>
  <c r="D406" i="56"/>
  <c r="E406" i="56" s="1"/>
  <c r="D407" i="56"/>
  <c r="E407" i="56" s="1"/>
  <c r="D408" i="56"/>
  <c r="E408" i="56" s="1"/>
  <c r="D409" i="56"/>
  <c r="E409" i="56" s="1"/>
  <c r="D410" i="56"/>
  <c r="E410" i="56" s="1"/>
  <c r="D411" i="56"/>
  <c r="E411" i="56" s="1"/>
  <c r="D412" i="56"/>
  <c r="E412" i="56" s="1"/>
  <c r="D413" i="56"/>
  <c r="E413" i="56" s="1"/>
  <c r="D414" i="56"/>
  <c r="E414" i="56" s="1"/>
  <c r="D415" i="56"/>
  <c r="E415" i="56" s="1"/>
  <c r="D416" i="56"/>
  <c r="E416" i="56" s="1"/>
  <c r="D417" i="56"/>
  <c r="D419" i="56"/>
  <c r="E419" i="56" s="1"/>
  <c r="D420" i="56"/>
  <c r="E420" i="56" s="1"/>
  <c r="D421" i="56"/>
  <c r="E421" i="56" s="1"/>
  <c r="D422" i="56"/>
  <c r="E422" i="56" s="1"/>
  <c r="D423" i="56"/>
  <c r="E423" i="56" s="1"/>
  <c r="D424" i="56"/>
  <c r="E424" i="56" s="1"/>
  <c r="D425" i="56"/>
  <c r="E425" i="56" s="1"/>
  <c r="D426" i="56"/>
  <c r="E426" i="56" s="1"/>
  <c r="D427" i="56"/>
  <c r="E427" i="56" s="1"/>
  <c r="D428" i="56"/>
  <c r="E428" i="56" s="1"/>
  <c r="D429" i="56"/>
  <c r="E429" i="56" s="1"/>
  <c r="D430" i="56"/>
  <c r="E430" i="56" s="1"/>
  <c r="D431" i="56"/>
  <c r="E431" i="56" s="1"/>
  <c r="D432" i="56"/>
  <c r="E432" i="56" s="1"/>
  <c r="D433" i="56"/>
  <c r="E433" i="56" s="1"/>
  <c r="D434" i="56"/>
  <c r="E434" i="56" s="1"/>
  <c r="D435" i="56"/>
  <c r="E435" i="56" s="1"/>
  <c r="D436" i="56"/>
  <c r="E436" i="56" s="1"/>
  <c r="D437" i="56"/>
  <c r="E437" i="56" s="1"/>
  <c r="D438" i="56"/>
  <c r="E438" i="56" s="1"/>
  <c r="D439" i="56"/>
  <c r="E439" i="56" s="1"/>
  <c r="D440" i="56"/>
  <c r="E440" i="56" s="1"/>
  <c r="D441" i="56"/>
  <c r="E441" i="56" s="1"/>
  <c r="D442" i="56"/>
  <c r="E442" i="56" s="1"/>
  <c r="D443" i="56"/>
  <c r="E443" i="56" s="1"/>
  <c r="D444" i="56"/>
  <c r="E444" i="56" s="1"/>
  <c r="D445" i="56"/>
  <c r="E445" i="56" s="1"/>
  <c r="D446" i="56"/>
  <c r="E446" i="56" s="1"/>
  <c r="D447" i="56"/>
  <c r="E447" i="56" s="1"/>
  <c r="D448" i="56"/>
  <c r="E448" i="56" s="1"/>
  <c r="D449" i="56"/>
  <c r="E449" i="56" s="1"/>
  <c r="D450" i="56"/>
  <c r="E450" i="56" s="1"/>
  <c r="D451" i="56"/>
  <c r="E451" i="56" s="1"/>
  <c r="D452" i="56"/>
  <c r="E452" i="56" s="1"/>
  <c r="D453" i="56"/>
  <c r="E453" i="56" s="1"/>
  <c r="D454" i="56"/>
  <c r="E454" i="56" s="1"/>
  <c r="D455" i="56"/>
  <c r="E455" i="56" s="1"/>
  <c r="D456" i="56"/>
  <c r="E456" i="56" s="1"/>
  <c r="D457" i="56"/>
  <c r="E457" i="56" s="1"/>
  <c r="D458" i="56"/>
  <c r="E458" i="56" s="1"/>
  <c r="D459" i="56"/>
  <c r="E459" i="56" s="1"/>
  <c r="D460" i="56"/>
  <c r="E460" i="56" s="1"/>
  <c r="D461" i="56"/>
  <c r="E461" i="56" s="1"/>
  <c r="D462" i="56"/>
  <c r="E462" i="56" s="1"/>
  <c r="D463" i="56"/>
  <c r="E463" i="56" s="1"/>
  <c r="D464" i="56"/>
  <c r="E464" i="56" s="1"/>
  <c r="D465" i="56"/>
  <c r="E465" i="56" s="1"/>
  <c r="D466" i="56"/>
  <c r="E466" i="56" s="1"/>
  <c r="D467" i="56"/>
  <c r="E467" i="56" s="1"/>
  <c r="D468" i="56"/>
  <c r="E468" i="56" s="1"/>
  <c r="D469" i="56"/>
  <c r="E469" i="56" s="1"/>
  <c r="D470" i="56"/>
  <c r="E470" i="56" s="1"/>
  <c r="D471" i="56"/>
  <c r="E471" i="56" s="1"/>
  <c r="D472" i="56"/>
  <c r="E472" i="56" s="1"/>
  <c r="D473" i="56"/>
  <c r="E473" i="56" s="1"/>
  <c r="D474" i="56"/>
  <c r="E474" i="56" s="1"/>
  <c r="D475" i="56"/>
  <c r="E475" i="56" s="1"/>
  <c r="D476" i="56"/>
  <c r="E476" i="56" s="1"/>
  <c r="D477" i="56"/>
  <c r="E477" i="56" s="1"/>
  <c r="D478" i="56"/>
  <c r="E478" i="56" s="1"/>
  <c r="D479" i="56"/>
  <c r="E479" i="56" s="1"/>
  <c r="D480" i="56"/>
  <c r="E480" i="56" s="1"/>
  <c r="D481" i="56"/>
  <c r="E481" i="56" s="1"/>
  <c r="D482" i="56"/>
  <c r="E482" i="56" s="1"/>
  <c r="D483" i="56"/>
  <c r="E483" i="56" s="1"/>
  <c r="D484" i="56"/>
  <c r="E484" i="56" s="1"/>
  <c r="D485" i="56"/>
  <c r="E485" i="56" s="1"/>
  <c r="D486" i="56"/>
  <c r="E486" i="56" s="1"/>
  <c r="D487" i="56"/>
  <c r="E487" i="56" s="1"/>
  <c r="D488" i="56"/>
  <c r="E488" i="56" s="1"/>
  <c r="D489" i="56"/>
  <c r="E489" i="56" s="1"/>
  <c r="D490" i="56"/>
  <c r="E490" i="56" s="1"/>
  <c r="D491" i="56"/>
  <c r="E491" i="56" s="1"/>
  <c r="D492" i="56"/>
  <c r="E492" i="56" s="1"/>
  <c r="D493" i="56"/>
  <c r="E493" i="56" s="1"/>
  <c r="D494" i="56"/>
  <c r="E494" i="56" s="1"/>
  <c r="D495" i="56"/>
  <c r="E495" i="56" s="1"/>
  <c r="D496" i="56"/>
  <c r="E496" i="56" s="1"/>
  <c r="D497" i="56"/>
  <c r="E497" i="56" s="1"/>
  <c r="D498" i="56"/>
  <c r="E498" i="56" s="1"/>
  <c r="D499" i="56"/>
  <c r="E499" i="56" s="1"/>
  <c r="D500" i="56"/>
  <c r="E500" i="56" s="1"/>
  <c r="D501" i="56"/>
  <c r="E501" i="56" s="1"/>
  <c r="D502" i="56"/>
  <c r="E502" i="56" s="1"/>
  <c r="D503" i="56"/>
  <c r="E503" i="56" s="1"/>
  <c r="D504" i="56"/>
  <c r="E504" i="56" s="1"/>
  <c r="D505" i="56"/>
  <c r="E505" i="56" s="1"/>
  <c r="D146" i="56"/>
  <c r="E146" i="56" s="1"/>
  <c r="C147" i="56"/>
  <c r="D507" i="56"/>
  <c r="E507" i="56" s="1"/>
  <c r="C508" i="56"/>
  <c r="C509" i="57"/>
  <c r="D508" i="57"/>
  <c r="E508" i="57" s="1"/>
  <c r="E55" i="57"/>
  <c r="D56" i="57"/>
  <c r="E56" i="57" s="1"/>
  <c r="C147" i="57"/>
  <c r="D146" i="57"/>
  <c r="E146" i="57" s="1"/>
  <c r="E868" i="57"/>
  <c r="D726" i="57"/>
  <c r="E726" i="57" s="1"/>
  <c r="D727" i="57"/>
  <c r="E727" i="57" s="1"/>
  <c r="D728" i="57"/>
  <c r="E728" i="57" s="1"/>
  <c r="D729" i="57"/>
  <c r="E729" i="57" s="1"/>
  <c r="D730" i="57"/>
  <c r="E730" i="57" s="1"/>
  <c r="D731" i="57"/>
  <c r="E731" i="57" s="1"/>
  <c r="D732" i="57"/>
  <c r="E732" i="57" s="1"/>
  <c r="D733" i="57"/>
  <c r="E733" i="57" s="1"/>
  <c r="D734" i="57"/>
  <c r="E734" i="57" s="1"/>
  <c r="D735" i="57"/>
  <c r="E735" i="57" s="1"/>
  <c r="D736" i="57"/>
  <c r="E736" i="57" s="1"/>
  <c r="D737" i="57"/>
  <c r="E737" i="57" s="1"/>
  <c r="D738" i="57"/>
  <c r="E738" i="57" s="1"/>
  <c r="D739" i="57"/>
  <c r="E739" i="57" s="1"/>
  <c r="D740" i="57"/>
  <c r="E740" i="57" s="1"/>
  <c r="D741" i="57"/>
  <c r="E741" i="57" s="1"/>
  <c r="D742" i="57"/>
  <c r="E742" i="57" s="1"/>
  <c r="D743" i="57"/>
  <c r="E743" i="57" s="1"/>
  <c r="D744" i="57"/>
  <c r="E744" i="57" s="1"/>
  <c r="D745" i="57"/>
  <c r="E745" i="57" s="1"/>
  <c r="D746" i="57"/>
  <c r="E746" i="57" s="1"/>
  <c r="D747" i="57"/>
  <c r="E747" i="57" s="1"/>
  <c r="D748" i="57"/>
  <c r="E748" i="57" s="1"/>
  <c r="D749" i="57"/>
  <c r="E749" i="57" s="1"/>
  <c r="D750" i="57"/>
  <c r="E750" i="57" s="1"/>
  <c r="D751" i="57"/>
  <c r="E751" i="57" s="1"/>
  <c r="D752" i="57"/>
  <c r="E752" i="57" s="1"/>
  <c r="D753" i="57"/>
  <c r="E753" i="57" s="1"/>
  <c r="D754" i="57"/>
  <c r="E754" i="57" s="1"/>
  <c r="D755" i="57"/>
  <c r="E755" i="57" s="1"/>
  <c r="D756" i="57"/>
  <c r="E756" i="57" s="1"/>
  <c r="D757" i="57"/>
  <c r="E757" i="57" s="1"/>
  <c r="D758" i="57"/>
  <c r="E758" i="57" s="1"/>
  <c r="D759" i="57"/>
  <c r="E759" i="57" s="1"/>
  <c r="D760" i="57"/>
  <c r="E760" i="57" s="1"/>
  <c r="D761" i="57"/>
  <c r="E761" i="57" s="1"/>
  <c r="D762" i="57"/>
  <c r="E762" i="57" s="1"/>
  <c r="D763" i="57"/>
  <c r="E763" i="57" s="1"/>
  <c r="D764" i="57"/>
  <c r="E764" i="57" s="1"/>
  <c r="D765" i="57"/>
  <c r="E765" i="57" s="1"/>
  <c r="D766" i="57"/>
  <c r="E766" i="57" s="1"/>
  <c r="D767" i="57"/>
  <c r="E767" i="57" s="1"/>
  <c r="D768" i="57"/>
  <c r="E768" i="57" s="1"/>
  <c r="D769" i="57"/>
  <c r="E769" i="57" s="1"/>
  <c r="D770" i="57"/>
  <c r="E770" i="57" s="1"/>
  <c r="D771" i="57"/>
  <c r="E771" i="57" s="1"/>
  <c r="D772" i="57"/>
  <c r="E772" i="57" s="1"/>
  <c r="D773" i="57"/>
  <c r="E773" i="57" s="1"/>
  <c r="D774" i="57"/>
  <c r="E774" i="57" s="1"/>
  <c r="D775" i="57"/>
  <c r="E775" i="57" s="1"/>
  <c r="D776" i="57"/>
  <c r="E776" i="57" s="1"/>
  <c r="D777" i="57"/>
  <c r="E777" i="57" s="1"/>
  <c r="D778" i="57"/>
  <c r="E778" i="57" s="1"/>
  <c r="D779" i="57"/>
  <c r="D781" i="57"/>
  <c r="E781" i="57" s="1"/>
  <c r="D782" i="57"/>
  <c r="E782" i="57" s="1"/>
  <c r="D783" i="57"/>
  <c r="E783" i="57" s="1"/>
  <c r="D784" i="57"/>
  <c r="E784" i="57" s="1"/>
  <c r="D785" i="57"/>
  <c r="E785" i="57" s="1"/>
  <c r="D786" i="57"/>
  <c r="E786" i="57" s="1"/>
  <c r="D787" i="57"/>
  <c r="E787" i="57" s="1"/>
  <c r="D788" i="57"/>
  <c r="E788" i="57" s="1"/>
  <c r="D789" i="57"/>
  <c r="E789" i="57" s="1"/>
  <c r="D790" i="57"/>
  <c r="E790" i="57" s="1"/>
  <c r="D791" i="57"/>
  <c r="E791" i="57" s="1"/>
  <c r="D792" i="57"/>
  <c r="E792" i="57" s="1"/>
  <c r="D793" i="57"/>
  <c r="E793" i="57" s="1"/>
  <c r="D794" i="57"/>
  <c r="E794" i="57" s="1"/>
  <c r="D795" i="57"/>
  <c r="E795" i="57" s="1"/>
  <c r="D796" i="57"/>
  <c r="E796" i="57" s="1"/>
  <c r="D797" i="57"/>
  <c r="E797" i="57" s="1"/>
  <c r="D798" i="57"/>
  <c r="E798" i="57" s="1"/>
  <c r="D799" i="57"/>
  <c r="E799" i="57" s="1"/>
  <c r="D800" i="57"/>
  <c r="E800" i="57" s="1"/>
  <c r="D801" i="57"/>
  <c r="E801" i="57" s="1"/>
  <c r="D802" i="57"/>
  <c r="E802" i="57" s="1"/>
  <c r="D803" i="57"/>
  <c r="E803" i="57" s="1"/>
  <c r="D804" i="57"/>
  <c r="E804" i="57" s="1"/>
  <c r="D805" i="57"/>
  <c r="E805" i="57" s="1"/>
  <c r="D806" i="57"/>
  <c r="E806" i="57" s="1"/>
  <c r="D807" i="57"/>
  <c r="E807" i="57" s="1"/>
  <c r="D808" i="57"/>
  <c r="E808" i="57" s="1"/>
  <c r="D809" i="57"/>
  <c r="E809" i="57" s="1"/>
  <c r="D810" i="57"/>
  <c r="E810" i="57" s="1"/>
  <c r="D811" i="57"/>
  <c r="E811" i="57" s="1"/>
  <c r="D812" i="57"/>
  <c r="E812" i="57" s="1"/>
  <c r="D813" i="57"/>
  <c r="E813" i="57" s="1"/>
  <c r="D814" i="57"/>
  <c r="E814" i="57" s="1"/>
  <c r="D815" i="57"/>
  <c r="E815" i="57" s="1"/>
  <c r="D816" i="57"/>
  <c r="E816" i="57" s="1"/>
  <c r="D817" i="57"/>
  <c r="E817" i="57" s="1"/>
  <c r="D818" i="57"/>
  <c r="E818" i="57" s="1"/>
  <c r="D819" i="57"/>
  <c r="E819" i="57" s="1"/>
  <c r="D820" i="57"/>
  <c r="E820" i="57" s="1"/>
  <c r="D821" i="57"/>
  <c r="E821" i="57" s="1"/>
  <c r="D822" i="57"/>
  <c r="E822" i="57" s="1"/>
  <c r="D823" i="57"/>
  <c r="E823" i="57" s="1"/>
  <c r="D824" i="57"/>
  <c r="E824" i="57" s="1"/>
  <c r="D825" i="57"/>
  <c r="E825" i="57" s="1"/>
  <c r="D826" i="57"/>
  <c r="E826" i="57" s="1"/>
  <c r="D827" i="57"/>
  <c r="E827" i="57" s="1"/>
  <c r="D828" i="57"/>
  <c r="E828" i="57" s="1"/>
  <c r="D829" i="57"/>
  <c r="E829" i="57" s="1"/>
  <c r="D830" i="57"/>
  <c r="E830" i="57" s="1"/>
  <c r="D831" i="57"/>
  <c r="E831" i="57" s="1"/>
  <c r="D832" i="57"/>
  <c r="E832" i="57" s="1"/>
  <c r="D833" i="57"/>
  <c r="E833" i="57" s="1"/>
  <c r="D834" i="57"/>
  <c r="E834" i="57" s="1"/>
  <c r="D835" i="57"/>
  <c r="E835" i="57" s="1"/>
  <c r="D836" i="57"/>
  <c r="E836" i="57" s="1"/>
  <c r="D837" i="57"/>
  <c r="E837" i="57" s="1"/>
  <c r="D838" i="57"/>
  <c r="E838" i="57" s="1"/>
  <c r="D839" i="57"/>
  <c r="E839" i="57" s="1"/>
  <c r="D840" i="57"/>
  <c r="E840" i="57" s="1"/>
  <c r="D841" i="57"/>
  <c r="E841" i="57" s="1"/>
  <c r="D842" i="57"/>
  <c r="E842" i="57" s="1"/>
  <c r="D843" i="57"/>
  <c r="E843" i="57" s="1"/>
  <c r="D844" i="57"/>
  <c r="E844" i="57" s="1"/>
  <c r="D845" i="57"/>
  <c r="E845" i="57" s="1"/>
  <c r="D846" i="57"/>
  <c r="E846" i="57" s="1"/>
  <c r="D847" i="57"/>
  <c r="E847" i="57" s="1"/>
  <c r="D848" i="57"/>
  <c r="E848" i="57" s="1"/>
  <c r="D849" i="57"/>
  <c r="E849" i="57" s="1"/>
  <c r="D850" i="57"/>
  <c r="E850" i="57" s="1"/>
  <c r="D851" i="57"/>
  <c r="E851" i="57" s="1"/>
  <c r="D852" i="57"/>
  <c r="E852" i="57" s="1"/>
  <c r="D853" i="57"/>
  <c r="E853" i="57" s="1"/>
  <c r="D854" i="57"/>
  <c r="E854" i="57" s="1"/>
  <c r="D855" i="57"/>
  <c r="E855" i="57" s="1"/>
  <c r="D856" i="57"/>
  <c r="E856" i="57" s="1"/>
  <c r="D857" i="57"/>
  <c r="E857" i="57" s="1"/>
  <c r="D858" i="57"/>
  <c r="E858" i="57" s="1"/>
  <c r="D859" i="57"/>
  <c r="E859" i="57" s="1"/>
  <c r="D860" i="57"/>
  <c r="E860" i="57" s="1"/>
  <c r="D861" i="57"/>
  <c r="E861" i="57" s="1"/>
  <c r="D862" i="57"/>
  <c r="E862" i="57" s="1"/>
  <c r="D863" i="57"/>
  <c r="E863" i="57" s="1"/>
  <c r="D864" i="57"/>
  <c r="E864" i="57" s="1"/>
  <c r="D865" i="57"/>
  <c r="E865" i="57" s="1"/>
  <c r="D866" i="57"/>
  <c r="E866" i="57" s="1"/>
  <c r="D867" i="57"/>
  <c r="E867" i="57" s="1"/>
  <c r="E417" i="57"/>
  <c r="D418" i="57"/>
  <c r="E418" i="57" s="1"/>
  <c r="C870" i="57"/>
  <c r="D869" i="57"/>
  <c r="E869" i="57" s="1"/>
  <c r="E417" i="56" l="1"/>
  <c r="D418" i="56"/>
  <c r="E418" i="56" s="1"/>
  <c r="D147" i="56"/>
  <c r="E147" i="56" s="1"/>
  <c r="C148" i="56"/>
  <c r="C509" i="56"/>
  <c r="D508" i="56"/>
  <c r="E508" i="56" s="1"/>
  <c r="D509" i="57"/>
  <c r="E509" i="57" s="1"/>
  <c r="C510" i="57"/>
  <c r="D147" i="57"/>
  <c r="E147" i="57" s="1"/>
  <c r="C148" i="57"/>
  <c r="D780" i="57"/>
  <c r="E780" i="57" s="1"/>
  <c r="E779" i="57"/>
  <c r="D870" i="57"/>
  <c r="E870" i="57" s="1"/>
  <c r="C871" i="57"/>
  <c r="D509" i="56" l="1"/>
  <c r="E509" i="56" s="1"/>
  <c r="C510" i="56"/>
  <c r="D148" i="56"/>
  <c r="C149" i="56"/>
  <c r="C511" i="57"/>
  <c r="D510" i="57"/>
  <c r="E510" i="57" s="1"/>
  <c r="C149" i="57"/>
  <c r="D148" i="57"/>
  <c r="C872" i="57"/>
  <c r="D871" i="57"/>
  <c r="E871" i="57" s="1"/>
  <c r="E148" i="56" l="1"/>
  <c r="E148" i="57"/>
  <c r="D510" i="56"/>
  <c r="E510" i="56" s="1"/>
  <c r="C511" i="56"/>
  <c r="D149" i="56"/>
  <c r="E149" i="56" s="1"/>
  <c r="C150" i="56"/>
  <c r="D511" i="57"/>
  <c r="E511" i="57" s="1"/>
  <c r="C512" i="57"/>
  <c r="D149" i="57"/>
  <c r="E149" i="57" s="1"/>
  <c r="C150" i="57"/>
  <c r="D872" i="57"/>
  <c r="E872" i="57" s="1"/>
  <c r="C873" i="57"/>
  <c r="C512" i="56" l="1"/>
  <c r="D511" i="56"/>
  <c r="E511" i="56" s="1"/>
  <c r="D150" i="56"/>
  <c r="C151" i="56"/>
  <c r="C513" i="57"/>
  <c r="D512" i="57"/>
  <c r="E512" i="57" s="1"/>
  <c r="C151" i="57"/>
  <c r="D150" i="57"/>
  <c r="C874" i="57"/>
  <c r="D873" i="57"/>
  <c r="E873" i="57" s="1"/>
  <c r="E150" i="56" l="1"/>
  <c r="E150" i="57"/>
  <c r="C513" i="56"/>
  <c r="D512" i="56"/>
  <c r="E512" i="56" s="1"/>
  <c r="D151" i="56"/>
  <c r="E151" i="56" s="1"/>
  <c r="C152" i="56"/>
  <c r="D513" i="57"/>
  <c r="E513" i="57" s="1"/>
  <c r="C514" i="57"/>
  <c r="D151" i="57"/>
  <c r="E151" i="57" s="1"/>
  <c r="C152" i="57"/>
  <c r="D874" i="57"/>
  <c r="E874" i="57" s="1"/>
  <c r="C875" i="57"/>
  <c r="C514" i="56" l="1"/>
  <c r="D513" i="56"/>
  <c r="E513" i="56" s="1"/>
  <c r="D152" i="56"/>
  <c r="C153" i="56"/>
  <c r="C515" i="57"/>
  <c r="D514" i="57"/>
  <c r="E514" i="57" s="1"/>
  <c r="C153" i="57"/>
  <c r="D152" i="57"/>
  <c r="C876" i="57"/>
  <c r="D875" i="57"/>
  <c r="E875" i="57" s="1"/>
  <c r="E152" i="56" l="1"/>
  <c r="E152" i="57"/>
  <c r="D514" i="56"/>
  <c r="E514" i="56" s="1"/>
  <c r="C515" i="56"/>
  <c r="D153" i="56"/>
  <c r="E153" i="56" s="1"/>
  <c r="C154" i="56"/>
  <c r="D515" i="57"/>
  <c r="E515" i="57" s="1"/>
  <c r="C516" i="57"/>
  <c r="D876" i="57"/>
  <c r="E876" i="57" s="1"/>
  <c r="C877" i="57"/>
  <c r="D153" i="57"/>
  <c r="E153" i="57" s="1"/>
  <c r="C154" i="57"/>
  <c r="D515" i="56" l="1"/>
  <c r="E515" i="56" s="1"/>
  <c r="C516" i="56"/>
  <c r="D154" i="56"/>
  <c r="E154" i="56" s="1"/>
  <c r="C155" i="56"/>
  <c r="C517" i="57"/>
  <c r="D516" i="57"/>
  <c r="E516" i="57" s="1"/>
  <c r="C878" i="57"/>
  <c r="D877" i="57"/>
  <c r="E877" i="57" s="1"/>
  <c r="C155" i="57"/>
  <c r="D154" i="57"/>
  <c r="E154" i="57" s="1"/>
  <c r="C517" i="56" l="1"/>
  <c r="D516" i="56"/>
  <c r="E516" i="56" s="1"/>
  <c r="D155" i="56"/>
  <c r="E155" i="56" s="1"/>
  <c r="C156" i="56"/>
  <c r="D517" i="57"/>
  <c r="E517" i="57" s="1"/>
  <c r="C518" i="57"/>
  <c r="D878" i="57"/>
  <c r="E878" i="57" s="1"/>
  <c r="C879" i="57"/>
  <c r="D155" i="57"/>
  <c r="E155" i="57" s="1"/>
  <c r="C156" i="57"/>
  <c r="D517" i="56" l="1"/>
  <c r="E517" i="56" s="1"/>
  <c r="C518" i="56"/>
  <c r="D156" i="56"/>
  <c r="E156" i="56" s="1"/>
  <c r="C157" i="56"/>
  <c r="C519" i="57"/>
  <c r="D518" i="57"/>
  <c r="E518" i="57" s="1"/>
  <c r="C880" i="57"/>
  <c r="D879" i="57"/>
  <c r="E879" i="57" s="1"/>
  <c r="C157" i="57"/>
  <c r="D156" i="57"/>
  <c r="E156" i="57" s="1"/>
  <c r="D518" i="56" l="1"/>
  <c r="E518" i="56" s="1"/>
  <c r="C519" i="56"/>
  <c r="D157" i="56"/>
  <c r="E157" i="56" s="1"/>
  <c r="C158" i="56"/>
  <c r="D519" i="57"/>
  <c r="E519" i="57" s="1"/>
  <c r="C520" i="57"/>
  <c r="D880" i="57"/>
  <c r="E880" i="57" s="1"/>
  <c r="C881" i="57"/>
  <c r="D157" i="57"/>
  <c r="E157" i="57" s="1"/>
  <c r="C158" i="57"/>
  <c r="C520" i="56" l="1"/>
  <c r="D519" i="56"/>
  <c r="E519" i="56" s="1"/>
  <c r="D158" i="56"/>
  <c r="E158" i="56" s="1"/>
  <c r="C159" i="56"/>
  <c r="C882" i="57"/>
  <c r="D881" i="57"/>
  <c r="E881" i="57" s="1"/>
  <c r="C521" i="57"/>
  <c r="D520" i="57"/>
  <c r="E520" i="57" s="1"/>
  <c r="C159" i="57"/>
  <c r="D158" i="57"/>
  <c r="E158" i="57" s="1"/>
  <c r="C521" i="56" l="1"/>
  <c r="D520" i="56"/>
  <c r="E520" i="56" s="1"/>
  <c r="D159" i="56"/>
  <c r="E159" i="56" s="1"/>
  <c r="C160" i="56"/>
  <c r="D521" i="57"/>
  <c r="E521" i="57" s="1"/>
  <c r="C522" i="57"/>
  <c r="D882" i="57"/>
  <c r="E882" i="57" s="1"/>
  <c r="C883" i="57"/>
  <c r="D159" i="57"/>
  <c r="E159" i="57" s="1"/>
  <c r="C160" i="57"/>
  <c r="C522" i="56" l="1"/>
  <c r="D521" i="56"/>
  <c r="E521" i="56" s="1"/>
  <c r="D160" i="56"/>
  <c r="E160" i="56" s="1"/>
  <c r="C161" i="56"/>
  <c r="C523" i="57"/>
  <c r="D522" i="57"/>
  <c r="E522" i="57" s="1"/>
  <c r="C884" i="57"/>
  <c r="D883" i="57"/>
  <c r="E883" i="57" s="1"/>
  <c r="C161" i="57"/>
  <c r="D160" i="57"/>
  <c r="E160" i="57" s="1"/>
  <c r="D522" i="56" l="1"/>
  <c r="E522" i="56" s="1"/>
  <c r="C523" i="56"/>
  <c r="D161" i="56"/>
  <c r="E161" i="56" s="1"/>
  <c r="C162" i="56"/>
  <c r="D523" i="57"/>
  <c r="E523" i="57" s="1"/>
  <c r="C524" i="57"/>
  <c r="D884" i="57"/>
  <c r="E884" i="57" s="1"/>
  <c r="C885" i="57"/>
  <c r="D161" i="57"/>
  <c r="E161" i="57" s="1"/>
  <c r="C162" i="57"/>
  <c r="D523" i="56" l="1"/>
  <c r="E523" i="56" s="1"/>
  <c r="C524" i="56"/>
  <c r="D162" i="56"/>
  <c r="E162" i="56" s="1"/>
  <c r="C163" i="56"/>
  <c r="C525" i="57"/>
  <c r="D524" i="57"/>
  <c r="E524" i="57" s="1"/>
  <c r="C886" i="57"/>
  <c r="D885" i="57"/>
  <c r="E885" i="57" s="1"/>
  <c r="C163" i="57"/>
  <c r="D162" i="57"/>
  <c r="E162" i="57" s="1"/>
  <c r="C525" i="56" l="1"/>
  <c r="D524" i="56"/>
  <c r="E524" i="56" s="1"/>
  <c r="D163" i="56"/>
  <c r="E163" i="56" s="1"/>
  <c r="C164" i="56"/>
  <c r="D886" i="57"/>
  <c r="E886" i="57" s="1"/>
  <c r="C887" i="57"/>
  <c r="D163" i="57"/>
  <c r="E163" i="57" s="1"/>
  <c r="C164" i="57"/>
  <c r="D525" i="57"/>
  <c r="E525" i="57" s="1"/>
  <c r="C526" i="57"/>
  <c r="D525" i="56" l="1"/>
  <c r="E525" i="56" s="1"/>
  <c r="C526" i="56"/>
  <c r="D164" i="56"/>
  <c r="E164" i="56" s="1"/>
  <c r="C165" i="56"/>
  <c r="C888" i="57"/>
  <c r="D887" i="57"/>
  <c r="E887" i="57" s="1"/>
  <c r="C165" i="57"/>
  <c r="D164" i="57"/>
  <c r="E164" i="57" s="1"/>
  <c r="C527" i="57"/>
  <c r="D526" i="57"/>
  <c r="E526" i="57" s="1"/>
  <c r="D526" i="56" l="1"/>
  <c r="E526" i="56" s="1"/>
  <c r="C527" i="56"/>
  <c r="D165" i="56"/>
  <c r="E165" i="56" s="1"/>
  <c r="C166" i="56"/>
  <c r="D888" i="57"/>
  <c r="E888" i="57" s="1"/>
  <c r="C889" i="57"/>
  <c r="D165" i="57"/>
  <c r="E165" i="57" s="1"/>
  <c r="C166" i="57"/>
  <c r="D527" i="57"/>
  <c r="E527" i="57" s="1"/>
  <c r="C528" i="57"/>
  <c r="C528" i="56" l="1"/>
  <c r="D527" i="56"/>
  <c r="E527" i="56" s="1"/>
  <c r="D166" i="56"/>
  <c r="E166" i="56" s="1"/>
  <c r="C167" i="56"/>
  <c r="C890" i="57"/>
  <c r="D889" i="57"/>
  <c r="E889" i="57" s="1"/>
  <c r="C167" i="57"/>
  <c r="D166" i="57"/>
  <c r="E166" i="57" s="1"/>
  <c r="C529" i="57"/>
  <c r="D528" i="57"/>
  <c r="E528" i="57" s="1"/>
  <c r="C529" i="56" l="1"/>
  <c r="D528" i="56"/>
  <c r="E528" i="56" s="1"/>
  <c r="D167" i="56"/>
  <c r="E167" i="56" s="1"/>
  <c r="C168" i="56"/>
  <c r="D890" i="57"/>
  <c r="E890" i="57" s="1"/>
  <c r="C891" i="57"/>
  <c r="D167" i="57"/>
  <c r="E167" i="57" s="1"/>
  <c r="C168" i="57"/>
  <c r="D529" i="57"/>
  <c r="E529" i="57" s="1"/>
  <c r="C530" i="57"/>
  <c r="C530" i="56" l="1"/>
  <c r="D529" i="56"/>
  <c r="E529" i="56" s="1"/>
  <c r="D168" i="56"/>
  <c r="E168" i="56" s="1"/>
  <c r="C169" i="56"/>
  <c r="C892" i="57"/>
  <c r="D891" i="57"/>
  <c r="E891" i="57" s="1"/>
  <c r="C169" i="57"/>
  <c r="D168" i="57"/>
  <c r="E168" i="57" s="1"/>
  <c r="C531" i="57"/>
  <c r="D530" i="57"/>
  <c r="E530" i="57" s="1"/>
  <c r="D530" i="56" l="1"/>
  <c r="E530" i="56" s="1"/>
  <c r="C531" i="56"/>
  <c r="D169" i="56"/>
  <c r="E169" i="56" s="1"/>
  <c r="C170" i="56"/>
  <c r="D169" i="57"/>
  <c r="E169" i="57" s="1"/>
  <c r="C170" i="57"/>
  <c r="D892" i="57"/>
  <c r="E892" i="57" s="1"/>
  <c r="C893" i="57"/>
  <c r="D531" i="57"/>
  <c r="E531" i="57" s="1"/>
  <c r="C532" i="57"/>
  <c r="D531" i="56" l="1"/>
  <c r="E531" i="56" s="1"/>
  <c r="C532" i="56"/>
  <c r="D170" i="56"/>
  <c r="E170" i="56" s="1"/>
  <c r="C171" i="56"/>
  <c r="C171" i="57"/>
  <c r="D170" i="57"/>
  <c r="E170" i="57" s="1"/>
  <c r="C894" i="57"/>
  <c r="D893" i="57"/>
  <c r="E893" i="57" s="1"/>
  <c r="C533" i="57"/>
  <c r="D532" i="57"/>
  <c r="E532" i="57" s="1"/>
  <c r="C533" i="56" l="1"/>
  <c r="D532" i="56"/>
  <c r="E532" i="56" s="1"/>
  <c r="D171" i="56"/>
  <c r="E171" i="56" s="1"/>
  <c r="C172" i="56"/>
  <c r="D171" i="57"/>
  <c r="E171" i="57" s="1"/>
  <c r="C172" i="57"/>
  <c r="D894" i="57"/>
  <c r="E894" i="57" s="1"/>
  <c r="C895" i="57"/>
  <c r="D533" i="57"/>
  <c r="E533" i="57" s="1"/>
  <c r="C534" i="57"/>
  <c r="D533" i="56" l="1"/>
  <c r="E533" i="56" s="1"/>
  <c r="C534" i="56"/>
  <c r="D172" i="56"/>
  <c r="E172" i="56" s="1"/>
  <c r="C173" i="56"/>
  <c r="C896" i="57"/>
  <c r="D895" i="57"/>
  <c r="E895" i="57" s="1"/>
  <c r="C173" i="57"/>
  <c r="D172" i="57"/>
  <c r="E172" i="57" s="1"/>
  <c r="C535" i="57"/>
  <c r="D534" i="57"/>
  <c r="E534" i="57" s="1"/>
  <c r="D534" i="56" l="1"/>
  <c r="E534" i="56" s="1"/>
  <c r="C535" i="56"/>
  <c r="D173" i="56"/>
  <c r="E173" i="56" s="1"/>
  <c r="C174" i="56"/>
  <c r="D173" i="57"/>
  <c r="E173" i="57" s="1"/>
  <c r="C174" i="57"/>
  <c r="D535" i="57"/>
  <c r="E535" i="57" s="1"/>
  <c r="C536" i="57"/>
  <c r="D896" i="57"/>
  <c r="E896" i="57" s="1"/>
  <c r="C897" i="57"/>
  <c r="C536" i="56" l="1"/>
  <c r="D535" i="56"/>
  <c r="E535" i="56" s="1"/>
  <c r="D174" i="56"/>
  <c r="E174" i="56" s="1"/>
  <c r="C175" i="56"/>
  <c r="C175" i="57"/>
  <c r="D174" i="57"/>
  <c r="E174" i="57" s="1"/>
  <c r="C537" i="57"/>
  <c r="D536" i="57"/>
  <c r="E536" i="57" s="1"/>
  <c r="C898" i="57"/>
  <c r="D897" i="57"/>
  <c r="E897" i="57" s="1"/>
  <c r="C537" i="56" l="1"/>
  <c r="D536" i="56"/>
  <c r="E536" i="56" s="1"/>
  <c r="D175" i="56"/>
  <c r="E175" i="56" s="1"/>
  <c r="C176" i="56"/>
  <c r="D537" i="57"/>
  <c r="E537" i="57" s="1"/>
  <c r="C538" i="57"/>
  <c r="D175" i="57"/>
  <c r="E175" i="57" s="1"/>
  <c r="C176" i="57"/>
  <c r="D898" i="57"/>
  <c r="E898" i="57" s="1"/>
  <c r="C899" i="57"/>
  <c r="C538" i="56" l="1"/>
  <c r="D537" i="56"/>
  <c r="E537" i="56" s="1"/>
  <c r="D176" i="56"/>
  <c r="E176" i="56" s="1"/>
  <c r="C177" i="56"/>
  <c r="C539" i="57"/>
  <c r="D538" i="57"/>
  <c r="E538" i="57" s="1"/>
  <c r="C177" i="57"/>
  <c r="D176" i="57"/>
  <c r="E176" i="57" s="1"/>
  <c r="C900" i="57"/>
  <c r="D899" i="57"/>
  <c r="E899" i="57" s="1"/>
  <c r="D538" i="56" l="1"/>
  <c r="E538" i="56" s="1"/>
  <c r="C539" i="56"/>
  <c r="D177" i="56"/>
  <c r="E177" i="56" s="1"/>
  <c r="C178" i="56"/>
  <c r="D539" i="57"/>
  <c r="E539" i="57" s="1"/>
  <c r="C540" i="57"/>
  <c r="D177" i="57"/>
  <c r="E177" i="57" s="1"/>
  <c r="C178" i="57"/>
  <c r="D900" i="57"/>
  <c r="E900" i="57" s="1"/>
  <c r="C901" i="57"/>
  <c r="D539" i="56" l="1"/>
  <c r="E539" i="56" s="1"/>
  <c r="C540" i="56"/>
  <c r="D178" i="56"/>
  <c r="E178" i="56" s="1"/>
  <c r="C179" i="56"/>
  <c r="C541" i="57"/>
  <c r="D540" i="57"/>
  <c r="E540" i="57" s="1"/>
  <c r="C179" i="57"/>
  <c r="D178" i="57"/>
  <c r="E178" i="57" s="1"/>
  <c r="C902" i="57"/>
  <c r="D901" i="57"/>
  <c r="E901" i="57" s="1"/>
  <c r="C541" i="56" l="1"/>
  <c r="D540" i="56"/>
  <c r="E540" i="56" s="1"/>
  <c r="D179" i="56"/>
  <c r="E179" i="56" s="1"/>
  <c r="C180" i="56"/>
  <c r="D179" i="57"/>
  <c r="E179" i="57" s="1"/>
  <c r="C180" i="57"/>
  <c r="D541" i="57"/>
  <c r="E541" i="57" s="1"/>
  <c r="C542" i="57"/>
  <c r="D902" i="57"/>
  <c r="E902" i="57" s="1"/>
  <c r="C903" i="57"/>
  <c r="D541" i="56" l="1"/>
  <c r="E541" i="56" s="1"/>
  <c r="C542" i="56"/>
  <c r="D180" i="56"/>
  <c r="E180" i="56" s="1"/>
  <c r="C181" i="56"/>
  <c r="C181" i="57"/>
  <c r="D180" i="57"/>
  <c r="E180" i="57" s="1"/>
  <c r="C543" i="57"/>
  <c r="D542" i="57"/>
  <c r="E542" i="57" s="1"/>
  <c r="C904" i="57"/>
  <c r="D903" i="57"/>
  <c r="E903" i="57" s="1"/>
  <c r="D542" i="56" l="1"/>
  <c r="E542" i="56" s="1"/>
  <c r="C543" i="56"/>
  <c r="D181" i="56"/>
  <c r="E181" i="56" s="1"/>
  <c r="C182" i="56"/>
  <c r="D181" i="57"/>
  <c r="E181" i="57" s="1"/>
  <c r="C182" i="57"/>
  <c r="D543" i="57"/>
  <c r="E543" i="57" s="1"/>
  <c r="C544" i="57"/>
  <c r="D904" i="57"/>
  <c r="E904" i="57" s="1"/>
  <c r="C905" i="57"/>
  <c r="C544" i="56" l="1"/>
  <c r="D543" i="56"/>
  <c r="E543" i="56" s="1"/>
  <c r="D182" i="56"/>
  <c r="E182" i="56" s="1"/>
  <c r="C183" i="56"/>
  <c r="C545" i="57"/>
  <c r="D544" i="57"/>
  <c r="E544" i="57" s="1"/>
  <c r="C183" i="57"/>
  <c r="D182" i="57"/>
  <c r="E182" i="57" s="1"/>
  <c r="C906" i="57"/>
  <c r="D905" i="57"/>
  <c r="E905" i="57" s="1"/>
  <c r="C545" i="56" l="1"/>
  <c r="D544" i="56"/>
  <c r="E544" i="56" s="1"/>
  <c r="D183" i="56"/>
  <c r="E183" i="56" s="1"/>
  <c r="C184" i="56"/>
  <c r="D183" i="57"/>
  <c r="E183" i="57" s="1"/>
  <c r="C184" i="57"/>
  <c r="D545" i="57"/>
  <c r="E545" i="57" s="1"/>
  <c r="C546" i="57"/>
  <c r="D906" i="57"/>
  <c r="E906" i="57" s="1"/>
  <c r="C907" i="57"/>
  <c r="C546" i="56" l="1"/>
  <c r="D545" i="56"/>
  <c r="E545" i="56" s="1"/>
  <c r="D184" i="56"/>
  <c r="E184" i="56" s="1"/>
  <c r="C185" i="56"/>
  <c r="C547" i="57"/>
  <c r="D546" i="57"/>
  <c r="E546" i="57" s="1"/>
  <c r="C185" i="57"/>
  <c r="D184" i="57"/>
  <c r="E184" i="57" s="1"/>
  <c r="C908" i="57"/>
  <c r="D907" i="57"/>
  <c r="E907" i="57" s="1"/>
  <c r="D546" i="56" l="1"/>
  <c r="E546" i="56" s="1"/>
  <c r="C547" i="56"/>
  <c r="D185" i="56"/>
  <c r="E185" i="56" s="1"/>
  <c r="C186" i="56"/>
  <c r="D185" i="57"/>
  <c r="E185" i="57" s="1"/>
  <c r="C186" i="57"/>
  <c r="D547" i="57"/>
  <c r="E547" i="57" s="1"/>
  <c r="C548" i="57"/>
  <c r="D908" i="57"/>
  <c r="E908" i="57" s="1"/>
  <c r="C909" i="57"/>
  <c r="D547" i="56" l="1"/>
  <c r="E547" i="56" s="1"/>
  <c r="C548" i="56"/>
  <c r="D186" i="56"/>
  <c r="E186" i="56" s="1"/>
  <c r="C187" i="56"/>
  <c r="C187" i="57"/>
  <c r="D186" i="57"/>
  <c r="E186" i="57" s="1"/>
  <c r="C549" i="57"/>
  <c r="D548" i="57"/>
  <c r="E548" i="57" s="1"/>
  <c r="C910" i="57"/>
  <c r="D909" i="57"/>
  <c r="E909" i="57" s="1"/>
  <c r="C549" i="56" l="1"/>
  <c r="D548" i="56"/>
  <c r="E548" i="56" s="1"/>
  <c r="D187" i="56"/>
  <c r="E187" i="56" s="1"/>
  <c r="C188" i="56"/>
  <c r="D187" i="57"/>
  <c r="E187" i="57" s="1"/>
  <c r="C188" i="57"/>
  <c r="D549" i="57"/>
  <c r="E549" i="57" s="1"/>
  <c r="C550" i="57"/>
  <c r="D910" i="57"/>
  <c r="E910" i="57" s="1"/>
  <c r="C911" i="57"/>
  <c r="D549" i="56" l="1"/>
  <c r="E549" i="56" s="1"/>
  <c r="C550" i="56"/>
  <c r="D188" i="56"/>
  <c r="E188" i="56" s="1"/>
  <c r="C189" i="56"/>
  <c r="C189" i="57"/>
  <c r="D188" i="57"/>
  <c r="E188" i="57" s="1"/>
  <c r="C551" i="57"/>
  <c r="D550" i="57"/>
  <c r="E550" i="57" s="1"/>
  <c r="C912" i="57"/>
  <c r="D911" i="57"/>
  <c r="E911" i="57" s="1"/>
  <c r="D550" i="56" l="1"/>
  <c r="E550" i="56" s="1"/>
  <c r="C551" i="56"/>
  <c r="D189" i="56"/>
  <c r="E189" i="56" s="1"/>
  <c r="C190" i="56"/>
  <c r="D551" i="57"/>
  <c r="E551" i="57" s="1"/>
  <c r="C552" i="57"/>
  <c r="D912" i="57"/>
  <c r="E912" i="57" s="1"/>
  <c r="C913" i="57"/>
  <c r="D189" i="57"/>
  <c r="E189" i="57" s="1"/>
  <c r="C190" i="57"/>
  <c r="C552" i="56" l="1"/>
  <c r="D551" i="56"/>
  <c r="E551" i="56" s="1"/>
  <c r="D190" i="56"/>
  <c r="E190" i="56" s="1"/>
  <c r="C191" i="56"/>
  <c r="C553" i="57"/>
  <c r="D552" i="57"/>
  <c r="E552" i="57" s="1"/>
  <c r="C914" i="57"/>
  <c r="D913" i="57"/>
  <c r="E913" i="57" s="1"/>
  <c r="C191" i="57"/>
  <c r="D190" i="57"/>
  <c r="E190" i="57" s="1"/>
  <c r="D191" i="56" l="1"/>
  <c r="E191" i="56" s="1"/>
  <c r="C192" i="56"/>
  <c r="C553" i="56"/>
  <c r="D552" i="56"/>
  <c r="E552" i="56" s="1"/>
  <c r="D553" i="57"/>
  <c r="E553" i="57" s="1"/>
  <c r="C554" i="57"/>
  <c r="D914" i="57"/>
  <c r="E914" i="57" s="1"/>
  <c r="C915" i="57"/>
  <c r="D191" i="57"/>
  <c r="E191" i="57" s="1"/>
  <c r="C192" i="57"/>
  <c r="D192" i="56" l="1"/>
  <c r="E192" i="56" s="1"/>
  <c r="C193" i="56"/>
  <c r="C554" i="56"/>
  <c r="D553" i="56"/>
  <c r="E553" i="56" s="1"/>
  <c r="C555" i="57"/>
  <c r="D554" i="57"/>
  <c r="E554" i="57" s="1"/>
  <c r="C916" i="57"/>
  <c r="D915" i="57"/>
  <c r="E915" i="57" s="1"/>
  <c r="C193" i="57"/>
  <c r="D192" i="57"/>
  <c r="E192" i="57" s="1"/>
  <c r="D554" i="56" l="1"/>
  <c r="E554" i="56" s="1"/>
  <c r="C555" i="56"/>
  <c r="D193" i="56"/>
  <c r="E193" i="56" s="1"/>
  <c r="C194" i="56"/>
  <c r="D555" i="57"/>
  <c r="E555" i="57" s="1"/>
  <c r="C556" i="57"/>
  <c r="D916" i="57"/>
  <c r="E916" i="57" s="1"/>
  <c r="C917" i="57"/>
  <c r="D193" i="57"/>
  <c r="E193" i="57" s="1"/>
  <c r="C194" i="57"/>
  <c r="D555" i="56" l="1"/>
  <c r="E555" i="56" s="1"/>
  <c r="C556" i="56"/>
  <c r="D194" i="56"/>
  <c r="E194" i="56" s="1"/>
  <c r="C195" i="56"/>
  <c r="C557" i="57"/>
  <c r="D556" i="57"/>
  <c r="E556" i="57" s="1"/>
  <c r="C918" i="57"/>
  <c r="D917" i="57"/>
  <c r="E917" i="57" s="1"/>
  <c r="C195" i="57"/>
  <c r="D194" i="57"/>
  <c r="E194" i="57" s="1"/>
  <c r="C557" i="56" l="1"/>
  <c r="D556" i="56"/>
  <c r="E556" i="56" s="1"/>
  <c r="D195" i="56"/>
  <c r="E195" i="56" s="1"/>
  <c r="C196" i="56"/>
  <c r="D557" i="57"/>
  <c r="E557" i="57" s="1"/>
  <c r="C558" i="57"/>
  <c r="D918" i="57"/>
  <c r="E918" i="57" s="1"/>
  <c r="C919" i="57"/>
  <c r="D195" i="57"/>
  <c r="E195" i="57" s="1"/>
  <c r="C196" i="57"/>
  <c r="D557" i="56" l="1"/>
  <c r="E557" i="56" s="1"/>
  <c r="C558" i="56"/>
  <c r="D196" i="56"/>
  <c r="E196" i="56" s="1"/>
  <c r="C197" i="56"/>
  <c r="C559" i="57"/>
  <c r="D558" i="57"/>
  <c r="E558" i="57" s="1"/>
  <c r="C920" i="57"/>
  <c r="D919" i="57"/>
  <c r="E919" i="57" s="1"/>
  <c r="C197" i="57"/>
  <c r="D196" i="57"/>
  <c r="E196" i="57" s="1"/>
  <c r="D558" i="56" l="1"/>
  <c r="E558" i="56" s="1"/>
  <c r="C559" i="56"/>
  <c r="D197" i="56"/>
  <c r="E197" i="56" s="1"/>
  <c r="C198" i="56"/>
  <c r="D559" i="57"/>
  <c r="E559" i="57" s="1"/>
  <c r="C560" i="57"/>
  <c r="D920" i="57"/>
  <c r="E920" i="57" s="1"/>
  <c r="C921" i="57"/>
  <c r="D197" i="57"/>
  <c r="E197" i="57" s="1"/>
  <c r="C198" i="57"/>
  <c r="C560" i="56" l="1"/>
  <c r="D559" i="56"/>
  <c r="E559" i="56" s="1"/>
  <c r="D198" i="56"/>
  <c r="E198" i="56" s="1"/>
  <c r="C199" i="56"/>
  <c r="C561" i="57"/>
  <c r="D560" i="57"/>
  <c r="E560" i="57" s="1"/>
  <c r="C922" i="57"/>
  <c r="D921" i="57"/>
  <c r="E921" i="57" s="1"/>
  <c r="C199" i="57"/>
  <c r="D198" i="57"/>
  <c r="E198" i="57" s="1"/>
  <c r="C561" i="56" l="1"/>
  <c r="D560" i="56"/>
  <c r="E560" i="56" s="1"/>
  <c r="D199" i="56"/>
  <c r="E199" i="56" s="1"/>
  <c r="C200" i="56"/>
  <c r="D922" i="57"/>
  <c r="E922" i="57" s="1"/>
  <c r="C923" i="57"/>
  <c r="D561" i="57"/>
  <c r="E561" i="57" s="1"/>
  <c r="C562" i="57"/>
  <c r="D199" i="57"/>
  <c r="E199" i="57" s="1"/>
  <c r="C200" i="57"/>
  <c r="C562" i="56" l="1"/>
  <c r="D561" i="56"/>
  <c r="E561" i="56" s="1"/>
  <c r="D200" i="56"/>
  <c r="E200" i="56" s="1"/>
  <c r="C201" i="56"/>
  <c r="C924" i="57"/>
  <c r="D923" i="57"/>
  <c r="E923" i="57" s="1"/>
  <c r="C563" i="57"/>
  <c r="D562" i="57"/>
  <c r="E562" i="57" s="1"/>
  <c r="C201" i="57"/>
  <c r="D200" i="57"/>
  <c r="E200" i="57" s="1"/>
  <c r="D562" i="56" l="1"/>
  <c r="E562" i="56" s="1"/>
  <c r="C563" i="56"/>
  <c r="D201" i="56"/>
  <c r="E201" i="56" s="1"/>
  <c r="C202" i="56"/>
  <c r="D563" i="57"/>
  <c r="E563" i="57" s="1"/>
  <c r="C564" i="57"/>
  <c r="D924" i="57"/>
  <c r="E924" i="57" s="1"/>
  <c r="C925" i="57"/>
  <c r="D201" i="57"/>
  <c r="E201" i="57" s="1"/>
  <c r="C202" i="57"/>
  <c r="D563" i="56" l="1"/>
  <c r="E563" i="56" s="1"/>
  <c r="C564" i="56"/>
  <c r="D202" i="56"/>
  <c r="E202" i="56" s="1"/>
  <c r="C203" i="56"/>
  <c r="C565" i="57"/>
  <c r="D564" i="57"/>
  <c r="E564" i="57" s="1"/>
  <c r="C926" i="57"/>
  <c r="D925" i="57"/>
  <c r="E925" i="57" s="1"/>
  <c r="C203" i="57"/>
  <c r="D202" i="57"/>
  <c r="E202" i="57" s="1"/>
  <c r="C565" i="56" l="1"/>
  <c r="D564" i="56"/>
  <c r="E564" i="56" s="1"/>
  <c r="D203" i="56"/>
  <c r="E203" i="56" s="1"/>
  <c r="C204" i="56"/>
  <c r="D926" i="57"/>
  <c r="E926" i="57" s="1"/>
  <c r="C927" i="57"/>
  <c r="D565" i="57"/>
  <c r="E565" i="57" s="1"/>
  <c r="C566" i="57"/>
  <c r="D203" i="57"/>
  <c r="E203" i="57" s="1"/>
  <c r="C204" i="57"/>
  <c r="D565" i="56" l="1"/>
  <c r="E565" i="56" s="1"/>
  <c r="C566" i="56"/>
  <c r="D204" i="56"/>
  <c r="E204" i="56" s="1"/>
  <c r="C205" i="56"/>
  <c r="C928" i="57"/>
  <c r="D927" i="57"/>
  <c r="E927" i="57" s="1"/>
  <c r="C567" i="57"/>
  <c r="D566" i="57"/>
  <c r="E566" i="57" s="1"/>
  <c r="C205" i="57"/>
  <c r="D204" i="57"/>
  <c r="E204" i="57" s="1"/>
  <c r="D566" i="56" l="1"/>
  <c r="E566" i="56" s="1"/>
  <c r="C567" i="56"/>
  <c r="D205" i="56"/>
  <c r="E205" i="56" s="1"/>
  <c r="C206" i="56"/>
  <c r="D567" i="57"/>
  <c r="E567" i="57" s="1"/>
  <c r="C568" i="57"/>
  <c r="D928" i="57"/>
  <c r="E928" i="57" s="1"/>
  <c r="C929" i="57"/>
  <c r="D205" i="57"/>
  <c r="E205" i="57" s="1"/>
  <c r="C206" i="57"/>
  <c r="C568" i="56" l="1"/>
  <c r="D567" i="56"/>
  <c r="E567" i="56" s="1"/>
  <c r="D206" i="56"/>
  <c r="E206" i="56" s="1"/>
  <c r="C207" i="56"/>
  <c r="C569" i="57"/>
  <c r="D568" i="57"/>
  <c r="E568" i="57" s="1"/>
  <c r="C930" i="57"/>
  <c r="D929" i="57"/>
  <c r="E929" i="57" s="1"/>
  <c r="C207" i="57"/>
  <c r="D206" i="57"/>
  <c r="E206" i="57" s="1"/>
  <c r="C569" i="56" l="1"/>
  <c r="D568" i="56"/>
  <c r="E568" i="56" s="1"/>
  <c r="D207" i="56"/>
  <c r="E207" i="56" s="1"/>
  <c r="C208" i="56"/>
  <c r="D930" i="57"/>
  <c r="E930" i="57" s="1"/>
  <c r="C931" i="57"/>
  <c r="D569" i="57"/>
  <c r="E569" i="57" s="1"/>
  <c r="C570" i="57"/>
  <c r="D207" i="57"/>
  <c r="E207" i="57" s="1"/>
  <c r="C208" i="57"/>
  <c r="C570" i="56" l="1"/>
  <c r="D569" i="56"/>
  <c r="E569" i="56" s="1"/>
  <c r="D208" i="56"/>
  <c r="E208" i="56" s="1"/>
  <c r="C209" i="56"/>
  <c r="C932" i="57"/>
  <c r="D931" i="57"/>
  <c r="E931" i="57" s="1"/>
  <c r="C571" i="57"/>
  <c r="D570" i="57"/>
  <c r="E570" i="57" s="1"/>
  <c r="C209" i="57"/>
  <c r="D208" i="57"/>
  <c r="E208" i="57" s="1"/>
  <c r="D570" i="56" l="1"/>
  <c r="E570" i="56" s="1"/>
  <c r="C571" i="56"/>
  <c r="D209" i="56"/>
  <c r="E209" i="56" s="1"/>
  <c r="C210" i="56"/>
  <c r="D571" i="57"/>
  <c r="E571" i="57" s="1"/>
  <c r="C572" i="57"/>
  <c r="D932" i="57"/>
  <c r="E932" i="57" s="1"/>
  <c r="C933" i="57"/>
  <c r="D209" i="57"/>
  <c r="E209" i="57" s="1"/>
  <c r="C210" i="57"/>
  <c r="D571" i="56" l="1"/>
  <c r="E571" i="56" s="1"/>
  <c r="C572" i="56"/>
  <c r="D210" i="56"/>
  <c r="E210" i="56" s="1"/>
  <c r="C211" i="56"/>
  <c r="C573" i="57"/>
  <c r="D572" i="57"/>
  <c r="E572" i="57" s="1"/>
  <c r="C934" i="57"/>
  <c r="D933" i="57"/>
  <c r="E933" i="57" s="1"/>
  <c r="C211" i="57"/>
  <c r="D210" i="57"/>
  <c r="E210" i="57" s="1"/>
  <c r="C573" i="56" l="1"/>
  <c r="D572" i="56"/>
  <c r="E572" i="56" s="1"/>
  <c r="D211" i="56"/>
  <c r="E211" i="56" s="1"/>
  <c r="C212" i="56"/>
  <c r="D573" i="57"/>
  <c r="E573" i="57" s="1"/>
  <c r="C574" i="57"/>
  <c r="D934" i="57"/>
  <c r="E934" i="57" s="1"/>
  <c r="C935" i="57"/>
  <c r="D211" i="57"/>
  <c r="E211" i="57" s="1"/>
  <c r="C212" i="57"/>
  <c r="D573" i="56" l="1"/>
  <c r="E573" i="56" s="1"/>
  <c r="C574" i="56"/>
  <c r="D212" i="56"/>
  <c r="E212" i="56" s="1"/>
  <c r="C213" i="56"/>
  <c r="C575" i="57"/>
  <c r="D574" i="57"/>
  <c r="E574" i="57" s="1"/>
  <c r="C936" i="57"/>
  <c r="D935" i="57"/>
  <c r="E935" i="57" s="1"/>
  <c r="C213" i="57"/>
  <c r="D212" i="57"/>
  <c r="E212" i="57" s="1"/>
  <c r="D574" i="56" l="1"/>
  <c r="E574" i="56" s="1"/>
  <c r="C575" i="56"/>
  <c r="D213" i="56"/>
  <c r="E213" i="56" s="1"/>
  <c r="C214" i="56"/>
  <c r="D936" i="57"/>
  <c r="E936" i="57" s="1"/>
  <c r="C937" i="57"/>
  <c r="D575" i="57"/>
  <c r="E575" i="57" s="1"/>
  <c r="C576" i="57"/>
  <c r="D213" i="57"/>
  <c r="E213" i="57" s="1"/>
  <c r="C214" i="57"/>
  <c r="C576" i="56" l="1"/>
  <c r="D575" i="56"/>
  <c r="E575" i="56" s="1"/>
  <c r="D214" i="56"/>
  <c r="E214" i="56" s="1"/>
  <c r="C215" i="56"/>
  <c r="C938" i="57"/>
  <c r="D937" i="57"/>
  <c r="E937" i="57" s="1"/>
  <c r="D576" i="57"/>
  <c r="E576" i="57" s="1"/>
  <c r="C577" i="57"/>
  <c r="C215" i="57"/>
  <c r="D214" i="57"/>
  <c r="E214" i="57" s="1"/>
  <c r="C577" i="56" l="1"/>
  <c r="D576" i="56"/>
  <c r="E576" i="56" s="1"/>
  <c r="C216" i="56"/>
  <c r="D215" i="56"/>
  <c r="E215" i="56" s="1"/>
  <c r="D938" i="57"/>
  <c r="E938" i="57" s="1"/>
  <c r="C939" i="57"/>
  <c r="D577" i="57"/>
  <c r="E577" i="57" s="1"/>
  <c r="C578" i="57"/>
  <c r="D215" i="57"/>
  <c r="E215" i="57" s="1"/>
  <c r="C216" i="57"/>
  <c r="C578" i="56" l="1"/>
  <c r="D577" i="56"/>
  <c r="E577" i="56" s="1"/>
  <c r="C217" i="56"/>
  <c r="D216" i="56"/>
  <c r="E216" i="56" s="1"/>
  <c r="C940" i="57"/>
  <c r="D939" i="57"/>
  <c r="E939" i="57" s="1"/>
  <c r="D578" i="57"/>
  <c r="E578" i="57" s="1"/>
  <c r="C579" i="57"/>
  <c r="C217" i="57"/>
  <c r="D216" i="57"/>
  <c r="E216" i="57" s="1"/>
  <c r="C218" i="56" l="1"/>
  <c r="D217" i="56"/>
  <c r="E217" i="56" s="1"/>
  <c r="D578" i="56"/>
  <c r="E578" i="56" s="1"/>
  <c r="C579" i="56"/>
  <c r="D940" i="57"/>
  <c r="E940" i="57" s="1"/>
  <c r="C941" i="57"/>
  <c r="D579" i="57"/>
  <c r="E579" i="57" s="1"/>
  <c r="C580" i="57"/>
  <c r="D217" i="57"/>
  <c r="E217" i="57" s="1"/>
  <c r="C218" i="57"/>
  <c r="D218" i="56" l="1"/>
  <c r="E218" i="56" s="1"/>
  <c r="C219" i="56"/>
  <c r="D579" i="56"/>
  <c r="E579" i="56" s="1"/>
  <c r="C580" i="56"/>
  <c r="C942" i="57"/>
  <c r="D941" i="57"/>
  <c r="E941" i="57" s="1"/>
  <c r="D580" i="57"/>
  <c r="E580" i="57" s="1"/>
  <c r="C581" i="57"/>
  <c r="C219" i="57"/>
  <c r="D218" i="57"/>
  <c r="E218" i="57" s="1"/>
  <c r="D219" i="56" l="1"/>
  <c r="E219" i="56" s="1"/>
  <c r="C220" i="56"/>
  <c r="C581" i="56"/>
  <c r="D580" i="56"/>
  <c r="E580" i="56" s="1"/>
  <c r="D942" i="57"/>
  <c r="E942" i="57" s="1"/>
  <c r="C943" i="57"/>
  <c r="D581" i="57"/>
  <c r="E581" i="57" s="1"/>
  <c r="C582" i="57"/>
  <c r="D219" i="57"/>
  <c r="E219" i="57" s="1"/>
  <c r="C220" i="57"/>
  <c r="D581" i="56" l="1"/>
  <c r="E581" i="56" s="1"/>
  <c r="C582" i="56"/>
  <c r="C221" i="56"/>
  <c r="D220" i="56"/>
  <c r="E220" i="56" s="1"/>
  <c r="C944" i="57"/>
  <c r="D943" i="57"/>
  <c r="E943" i="57" s="1"/>
  <c r="D582" i="57"/>
  <c r="E582" i="57" s="1"/>
  <c r="C583" i="57"/>
  <c r="C221" i="57"/>
  <c r="D220" i="57"/>
  <c r="E220" i="57" s="1"/>
  <c r="D221" i="56" l="1"/>
  <c r="E221" i="56" s="1"/>
  <c r="C222" i="56"/>
  <c r="D582" i="56"/>
  <c r="E582" i="56" s="1"/>
  <c r="C583" i="56"/>
  <c r="D944" i="57"/>
  <c r="E944" i="57" s="1"/>
  <c r="C945" i="57"/>
  <c r="D583" i="57"/>
  <c r="E583" i="57" s="1"/>
  <c r="C584" i="57"/>
  <c r="D221" i="57"/>
  <c r="E221" i="57" s="1"/>
  <c r="C222" i="57"/>
  <c r="D222" i="56" l="1"/>
  <c r="E222" i="56" s="1"/>
  <c r="C223" i="56"/>
  <c r="C584" i="56"/>
  <c r="D583" i="56"/>
  <c r="E583" i="56" s="1"/>
  <c r="C946" i="57"/>
  <c r="D945" i="57"/>
  <c r="E945" i="57" s="1"/>
  <c r="D584" i="57"/>
  <c r="E584" i="57" s="1"/>
  <c r="C585" i="57"/>
  <c r="C223" i="57"/>
  <c r="D222" i="57"/>
  <c r="E222" i="57" s="1"/>
  <c r="C224" i="56" l="1"/>
  <c r="D223" i="56"/>
  <c r="E223" i="56" s="1"/>
  <c r="C585" i="56"/>
  <c r="D584" i="56"/>
  <c r="E584" i="56" s="1"/>
  <c r="D946" i="57"/>
  <c r="E946" i="57" s="1"/>
  <c r="C947" i="57"/>
  <c r="D585" i="57"/>
  <c r="E585" i="57" s="1"/>
  <c r="C586" i="57"/>
  <c r="D223" i="57"/>
  <c r="E223" i="57" s="1"/>
  <c r="C224" i="57"/>
  <c r="C225" i="56" l="1"/>
  <c r="D224" i="56"/>
  <c r="E224" i="56" s="1"/>
  <c r="C586" i="56"/>
  <c r="D585" i="56"/>
  <c r="E585" i="56" s="1"/>
  <c r="C948" i="57"/>
  <c r="D947" i="57"/>
  <c r="E947" i="57" s="1"/>
  <c r="D586" i="57"/>
  <c r="E586" i="57" s="1"/>
  <c r="C587" i="57"/>
  <c r="C225" i="57"/>
  <c r="D224" i="57"/>
  <c r="E224" i="57" s="1"/>
  <c r="C226" i="56" l="1"/>
  <c r="D225" i="56"/>
  <c r="E225" i="56" s="1"/>
  <c r="D586" i="56"/>
  <c r="E586" i="56" s="1"/>
  <c r="C587" i="56"/>
  <c r="D948" i="57"/>
  <c r="E948" i="57" s="1"/>
  <c r="C949" i="57"/>
  <c r="D587" i="57"/>
  <c r="E587" i="57" s="1"/>
  <c r="C588" i="57"/>
  <c r="D225" i="57"/>
  <c r="E225" i="57" s="1"/>
  <c r="C226" i="57"/>
  <c r="D226" i="56" l="1"/>
  <c r="E226" i="56" s="1"/>
  <c r="C227" i="56"/>
  <c r="D587" i="56"/>
  <c r="E587" i="56" s="1"/>
  <c r="C588" i="56"/>
  <c r="C950" i="57"/>
  <c r="D949" i="57"/>
  <c r="E949" i="57" s="1"/>
  <c r="D588" i="57"/>
  <c r="E588" i="57" s="1"/>
  <c r="C589" i="57"/>
  <c r="C227" i="57"/>
  <c r="D226" i="57"/>
  <c r="E226" i="57" s="1"/>
  <c r="D227" i="56" l="1"/>
  <c r="E227" i="56" s="1"/>
  <c r="C228" i="56"/>
  <c r="C589" i="56"/>
  <c r="D588" i="56"/>
  <c r="E588" i="56" s="1"/>
  <c r="D950" i="57"/>
  <c r="E950" i="57" s="1"/>
  <c r="C951" i="57"/>
  <c r="D589" i="57"/>
  <c r="E589" i="57" s="1"/>
  <c r="C590" i="57"/>
  <c r="D227" i="57"/>
  <c r="E227" i="57" s="1"/>
  <c r="C228" i="57"/>
  <c r="C229" i="56" l="1"/>
  <c r="D228" i="56"/>
  <c r="E228" i="56" s="1"/>
  <c r="D589" i="56"/>
  <c r="E589" i="56" s="1"/>
  <c r="C590" i="56"/>
  <c r="C952" i="57"/>
  <c r="D951" i="57"/>
  <c r="E951" i="57" s="1"/>
  <c r="D590" i="57"/>
  <c r="E590" i="57" s="1"/>
  <c r="C591" i="57"/>
  <c r="C229" i="57"/>
  <c r="D228" i="57"/>
  <c r="E228" i="57" s="1"/>
  <c r="D229" i="56" l="1"/>
  <c r="E229" i="56" s="1"/>
  <c r="C230" i="56"/>
  <c r="D590" i="56"/>
  <c r="E590" i="56" s="1"/>
  <c r="C591" i="56"/>
  <c r="D952" i="57"/>
  <c r="E952" i="57" s="1"/>
  <c r="C953" i="57"/>
  <c r="D591" i="57"/>
  <c r="E591" i="57" s="1"/>
  <c r="C592" i="57"/>
  <c r="D229" i="57"/>
  <c r="E229" i="57" s="1"/>
  <c r="C230" i="57"/>
  <c r="D230" i="56" l="1"/>
  <c r="E230" i="56" s="1"/>
  <c r="C231" i="56"/>
  <c r="C592" i="56"/>
  <c r="D591" i="56"/>
  <c r="E591" i="56" s="1"/>
  <c r="C954" i="57"/>
  <c r="D953" i="57"/>
  <c r="E953" i="57" s="1"/>
  <c r="D592" i="57"/>
  <c r="E592" i="57" s="1"/>
  <c r="C593" i="57"/>
  <c r="C231" i="57"/>
  <c r="D230" i="57"/>
  <c r="E230" i="57" s="1"/>
  <c r="C593" i="56" l="1"/>
  <c r="D592" i="56"/>
  <c r="E592" i="56" s="1"/>
  <c r="C232" i="56"/>
  <c r="D231" i="56"/>
  <c r="E231" i="56" s="1"/>
  <c r="D954" i="57"/>
  <c r="E954" i="57" s="1"/>
  <c r="C955" i="57"/>
  <c r="D593" i="57"/>
  <c r="E593" i="57" s="1"/>
  <c r="C594" i="57"/>
  <c r="D231" i="57"/>
  <c r="E231" i="57" s="1"/>
  <c r="C232" i="57"/>
  <c r="C594" i="56" l="1"/>
  <c r="D593" i="56"/>
  <c r="E593" i="56" s="1"/>
  <c r="C233" i="56"/>
  <c r="D232" i="56"/>
  <c r="E232" i="56" s="1"/>
  <c r="C956" i="57"/>
  <c r="D955" i="57"/>
  <c r="E955" i="57" s="1"/>
  <c r="D594" i="57"/>
  <c r="E594" i="57" s="1"/>
  <c r="C595" i="57"/>
  <c r="C233" i="57"/>
  <c r="D232" i="57"/>
  <c r="E232" i="57" s="1"/>
  <c r="C234" i="56" l="1"/>
  <c r="D233" i="56"/>
  <c r="E233" i="56" s="1"/>
  <c r="D594" i="56"/>
  <c r="E594" i="56" s="1"/>
  <c r="C595" i="56"/>
  <c r="D956" i="57"/>
  <c r="E956" i="57" s="1"/>
  <c r="C957" i="57"/>
  <c r="D595" i="57"/>
  <c r="E595" i="57" s="1"/>
  <c r="C596" i="57"/>
  <c r="D233" i="57"/>
  <c r="E233" i="57" s="1"/>
  <c r="C234" i="57"/>
  <c r="D234" i="56" l="1"/>
  <c r="E234" i="56" s="1"/>
  <c r="C235" i="56"/>
  <c r="D595" i="56"/>
  <c r="E595" i="56" s="1"/>
  <c r="C596" i="56"/>
  <c r="C958" i="57"/>
  <c r="D957" i="57"/>
  <c r="E957" i="57" s="1"/>
  <c r="D596" i="57"/>
  <c r="E596" i="57" s="1"/>
  <c r="C597" i="57"/>
  <c r="C235" i="57"/>
  <c r="D234" i="57"/>
  <c r="E234" i="57" s="1"/>
  <c r="D235" i="56" l="1"/>
  <c r="E235" i="56" s="1"/>
  <c r="C236" i="56"/>
  <c r="C597" i="56"/>
  <c r="D596" i="56"/>
  <c r="E596" i="56" s="1"/>
  <c r="D958" i="57"/>
  <c r="E958" i="57" s="1"/>
  <c r="C959" i="57"/>
  <c r="D597" i="57"/>
  <c r="E597" i="57" s="1"/>
  <c r="C598" i="57"/>
  <c r="D235" i="57"/>
  <c r="E235" i="57" s="1"/>
  <c r="C236" i="57"/>
  <c r="D597" i="56" l="1"/>
  <c r="E597" i="56" s="1"/>
  <c r="C598" i="56"/>
  <c r="C237" i="56"/>
  <c r="D236" i="56"/>
  <c r="E236" i="56" s="1"/>
  <c r="C960" i="57"/>
  <c r="D959" i="57"/>
  <c r="E959" i="57" s="1"/>
  <c r="D598" i="57"/>
  <c r="E598" i="57" s="1"/>
  <c r="C599" i="57"/>
  <c r="C237" i="57"/>
  <c r="D236" i="57"/>
  <c r="E236" i="57" s="1"/>
  <c r="D598" i="56" l="1"/>
  <c r="E598" i="56" s="1"/>
  <c r="C599" i="56"/>
  <c r="D237" i="56"/>
  <c r="E237" i="56" s="1"/>
  <c r="C238" i="56"/>
  <c r="D960" i="57"/>
  <c r="E960" i="57" s="1"/>
  <c r="C961" i="57"/>
  <c r="D599" i="57"/>
  <c r="E599" i="57" s="1"/>
  <c r="C600" i="57"/>
  <c r="D237" i="57"/>
  <c r="E237" i="57" s="1"/>
  <c r="C238" i="57"/>
  <c r="C600" i="56" l="1"/>
  <c r="D599" i="56"/>
  <c r="E599" i="56" s="1"/>
  <c r="D238" i="56"/>
  <c r="E238" i="56" s="1"/>
  <c r="C239" i="56"/>
  <c r="C962" i="57"/>
  <c r="D961" i="57"/>
  <c r="E961" i="57" s="1"/>
  <c r="D600" i="57"/>
  <c r="E600" i="57" s="1"/>
  <c r="C601" i="57"/>
  <c r="C239" i="57"/>
  <c r="D238" i="57"/>
  <c r="E238" i="57" s="1"/>
  <c r="C601" i="56" l="1"/>
  <c r="D600" i="56"/>
  <c r="E600" i="56" s="1"/>
  <c r="C240" i="56"/>
  <c r="D239" i="56"/>
  <c r="E239" i="56" s="1"/>
  <c r="D962" i="57"/>
  <c r="E962" i="57" s="1"/>
  <c r="C963" i="57"/>
  <c r="D601" i="57"/>
  <c r="E601" i="57" s="1"/>
  <c r="C602" i="57"/>
  <c r="D239" i="57"/>
  <c r="E239" i="57" s="1"/>
  <c r="C240" i="57"/>
  <c r="C241" i="56" l="1"/>
  <c r="D240" i="56"/>
  <c r="E240" i="56" s="1"/>
  <c r="C602" i="56"/>
  <c r="D601" i="56"/>
  <c r="E601" i="56" s="1"/>
  <c r="C964" i="57"/>
  <c r="D963" i="57"/>
  <c r="E963" i="57" s="1"/>
  <c r="D602" i="57"/>
  <c r="E602" i="57" s="1"/>
  <c r="C603" i="57"/>
  <c r="C241" i="57"/>
  <c r="D240" i="57"/>
  <c r="E240" i="57" s="1"/>
  <c r="D602" i="56" l="1"/>
  <c r="E602" i="56" s="1"/>
  <c r="C603" i="56"/>
  <c r="C242" i="56"/>
  <c r="D241" i="56"/>
  <c r="E241" i="56" s="1"/>
  <c r="D964" i="57"/>
  <c r="E964" i="57" s="1"/>
  <c r="C965" i="57"/>
  <c r="D603" i="57"/>
  <c r="E603" i="57" s="1"/>
  <c r="C604" i="57"/>
  <c r="D241" i="57"/>
  <c r="E241" i="57" s="1"/>
  <c r="C242" i="57"/>
  <c r="D603" i="56" l="1"/>
  <c r="E603" i="56" s="1"/>
  <c r="C604" i="56"/>
  <c r="D242" i="56"/>
  <c r="E242" i="56" s="1"/>
  <c r="C243" i="56"/>
  <c r="C966" i="57"/>
  <c r="D965" i="57"/>
  <c r="E965" i="57" s="1"/>
  <c r="D604" i="57"/>
  <c r="E604" i="57" s="1"/>
  <c r="C605" i="57"/>
  <c r="C243" i="57"/>
  <c r="D242" i="57"/>
  <c r="E242" i="57" s="1"/>
  <c r="C605" i="56" l="1"/>
  <c r="D604" i="56"/>
  <c r="E604" i="56" s="1"/>
  <c r="D243" i="56"/>
  <c r="E243" i="56" s="1"/>
  <c r="C244" i="56"/>
  <c r="D966" i="57"/>
  <c r="E966" i="57" s="1"/>
  <c r="C967" i="57"/>
  <c r="D605" i="57"/>
  <c r="E605" i="57" s="1"/>
  <c r="C606" i="57"/>
  <c r="D243" i="57"/>
  <c r="E243" i="57" s="1"/>
  <c r="C244" i="57"/>
  <c r="D605" i="56" l="1"/>
  <c r="E605" i="56" s="1"/>
  <c r="C606" i="56"/>
  <c r="C245" i="56"/>
  <c r="D244" i="56"/>
  <c r="E244" i="56" s="1"/>
  <c r="C968" i="57"/>
  <c r="D967" i="57"/>
  <c r="E967" i="57" s="1"/>
  <c r="D606" i="57"/>
  <c r="E606" i="57" s="1"/>
  <c r="C607" i="57"/>
  <c r="C245" i="57"/>
  <c r="D244" i="57"/>
  <c r="E244" i="57" s="1"/>
  <c r="D606" i="56" l="1"/>
  <c r="E606" i="56" s="1"/>
  <c r="C607" i="56"/>
  <c r="D245" i="56"/>
  <c r="E245" i="56" s="1"/>
  <c r="C246" i="56"/>
  <c r="D968" i="57"/>
  <c r="E968" i="57" s="1"/>
  <c r="C969" i="57"/>
  <c r="D607" i="57"/>
  <c r="E607" i="57" s="1"/>
  <c r="C608" i="57"/>
  <c r="D245" i="57"/>
  <c r="E245" i="57" s="1"/>
  <c r="C246" i="57"/>
  <c r="C608" i="56" l="1"/>
  <c r="D607" i="56"/>
  <c r="E607" i="56" s="1"/>
  <c r="D246" i="56"/>
  <c r="E246" i="56" s="1"/>
  <c r="C247" i="56"/>
  <c r="C970" i="57"/>
  <c r="D969" i="57"/>
  <c r="E969" i="57" s="1"/>
  <c r="D608" i="57"/>
  <c r="E608" i="57" s="1"/>
  <c r="C609" i="57"/>
  <c r="C247" i="57"/>
  <c r="D246" i="57"/>
  <c r="E246" i="57" s="1"/>
  <c r="C609" i="56" l="1"/>
  <c r="D608" i="56"/>
  <c r="E608" i="56" s="1"/>
  <c r="C248" i="56"/>
  <c r="D247" i="56"/>
  <c r="E247" i="56" s="1"/>
  <c r="D970" i="57"/>
  <c r="E970" i="57" s="1"/>
  <c r="C971" i="57"/>
  <c r="D609" i="57"/>
  <c r="E609" i="57" s="1"/>
  <c r="C610" i="57"/>
  <c r="D247" i="57"/>
  <c r="E247" i="57" s="1"/>
  <c r="C248" i="57"/>
  <c r="C610" i="56" l="1"/>
  <c r="D609" i="56"/>
  <c r="E609" i="56" s="1"/>
  <c r="C249" i="56"/>
  <c r="D248" i="56"/>
  <c r="E248" i="56" s="1"/>
  <c r="C972" i="57"/>
  <c r="D971" i="57"/>
  <c r="E971" i="57" s="1"/>
  <c r="D610" i="57"/>
  <c r="E610" i="57" s="1"/>
  <c r="C611" i="57"/>
  <c r="C249" i="57"/>
  <c r="D248" i="57"/>
  <c r="E248" i="57" s="1"/>
  <c r="C250" i="56" l="1"/>
  <c r="D249" i="56"/>
  <c r="E249" i="56" s="1"/>
  <c r="C611" i="56"/>
  <c r="D610" i="56"/>
  <c r="E610" i="56" s="1"/>
  <c r="D972" i="57"/>
  <c r="E972" i="57" s="1"/>
  <c r="C973" i="57"/>
  <c r="D611" i="57"/>
  <c r="E611" i="57" s="1"/>
  <c r="C612" i="57"/>
  <c r="D249" i="57"/>
  <c r="E249" i="57" s="1"/>
  <c r="C250" i="57"/>
  <c r="D250" i="56" l="1"/>
  <c r="E250" i="56" s="1"/>
  <c r="C251" i="56"/>
  <c r="D611" i="56"/>
  <c r="E611" i="56" s="1"/>
  <c r="C612" i="56"/>
  <c r="C974" i="57"/>
  <c r="D973" i="57"/>
  <c r="E973" i="57" s="1"/>
  <c r="D612" i="57"/>
  <c r="E612" i="57" s="1"/>
  <c r="C613" i="57"/>
  <c r="C251" i="57"/>
  <c r="D250" i="57"/>
  <c r="E250" i="57" s="1"/>
  <c r="D251" i="56" l="1"/>
  <c r="E251" i="56" s="1"/>
  <c r="C252" i="56"/>
  <c r="D612" i="56"/>
  <c r="E612" i="56" s="1"/>
  <c r="C613" i="56"/>
  <c r="D974" i="57"/>
  <c r="E974" i="57" s="1"/>
  <c r="C975" i="57"/>
  <c r="D613" i="57"/>
  <c r="E613" i="57" s="1"/>
  <c r="C614" i="57"/>
  <c r="D251" i="57"/>
  <c r="E251" i="57" s="1"/>
  <c r="C252" i="57"/>
  <c r="C253" i="56" l="1"/>
  <c r="D252" i="56"/>
  <c r="E252" i="56" s="1"/>
  <c r="D613" i="56"/>
  <c r="E613" i="56" s="1"/>
  <c r="C614" i="56"/>
  <c r="C976" i="57"/>
  <c r="D975" i="57"/>
  <c r="E975" i="57" s="1"/>
  <c r="D614" i="57"/>
  <c r="E614" i="57" s="1"/>
  <c r="C615" i="57"/>
  <c r="C253" i="57"/>
  <c r="D252" i="57"/>
  <c r="E252" i="57" s="1"/>
  <c r="D253" i="56" l="1"/>
  <c r="E253" i="56" s="1"/>
  <c r="C254" i="56"/>
  <c r="D614" i="56"/>
  <c r="E614" i="56" s="1"/>
  <c r="C615" i="56"/>
  <c r="D976" i="57"/>
  <c r="E976" i="57" s="1"/>
  <c r="C977" i="57"/>
  <c r="D615" i="57"/>
  <c r="E615" i="57" s="1"/>
  <c r="C616" i="57"/>
  <c r="D253" i="57"/>
  <c r="E253" i="57" s="1"/>
  <c r="C254" i="57"/>
  <c r="D254" i="56" l="1"/>
  <c r="E254" i="56" s="1"/>
  <c r="C255" i="56"/>
  <c r="C616" i="56"/>
  <c r="D615" i="56"/>
  <c r="E615" i="56" s="1"/>
  <c r="C978" i="57"/>
  <c r="D977" i="57"/>
  <c r="E977" i="57" s="1"/>
  <c r="D616" i="57"/>
  <c r="E616" i="57" s="1"/>
  <c r="C617" i="57"/>
  <c r="C255" i="57"/>
  <c r="D254" i="57"/>
  <c r="E254" i="57" s="1"/>
  <c r="D616" i="56" l="1"/>
  <c r="E616" i="56" s="1"/>
  <c r="C617" i="56"/>
  <c r="C256" i="56"/>
  <c r="D255" i="56"/>
  <c r="E255" i="56" s="1"/>
  <c r="D978" i="57"/>
  <c r="E978" i="57" s="1"/>
  <c r="C979" i="57"/>
  <c r="D617" i="57"/>
  <c r="E617" i="57" s="1"/>
  <c r="C618" i="57"/>
  <c r="D255" i="57"/>
  <c r="E255" i="57" s="1"/>
  <c r="C256" i="57"/>
  <c r="D617" i="56" l="1"/>
  <c r="E617" i="56" s="1"/>
  <c r="C618" i="56"/>
  <c r="C257" i="56"/>
  <c r="D256" i="56"/>
  <c r="E256" i="56" s="1"/>
  <c r="C980" i="57"/>
  <c r="D979" i="57"/>
  <c r="E979" i="57" s="1"/>
  <c r="D618" i="57"/>
  <c r="E618" i="57" s="1"/>
  <c r="C619" i="57"/>
  <c r="C257" i="57"/>
  <c r="D256" i="57"/>
  <c r="E256" i="57" s="1"/>
  <c r="C258" i="56" l="1"/>
  <c r="D257" i="56"/>
  <c r="E257" i="56" s="1"/>
  <c r="C619" i="56"/>
  <c r="D618" i="56"/>
  <c r="E618" i="56" s="1"/>
  <c r="D980" i="57"/>
  <c r="E980" i="57" s="1"/>
  <c r="C981" i="57"/>
  <c r="D619" i="57"/>
  <c r="E619" i="57" s="1"/>
  <c r="C620" i="57"/>
  <c r="D257" i="57"/>
  <c r="E257" i="57" s="1"/>
  <c r="C258" i="57"/>
  <c r="D258" i="56" l="1"/>
  <c r="E258" i="56" s="1"/>
  <c r="C259" i="56"/>
  <c r="D619" i="56"/>
  <c r="E619" i="56" s="1"/>
  <c r="C620" i="56"/>
  <c r="C982" i="57"/>
  <c r="D981" i="57"/>
  <c r="E981" i="57" s="1"/>
  <c r="D620" i="57"/>
  <c r="E620" i="57" s="1"/>
  <c r="C621" i="57"/>
  <c r="C259" i="57"/>
  <c r="D258" i="57"/>
  <c r="E258" i="57" s="1"/>
  <c r="C260" i="56" l="1"/>
  <c r="D259" i="56"/>
  <c r="E259" i="56" s="1"/>
  <c r="D620" i="56"/>
  <c r="E620" i="56" s="1"/>
  <c r="C621" i="56"/>
  <c r="D982" i="57"/>
  <c r="E982" i="57" s="1"/>
  <c r="C983" i="57"/>
  <c r="D621" i="57"/>
  <c r="E621" i="57" s="1"/>
  <c r="C622" i="57"/>
  <c r="D259" i="57"/>
  <c r="E259" i="57" s="1"/>
  <c r="C260" i="57"/>
  <c r="C261" i="56" l="1"/>
  <c r="D260" i="56"/>
  <c r="E260" i="56" s="1"/>
  <c r="D621" i="56"/>
  <c r="E621" i="56" s="1"/>
  <c r="C622" i="56"/>
  <c r="C984" i="57"/>
  <c r="D983" i="57"/>
  <c r="E983" i="57" s="1"/>
  <c r="D622" i="57"/>
  <c r="E622" i="57" s="1"/>
  <c r="C623" i="57"/>
  <c r="C261" i="57"/>
  <c r="D260" i="57"/>
  <c r="E260" i="57" s="1"/>
  <c r="D261" i="56" l="1"/>
  <c r="E261" i="56" s="1"/>
  <c r="C262" i="56"/>
  <c r="D622" i="56"/>
  <c r="E622" i="56" s="1"/>
  <c r="C623" i="56"/>
  <c r="D984" i="57"/>
  <c r="E984" i="57" s="1"/>
  <c r="C985" i="57"/>
  <c r="D623" i="57"/>
  <c r="E623" i="57" s="1"/>
  <c r="C624" i="57"/>
  <c r="D261" i="57"/>
  <c r="E261" i="57" s="1"/>
  <c r="C262" i="57"/>
  <c r="D262" i="56" l="1"/>
  <c r="E262" i="56" s="1"/>
  <c r="C263" i="56"/>
  <c r="C624" i="56"/>
  <c r="D623" i="56"/>
  <c r="E623" i="56" s="1"/>
  <c r="C986" i="57"/>
  <c r="D985" i="57"/>
  <c r="E985" i="57" s="1"/>
  <c r="D624" i="57"/>
  <c r="E624" i="57" s="1"/>
  <c r="C625" i="57"/>
  <c r="C263" i="57"/>
  <c r="D262" i="57"/>
  <c r="E262" i="57" s="1"/>
  <c r="D624" i="56" l="1"/>
  <c r="E624" i="56" s="1"/>
  <c r="C625" i="56"/>
  <c r="C264" i="56"/>
  <c r="D263" i="56"/>
  <c r="E263" i="56" s="1"/>
  <c r="D986" i="57"/>
  <c r="E986" i="57" s="1"/>
  <c r="C987" i="57"/>
  <c r="D625" i="57"/>
  <c r="E625" i="57" s="1"/>
  <c r="C626" i="57"/>
  <c r="D263" i="57"/>
  <c r="E263" i="57" s="1"/>
  <c r="C264" i="57"/>
  <c r="D625" i="56" l="1"/>
  <c r="E625" i="56" s="1"/>
  <c r="C626" i="56"/>
  <c r="C265" i="56"/>
  <c r="D264" i="56"/>
  <c r="E264" i="56" s="1"/>
  <c r="C988" i="57"/>
  <c r="D987" i="57"/>
  <c r="E987" i="57" s="1"/>
  <c r="D626" i="57"/>
  <c r="E626" i="57" s="1"/>
  <c r="C627" i="57"/>
  <c r="C265" i="57"/>
  <c r="D264" i="57"/>
  <c r="E264" i="57" s="1"/>
  <c r="C627" i="56" l="1"/>
  <c r="D626" i="56"/>
  <c r="E626" i="56" s="1"/>
  <c r="C266" i="56"/>
  <c r="D265" i="56"/>
  <c r="E265" i="56" s="1"/>
  <c r="D988" i="57"/>
  <c r="E988" i="57" s="1"/>
  <c r="C989" i="57"/>
  <c r="D627" i="57"/>
  <c r="E627" i="57" s="1"/>
  <c r="C628" i="57"/>
  <c r="D265" i="57"/>
  <c r="E265" i="57" s="1"/>
  <c r="C266" i="57"/>
  <c r="D266" i="56" l="1"/>
  <c r="E266" i="56" s="1"/>
  <c r="C267" i="56"/>
  <c r="D627" i="56"/>
  <c r="E627" i="56" s="1"/>
  <c r="C628" i="56"/>
  <c r="C990" i="57"/>
  <c r="D989" i="57"/>
  <c r="E989" i="57" s="1"/>
  <c r="D628" i="57"/>
  <c r="E628" i="57" s="1"/>
  <c r="C629" i="57"/>
  <c r="C267" i="57"/>
  <c r="D266" i="57"/>
  <c r="E266" i="57" s="1"/>
  <c r="D267" i="56" l="1"/>
  <c r="E267" i="56" s="1"/>
  <c r="C268" i="56"/>
  <c r="D628" i="56"/>
  <c r="E628" i="56" s="1"/>
  <c r="C629" i="56"/>
  <c r="D990" i="57"/>
  <c r="E990" i="57" s="1"/>
  <c r="C991" i="57"/>
  <c r="D629" i="57"/>
  <c r="E629" i="57" s="1"/>
  <c r="C630" i="57"/>
  <c r="D267" i="57"/>
  <c r="E267" i="57" s="1"/>
  <c r="C268" i="57"/>
  <c r="C269" i="56" l="1"/>
  <c r="D268" i="56"/>
  <c r="E268" i="56" s="1"/>
  <c r="D629" i="56"/>
  <c r="E629" i="56" s="1"/>
  <c r="C630" i="56"/>
  <c r="C992" i="57"/>
  <c r="D991" i="57"/>
  <c r="E991" i="57" s="1"/>
  <c r="D630" i="57"/>
  <c r="E630" i="57" s="1"/>
  <c r="C631" i="57"/>
  <c r="C269" i="57"/>
  <c r="D268" i="57"/>
  <c r="E268" i="57" s="1"/>
  <c r="D269" i="56" l="1"/>
  <c r="E269" i="56" s="1"/>
  <c r="C270" i="56"/>
  <c r="D630" i="56"/>
  <c r="E630" i="56" s="1"/>
  <c r="C631" i="56"/>
  <c r="D992" i="57"/>
  <c r="E992" i="57" s="1"/>
  <c r="C993" i="57"/>
  <c r="D631" i="57"/>
  <c r="E631" i="57" s="1"/>
  <c r="C632" i="57"/>
  <c r="D269" i="57"/>
  <c r="E269" i="57" s="1"/>
  <c r="C270" i="57"/>
  <c r="D270" i="56" l="1"/>
  <c r="E270" i="56" s="1"/>
  <c r="C271" i="56"/>
  <c r="C632" i="56"/>
  <c r="D631" i="56"/>
  <c r="E631" i="56" s="1"/>
  <c r="C994" i="57"/>
  <c r="D993" i="57"/>
  <c r="E993" i="57" s="1"/>
  <c r="D632" i="57"/>
  <c r="E632" i="57" s="1"/>
  <c r="C633" i="57"/>
  <c r="C271" i="57"/>
  <c r="D270" i="57"/>
  <c r="E270" i="57" s="1"/>
  <c r="D632" i="56" l="1"/>
  <c r="E632" i="56" s="1"/>
  <c r="C633" i="56"/>
  <c r="C272" i="56"/>
  <c r="D271" i="56"/>
  <c r="E271" i="56" s="1"/>
  <c r="D994" i="57"/>
  <c r="E994" i="57" s="1"/>
  <c r="C995" i="57"/>
  <c r="D633" i="57"/>
  <c r="E633" i="57" s="1"/>
  <c r="C634" i="57"/>
  <c r="D271" i="57"/>
  <c r="E271" i="57" s="1"/>
  <c r="C272" i="57"/>
  <c r="C273" i="56" l="1"/>
  <c r="D272" i="56"/>
  <c r="E272" i="56" s="1"/>
  <c r="D633" i="56"/>
  <c r="E633" i="56" s="1"/>
  <c r="C634" i="56"/>
  <c r="C996" i="57"/>
  <c r="D995" i="57"/>
  <c r="E995" i="57" s="1"/>
  <c r="D634" i="57"/>
  <c r="E634" i="57" s="1"/>
  <c r="C635" i="57"/>
  <c r="C273" i="57"/>
  <c r="D272" i="57"/>
  <c r="E272" i="57" s="1"/>
  <c r="C274" i="56" l="1"/>
  <c r="D273" i="56"/>
  <c r="E273" i="56" s="1"/>
  <c r="C635" i="56"/>
  <c r="D634" i="56"/>
  <c r="E634" i="56" s="1"/>
  <c r="D996" i="57"/>
  <c r="E996" i="57" s="1"/>
  <c r="C997" i="57"/>
  <c r="D635" i="57"/>
  <c r="E635" i="57" s="1"/>
  <c r="C636" i="57"/>
  <c r="D273" i="57"/>
  <c r="E273" i="57" s="1"/>
  <c r="C274" i="57"/>
  <c r="D274" i="56" l="1"/>
  <c r="E274" i="56" s="1"/>
  <c r="C275" i="56"/>
  <c r="D635" i="56"/>
  <c r="E635" i="56" s="1"/>
  <c r="C636" i="56"/>
  <c r="C998" i="57"/>
  <c r="D997" i="57"/>
  <c r="E997" i="57" s="1"/>
  <c r="D636" i="57"/>
  <c r="E636" i="57" s="1"/>
  <c r="C637" i="57"/>
  <c r="C275" i="57"/>
  <c r="D274" i="57"/>
  <c r="E274" i="57" s="1"/>
  <c r="D275" i="56" l="1"/>
  <c r="E275" i="56" s="1"/>
  <c r="C276" i="56"/>
  <c r="D636" i="56"/>
  <c r="E636" i="56" s="1"/>
  <c r="C637" i="56"/>
  <c r="D998" i="57"/>
  <c r="E998" i="57" s="1"/>
  <c r="C999" i="57"/>
  <c r="D637" i="57"/>
  <c r="E637" i="57" s="1"/>
  <c r="C638" i="57"/>
  <c r="D275" i="57"/>
  <c r="E275" i="57" s="1"/>
  <c r="C276" i="57"/>
  <c r="C277" i="56" l="1"/>
  <c r="D276" i="56"/>
  <c r="E276" i="56" s="1"/>
  <c r="D637" i="56"/>
  <c r="E637" i="56" s="1"/>
  <c r="C638" i="56"/>
  <c r="C1000" i="57"/>
  <c r="D999" i="57"/>
  <c r="E999" i="57" s="1"/>
  <c r="D638" i="57"/>
  <c r="E638" i="57" s="1"/>
  <c r="C639" i="57"/>
  <c r="C277" i="57"/>
  <c r="D276" i="57"/>
  <c r="E276" i="57" s="1"/>
  <c r="D277" i="56" l="1"/>
  <c r="E277" i="56" s="1"/>
  <c r="C278" i="56"/>
  <c r="D638" i="56"/>
  <c r="E638" i="56" s="1"/>
  <c r="C639" i="56"/>
  <c r="D1000" i="57"/>
  <c r="E1000" i="57" s="1"/>
  <c r="C1001" i="57"/>
  <c r="D639" i="57"/>
  <c r="E639" i="57" s="1"/>
  <c r="C640" i="57"/>
  <c r="D277" i="57"/>
  <c r="E277" i="57" s="1"/>
  <c r="C278" i="57"/>
  <c r="D278" i="56" l="1"/>
  <c r="E278" i="56" s="1"/>
  <c r="C279" i="56"/>
  <c r="C640" i="56"/>
  <c r="D639" i="56"/>
  <c r="E639" i="56" s="1"/>
  <c r="C1002" i="57"/>
  <c r="D1001" i="57"/>
  <c r="E1001" i="57" s="1"/>
  <c r="D640" i="57"/>
  <c r="E640" i="57" s="1"/>
  <c r="C641" i="57"/>
  <c r="C279" i="57"/>
  <c r="D278" i="57"/>
  <c r="E278" i="57" s="1"/>
  <c r="C280" i="56" l="1"/>
  <c r="D279" i="56"/>
  <c r="E279" i="56" s="1"/>
  <c r="D640" i="56"/>
  <c r="E640" i="56" s="1"/>
  <c r="C641" i="56"/>
  <c r="D1002" i="57"/>
  <c r="E1002" i="57" s="1"/>
  <c r="C1003" i="57"/>
  <c r="D641" i="57"/>
  <c r="E641" i="57" s="1"/>
  <c r="C642" i="57"/>
  <c r="D279" i="57"/>
  <c r="E279" i="57" s="1"/>
  <c r="C280" i="57"/>
  <c r="C281" i="56" l="1"/>
  <c r="D280" i="56"/>
  <c r="E280" i="56" s="1"/>
  <c r="D641" i="56"/>
  <c r="E641" i="56" s="1"/>
  <c r="C642" i="56"/>
  <c r="C1004" i="57"/>
  <c r="D1003" i="57"/>
  <c r="E1003" i="57" s="1"/>
  <c r="D642" i="57"/>
  <c r="E642" i="57" s="1"/>
  <c r="C643" i="57"/>
  <c r="C281" i="57"/>
  <c r="D280" i="57"/>
  <c r="E280" i="57" s="1"/>
  <c r="C282" i="56" l="1"/>
  <c r="D281" i="56"/>
  <c r="E281" i="56" s="1"/>
  <c r="C643" i="56"/>
  <c r="D642" i="56"/>
  <c r="E642" i="56" s="1"/>
  <c r="D1004" i="57"/>
  <c r="E1004" i="57" s="1"/>
  <c r="C1005" i="57"/>
  <c r="D643" i="57"/>
  <c r="E643" i="57" s="1"/>
  <c r="C644" i="57"/>
  <c r="D281" i="57"/>
  <c r="E281" i="57" s="1"/>
  <c r="C282" i="57"/>
  <c r="D282" i="56" l="1"/>
  <c r="E282" i="56" s="1"/>
  <c r="C283" i="56"/>
  <c r="D643" i="56"/>
  <c r="E643" i="56" s="1"/>
  <c r="C644" i="56"/>
  <c r="C1006" i="57"/>
  <c r="D1005" i="57"/>
  <c r="E1005" i="57" s="1"/>
  <c r="D644" i="57"/>
  <c r="E644" i="57" s="1"/>
  <c r="C645" i="57"/>
  <c r="C283" i="57"/>
  <c r="D282" i="57"/>
  <c r="E282" i="57" s="1"/>
  <c r="D283" i="56" l="1"/>
  <c r="E283" i="56" s="1"/>
  <c r="C284" i="56"/>
  <c r="D644" i="56"/>
  <c r="E644" i="56" s="1"/>
  <c r="C645" i="56"/>
  <c r="D1006" i="57"/>
  <c r="E1006" i="57" s="1"/>
  <c r="C1007" i="57"/>
  <c r="D645" i="57"/>
  <c r="E645" i="57" s="1"/>
  <c r="C646" i="57"/>
  <c r="D283" i="57"/>
  <c r="E283" i="57" s="1"/>
  <c r="C284" i="57"/>
  <c r="C285" i="56" l="1"/>
  <c r="D284" i="56"/>
  <c r="E284" i="56" s="1"/>
  <c r="D645" i="56"/>
  <c r="E645" i="56" s="1"/>
  <c r="C646" i="56"/>
  <c r="C1008" i="57"/>
  <c r="D1007" i="57"/>
  <c r="E1007" i="57" s="1"/>
  <c r="D646" i="57"/>
  <c r="E646" i="57" s="1"/>
  <c r="C647" i="57"/>
  <c r="C285" i="57"/>
  <c r="D284" i="57"/>
  <c r="E284" i="57" s="1"/>
  <c r="D285" i="56" l="1"/>
  <c r="E285" i="56" s="1"/>
  <c r="C286" i="56"/>
  <c r="D646" i="56"/>
  <c r="E646" i="56" s="1"/>
  <c r="C647" i="56"/>
  <c r="D1008" i="57"/>
  <c r="E1008" i="57" s="1"/>
  <c r="C1009" i="57"/>
  <c r="D647" i="57"/>
  <c r="E647" i="57" s="1"/>
  <c r="C648" i="57"/>
  <c r="D285" i="57"/>
  <c r="E285" i="57" s="1"/>
  <c r="C286" i="57"/>
  <c r="D286" i="56" l="1"/>
  <c r="E286" i="56" s="1"/>
  <c r="C287" i="56"/>
  <c r="C648" i="56"/>
  <c r="D647" i="56"/>
  <c r="E647" i="56" s="1"/>
  <c r="C1010" i="57"/>
  <c r="D1009" i="57"/>
  <c r="E1009" i="57" s="1"/>
  <c r="D648" i="57"/>
  <c r="E648" i="57" s="1"/>
  <c r="C649" i="57"/>
  <c r="C287" i="57"/>
  <c r="D286" i="57"/>
  <c r="E286" i="57" s="1"/>
  <c r="D648" i="56" l="1"/>
  <c r="E648" i="56" s="1"/>
  <c r="C649" i="56"/>
  <c r="C288" i="56"/>
  <c r="D287" i="56"/>
  <c r="E287" i="56" s="1"/>
  <c r="D1010" i="57"/>
  <c r="E1010" i="57" s="1"/>
  <c r="C1011" i="57"/>
  <c r="D649" i="57"/>
  <c r="E649" i="57" s="1"/>
  <c r="C650" i="57"/>
  <c r="D287" i="57"/>
  <c r="E287" i="57" s="1"/>
  <c r="C288" i="57"/>
  <c r="D649" i="56" l="1"/>
  <c r="E649" i="56" s="1"/>
  <c r="C650" i="56"/>
  <c r="C289" i="56"/>
  <c r="D288" i="56"/>
  <c r="E288" i="56" s="1"/>
  <c r="C1012" i="57"/>
  <c r="D1011" i="57"/>
  <c r="E1011" i="57" s="1"/>
  <c r="D650" i="57"/>
  <c r="E650" i="57" s="1"/>
  <c r="C651" i="57"/>
  <c r="C289" i="57"/>
  <c r="D288" i="57"/>
  <c r="E288" i="57" s="1"/>
  <c r="C290" i="56" l="1"/>
  <c r="D289" i="56"/>
  <c r="E289" i="56" s="1"/>
  <c r="C651" i="56"/>
  <c r="D650" i="56"/>
  <c r="E650" i="56" s="1"/>
  <c r="D1012" i="57"/>
  <c r="E1012" i="57" s="1"/>
  <c r="C1013" i="57"/>
  <c r="D651" i="57"/>
  <c r="E651" i="57" s="1"/>
  <c r="C652" i="57"/>
  <c r="D289" i="57"/>
  <c r="E289" i="57" s="1"/>
  <c r="C290" i="57"/>
  <c r="D290" i="56" l="1"/>
  <c r="E290" i="56" s="1"/>
  <c r="C291" i="56"/>
  <c r="D651" i="56"/>
  <c r="E651" i="56" s="1"/>
  <c r="C652" i="56"/>
  <c r="C1014" i="57"/>
  <c r="D1013" i="57"/>
  <c r="E1013" i="57" s="1"/>
  <c r="D652" i="57"/>
  <c r="E652" i="57" s="1"/>
  <c r="C653" i="57"/>
  <c r="C291" i="57"/>
  <c r="D290" i="57"/>
  <c r="E290" i="57" s="1"/>
  <c r="D291" i="56" l="1"/>
  <c r="E291" i="56" s="1"/>
  <c r="C292" i="56"/>
  <c r="D652" i="56"/>
  <c r="E652" i="56" s="1"/>
  <c r="C653" i="56"/>
  <c r="D1014" i="57"/>
  <c r="E1014" i="57" s="1"/>
  <c r="C1015" i="57"/>
  <c r="D653" i="57"/>
  <c r="E653" i="57" s="1"/>
  <c r="C654" i="57"/>
  <c r="D291" i="57"/>
  <c r="E291" i="57" s="1"/>
  <c r="C292" i="57"/>
  <c r="C293" i="56" l="1"/>
  <c r="D292" i="56"/>
  <c r="E292" i="56" s="1"/>
  <c r="D653" i="56"/>
  <c r="E653" i="56" s="1"/>
  <c r="C654" i="56"/>
  <c r="C1016" i="57"/>
  <c r="D1015" i="57"/>
  <c r="E1015" i="57" s="1"/>
  <c r="D654" i="57"/>
  <c r="E654" i="57" s="1"/>
  <c r="C655" i="57"/>
  <c r="C293" i="57"/>
  <c r="D292" i="57"/>
  <c r="E292" i="57" s="1"/>
  <c r="D293" i="56" l="1"/>
  <c r="E293" i="56" s="1"/>
  <c r="C294" i="56"/>
  <c r="D654" i="56"/>
  <c r="E654" i="56" s="1"/>
  <c r="C655" i="56"/>
  <c r="D1016" i="57"/>
  <c r="E1016" i="57" s="1"/>
  <c r="C1017" i="57"/>
  <c r="D655" i="57"/>
  <c r="E655" i="57" s="1"/>
  <c r="C656" i="57"/>
  <c r="D293" i="57"/>
  <c r="E293" i="57" s="1"/>
  <c r="C294" i="57"/>
  <c r="D294" i="56" l="1"/>
  <c r="E294" i="56" s="1"/>
  <c r="C295" i="56"/>
  <c r="C656" i="56"/>
  <c r="D655" i="56"/>
  <c r="E655" i="56" s="1"/>
  <c r="C1018" i="57"/>
  <c r="D1017" i="57"/>
  <c r="E1017" i="57" s="1"/>
  <c r="D656" i="57"/>
  <c r="E656" i="57" s="1"/>
  <c r="C657" i="57"/>
  <c r="C295" i="57"/>
  <c r="D294" i="57"/>
  <c r="E294" i="57" s="1"/>
  <c r="D656" i="56" l="1"/>
  <c r="E656" i="56" s="1"/>
  <c r="C657" i="56"/>
  <c r="C296" i="56"/>
  <c r="D295" i="56"/>
  <c r="E295" i="56" s="1"/>
  <c r="D1018" i="57"/>
  <c r="E1018" i="57" s="1"/>
  <c r="C1019" i="57"/>
  <c r="D657" i="57"/>
  <c r="C658" i="57"/>
  <c r="D295" i="57"/>
  <c r="C296" i="57"/>
  <c r="C297" i="56" l="1"/>
  <c r="C298" i="56" s="1"/>
  <c r="D296" i="56"/>
  <c r="D657" i="56"/>
  <c r="C658" i="56"/>
  <c r="C1020" i="57"/>
  <c r="D1019" i="57"/>
  <c r="E1019" i="57" s="1"/>
  <c r="E657" i="57"/>
  <c r="C660" i="57"/>
  <c r="D658" i="57"/>
  <c r="E658" i="57" s="1"/>
  <c r="C659" i="57"/>
  <c r="E295" i="57"/>
  <c r="C297" i="57"/>
  <c r="C298" i="57" s="1"/>
  <c r="D296" i="57"/>
  <c r="E296" i="57" s="1"/>
  <c r="D659" i="57" l="1"/>
  <c r="E659" i="57" s="1"/>
  <c r="E296" i="56"/>
  <c r="D297" i="56"/>
  <c r="E297" i="56" s="1"/>
  <c r="D298" i="56"/>
  <c r="E298" i="56" s="1"/>
  <c r="C299" i="56"/>
  <c r="E657" i="56"/>
  <c r="C660" i="56"/>
  <c r="D658" i="56"/>
  <c r="E658" i="56" s="1"/>
  <c r="C659" i="56"/>
  <c r="C1022" i="57"/>
  <c r="D1020" i="57"/>
  <c r="C1021" i="57"/>
  <c r="C299" i="57"/>
  <c r="D298" i="57"/>
  <c r="E298" i="57" s="1"/>
  <c r="D660" i="57"/>
  <c r="E660" i="57" s="1"/>
  <c r="C661" i="57"/>
  <c r="D297" i="57"/>
  <c r="E297" i="57" s="1"/>
  <c r="D659" i="56" l="1"/>
  <c r="E659" i="56" s="1"/>
  <c r="D660" i="56"/>
  <c r="E660" i="56" s="1"/>
  <c r="C661" i="56"/>
  <c r="D299" i="56"/>
  <c r="E299" i="56" s="1"/>
  <c r="C300" i="56"/>
  <c r="D1022" i="57"/>
  <c r="E1022" i="57" s="1"/>
  <c r="C1023" i="57"/>
  <c r="E1020" i="57"/>
  <c r="D1021" i="57"/>
  <c r="E1021" i="57" s="1"/>
  <c r="D299" i="57"/>
  <c r="E299" i="57" s="1"/>
  <c r="C300" i="57"/>
  <c r="D661" i="57"/>
  <c r="E661" i="57" s="1"/>
  <c r="C662" i="57"/>
  <c r="C662" i="56" l="1"/>
  <c r="D661" i="56"/>
  <c r="E661" i="56" s="1"/>
  <c r="C301" i="56"/>
  <c r="D300" i="56"/>
  <c r="E300" i="56" s="1"/>
  <c r="C1024" i="57"/>
  <c r="D1023" i="57"/>
  <c r="E1023" i="57" s="1"/>
  <c r="C301" i="57"/>
  <c r="D300" i="57"/>
  <c r="E300" i="57" s="1"/>
  <c r="D662" i="57"/>
  <c r="E662" i="57" s="1"/>
  <c r="C663" i="57"/>
  <c r="D662" i="56" l="1"/>
  <c r="E662" i="56" s="1"/>
  <c r="C663" i="56"/>
  <c r="D301" i="56"/>
  <c r="E301" i="56" s="1"/>
  <c r="C302" i="56"/>
  <c r="D301" i="57"/>
  <c r="E301" i="57" s="1"/>
  <c r="C302" i="57"/>
  <c r="D1024" i="57"/>
  <c r="E1024" i="57" s="1"/>
  <c r="C1025" i="57"/>
  <c r="D663" i="57"/>
  <c r="E663" i="57" s="1"/>
  <c r="C664" i="57"/>
  <c r="C664" i="56" l="1"/>
  <c r="D663" i="56"/>
  <c r="E663" i="56" s="1"/>
  <c r="D302" i="56"/>
  <c r="E302" i="56" s="1"/>
  <c r="C303" i="56"/>
  <c r="C303" i="57"/>
  <c r="D302" i="57"/>
  <c r="E302" i="57" s="1"/>
  <c r="C1026" i="57"/>
  <c r="D1025" i="57"/>
  <c r="E1025" i="57" s="1"/>
  <c r="C665" i="57"/>
  <c r="D664" i="57"/>
  <c r="E664" i="57" s="1"/>
  <c r="D664" i="56" l="1"/>
  <c r="E664" i="56" s="1"/>
  <c r="C665" i="56"/>
  <c r="C304" i="56"/>
  <c r="D303" i="56"/>
  <c r="E303" i="56" s="1"/>
  <c r="D303" i="57"/>
  <c r="E303" i="57" s="1"/>
  <c r="C304" i="57"/>
  <c r="D1026" i="57"/>
  <c r="E1026" i="57" s="1"/>
  <c r="C1027" i="57"/>
  <c r="D665" i="57"/>
  <c r="E665" i="57" s="1"/>
  <c r="C666" i="57"/>
  <c r="C305" i="56" l="1"/>
  <c r="D304" i="56"/>
  <c r="E304" i="56" s="1"/>
  <c r="C666" i="56"/>
  <c r="D665" i="56"/>
  <c r="E665" i="56" s="1"/>
  <c r="C305" i="57"/>
  <c r="D304" i="57"/>
  <c r="E304" i="57" s="1"/>
  <c r="C1028" i="57"/>
  <c r="D1027" i="57"/>
  <c r="E1027" i="57" s="1"/>
  <c r="D666" i="57"/>
  <c r="E666" i="57" s="1"/>
  <c r="C667" i="57"/>
  <c r="D666" i="56" l="1"/>
  <c r="E666" i="56" s="1"/>
  <c r="C667" i="56"/>
  <c r="C306" i="56"/>
  <c r="D305" i="56"/>
  <c r="E305" i="56" s="1"/>
  <c r="D1028" i="57"/>
  <c r="E1028" i="57" s="1"/>
  <c r="C1029" i="57"/>
  <c r="D305" i="57"/>
  <c r="E305" i="57" s="1"/>
  <c r="C306" i="57"/>
  <c r="D667" i="57"/>
  <c r="E667" i="57" s="1"/>
  <c r="C668" i="57"/>
  <c r="D306" i="56" l="1"/>
  <c r="E306" i="56" s="1"/>
  <c r="C307" i="56"/>
  <c r="C668" i="56"/>
  <c r="D667" i="56"/>
  <c r="E667" i="56" s="1"/>
  <c r="C307" i="57"/>
  <c r="D306" i="57"/>
  <c r="E306" i="57" s="1"/>
  <c r="C1030" i="57"/>
  <c r="D1029" i="57"/>
  <c r="E1029" i="57" s="1"/>
  <c r="D668" i="57"/>
  <c r="E668" i="57" s="1"/>
  <c r="C669" i="57"/>
  <c r="D307" i="56" l="1"/>
  <c r="E307" i="56" s="1"/>
  <c r="C308" i="56"/>
  <c r="D668" i="56"/>
  <c r="E668" i="56" s="1"/>
  <c r="C669" i="56"/>
  <c r="D1030" i="57"/>
  <c r="E1030" i="57" s="1"/>
  <c r="C1031" i="57"/>
  <c r="D307" i="57"/>
  <c r="E307" i="57" s="1"/>
  <c r="C308" i="57"/>
  <c r="D669" i="57"/>
  <c r="E669" i="57" s="1"/>
  <c r="C670" i="57"/>
  <c r="C309" i="56" l="1"/>
  <c r="D308" i="56"/>
  <c r="E308" i="56" s="1"/>
  <c r="C670" i="56"/>
  <c r="D669" i="56"/>
  <c r="E669" i="56" s="1"/>
  <c r="C1032" i="57"/>
  <c r="D1031" i="57"/>
  <c r="E1031" i="57" s="1"/>
  <c r="C309" i="57"/>
  <c r="D308" i="57"/>
  <c r="E308" i="57" s="1"/>
  <c r="D670" i="57"/>
  <c r="E670" i="57" s="1"/>
  <c r="C671" i="57"/>
  <c r="D309" i="56" l="1"/>
  <c r="E309" i="56" s="1"/>
  <c r="C310" i="56"/>
  <c r="D670" i="56"/>
  <c r="E670" i="56" s="1"/>
  <c r="C671" i="56"/>
  <c r="D309" i="57"/>
  <c r="E309" i="57" s="1"/>
  <c r="C310" i="57"/>
  <c r="D1032" i="57"/>
  <c r="E1032" i="57" s="1"/>
  <c r="C1033" i="57"/>
  <c r="D671" i="57"/>
  <c r="E671" i="57" s="1"/>
  <c r="C672" i="57"/>
  <c r="D310" i="56" l="1"/>
  <c r="E310" i="56" s="1"/>
  <c r="C311" i="56"/>
  <c r="C672" i="56"/>
  <c r="D671" i="56"/>
  <c r="E671" i="56" s="1"/>
  <c r="C311" i="57"/>
  <c r="D310" i="57"/>
  <c r="E310" i="57" s="1"/>
  <c r="C1034" i="57"/>
  <c r="D1033" i="57"/>
  <c r="E1033" i="57" s="1"/>
  <c r="D672" i="57"/>
  <c r="E672" i="57" s="1"/>
  <c r="C673" i="57"/>
  <c r="D672" i="56" l="1"/>
  <c r="E672" i="56" s="1"/>
  <c r="C673" i="56"/>
  <c r="C312" i="56"/>
  <c r="D311" i="56"/>
  <c r="E311" i="56" s="1"/>
  <c r="D311" i="57"/>
  <c r="E311" i="57" s="1"/>
  <c r="C312" i="57"/>
  <c r="D1034" i="57"/>
  <c r="E1034" i="57" s="1"/>
  <c r="C1035" i="57"/>
  <c r="D673" i="57"/>
  <c r="E673" i="57" s="1"/>
  <c r="C674" i="57"/>
  <c r="C313" i="56" l="1"/>
  <c r="D312" i="56"/>
  <c r="E312" i="56" s="1"/>
  <c r="C674" i="56"/>
  <c r="D673" i="56"/>
  <c r="E673" i="56" s="1"/>
  <c r="C313" i="57"/>
  <c r="D312" i="57"/>
  <c r="E312" i="57" s="1"/>
  <c r="C1036" i="57"/>
  <c r="D1035" i="57"/>
  <c r="E1035" i="57" s="1"/>
  <c r="D674" i="57"/>
  <c r="E674" i="57" s="1"/>
  <c r="C675" i="57"/>
  <c r="C314" i="56" l="1"/>
  <c r="D313" i="56"/>
  <c r="E313" i="56" s="1"/>
  <c r="D674" i="56"/>
  <c r="E674" i="56" s="1"/>
  <c r="C675" i="56"/>
  <c r="D1036" i="57"/>
  <c r="E1036" i="57" s="1"/>
  <c r="C1037" i="57"/>
  <c r="D313" i="57"/>
  <c r="E313" i="57" s="1"/>
  <c r="C314" i="57"/>
  <c r="D675" i="57"/>
  <c r="E675" i="57" s="1"/>
  <c r="C676" i="57"/>
  <c r="D314" i="56" l="1"/>
  <c r="E314" i="56" s="1"/>
  <c r="C315" i="56"/>
  <c r="C676" i="56"/>
  <c r="D675" i="56"/>
  <c r="E675" i="56" s="1"/>
  <c r="C1038" i="57"/>
  <c r="D1037" i="57"/>
  <c r="E1037" i="57" s="1"/>
  <c r="C315" i="57"/>
  <c r="D314" i="57"/>
  <c r="E314" i="57" s="1"/>
  <c r="D676" i="57"/>
  <c r="E676" i="57" s="1"/>
  <c r="C677" i="57"/>
  <c r="D676" i="56" l="1"/>
  <c r="E676" i="56" s="1"/>
  <c r="C677" i="56"/>
  <c r="D315" i="56"/>
  <c r="E315" i="56" s="1"/>
  <c r="C316" i="56"/>
  <c r="D315" i="57"/>
  <c r="E315" i="57" s="1"/>
  <c r="C316" i="57"/>
  <c r="D1038" i="57"/>
  <c r="E1038" i="57" s="1"/>
  <c r="C1039" i="57"/>
  <c r="D677" i="57"/>
  <c r="E677" i="57" s="1"/>
  <c r="C678" i="57"/>
  <c r="C678" i="56" l="1"/>
  <c r="D677" i="56"/>
  <c r="E677" i="56" s="1"/>
  <c r="C317" i="56"/>
  <c r="D316" i="56"/>
  <c r="E316" i="56" s="1"/>
  <c r="C317" i="57"/>
  <c r="D316" i="57"/>
  <c r="E316" i="57" s="1"/>
  <c r="C1040" i="57"/>
  <c r="D1039" i="57"/>
  <c r="E1039" i="57" s="1"/>
  <c r="D678" i="57"/>
  <c r="E678" i="57" s="1"/>
  <c r="C679" i="57"/>
  <c r="D317" i="56" l="1"/>
  <c r="E317" i="56" s="1"/>
  <c r="C318" i="56"/>
  <c r="D678" i="56"/>
  <c r="E678" i="56" s="1"/>
  <c r="C679" i="56"/>
  <c r="D317" i="57"/>
  <c r="E317" i="57" s="1"/>
  <c r="C318" i="57"/>
  <c r="D1040" i="57"/>
  <c r="E1040" i="57" s="1"/>
  <c r="C1041" i="57"/>
  <c r="D679" i="57"/>
  <c r="E679" i="57" s="1"/>
  <c r="C680" i="57"/>
  <c r="D318" i="56" l="1"/>
  <c r="E318" i="56" s="1"/>
  <c r="C319" i="56"/>
  <c r="C680" i="56"/>
  <c r="D679" i="56"/>
  <c r="E679" i="56" s="1"/>
  <c r="C319" i="57"/>
  <c r="D318" i="57"/>
  <c r="E318" i="57" s="1"/>
  <c r="C1042" i="57"/>
  <c r="D1041" i="57"/>
  <c r="E1041" i="57" s="1"/>
  <c r="D680" i="57"/>
  <c r="E680" i="57" s="1"/>
  <c r="C681" i="57"/>
  <c r="D680" i="56" l="1"/>
  <c r="E680" i="56" s="1"/>
  <c r="C681" i="56"/>
  <c r="C320" i="56"/>
  <c r="D319" i="56"/>
  <c r="E319" i="56" s="1"/>
  <c r="D1042" i="57"/>
  <c r="E1042" i="57" s="1"/>
  <c r="C1043" i="57"/>
  <c r="D319" i="57"/>
  <c r="E319" i="57" s="1"/>
  <c r="C320" i="57"/>
  <c r="D681" i="57"/>
  <c r="E681" i="57" s="1"/>
  <c r="C682" i="57"/>
  <c r="C321" i="56" l="1"/>
  <c r="D320" i="56"/>
  <c r="E320" i="56" s="1"/>
  <c r="C682" i="56"/>
  <c r="D681" i="56"/>
  <c r="E681" i="56" s="1"/>
  <c r="C1044" i="57"/>
  <c r="D1043" i="57"/>
  <c r="E1043" i="57" s="1"/>
  <c r="C321" i="57"/>
  <c r="D320" i="57"/>
  <c r="E320" i="57" s="1"/>
  <c r="D682" i="57"/>
  <c r="E682" i="57" s="1"/>
  <c r="C683" i="57"/>
  <c r="C322" i="56" l="1"/>
  <c r="D321" i="56"/>
  <c r="E321" i="56" s="1"/>
  <c r="D682" i="56"/>
  <c r="E682" i="56" s="1"/>
  <c r="C683" i="56"/>
  <c r="D321" i="57"/>
  <c r="E321" i="57" s="1"/>
  <c r="C322" i="57"/>
  <c r="D1044" i="57"/>
  <c r="E1044" i="57" s="1"/>
  <c r="C1045" i="57"/>
  <c r="D683" i="57"/>
  <c r="E683" i="57" s="1"/>
  <c r="C684" i="57"/>
  <c r="D322" i="56" l="1"/>
  <c r="E322" i="56" s="1"/>
  <c r="C323" i="56"/>
  <c r="C684" i="56"/>
  <c r="D683" i="56"/>
  <c r="E683" i="56" s="1"/>
  <c r="C323" i="57"/>
  <c r="D322" i="57"/>
  <c r="E322" i="57" s="1"/>
  <c r="C1046" i="57"/>
  <c r="D1045" i="57"/>
  <c r="E1045" i="57" s="1"/>
  <c r="D684" i="57"/>
  <c r="E684" i="57" s="1"/>
  <c r="C685" i="57"/>
  <c r="D684" i="56" l="1"/>
  <c r="E684" i="56" s="1"/>
  <c r="C685" i="56"/>
  <c r="D323" i="56"/>
  <c r="E323" i="56" s="1"/>
  <c r="C324" i="56"/>
  <c r="D323" i="57"/>
  <c r="E323" i="57" s="1"/>
  <c r="C324" i="57"/>
  <c r="D1046" i="57"/>
  <c r="E1046" i="57" s="1"/>
  <c r="C1047" i="57"/>
  <c r="D685" i="57"/>
  <c r="E685" i="57" s="1"/>
  <c r="C686" i="57"/>
  <c r="C686" i="56" l="1"/>
  <c r="D685" i="56"/>
  <c r="E685" i="56" s="1"/>
  <c r="C325" i="56"/>
  <c r="D324" i="56"/>
  <c r="E324" i="56" s="1"/>
  <c r="C325" i="57"/>
  <c r="D324" i="57"/>
  <c r="E324" i="57" s="1"/>
  <c r="C1048" i="57"/>
  <c r="D1047" i="57"/>
  <c r="E1047" i="57" s="1"/>
  <c r="D686" i="57"/>
  <c r="E686" i="57" s="1"/>
  <c r="C687" i="57"/>
  <c r="D325" i="56" l="1"/>
  <c r="E325" i="56" s="1"/>
  <c r="C326" i="56"/>
  <c r="D686" i="56"/>
  <c r="E686" i="56" s="1"/>
  <c r="C687" i="56"/>
  <c r="D1048" i="57"/>
  <c r="E1048" i="57" s="1"/>
  <c r="C1049" i="57"/>
  <c r="D325" i="57"/>
  <c r="E325" i="57" s="1"/>
  <c r="C326" i="57"/>
  <c r="D687" i="57"/>
  <c r="E687" i="57" s="1"/>
  <c r="C688" i="57"/>
  <c r="D326" i="56" l="1"/>
  <c r="E326" i="56" s="1"/>
  <c r="C327" i="56"/>
  <c r="C688" i="56"/>
  <c r="D687" i="56"/>
  <c r="E687" i="56" s="1"/>
  <c r="C1050" i="57"/>
  <c r="D1049" i="57"/>
  <c r="E1049" i="57" s="1"/>
  <c r="C327" i="57"/>
  <c r="D326" i="57"/>
  <c r="E326" i="57" s="1"/>
  <c r="D688" i="57"/>
  <c r="E688" i="57" s="1"/>
  <c r="C689" i="57"/>
  <c r="C328" i="56" l="1"/>
  <c r="D327" i="56"/>
  <c r="E327" i="56" s="1"/>
  <c r="D688" i="56"/>
  <c r="E688" i="56" s="1"/>
  <c r="C689" i="56"/>
  <c r="D1050" i="57"/>
  <c r="E1050" i="57" s="1"/>
  <c r="C1051" i="57"/>
  <c r="D327" i="57"/>
  <c r="E327" i="57" s="1"/>
  <c r="C328" i="57"/>
  <c r="D689" i="57"/>
  <c r="E689" i="57" s="1"/>
  <c r="C690" i="57"/>
  <c r="C329" i="56" l="1"/>
  <c r="D328" i="56"/>
  <c r="E328" i="56" s="1"/>
  <c r="C690" i="56"/>
  <c r="D689" i="56"/>
  <c r="E689" i="56" s="1"/>
  <c r="C1052" i="57"/>
  <c r="D1051" i="57"/>
  <c r="E1051" i="57" s="1"/>
  <c r="C329" i="57"/>
  <c r="D328" i="57"/>
  <c r="E328" i="57" s="1"/>
  <c r="D690" i="57"/>
  <c r="E690" i="57" s="1"/>
  <c r="C691" i="57"/>
  <c r="C330" i="56" l="1"/>
  <c r="D329" i="56"/>
  <c r="E329" i="56" s="1"/>
  <c r="D690" i="56"/>
  <c r="E690" i="56" s="1"/>
  <c r="C691" i="56"/>
  <c r="D329" i="57"/>
  <c r="E329" i="57" s="1"/>
  <c r="C330" i="57"/>
  <c r="D1052" i="57"/>
  <c r="E1052" i="57" s="1"/>
  <c r="C1053" i="57"/>
  <c r="D691" i="57"/>
  <c r="E691" i="57" s="1"/>
  <c r="C692" i="57"/>
  <c r="D330" i="56" l="1"/>
  <c r="E330" i="56" s="1"/>
  <c r="C331" i="56"/>
  <c r="C692" i="56"/>
  <c r="D691" i="56"/>
  <c r="E691" i="56" s="1"/>
  <c r="C331" i="57"/>
  <c r="D330" i="57"/>
  <c r="E330" i="57" s="1"/>
  <c r="C1054" i="57"/>
  <c r="D1053" i="57"/>
  <c r="E1053" i="57" s="1"/>
  <c r="D692" i="57"/>
  <c r="E692" i="57" s="1"/>
  <c r="C693" i="57"/>
  <c r="D692" i="56" l="1"/>
  <c r="E692" i="56" s="1"/>
  <c r="C693" i="56"/>
  <c r="D331" i="56"/>
  <c r="E331" i="56" s="1"/>
  <c r="C332" i="56"/>
  <c r="D1054" i="57"/>
  <c r="E1054" i="57" s="1"/>
  <c r="C1055" i="57"/>
  <c r="D331" i="57"/>
  <c r="E331" i="57" s="1"/>
  <c r="C332" i="57"/>
  <c r="D693" i="57"/>
  <c r="E693" i="57" s="1"/>
  <c r="C694" i="57"/>
  <c r="C694" i="56" l="1"/>
  <c r="D693" i="56"/>
  <c r="E693" i="56" s="1"/>
  <c r="C333" i="56"/>
  <c r="D332" i="56"/>
  <c r="E332" i="56" s="1"/>
  <c r="C1056" i="57"/>
  <c r="D1055" i="57"/>
  <c r="E1055" i="57" s="1"/>
  <c r="C333" i="57"/>
  <c r="D332" i="57"/>
  <c r="E332" i="57" s="1"/>
  <c r="D694" i="57"/>
  <c r="E694" i="57" s="1"/>
  <c r="C695" i="57"/>
  <c r="D333" i="56" l="1"/>
  <c r="E333" i="56" s="1"/>
  <c r="C334" i="56"/>
  <c r="D694" i="56"/>
  <c r="E694" i="56" s="1"/>
  <c r="C695" i="56"/>
  <c r="D333" i="57"/>
  <c r="E333" i="57" s="1"/>
  <c r="C334" i="57"/>
  <c r="D1056" i="57"/>
  <c r="E1056" i="57" s="1"/>
  <c r="C1057" i="57"/>
  <c r="D695" i="57"/>
  <c r="E695" i="57" s="1"/>
  <c r="C696" i="57"/>
  <c r="D334" i="56" l="1"/>
  <c r="E334" i="56" s="1"/>
  <c r="C335" i="56"/>
  <c r="C696" i="56"/>
  <c r="D695" i="56"/>
  <c r="E695" i="56" s="1"/>
  <c r="C335" i="57"/>
  <c r="D334" i="57"/>
  <c r="E334" i="57" s="1"/>
  <c r="C1058" i="57"/>
  <c r="D1057" i="57"/>
  <c r="E1057" i="57" s="1"/>
  <c r="D696" i="57"/>
  <c r="E696" i="57" s="1"/>
  <c r="C697" i="57"/>
  <c r="D696" i="56" l="1"/>
  <c r="E696" i="56" s="1"/>
  <c r="C697" i="56"/>
  <c r="C336" i="56"/>
  <c r="D335" i="56"/>
  <c r="E335" i="56" s="1"/>
  <c r="D1058" i="57"/>
  <c r="E1058" i="57" s="1"/>
  <c r="C1059" i="57"/>
  <c r="D335" i="57"/>
  <c r="E335" i="57" s="1"/>
  <c r="C336" i="57"/>
  <c r="D697" i="57"/>
  <c r="E697" i="57" s="1"/>
  <c r="C698" i="57"/>
  <c r="C337" i="56" l="1"/>
  <c r="D336" i="56"/>
  <c r="E336" i="56" s="1"/>
  <c r="C698" i="56"/>
  <c r="D697" i="56"/>
  <c r="E697" i="56" s="1"/>
  <c r="C1060" i="57"/>
  <c r="D1059" i="57"/>
  <c r="E1059" i="57" s="1"/>
  <c r="C337" i="57"/>
  <c r="D336" i="57"/>
  <c r="E336" i="57" s="1"/>
  <c r="D698" i="57"/>
  <c r="E698" i="57" s="1"/>
  <c r="C699" i="57"/>
  <c r="D698" i="56" l="1"/>
  <c r="E698" i="56" s="1"/>
  <c r="C699" i="56"/>
  <c r="C338" i="56"/>
  <c r="D337" i="56"/>
  <c r="E337" i="56" s="1"/>
  <c r="D337" i="57"/>
  <c r="E337" i="57" s="1"/>
  <c r="C338" i="57"/>
  <c r="D1060" i="57"/>
  <c r="E1060" i="57" s="1"/>
  <c r="C1061" i="57"/>
  <c r="D699" i="57"/>
  <c r="E699" i="57" s="1"/>
  <c r="C700" i="57"/>
  <c r="D338" i="56" l="1"/>
  <c r="E338" i="56" s="1"/>
  <c r="C339" i="56"/>
  <c r="C700" i="56"/>
  <c r="D699" i="56"/>
  <c r="E699" i="56" s="1"/>
  <c r="C339" i="57"/>
  <c r="D338" i="57"/>
  <c r="E338" i="57" s="1"/>
  <c r="C1062" i="57"/>
  <c r="D1061" i="57"/>
  <c r="E1061" i="57" s="1"/>
  <c r="D700" i="57"/>
  <c r="E700" i="57" s="1"/>
  <c r="C701" i="57"/>
  <c r="D700" i="56" l="1"/>
  <c r="E700" i="56" s="1"/>
  <c r="C701" i="56"/>
  <c r="D339" i="56"/>
  <c r="E339" i="56" s="1"/>
  <c r="C340" i="56"/>
  <c r="D1062" i="57"/>
  <c r="E1062" i="57" s="1"/>
  <c r="C1063" i="57"/>
  <c r="D339" i="57"/>
  <c r="E339" i="57" s="1"/>
  <c r="C340" i="57"/>
  <c r="D701" i="57"/>
  <c r="E701" i="57" s="1"/>
  <c r="C702" i="57"/>
  <c r="C702" i="56" l="1"/>
  <c r="D701" i="56"/>
  <c r="E701" i="56" s="1"/>
  <c r="C341" i="56"/>
  <c r="D340" i="56"/>
  <c r="E340" i="56" s="1"/>
  <c r="C1064" i="57"/>
  <c r="D1063" i="57"/>
  <c r="E1063" i="57" s="1"/>
  <c r="C341" i="57"/>
  <c r="D340" i="57"/>
  <c r="E340" i="57" s="1"/>
  <c r="D702" i="57"/>
  <c r="E702" i="57" s="1"/>
  <c r="C703" i="57"/>
  <c r="D341" i="56" l="1"/>
  <c r="E341" i="56" s="1"/>
  <c r="C342" i="56"/>
  <c r="D702" i="56"/>
  <c r="E702" i="56" s="1"/>
  <c r="C703" i="56"/>
  <c r="D341" i="57"/>
  <c r="E341" i="57" s="1"/>
  <c r="C342" i="57"/>
  <c r="D1064" i="57"/>
  <c r="E1064" i="57" s="1"/>
  <c r="C1065" i="57"/>
  <c r="D703" i="57"/>
  <c r="E703" i="57" s="1"/>
  <c r="C704" i="57"/>
  <c r="D342" i="56" l="1"/>
  <c r="E342" i="56" s="1"/>
  <c r="C343" i="56"/>
  <c r="C704" i="56"/>
  <c r="D703" i="56"/>
  <c r="E703" i="56" s="1"/>
  <c r="C343" i="57"/>
  <c r="D342" i="57"/>
  <c r="E342" i="57" s="1"/>
  <c r="C1066" i="57"/>
  <c r="D1065" i="57"/>
  <c r="E1065" i="57" s="1"/>
  <c r="D704" i="57"/>
  <c r="E704" i="57" s="1"/>
  <c r="C705" i="57"/>
  <c r="C344" i="56" l="1"/>
  <c r="D343" i="56"/>
  <c r="E343" i="56" s="1"/>
  <c r="D704" i="56"/>
  <c r="E704" i="56" s="1"/>
  <c r="C705" i="56"/>
  <c r="D343" i="57"/>
  <c r="E343" i="57" s="1"/>
  <c r="C344" i="57"/>
  <c r="D1066" i="57"/>
  <c r="E1066" i="57" s="1"/>
  <c r="C1067" i="57"/>
  <c r="D705" i="57"/>
  <c r="E705" i="57" s="1"/>
  <c r="C706" i="57"/>
  <c r="C345" i="56" l="1"/>
  <c r="D344" i="56"/>
  <c r="E344" i="56" s="1"/>
  <c r="C706" i="56"/>
  <c r="D705" i="56"/>
  <c r="E705" i="56" s="1"/>
  <c r="C345" i="57"/>
  <c r="D344" i="57"/>
  <c r="E344" i="57" s="1"/>
  <c r="C1068" i="57"/>
  <c r="D1067" i="57"/>
  <c r="E1067" i="57" s="1"/>
  <c r="D706" i="57"/>
  <c r="E706" i="57" s="1"/>
  <c r="C707" i="57"/>
  <c r="D706" i="56" l="1"/>
  <c r="E706" i="56" s="1"/>
  <c r="C707" i="56"/>
  <c r="C346" i="56"/>
  <c r="D345" i="56"/>
  <c r="E345" i="56" s="1"/>
  <c r="D1068" i="57"/>
  <c r="E1068" i="57" s="1"/>
  <c r="C1069" i="57"/>
  <c r="D345" i="57"/>
  <c r="E345" i="57" s="1"/>
  <c r="C346" i="57"/>
  <c r="D707" i="57"/>
  <c r="E707" i="57" s="1"/>
  <c r="C708" i="57"/>
  <c r="D346" i="56" l="1"/>
  <c r="E346" i="56" s="1"/>
  <c r="C347" i="56"/>
  <c r="C708" i="56"/>
  <c r="D707" i="56"/>
  <c r="E707" i="56" s="1"/>
  <c r="C1070" i="57"/>
  <c r="D1069" i="57"/>
  <c r="E1069" i="57" s="1"/>
  <c r="C347" i="57"/>
  <c r="D346" i="57"/>
  <c r="E346" i="57" s="1"/>
  <c r="D708" i="57"/>
  <c r="E708" i="57" s="1"/>
  <c r="C709" i="57"/>
  <c r="D347" i="56" l="1"/>
  <c r="E347" i="56" s="1"/>
  <c r="C348" i="56"/>
  <c r="D708" i="56"/>
  <c r="E708" i="56" s="1"/>
  <c r="C709" i="56"/>
  <c r="D347" i="57"/>
  <c r="E347" i="57" s="1"/>
  <c r="C348" i="57"/>
  <c r="D1070" i="57"/>
  <c r="E1070" i="57" s="1"/>
  <c r="C1071" i="57"/>
  <c r="D709" i="57"/>
  <c r="E709" i="57" s="1"/>
  <c r="C710" i="57"/>
  <c r="C349" i="56" l="1"/>
  <c r="D348" i="56"/>
  <c r="E348" i="56" s="1"/>
  <c r="C710" i="56"/>
  <c r="D709" i="56"/>
  <c r="E709" i="56" s="1"/>
  <c r="C349" i="57"/>
  <c r="D348" i="57"/>
  <c r="E348" i="57" s="1"/>
  <c r="C1072" i="57"/>
  <c r="D1071" i="57"/>
  <c r="E1071" i="57" s="1"/>
  <c r="D710" i="57"/>
  <c r="E710" i="57" s="1"/>
  <c r="C711" i="57"/>
  <c r="D349" i="56" l="1"/>
  <c r="E349" i="56" s="1"/>
  <c r="C350" i="56"/>
  <c r="D710" i="56"/>
  <c r="E710" i="56" s="1"/>
  <c r="C711" i="56"/>
  <c r="D1072" i="57"/>
  <c r="E1072" i="57" s="1"/>
  <c r="C1073" i="57"/>
  <c r="D349" i="57"/>
  <c r="E349" i="57" s="1"/>
  <c r="C350" i="57"/>
  <c r="D711" i="57"/>
  <c r="E711" i="57" s="1"/>
  <c r="C712" i="57"/>
  <c r="D350" i="56" l="1"/>
  <c r="E350" i="56" s="1"/>
  <c r="C351" i="56"/>
  <c r="C712" i="56"/>
  <c r="D711" i="56"/>
  <c r="E711" i="56" s="1"/>
  <c r="C1074" i="57"/>
  <c r="D1073" i="57"/>
  <c r="E1073" i="57" s="1"/>
  <c r="C351" i="57"/>
  <c r="D350" i="57"/>
  <c r="E350" i="57" s="1"/>
  <c r="D712" i="57"/>
  <c r="E712" i="57" s="1"/>
  <c r="C713" i="57"/>
  <c r="D712" i="56" l="1"/>
  <c r="E712" i="56" s="1"/>
  <c r="C713" i="56"/>
  <c r="C352" i="56"/>
  <c r="D351" i="56"/>
  <c r="E351" i="56" s="1"/>
  <c r="D351" i="57"/>
  <c r="E351" i="57" s="1"/>
  <c r="C352" i="57"/>
  <c r="D1074" i="57"/>
  <c r="E1074" i="57" s="1"/>
  <c r="C1075" i="57"/>
  <c r="D713" i="57"/>
  <c r="E713" i="57" s="1"/>
  <c r="C714" i="57"/>
  <c r="C353" i="56" l="1"/>
  <c r="D352" i="56"/>
  <c r="E352" i="56" s="1"/>
  <c r="C714" i="56"/>
  <c r="D713" i="56"/>
  <c r="E713" i="56" s="1"/>
  <c r="C353" i="57"/>
  <c r="D352" i="57"/>
  <c r="E352" i="57" s="1"/>
  <c r="C1076" i="57"/>
  <c r="D1075" i="57"/>
  <c r="E1075" i="57" s="1"/>
  <c r="D714" i="57"/>
  <c r="E714" i="57" s="1"/>
  <c r="C715" i="57"/>
  <c r="D714" i="56" l="1"/>
  <c r="E714" i="56" s="1"/>
  <c r="C715" i="56"/>
  <c r="C354" i="56"/>
  <c r="D353" i="56"/>
  <c r="E353" i="56" s="1"/>
  <c r="D1076" i="57"/>
  <c r="E1076" i="57" s="1"/>
  <c r="C1077" i="57"/>
  <c r="D353" i="57"/>
  <c r="E353" i="57" s="1"/>
  <c r="C354" i="57"/>
  <c r="D715" i="57"/>
  <c r="E715" i="57" s="1"/>
  <c r="C716" i="57"/>
  <c r="C716" i="56" l="1"/>
  <c r="D715" i="56"/>
  <c r="E715" i="56" s="1"/>
  <c r="D354" i="56"/>
  <c r="E354" i="56" s="1"/>
  <c r="C355" i="56"/>
  <c r="C1078" i="57"/>
  <c r="D1077" i="57"/>
  <c r="E1077" i="57" s="1"/>
  <c r="C355" i="57"/>
  <c r="D354" i="57"/>
  <c r="E354" i="57" s="1"/>
  <c r="D716" i="57"/>
  <c r="E716" i="57" s="1"/>
  <c r="C717" i="57"/>
  <c r="D716" i="56" l="1"/>
  <c r="E716" i="56" s="1"/>
  <c r="C717" i="56"/>
  <c r="D355" i="56"/>
  <c r="E355" i="56" s="1"/>
  <c r="C356" i="56"/>
  <c r="D355" i="57"/>
  <c r="E355" i="57" s="1"/>
  <c r="C356" i="57"/>
  <c r="D1078" i="57"/>
  <c r="E1078" i="57" s="1"/>
  <c r="C1079" i="57"/>
  <c r="D717" i="57"/>
  <c r="E717" i="57" s="1"/>
  <c r="C718" i="57"/>
  <c r="C718" i="56" l="1"/>
  <c r="D717" i="56"/>
  <c r="E717" i="56" s="1"/>
  <c r="C357" i="56"/>
  <c r="D356" i="56"/>
  <c r="E356" i="56" s="1"/>
  <c r="C1080" i="57"/>
  <c r="D1079" i="57"/>
  <c r="E1079" i="57" s="1"/>
  <c r="C357" i="57"/>
  <c r="D356" i="57"/>
  <c r="E356" i="57" s="1"/>
  <c r="D718" i="57"/>
  <c r="E718" i="57" s="1"/>
  <c r="C719" i="57"/>
  <c r="D718" i="56" l="1"/>
  <c r="E718" i="56" s="1"/>
  <c r="C719" i="56"/>
  <c r="D357" i="56"/>
  <c r="E357" i="56" s="1"/>
  <c r="C358" i="56"/>
  <c r="D357" i="57"/>
  <c r="E357" i="57" s="1"/>
  <c r="C358" i="57"/>
  <c r="D1080" i="57"/>
  <c r="E1080" i="57" s="1"/>
  <c r="C1081" i="57"/>
  <c r="D719" i="57"/>
  <c r="E719" i="57" s="1"/>
  <c r="C720" i="57"/>
  <c r="C720" i="56" l="1"/>
  <c r="D719" i="56"/>
  <c r="E719" i="56" s="1"/>
  <c r="D358" i="56"/>
  <c r="E358" i="56" s="1"/>
  <c r="C359" i="56"/>
  <c r="C359" i="57"/>
  <c r="D358" i="57"/>
  <c r="E358" i="57" s="1"/>
  <c r="C1082" i="57"/>
  <c r="D1081" i="57"/>
  <c r="E1081" i="57" s="1"/>
  <c r="D720" i="57"/>
  <c r="E720" i="57" s="1"/>
  <c r="C721" i="57"/>
  <c r="D720" i="56" l="1"/>
  <c r="E720" i="56" s="1"/>
  <c r="C721" i="56"/>
  <c r="C360" i="56"/>
  <c r="D359" i="56"/>
  <c r="E359" i="56" s="1"/>
  <c r="D359" i="57"/>
  <c r="E359" i="57" s="1"/>
  <c r="C360" i="57"/>
  <c r="D1082" i="57"/>
  <c r="E1082" i="57" s="1"/>
  <c r="C1083" i="57"/>
  <c r="D721" i="57"/>
  <c r="E721" i="57" s="1"/>
  <c r="C722" i="57"/>
  <c r="C722" i="56" l="1"/>
  <c r="D721" i="56"/>
  <c r="E721" i="56" s="1"/>
  <c r="C361" i="56"/>
  <c r="D360" i="56"/>
  <c r="E360" i="56" s="1"/>
  <c r="C361" i="57"/>
  <c r="D360" i="57"/>
  <c r="E360" i="57" s="1"/>
  <c r="C1084" i="57"/>
  <c r="D1083" i="57"/>
  <c r="E1083" i="57" s="1"/>
  <c r="D722" i="57"/>
  <c r="E722" i="57" s="1"/>
  <c r="C723" i="57"/>
  <c r="C362" i="56" l="1"/>
  <c r="D361" i="56"/>
  <c r="E361" i="56" s="1"/>
  <c r="D722" i="56"/>
  <c r="E722" i="56" s="1"/>
  <c r="C723" i="56"/>
  <c r="D1084" i="57"/>
  <c r="E1084" i="57" s="1"/>
  <c r="C1085" i="57"/>
  <c r="D361" i="57"/>
  <c r="E361" i="57" s="1"/>
  <c r="C362" i="57"/>
  <c r="D723" i="57"/>
  <c r="E723" i="57" s="1"/>
  <c r="C724" i="57"/>
  <c r="D362" i="56" l="1"/>
  <c r="E362" i="56" s="1"/>
  <c r="C363" i="56"/>
  <c r="D363" i="56" s="1"/>
  <c r="E363" i="56" s="1"/>
  <c r="C724" i="56"/>
  <c r="D723" i="56"/>
  <c r="E723" i="56" s="1"/>
  <c r="C1086" i="57"/>
  <c r="D1085" i="57"/>
  <c r="E1085" i="57" s="1"/>
  <c r="C363" i="57"/>
  <c r="D363" i="57" s="1"/>
  <c r="E363" i="57" s="1"/>
  <c r="D362" i="57"/>
  <c r="E362" i="57" s="1"/>
  <c r="D724" i="57"/>
  <c r="E724" i="57" s="1"/>
  <c r="C725" i="57"/>
  <c r="D725" i="57" s="1"/>
  <c r="E725" i="57" s="1"/>
  <c r="D724" i="56" l="1"/>
  <c r="E724" i="56" s="1"/>
  <c r="C725" i="56"/>
  <c r="D725" i="56" s="1"/>
  <c r="D1086" i="57"/>
  <c r="E1086" i="57" s="1"/>
  <c r="C1087" i="57"/>
  <c r="D1087" i="57" s="1"/>
  <c r="E725" i="56" l="1"/>
  <c r="E2" i="52"/>
  <c r="E1087" i="57"/>
  <c r="D2" i="52"/>
</calcChain>
</file>

<file path=xl/sharedStrings.xml><?xml version="1.0" encoding="utf-8"?>
<sst xmlns="http://schemas.openxmlformats.org/spreadsheetml/2006/main" count="5164" uniqueCount="2207">
  <si>
    <t>NIT</t>
  </si>
  <si>
    <t>RazonSocial</t>
  </si>
  <si>
    <t>Sigla</t>
  </si>
  <si>
    <t>IdTipoSociedad</t>
  </si>
  <si>
    <t>ObjetoSocial</t>
  </si>
  <si>
    <t>RepresentanteLegal</t>
  </si>
  <si>
    <t>Cargo</t>
  </si>
  <si>
    <t>IdCiudad</t>
  </si>
  <si>
    <t>Direccion</t>
  </si>
  <si>
    <t>Telefono</t>
  </si>
  <si>
    <t>Fax</t>
  </si>
  <si>
    <t>AA</t>
  </si>
  <si>
    <t>NumMatricula</t>
  </si>
  <si>
    <t>Email</t>
  </si>
  <si>
    <t>Website</t>
  </si>
  <si>
    <t>FechaFundacion</t>
  </si>
  <si>
    <t>Ley1116</t>
  </si>
  <si>
    <t>ListaClinton</t>
  </si>
  <si>
    <t>Ciiu</t>
  </si>
  <si>
    <t>Importador</t>
  </si>
  <si>
    <t>Exportador</t>
  </si>
  <si>
    <t>RevisorFiscal</t>
  </si>
  <si>
    <t>IdFuente</t>
  </si>
  <si>
    <t>Sector</t>
  </si>
  <si>
    <t>Concepto</t>
  </si>
  <si>
    <t>Moneda</t>
  </si>
  <si>
    <t>NombreMoneda</t>
  </si>
  <si>
    <t>IdPais</t>
  </si>
  <si>
    <t>Pais</t>
  </si>
  <si>
    <t>CedulaAccionista</t>
  </si>
  <si>
    <t>NombreAccionista</t>
  </si>
  <si>
    <t>ParticipacionAccionista</t>
  </si>
  <si>
    <t>IdTipoDocumento</t>
  </si>
  <si>
    <t>Nit</t>
  </si>
  <si>
    <t>NombreJunta</t>
  </si>
  <si>
    <t>DocumentoJunta</t>
  </si>
  <si>
    <t>CargoJunta</t>
  </si>
  <si>
    <t>IdTipoEjecutivo</t>
  </si>
  <si>
    <t>IdCuenta</t>
  </si>
  <si>
    <t>Anio</t>
  </si>
  <si>
    <t>Valor</t>
  </si>
  <si>
    <t>Valor2</t>
  </si>
  <si>
    <t>Comentario</t>
  </si>
  <si>
    <t>Niif</t>
  </si>
  <si>
    <t>Parcial</t>
  </si>
  <si>
    <t>Meses</t>
  </si>
  <si>
    <t>False</t>
  </si>
  <si>
    <t>Razon Social</t>
  </si>
  <si>
    <t>FechaFundacion(dd-mm-aaaa)</t>
  </si>
  <si>
    <t>InformacionGeneral</t>
  </si>
  <si>
    <t>Accionistas</t>
  </si>
  <si>
    <t>Juntas</t>
  </si>
  <si>
    <t>Balance</t>
  </si>
  <si>
    <t>BalanceParcial</t>
  </si>
  <si>
    <t>Tasa</t>
  </si>
  <si>
    <t>Tipo de Sociedad</t>
  </si>
  <si>
    <t>Validaciones</t>
  </si>
  <si>
    <t>Objeto Social</t>
  </si>
  <si>
    <t>Consolidado</t>
  </si>
  <si>
    <t>01</t>
  </si>
  <si>
    <t>Enero</t>
  </si>
  <si>
    <t>Representante Legal</t>
  </si>
  <si>
    <t>02</t>
  </si>
  <si>
    <t>Febrero</t>
  </si>
  <si>
    <t>03</t>
  </si>
  <si>
    <t>Marzo</t>
  </si>
  <si>
    <t>Ciudad</t>
  </si>
  <si>
    <t>04</t>
  </si>
  <si>
    <t>Abril</t>
  </si>
  <si>
    <t>05</t>
  </si>
  <si>
    <t>Mayo</t>
  </si>
  <si>
    <t>06</t>
  </si>
  <si>
    <t>Junio</t>
  </si>
  <si>
    <t>07</t>
  </si>
  <si>
    <t>Julio</t>
  </si>
  <si>
    <t>Matricula Mercantil</t>
  </si>
  <si>
    <t>08</t>
  </si>
  <si>
    <t>Agosto</t>
  </si>
  <si>
    <t>09</t>
  </si>
  <si>
    <t>Septiembre</t>
  </si>
  <si>
    <t>10</t>
  </si>
  <si>
    <t>Octubre</t>
  </si>
  <si>
    <t>11</t>
  </si>
  <si>
    <t>Noviembre</t>
  </si>
  <si>
    <t>12</t>
  </si>
  <si>
    <t>Diciembre</t>
  </si>
  <si>
    <t>Descripción Ciiu</t>
  </si>
  <si>
    <t>Calificacion Marc</t>
  </si>
  <si>
    <t>Garantias</t>
  </si>
  <si>
    <t>Regional</t>
  </si>
  <si>
    <t>Ejecutivo de Cuenta</t>
  </si>
  <si>
    <t>Grupo Economico</t>
  </si>
  <si>
    <t>Antecedentes</t>
  </si>
  <si>
    <t>Fact Éxito</t>
  </si>
  <si>
    <t>Fact Riesgo</t>
  </si>
  <si>
    <t>Ciclicidad</t>
  </si>
  <si>
    <t>Exportaciones</t>
  </si>
  <si>
    <t>Part. Expor</t>
  </si>
  <si>
    <t>Importaciones</t>
  </si>
  <si>
    <t>Part. Impor</t>
  </si>
  <si>
    <t>Participacion Sector</t>
  </si>
  <si>
    <t>Pais Mas CE</t>
  </si>
  <si>
    <t>Capacidad Utilizada</t>
  </si>
  <si>
    <t>Vigencia Sociedad</t>
  </si>
  <si>
    <t>Calificación Riesgo Externo</t>
  </si>
  <si>
    <t>OnservacionesDetalle OP LP</t>
  </si>
  <si>
    <t>Productos</t>
  </si>
  <si>
    <t>Clientes</t>
  </si>
  <si>
    <t>Proveedores</t>
  </si>
  <si>
    <t>Competencia</t>
  </si>
  <si>
    <t>Producto</t>
  </si>
  <si>
    <t>Participacion</t>
  </si>
  <si>
    <t>Cliente</t>
  </si>
  <si>
    <t>PartVentas</t>
  </si>
  <si>
    <t>NombrePrv</t>
  </si>
  <si>
    <t>Se acumula negativa en 529900</t>
  </si>
  <si>
    <t>Se acumula negativa en 539595</t>
  </si>
  <si>
    <t>Se acumula negativa en 98</t>
  </si>
  <si>
    <t>Se acumula en 181000</t>
  </si>
  <si>
    <t>Se acumula en 340505</t>
  </si>
  <si>
    <t>Validación Accionistas</t>
  </si>
  <si>
    <t>Competidores</t>
  </si>
  <si>
    <t>Llave</t>
  </si>
  <si>
    <t>TipoEmpresa</t>
  </si>
  <si>
    <t>Fuente</t>
  </si>
  <si>
    <t>Concordato</t>
  </si>
  <si>
    <t>CasaMatriz</t>
  </si>
  <si>
    <t>VigSociedad</t>
  </si>
  <si>
    <t>CalRiesgoEx</t>
  </si>
  <si>
    <t>CotBolsa</t>
  </si>
  <si>
    <t>IdGrupoEm</t>
  </si>
  <si>
    <t>EsCliente</t>
  </si>
  <si>
    <t>Comentarios</t>
  </si>
  <si>
    <t>IdSector</t>
  </si>
  <si>
    <t>IdSegmento</t>
  </si>
  <si>
    <t>GrupoEmpresarial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</si>
  <si>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</si>
  <si>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Documento</t>
  </si>
  <si>
    <t>Nombre</t>
  </si>
  <si>
    <t>TipoEjecutivo</t>
  </si>
  <si>
    <t>cedula</t>
  </si>
  <si>
    <t>nombre</t>
  </si>
  <si>
    <t>IdEmpresa</t>
  </si>
  <si>
    <t>IdGarantOpXRib</t>
  </si>
  <si>
    <t>NomGarantia</t>
  </si>
  <si>
    <t>DescGarantia</t>
  </si>
  <si>
    <t>IdGarantRib</t>
  </si>
  <si>
    <t>IdRib</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</si>
  <si>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</si>
  <si>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IDENTIFICACION</t>
  </si>
  <si>
    <t>TIPO_INDENTIFICACION</t>
  </si>
  <si>
    <t>NOMBRE_ENTIDAD</t>
  </si>
  <si>
    <t>CAL_COMERCIAL</t>
  </si>
  <si>
    <t>VAL_TOT_COMERCIAL</t>
  </si>
  <si>
    <t>PAR_COMERCIAL</t>
  </si>
  <si>
    <t>CAL_ARR_COMERCIAL</t>
  </si>
  <si>
    <t>PERIODO_TRIMESTRE</t>
  </si>
  <si>
    <t>PAR_ARRAS_COMERCIAL</t>
  </si>
  <si>
    <t>TIP_GARANTIA</t>
  </si>
  <si>
    <t>MONEDA</t>
  </si>
  <si>
    <t>IdOpTotXRib</t>
  </si>
  <si>
    <t>IdTiposLimites</t>
  </si>
  <si>
    <t>TiposLimite</t>
  </si>
  <si>
    <t>Observacion</t>
  </si>
  <si>
    <t>LineaCred</t>
  </si>
  <si>
    <t>OpePropuesta</t>
  </si>
  <si>
    <t>OpeSolicitados</t>
  </si>
  <si>
    <t>OpeAnterior</t>
  </si>
  <si>
    <t>DeudaActual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</si>
  <si>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</si>
  <si>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</si>
  <si>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IdMComercio</t>
  </si>
  <si>
    <t>PrCliente</t>
  </si>
  <si>
    <t>PartSector</t>
  </si>
  <si>
    <t>PricPaisExp</t>
  </si>
  <si>
    <t>PorcExp</t>
  </si>
  <si>
    <t>PricPaisImp</t>
  </si>
  <si>
    <t>PorcImpo</t>
  </si>
  <si>
    <t>IdIntalacionEmp</t>
  </si>
  <si>
    <t>Plantas</t>
  </si>
  <si>
    <t>CapUtilizada</t>
  </si>
  <si>
    <t>FechaCreacion</t>
  </si>
  <si>
    <t>IdCompetEmp</t>
  </si>
  <si>
    <t>IdProveedorEmp</t>
  </si>
  <si>
    <t>BienesPrv</t>
  </si>
  <si>
    <t>IdClienteEmp</t>
  </si>
  <si>
    <t>IdProducto</t>
  </si>
  <si>
    <t>Marca</t>
  </si>
  <si>
    <t>CodOficina</t>
  </si>
  <si>
    <t>Oficina</t>
  </si>
  <si>
    <t>CodPais</t>
  </si>
  <si>
    <t>CalMARC</t>
  </si>
  <si>
    <t>Usuario</t>
  </si>
  <si>
    <t>CiclicidadVentas</t>
  </si>
  <si>
    <t>PorcCiclicidad</t>
  </si>
  <si>
    <t>FacExito</t>
  </si>
  <si>
    <t>FacRiesgo</t>
  </si>
  <si>
    <t>Observaciones</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</si>
  <si>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</si>
  <si>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IdOpXRib</t>
  </si>
  <si>
    <t>IdOperaciones</t>
  </si>
  <si>
    <t>LimCredPropuesto</t>
  </si>
  <si>
    <t>SaldoActual</t>
  </si>
  <si>
    <t>IdRIB</t>
  </si>
  <si>
    <t>GarantPresentacion</t>
  </si>
  <si>
    <t>NUevaGarantia</t>
  </si>
  <si>
    <t>Maqueta de analisis y actualización de información empresarial en Gestor MARC II</t>
  </si>
  <si>
    <t>Documento No.</t>
  </si>
  <si>
    <t>Razón Social</t>
  </si>
  <si>
    <t>Actividad Económica</t>
  </si>
  <si>
    <t>País:</t>
  </si>
  <si>
    <t>Fecha de Presentación:</t>
  </si>
  <si>
    <t>Vigencia Actual:</t>
  </si>
  <si>
    <t>Filial:</t>
  </si>
  <si>
    <t>Vigencia Propuesta:</t>
  </si>
  <si>
    <t>Acta Aprobación:</t>
  </si>
  <si>
    <t>Calificación CIR:</t>
  </si>
  <si>
    <t>Instancia Aprobación:</t>
  </si>
  <si>
    <t>Estudiado por:</t>
  </si>
  <si>
    <t>COMPOSICIÓN ACCIONARIA</t>
  </si>
  <si>
    <t>OPERACIONES</t>
  </si>
  <si>
    <t>LÍMITES PROPUESTOS</t>
  </si>
  <si>
    <t>LÍMITES VIGENTES</t>
  </si>
  <si>
    <t>SALDO ACTUAL</t>
  </si>
  <si>
    <t>PLAZO</t>
  </si>
  <si>
    <t>GARANTIAS</t>
  </si>
  <si>
    <t>DESTINO</t>
  </si>
  <si>
    <t>Participación</t>
  </si>
  <si>
    <t>Total</t>
  </si>
  <si>
    <t>TOTAL</t>
  </si>
  <si>
    <t>JUNTA DIRECTIVA</t>
  </si>
  <si>
    <t>Ejecutivo de cuenta</t>
  </si>
  <si>
    <t>Sector Davivienda Completo:</t>
  </si>
  <si>
    <t>CIIU:</t>
  </si>
  <si>
    <t>Macrosector:</t>
  </si>
  <si>
    <t>Grupo Económico:</t>
  </si>
  <si>
    <t>Subsector:</t>
  </si>
  <si>
    <t>Actividad Económica:</t>
  </si>
  <si>
    <t>Sector:</t>
  </si>
  <si>
    <t>BREVE DESCRIPCIÓN DE LO QUE HACE LA EMPRESA</t>
  </si>
  <si>
    <t>Constitución:</t>
  </si>
  <si>
    <t>Representante Legal:</t>
  </si>
  <si>
    <t>Auditor:</t>
  </si>
  <si>
    <t>Observaciones Riesgo Ambiental</t>
  </si>
  <si>
    <t>No. de Empleados</t>
  </si>
  <si>
    <t>Administrativos</t>
  </si>
  <si>
    <t>De Ventas</t>
  </si>
  <si>
    <t>De Planta</t>
  </si>
  <si>
    <t>Total Empleados</t>
  </si>
  <si>
    <t>OBSERVACIONES</t>
  </si>
  <si>
    <t>Principales Productos y Participación %:</t>
  </si>
  <si>
    <t>Principales Proveedores y participación %:</t>
  </si>
  <si>
    <t>Principales Clientes y participación %:</t>
  </si>
  <si>
    <t>Competencia y participación de mercado %:</t>
  </si>
  <si>
    <t>LÍNEA DE CRÉDITO ROTATIVA</t>
  </si>
  <si>
    <t>CUPO MULTIDESTINO</t>
  </si>
  <si>
    <t>CUPO DE FINANCIAMIENTO DE CUENTAS POR COBRAR</t>
  </si>
  <si>
    <t>TARJETA DE CRÉDITO</t>
  </si>
  <si>
    <t>SOBREGIRO</t>
  </si>
  <si>
    <t>CREDINEGOCIO</t>
  </si>
  <si>
    <t>COMPRA DE DIVISAS</t>
  </si>
  <si>
    <t>LIBERACIÓN DE FONDOS</t>
  </si>
  <si>
    <t>PRÉSTAMO DECRECIENTE</t>
  </si>
  <si>
    <t>LINEAS DE CREDITO NO ROTATIVA</t>
  </si>
  <si>
    <t>GARANTÍAS BANCARIAS /SBLC</t>
  </si>
  <si>
    <t>INTERINO DE CONSTRUCCIÓN</t>
  </si>
  <si>
    <t>OTROS</t>
  </si>
  <si>
    <t>Macrosector</t>
  </si>
  <si>
    <t>Subsector</t>
  </si>
  <si>
    <t>Agricultura / Agropecuario / Agropecuario Primario</t>
  </si>
  <si>
    <t>Agricultura</t>
  </si>
  <si>
    <t>Agropecuario</t>
  </si>
  <si>
    <t>Agropecuario Primario</t>
  </si>
  <si>
    <t>Agricultura / Agropecuario / Banano y Plátano</t>
  </si>
  <si>
    <t>Banano y Plátano</t>
  </si>
  <si>
    <t>Agricultura / Agropecuario / Flores</t>
  </si>
  <si>
    <t>Flores</t>
  </si>
  <si>
    <t>Agricultura / Agropecuario / Frutales</t>
  </si>
  <si>
    <t>Frutales</t>
  </si>
  <si>
    <t>Agricultura / Agropecuario / Hortalizas</t>
  </si>
  <si>
    <t>Hortalizas</t>
  </si>
  <si>
    <t>Agricultura / Agropecuario / Piscícola</t>
  </si>
  <si>
    <t>Piscícola</t>
  </si>
  <si>
    <t>Agricultura / Arroz / Cultivo de Arroz</t>
  </si>
  <si>
    <t>Arroz</t>
  </si>
  <si>
    <t>Cultivo de Arroz</t>
  </si>
  <si>
    <t>Agricultura / Azúcar / Panela</t>
  </si>
  <si>
    <t>Azúcar</t>
  </si>
  <si>
    <t>Panela</t>
  </si>
  <si>
    <t>Agricultura / Azúcar / Producción de Caña</t>
  </si>
  <si>
    <t>Producción de Caña</t>
  </si>
  <si>
    <t>Agricultura / Café / Café</t>
  </si>
  <si>
    <t>Café</t>
  </si>
  <si>
    <t>Agricultura / Concentrados y Levante / Avícola</t>
  </si>
  <si>
    <t>Concentrados y Levante</t>
  </si>
  <si>
    <t>Avícola</t>
  </si>
  <si>
    <t>Agricultura / Concentrados y Levante / Porcícola</t>
  </si>
  <si>
    <t>Porcícola</t>
  </si>
  <si>
    <t>Agricultura / Ganadería / Cría, Levante y Ceba</t>
  </si>
  <si>
    <t>Ganadería</t>
  </si>
  <si>
    <t>Cría, Levante y Ceba</t>
  </si>
  <si>
    <t>Agricultura / Palma / Palma de aceite</t>
  </si>
  <si>
    <t>Palma</t>
  </si>
  <si>
    <t>Palma de aceite</t>
  </si>
  <si>
    <t>Alimentos / Ganadería / Lecherías</t>
  </si>
  <si>
    <t>Alimentos</t>
  </si>
  <si>
    <t>Lecherías</t>
  </si>
  <si>
    <t>Alimentos / Ganadería / Transformación de Carne</t>
  </si>
  <si>
    <t>Transformación de Carne</t>
  </si>
  <si>
    <t>Alimentos / Palma / Aceites y Grasas</t>
  </si>
  <si>
    <t>Aceites y Grasas</t>
  </si>
  <si>
    <t>Comercio / Alimentos Procesados / Productos Alimenticios</t>
  </si>
  <si>
    <t>Comercio</t>
  </si>
  <si>
    <t>Alimentos Procesados</t>
  </si>
  <si>
    <t>Productos Alimenticios</t>
  </si>
  <si>
    <t>Comercio / Café / CM Café</t>
  </si>
  <si>
    <t>CM Café</t>
  </si>
  <si>
    <t>Comercio / Combustibles y Lubricantes / Combustibles y Lubricantes</t>
  </si>
  <si>
    <t>Combustibles y Lubricantes</t>
  </si>
  <si>
    <t>Comercio / Comercio / Almacenes de Cadena</t>
  </si>
  <si>
    <t>Almacenes de Cadena</t>
  </si>
  <si>
    <t>Comercio / Comercio / CM Maquinaria y Equipos</t>
  </si>
  <si>
    <t>CM Maquinaria y Equipos</t>
  </si>
  <si>
    <t>Comercio / Comercio / CM Reciclaje</t>
  </si>
  <si>
    <t>CM Reciclaje</t>
  </si>
  <si>
    <t>Comercio / Comercio / Ferreterías</t>
  </si>
  <si>
    <t>Ferreterías</t>
  </si>
  <si>
    <t>Comercio / Comercio / Grandes Superficies</t>
  </si>
  <si>
    <t>Grandes Superficies</t>
  </si>
  <si>
    <t>Comercio / Comercio / Otros Productos Mayoristas</t>
  </si>
  <si>
    <t>Otros Productos Mayoristas</t>
  </si>
  <si>
    <t>Comercio / Comercio / Otros Productos Minoristas</t>
  </si>
  <si>
    <t>Otros Productos Minoristas</t>
  </si>
  <si>
    <t>Comercio / Comercio / Productos Agrícolas</t>
  </si>
  <si>
    <t>Productos Agrícolas</t>
  </si>
  <si>
    <t>Comercio / Comercio / Venta y financiación de electrodomésticos</t>
  </si>
  <si>
    <t>Venta y financiación de electrodomésticos</t>
  </si>
  <si>
    <t>Comercio / Hierro y Acero / CM Hierro y Acero</t>
  </si>
  <si>
    <t>Hierro y Acero</t>
  </si>
  <si>
    <t>CM Hierro y Acero</t>
  </si>
  <si>
    <t>Comercio / Medios y TV / CM Libros, Periódicos, Revistas y Afines</t>
  </si>
  <si>
    <t>Medios y TV</t>
  </si>
  <si>
    <t>CM Libros, Periódicos, Revistas y Afines</t>
  </si>
  <si>
    <t>Comercio / Quimicos y Derivados / Productos Químicos</t>
  </si>
  <si>
    <t>Quimicos y Derivados</t>
  </si>
  <si>
    <t>Productos Químicos</t>
  </si>
  <si>
    <t>Comercio / Salud / CM Medicamentos</t>
  </si>
  <si>
    <t>Salud</t>
  </si>
  <si>
    <t>CM Medicamentos</t>
  </si>
  <si>
    <t>Comercio / Textil y Confecciones / CM Calzado</t>
  </si>
  <si>
    <t>Textil y Confecciones</t>
  </si>
  <si>
    <t>CM Calzado</t>
  </si>
  <si>
    <t>Comercio / Textil y Confecciones / CM Confección</t>
  </si>
  <si>
    <t>CM Confección</t>
  </si>
  <si>
    <t>Comercio / Textil y Confecciones / CM Textil</t>
  </si>
  <si>
    <t>CM Textil</t>
  </si>
  <si>
    <t>Comercio / Vehículos / Autopartes y Repuestos</t>
  </si>
  <si>
    <t>Vehículos</t>
  </si>
  <si>
    <t>Autopartes y Repuestos</t>
  </si>
  <si>
    <t>Comercio / Vehículos / Vehículos</t>
  </si>
  <si>
    <t>Construcción / Construcciones y Edificaciones / Construcciones y Edificaciones</t>
  </si>
  <si>
    <t>Construcción</t>
  </si>
  <si>
    <t>Construcciones y Edificaciones</t>
  </si>
  <si>
    <t>Energía / Generación y Distribución de Energía / Distribución y Comercialización</t>
  </si>
  <si>
    <t>Energía</t>
  </si>
  <si>
    <t>Generación y Distribución de Energía</t>
  </si>
  <si>
    <t>Distribución y Comercialización</t>
  </si>
  <si>
    <t>Energía / Generación y Distribución de Energía / Generación de Energía</t>
  </si>
  <si>
    <t>Generación de Energía</t>
  </si>
  <si>
    <t>Energía / Generación y Distribución de Energía / Transmisión</t>
  </si>
  <si>
    <t>Transmisión</t>
  </si>
  <si>
    <t>Financiero / Servicios Financieros / Administradoras de Fondos de Inversión</t>
  </si>
  <si>
    <t>Financiero</t>
  </si>
  <si>
    <t>Servicios Financieros</t>
  </si>
  <si>
    <t>Administradoras de Fondos de Inversión</t>
  </si>
  <si>
    <t>Financiero / Servicios Financieros / Comisionistas y Corredores</t>
  </si>
  <si>
    <t>Comisionistas y Corredores</t>
  </si>
  <si>
    <t>Financiero / Servicios Financieros / Cooperativas</t>
  </si>
  <si>
    <t>Cooperativas</t>
  </si>
  <si>
    <t>Financiero / Servicios Financieros / Fondos Inmobiliarios</t>
  </si>
  <si>
    <t>Fondos Inmobiliarios</t>
  </si>
  <si>
    <t>Financiero / Servicios Financieros / Servicios Financieros</t>
  </si>
  <si>
    <t>Industrial / Alimentos Procesados / Alimentos Procesados y Bebidas</t>
  </si>
  <si>
    <t>Industrial</t>
  </si>
  <si>
    <t>Alimentos Procesados y Bebidas</t>
  </si>
  <si>
    <t>Industrial / Alimentos Procesados / Bebidas Alcohólicas</t>
  </si>
  <si>
    <t>Bebidas Alcohólicas</t>
  </si>
  <si>
    <t>Industrial / Arroz / Molinería</t>
  </si>
  <si>
    <t>Molinería</t>
  </si>
  <si>
    <t>Industrial / Azúcar / Ingenios Azucareros</t>
  </si>
  <si>
    <t>Ingenios Azucareros</t>
  </si>
  <si>
    <t>Industrial / Cemento y Concreto / Cemento y Concreto</t>
  </si>
  <si>
    <t>Cemento y Concreto</t>
  </si>
  <si>
    <t>Industrial / Concentrados y Levante / Alimentos Preparados para Animales</t>
  </si>
  <si>
    <t>Alimentos Preparados para Animales</t>
  </si>
  <si>
    <t>Industrial / Hierro y Acero / Metalmecánico</t>
  </si>
  <si>
    <t>Metalmecánico</t>
  </si>
  <si>
    <t>Industrial / Hierro y Acero / Producción Hierro y Acero</t>
  </si>
  <si>
    <t>Producción Hierro y Acero</t>
  </si>
  <si>
    <t>Industrial / Manufacturas Especiales / Cauchos y Derivados</t>
  </si>
  <si>
    <t>Manufacturas Especiales</t>
  </si>
  <si>
    <t>Cauchos y Derivados</t>
  </si>
  <si>
    <t>Industrial / Manufacturas Especiales / Electrodomésticos</t>
  </si>
  <si>
    <t>Electrodomésticos</t>
  </si>
  <si>
    <t>Industrial / Manufacturas Especiales / Fabricación de Maquinaria y Equipo</t>
  </si>
  <si>
    <t>Fabricación de Maquinaria y Equipo</t>
  </si>
  <si>
    <t>Industrial / Manufacturas Especiales / Manufacturas Especiales</t>
  </si>
  <si>
    <t>Industrial / Manufacturas Especiales / Materiales para Construcción</t>
  </si>
  <si>
    <t>Materiales para Construcción</t>
  </si>
  <si>
    <t>Industrial / Manufacturas Especiales / Reciclaje</t>
  </si>
  <si>
    <t>Reciclaje</t>
  </si>
  <si>
    <t>Industrial / Manufacturas Especiales / Tabaco</t>
  </si>
  <si>
    <t>Tabaco</t>
  </si>
  <si>
    <t>Industrial / Manufacturas Especiales / Vidrio y Derivados</t>
  </si>
  <si>
    <t>Vidrio y Derivados</t>
  </si>
  <si>
    <t>Industrial / Medios y TV / Impresión y Artes Graficas</t>
  </si>
  <si>
    <t>Impresión y Artes Graficas</t>
  </si>
  <si>
    <t>Industrial / Medios y TV / Periódicos y Publicaciones</t>
  </si>
  <si>
    <t>Periódicos y Publicaciones</t>
  </si>
  <si>
    <t>Industrial / Papel Carton y Empaques / Papel y Cartón</t>
  </si>
  <si>
    <t>Papel Carton y Empaques</t>
  </si>
  <si>
    <t>Papel y Cartón</t>
  </si>
  <si>
    <t>Industrial / Plásticos y Sintéticos / Plásticos y Sintéticos</t>
  </si>
  <si>
    <t>Plásticos y Sintéticos</t>
  </si>
  <si>
    <t>Industrial / Quimicos y Derivados / Línea Hogar y Aseo</t>
  </si>
  <si>
    <t>Línea Hogar y Aseo</t>
  </si>
  <si>
    <t>Industrial / Quimicos y Derivados / Pinturas y Tinturas</t>
  </si>
  <si>
    <t>Pinturas y Tinturas</t>
  </si>
  <si>
    <t>Industrial / Quimicos y Derivados / Químicos y Derivados</t>
  </si>
  <si>
    <t>Químicos y Derivados</t>
  </si>
  <si>
    <t>Industrial / Salud / Laboratorios Farmacéuticos</t>
  </si>
  <si>
    <t>Laboratorios Farmacéuticos</t>
  </si>
  <si>
    <t>Industrial / Vehículos / Autopartes y Carrocerías</t>
  </si>
  <si>
    <t>Autopartes y Carrocerías</t>
  </si>
  <si>
    <t>Industrial / Vehículos / Ensamblaje Automotriz</t>
  </si>
  <si>
    <t>Ensamblaje Automotriz</t>
  </si>
  <si>
    <t>Infraestructura / Ingeniería y Obras Civiles / Ingeniería y Obras Civiles</t>
  </si>
  <si>
    <t>Infraestructura</t>
  </si>
  <si>
    <t>Ingeniería y Obras Civiles</t>
  </si>
  <si>
    <t>Inversiones de Capitales / Servicios Financieros / Inversiones de Capitales</t>
  </si>
  <si>
    <t>Inversiones de Capitales</t>
  </si>
  <si>
    <t>Manufactura / Manufacturas Especiales / Maderas y Muebles</t>
  </si>
  <si>
    <t>Manufactura</t>
  </si>
  <si>
    <t>Maderas y Muebles</t>
  </si>
  <si>
    <t>Manufactura / Textil y Confecciones / Calzado</t>
  </si>
  <si>
    <t>Calzado</t>
  </si>
  <si>
    <t>Manufactura / Textil y Confecciones / Confección</t>
  </si>
  <si>
    <t>Confección</t>
  </si>
  <si>
    <t>Manufactura / Textil y Confecciones / Cuero, Curtiembre y Marroquinería</t>
  </si>
  <si>
    <t>Cuero, Curtiembre y Marroquinería</t>
  </si>
  <si>
    <t>Manufactura / Textil y Confecciones / Productos Textiles</t>
  </si>
  <si>
    <t>Productos Textiles</t>
  </si>
  <si>
    <t>Otros / Oficial / Entes Territoriales</t>
  </si>
  <si>
    <t>Otros</t>
  </si>
  <si>
    <t>Oficial</t>
  </si>
  <si>
    <t>Entes Territoriales</t>
  </si>
  <si>
    <t>Petróleo, Gas y Minería / Gas / Generación y Distribución de Gas</t>
  </si>
  <si>
    <t>Petróleo, Gas y Minería</t>
  </si>
  <si>
    <t>Gas</t>
  </si>
  <si>
    <t>Generación y Distribución de Gas</t>
  </si>
  <si>
    <t>Petróleo, Gas y Minería / Minería y Carbón / Minas y Carbón</t>
  </si>
  <si>
    <t>Minería y Carbón</t>
  </si>
  <si>
    <t>Minas y Carbón</t>
  </si>
  <si>
    <t>Petróleo, Gas y Minería / Minería y Carbón / Minería Básica</t>
  </si>
  <si>
    <t>Minería Básica</t>
  </si>
  <si>
    <t>Petróleo, Gas y Minería / Petróleo / Extracción Petrolera</t>
  </si>
  <si>
    <t>Petróleo</t>
  </si>
  <si>
    <t>Extracción Petrolera</t>
  </si>
  <si>
    <t>Servicios / Aduaneros y Logística / Operador Logístico y Aduanero</t>
  </si>
  <si>
    <t>Servicios</t>
  </si>
  <si>
    <t>Aduaneros y Logística</t>
  </si>
  <si>
    <t>Operador Logístico y Aduanero</t>
  </si>
  <si>
    <t>Servicios / Aduaneros y Logística / Puertos y Operadores Portuarios</t>
  </si>
  <si>
    <t>Puertos y Operadores Portuarios</t>
  </si>
  <si>
    <t>Servicios / Comunicaciones / Operadores Telefonía, Internet y TV</t>
  </si>
  <si>
    <t>Comunicaciones</t>
  </si>
  <si>
    <t>Operadores Telefonía, Internet y TV</t>
  </si>
  <si>
    <t>Servicios / Comunicaciones / Redes de Comunicación y Sistemas</t>
  </si>
  <si>
    <t>Redes de Comunicación y Sistemas</t>
  </si>
  <si>
    <t>Servicios / Educación / Educación</t>
  </si>
  <si>
    <t>Educación</t>
  </si>
  <si>
    <t>Servicios / Hotelería y Turismo / Hotelería y Turismo</t>
  </si>
  <si>
    <t>Hotelería y Turismo</t>
  </si>
  <si>
    <t>Servicios / Inmobiliarias / Inmobiliarias</t>
  </si>
  <si>
    <t>Inmobiliarias</t>
  </si>
  <si>
    <t>Servicios / Medios y TV / Radio y Televisión</t>
  </si>
  <si>
    <t>Radio y Televisión</t>
  </si>
  <si>
    <t>Servicios / Petróleo / Relacionadas Extracción Petrolera y Gas</t>
  </si>
  <si>
    <t>Relacionadas Extracción Petrolera y Gas</t>
  </si>
  <si>
    <t>Servicios / Salud / Salud</t>
  </si>
  <si>
    <t>Servicios / Servicios / Actividades de Limpieza</t>
  </si>
  <si>
    <t>Actividades de Limpieza</t>
  </si>
  <si>
    <t>Servicios / Servicios / Agencias de Viajes</t>
  </si>
  <si>
    <t>Agencias de Viajes</t>
  </si>
  <si>
    <t>Servicios / Servicios / Alquiler de Maquinaria y Equipo</t>
  </si>
  <si>
    <t>Alquiler de Maquinaria y Equipo</t>
  </si>
  <si>
    <t>Servicios / Servicios / Clubes, Restaurantes y Recreación</t>
  </si>
  <si>
    <t>Clubes, Restaurantes y Recreación</t>
  </si>
  <si>
    <t>Servicios / Servicios / Empresariales Especiales</t>
  </si>
  <si>
    <t>Empresariales Especiales</t>
  </si>
  <si>
    <t>Servicios / Servicios / Fondos de Empleados</t>
  </si>
  <si>
    <t>Fondos de Empleados</t>
  </si>
  <si>
    <t>Servicios / Servicios / Funerarios</t>
  </si>
  <si>
    <t>Funerarios</t>
  </si>
  <si>
    <t>Servicios / Servicios / Organizaciones Empresariales</t>
  </si>
  <si>
    <t>Organizaciones Empresariales</t>
  </si>
  <si>
    <t>Servicios / Servicios / Otros Servicios Personales</t>
  </si>
  <si>
    <t>Otros Servicios Personales</t>
  </si>
  <si>
    <t>Servicios / Servicios / Publicidad</t>
  </si>
  <si>
    <t>Publicidad</t>
  </si>
  <si>
    <t>Servicios / Servicios / Seguridad e Investigación</t>
  </si>
  <si>
    <t>Seguridad e Investigación</t>
  </si>
  <si>
    <t>Servicios / Servicios / Servicios de Acueducto y Aseo Público</t>
  </si>
  <si>
    <t>Servicios de Acueducto y Aseo Público</t>
  </si>
  <si>
    <t>Servicios / Servicios / Suministro de Personal</t>
  </si>
  <si>
    <t>Suministro de Personal</t>
  </si>
  <si>
    <t>Transporte / Aduaneros y Logística / Transporte Intermodal de Carga</t>
  </si>
  <si>
    <t>Transporte</t>
  </si>
  <si>
    <t>Transporte Intermodal de Carga</t>
  </si>
  <si>
    <t>Transporte / Transporte / Aéreo de Pasajeros</t>
  </si>
  <si>
    <t>Aéreo de Pasajeros</t>
  </si>
  <si>
    <t>Transporte / Transporte / Terrestre de Pasajeros</t>
  </si>
  <si>
    <t>Terrestre de Pasajeros</t>
  </si>
  <si>
    <t>Juntas Directivas</t>
  </si>
  <si>
    <t>Miembro Principal de Junta</t>
  </si>
  <si>
    <t>Nombre del Accionista</t>
  </si>
  <si>
    <t>Jerarquía</t>
  </si>
  <si>
    <t>Miembro Suplente de Junta</t>
  </si>
  <si>
    <t>Inventarios</t>
  </si>
  <si>
    <t>Dividendos</t>
  </si>
  <si>
    <t>LIQUIDEZ</t>
  </si>
  <si>
    <t>RENTABILIDAD</t>
  </si>
  <si>
    <t>Corte</t>
  </si>
  <si>
    <t>Información Anual</t>
  </si>
  <si>
    <t>Ultima Inf. Mensual Nueva</t>
  </si>
  <si>
    <t>Información Mensual Histórica</t>
  </si>
  <si>
    <t>AÑO</t>
  </si>
  <si>
    <t>Davi*II</t>
  </si>
  <si>
    <t>Meses por Periodo</t>
  </si>
  <si>
    <t>Días por Periodo</t>
  </si>
  <si>
    <t>Mes reportado a Corte</t>
  </si>
  <si>
    <t>ACTIVO</t>
  </si>
  <si>
    <t>DISPONIBLE</t>
  </si>
  <si>
    <t>Caja</t>
  </si>
  <si>
    <t>Meses Parciales</t>
  </si>
  <si>
    <t>Bancos Moneda Nacional</t>
  </si>
  <si>
    <t>Año de Parcial</t>
  </si>
  <si>
    <t>Seleccione Mes</t>
  </si>
  <si>
    <t>00</t>
  </si>
  <si>
    <t>Bancos Moneda Extranjera</t>
  </si>
  <si>
    <t>Otros - Equivalentes de efectivo</t>
  </si>
  <si>
    <t>Fondos</t>
  </si>
  <si>
    <t>SUBTOTAL DISPONIBLE</t>
  </si>
  <si>
    <t>INVERSIONES TEMPORALES</t>
  </si>
  <si>
    <t>Bonos</t>
  </si>
  <si>
    <t>Cédulas</t>
  </si>
  <si>
    <t>Certificados</t>
  </si>
  <si>
    <t xml:space="preserve">Títulos  </t>
  </si>
  <si>
    <t>Derechos Fiduciarios</t>
  </si>
  <si>
    <t>Otras Inversiones</t>
  </si>
  <si>
    <t>Ajustes por Inflación</t>
  </si>
  <si>
    <t xml:space="preserve">Provisiones  </t>
  </si>
  <si>
    <t>13</t>
  </si>
  <si>
    <t>SUBTOTAL INVERSIONES TEMPORALES</t>
  </si>
  <si>
    <t>14</t>
  </si>
  <si>
    <t>DEUDORES COMERCIALES</t>
  </si>
  <si>
    <t>15</t>
  </si>
  <si>
    <t>Clientes Nacionales</t>
  </si>
  <si>
    <t>16</t>
  </si>
  <si>
    <t>Clientes del Exterior</t>
  </si>
  <si>
    <t>17</t>
  </si>
  <si>
    <t>Cuentas Corrientes Comerciales</t>
  </si>
  <si>
    <t>18</t>
  </si>
  <si>
    <t>Otros Clientes</t>
  </si>
  <si>
    <t>Provisiones - Deterioro</t>
  </si>
  <si>
    <t>SUBTOTAL DEUDORES COMERCIALES</t>
  </si>
  <si>
    <t>CUENTAS POR COBRAR</t>
  </si>
  <si>
    <t>Vinculados Económicos</t>
  </si>
  <si>
    <t>Socios y Accionistas</t>
  </si>
  <si>
    <t>Anticipos y Avances</t>
  </si>
  <si>
    <t>Depósitos</t>
  </si>
  <si>
    <t>Promesas de Compraventa</t>
  </si>
  <si>
    <t>Ingresos por Cobrar</t>
  </si>
  <si>
    <t>Retención Sobre Contratos</t>
  </si>
  <si>
    <t>Anticipo de Impuestos y Contribuciones (Saldos a Favor)</t>
  </si>
  <si>
    <t>Reclamaciones</t>
  </si>
  <si>
    <t>Cuentas por Cobrar a Trabajadores</t>
  </si>
  <si>
    <t>Activos mantenidos para la venta</t>
  </si>
  <si>
    <t>Deudas de Difícil Cobro</t>
  </si>
  <si>
    <t>Otros Deudores</t>
  </si>
  <si>
    <t>SUBTOTAL CUENTAS POR COBRAR</t>
  </si>
  <si>
    <t>INVENTARIO COMERCIAL</t>
  </si>
  <si>
    <t>Materias Primas</t>
  </si>
  <si>
    <t>Productos en Proceso</t>
  </si>
  <si>
    <t>Cultivos en Desarrollo</t>
  </si>
  <si>
    <t>Productos Terminados</t>
  </si>
  <si>
    <t>Mercancías no Fabricadas por la Empresa</t>
  </si>
  <si>
    <t>Inventarios en Tránsito</t>
  </si>
  <si>
    <t>Depreciación</t>
  </si>
  <si>
    <t>SUBTOTAL INVENTARIO COMERCIAL</t>
  </si>
  <si>
    <t>INVENTARIO NO COMERCIAL</t>
  </si>
  <si>
    <t>Materiales, Repuestos y Accesorios</t>
  </si>
  <si>
    <t>Envases y Empaques</t>
  </si>
  <si>
    <t>Provisiones</t>
  </si>
  <si>
    <t>SUBTOTAL INVENTARIO NO COMERCIAL</t>
  </si>
  <si>
    <t>DIFERIDOS</t>
  </si>
  <si>
    <t>Gastos Pagados por Anticipado</t>
  </si>
  <si>
    <t>Cargos Diferidos</t>
  </si>
  <si>
    <t>Corrección Monetaria Diferida</t>
  </si>
  <si>
    <t>Otros Diferidos</t>
  </si>
  <si>
    <t>SUBTOTAL DIFERIDOS</t>
  </si>
  <si>
    <t>OTROS ACTIVOS CORRIENTES</t>
  </si>
  <si>
    <t>Activos financieros o Instrumentos financieros</t>
  </si>
  <si>
    <t>Otras cuentas NIIF (Biológicos y otros)</t>
  </si>
  <si>
    <t>SUBTOTAL OTROS ACTIVOS CORRIENTES</t>
  </si>
  <si>
    <t>TOTAL ACTIVO CORRIENTE</t>
  </si>
  <si>
    <t>PROPIEDAD, PLANTA Y EQUIPO</t>
  </si>
  <si>
    <t>Terrenos</t>
  </si>
  <si>
    <t>Construcciones en Curso</t>
  </si>
  <si>
    <t>Maquinaria y Equipo en Montaje</t>
  </si>
  <si>
    <t>Maquinaria y Equipo</t>
  </si>
  <si>
    <t>Equipo de Oficina</t>
  </si>
  <si>
    <t>Equipo de Computación y Comunicación</t>
  </si>
  <si>
    <t>Flota y Equipo de Transporte</t>
  </si>
  <si>
    <t>Acueductos, Plantas y Redes</t>
  </si>
  <si>
    <t>Armamento de Vigilancia</t>
  </si>
  <si>
    <t>Plantaciones Agrícolas y Forestales</t>
  </si>
  <si>
    <t>Minas y Canteras</t>
  </si>
  <si>
    <t>Pozos Artesianos</t>
  </si>
  <si>
    <t>Semovientes</t>
  </si>
  <si>
    <t>Propiedades, Planta y Equipo en Tránsito</t>
  </si>
  <si>
    <t>Depreciación Acumulada</t>
  </si>
  <si>
    <t>Amortización Acumulada</t>
  </si>
  <si>
    <t>SUBTOTAL PLANTA Y EQUIPO</t>
  </si>
  <si>
    <t>DEUDORES DE LARGO PLAZO</t>
  </si>
  <si>
    <t>Casa Matriz</t>
  </si>
  <si>
    <t>Préstamos a Particulares</t>
  </si>
  <si>
    <t>Deudores Varios</t>
  </si>
  <si>
    <t>Derechos de Recompra de Cartera Negociada</t>
  </si>
  <si>
    <t>SUBTOTAL DEUDORES DE LARGO PLAZO</t>
  </si>
  <si>
    <t>INVERSIONES PERMANENTES</t>
  </si>
  <si>
    <t>Acciones</t>
  </si>
  <si>
    <t>Cuotas o Partes de Interés Social</t>
  </si>
  <si>
    <t>Títulos</t>
  </si>
  <si>
    <t>Inversiones Obligatorias</t>
  </si>
  <si>
    <t>Cuentas en Participación</t>
  </si>
  <si>
    <t>Inversiones en Subsidiarias</t>
  </si>
  <si>
    <t>Otras inversiones</t>
  </si>
  <si>
    <t>SUBTOTAL INVERSIONES PERMANENTES</t>
  </si>
  <si>
    <t>DIFERIDOS DE LARGO PLAZO</t>
  </si>
  <si>
    <t>Impuesto Diferido</t>
  </si>
  <si>
    <t>SUBTOTAL DIFERIDOS DE LARGO PLAZO</t>
  </si>
  <si>
    <t>INTANGIBLES</t>
  </si>
  <si>
    <t>Crédito Mercantil</t>
  </si>
  <si>
    <t>Marcas</t>
  </si>
  <si>
    <t>Know How</t>
  </si>
  <si>
    <t>Depreciación y/o Amortización Acumulada</t>
  </si>
  <si>
    <t>SUBTOTAL INTANGIBLES</t>
  </si>
  <si>
    <t>OTROS ACTIVOS</t>
  </si>
  <si>
    <t>Otros activos financieros</t>
  </si>
  <si>
    <t>Activos Biológicos</t>
  </si>
  <si>
    <t>Bienes Recibidos en Dación de Pago</t>
  </si>
  <si>
    <t>Propiedades de inversión</t>
  </si>
  <si>
    <t>Otros activos</t>
  </si>
  <si>
    <t>SUBTOTAL OTROS ACTIVOS</t>
  </si>
  <si>
    <t>VALORIZACIONES</t>
  </si>
  <si>
    <t>De Inversiones</t>
  </si>
  <si>
    <t>De Propiedad, Planta y Equipo</t>
  </si>
  <si>
    <t>De Otros Activos</t>
  </si>
  <si>
    <t>SUBTOTAL VALORIZACIONES</t>
  </si>
  <si>
    <t>TOTAL ACTIVO NO CORRIENTE</t>
  </si>
  <si>
    <t>TOTAL ACTIVO</t>
  </si>
  <si>
    <t>CUENTAS DE ORDEN</t>
  </si>
  <si>
    <t>Derechos Contingentes</t>
  </si>
  <si>
    <t>Deudoras Fiscales</t>
  </si>
  <si>
    <t>Deudoras de Control</t>
  </si>
  <si>
    <t>Cuentas de Orden Acreedoras por Contra</t>
  </si>
  <si>
    <t>TOTAL CUENTAS DE ORDEN</t>
  </si>
  <si>
    <t>PASIVO</t>
  </si>
  <si>
    <t>PASIVO CORRIENTE</t>
  </si>
  <si>
    <t>OBLIGACIONES FINANCIERAS</t>
  </si>
  <si>
    <t>Entidades Financieras Nacionales</t>
  </si>
  <si>
    <t>Porción Circulante del Pasivo de Largo Plazo</t>
  </si>
  <si>
    <t>Bonos - Porción Corriente</t>
  </si>
  <si>
    <t>SUBTOTAL OBLIGACIONES FINANCIERAS</t>
  </si>
  <si>
    <t>PROVEEDORES</t>
  </si>
  <si>
    <t>Nacionales</t>
  </si>
  <si>
    <t>Del Exterior</t>
  </si>
  <si>
    <t>SUBTOTAL PROVEEDORES</t>
  </si>
  <si>
    <t>CUENTAS POR PAGAR</t>
  </si>
  <si>
    <t>A Casa Matriz</t>
  </si>
  <si>
    <t>A Compañías Vinculadas</t>
  </si>
  <si>
    <t>A Contratistas</t>
  </si>
  <si>
    <t>Costos y Gastos por Pagar</t>
  </si>
  <si>
    <t>Acreedores Oficiales</t>
  </si>
  <si>
    <t>Regalías por Pagar</t>
  </si>
  <si>
    <t>Deudas con Accionistas o Socios</t>
  </si>
  <si>
    <t>Dividendos o Participaciones por Pagar</t>
  </si>
  <si>
    <t>Retención en la Fuente</t>
  </si>
  <si>
    <t>Impuesto a las Ventas Retenido</t>
  </si>
  <si>
    <t>Impuesto Industria y Comercio Retenido</t>
  </si>
  <si>
    <t>Retenciones y Aportes de Nómina</t>
  </si>
  <si>
    <t>Acreedores Varios</t>
  </si>
  <si>
    <t>SUBTOTAL CUENTAS POR PAGAR</t>
  </si>
  <si>
    <t>IMPUESTOS POR PAGAR</t>
  </si>
  <si>
    <t>Impuesto de Renta y Complementarios</t>
  </si>
  <si>
    <t>Impuesto a las Ventas (IVA)</t>
  </si>
  <si>
    <t>Impuesto de Industria y Comercio (ICA)</t>
  </si>
  <si>
    <t>SUBTOTAL IMPUESTOS POR PAGAR</t>
  </si>
  <si>
    <t>OBLIGACIONES LABORALES</t>
  </si>
  <si>
    <t>Salarios por Pagar</t>
  </si>
  <si>
    <t>Cesantías Consolidadas</t>
  </si>
  <si>
    <t>Intereses sobre Cesantías</t>
  </si>
  <si>
    <t>Vacaciones Consolidadas</t>
  </si>
  <si>
    <t>Prestaciones Extralegales</t>
  </si>
  <si>
    <t>Otras</t>
  </si>
  <si>
    <t>SUBTOTAL OBLIGACIONES LABORALES</t>
  </si>
  <si>
    <t>PASIVOS ESTIMADOS Y PROVISIONES</t>
  </si>
  <si>
    <t>Para Costos y Gastos</t>
  </si>
  <si>
    <t>Para Obligaciones Laborales</t>
  </si>
  <si>
    <t>Para Obligaciones Fiscales</t>
  </si>
  <si>
    <t>Pensiones de Jubilación</t>
  </si>
  <si>
    <t>Para Obras de Urbanismo</t>
  </si>
  <si>
    <t>Para Mantenimiento y Reparaciones</t>
  </si>
  <si>
    <t>Para Contingencias</t>
  </si>
  <si>
    <t>Para Obligaciones de Garantías</t>
  </si>
  <si>
    <t>Otras Provisiones</t>
  </si>
  <si>
    <t>SUBTOTAL ESTIMADOS Y PROVISIONES</t>
  </si>
  <si>
    <t>PASIVOS DIFERIDOS</t>
  </si>
  <si>
    <t>Ingresos Recibidos por Anticipado</t>
  </si>
  <si>
    <t>Abonos Diferidos</t>
  </si>
  <si>
    <t>Impuestos Diferidos</t>
  </si>
  <si>
    <t>SUBTOTAL PASIVOS DIFERIDOS</t>
  </si>
  <si>
    <t>OTROS PASIVOS CORRIENTES</t>
  </si>
  <si>
    <t>Depósitos Recibidos</t>
  </si>
  <si>
    <t>Cuentas de Operación Conjunta</t>
  </si>
  <si>
    <t>Retenciones a Terceros sobre Contratos</t>
  </si>
  <si>
    <t>Instrumentos Financieros</t>
  </si>
  <si>
    <t>SUBTOTAL OTROS PASIVOS CORRIENTES</t>
  </si>
  <si>
    <t>TOTAL PASIVO CORRIENTE</t>
  </si>
  <si>
    <t>PASIVO LARGO PLAZO</t>
  </si>
  <si>
    <t>OBLIGACIONES FINANCIERAS L.P.</t>
  </si>
  <si>
    <t>Entidades Financieras (Nacionales y del Exterior)</t>
  </si>
  <si>
    <t>SUBTOTAL OBLIGACIONES FINANCIERAS L.P.</t>
  </si>
  <si>
    <t>CUENTAS POR PAGAR L.P.</t>
  </si>
  <si>
    <t>Impuestos a la Ventas Retenido</t>
  </si>
  <si>
    <t>SUBTOTAL CUENTAS POR PAGAR L.P.</t>
  </si>
  <si>
    <t>IMPUESTOS POR PAGAR L.P.</t>
  </si>
  <si>
    <t>De Renta y Complementarios</t>
  </si>
  <si>
    <t>SUBTOTAL IMPUESTOS POR PAGAR L.P.</t>
  </si>
  <si>
    <t>OBLIGACIONES LABORALES L.P.</t>
  </si>
  <si>
    <t>SUBTOTAL OBLIGACIONES LABORALES L.P.</t>
  </si>
  <si>
    <t>PASIVOS ESTIMADOS Y PROVISIONES L.P.</t>
  </si>
  <si>
    <t>SUBTOTAL ESTIMADOS Y PROVISIONES L.P.</t>
  </si>
  <si>
    <t>DIFERIDOS L.P.</t>
  </si>
  <si>
    <t>Crédito por Corrección Monetaria</t>
  </si>
  <si>
    <t>SUBTOTAL DIFERIDOS L.P.</t>
  </si>
  <si>
    <t>OTROS PASIVOS L.P.</t>
  </si>
  <si>
    <t>Bonos Obligatoriamente Convertibles en Acciones</t>
  </si>
  <si>
    <t>Bonos Pensionales</t>
  </si>
  <si>
    <t>Otros pasivos financieros</t>
  </si>
  <si>
    <t>SUBTOTAL OTROS PASIVOS L.P.</t>
  </si>
  <si>
    <t>TOTAL PASIVO LARGO PLAZO</t>
  </si>
  <si>
    <t>TOTAL PASIVO</t>
  </si>
  <si>
    <t>PATRIMONIO</t>
  </si>
  <si>
    <t>CAPITAL SOCIAL</t>
  </si>
  <si>
    <t>Capital Suscrito y Pagado</t>
  </si>
  <si>
    <t>Aportes Sociales</t>
  </si>
  <si>
    <t>Capital Asignado</t>
  </si>
  <si>
    <t>Inversión Suplementaria al Capital Asignado</t>
  </si>
  <si>
    <t>Capital de Personas Naturales</t>
  </si>
  <si>
    <t>Aportes del Estado</t>
  </si>
  <si>
    <t>Fondo Social</t>
  </si>
  <si>
    <t>SUBTOTAL CAPITAL SOCIAL</t>
  </si>
  <si>
    <t>SUPERÁVIT DE CAPITAL</t>
  </si>
  <si>
    <t>Prima en Colocación Acciones</t>
  </si>
  <si>
    <t>Donaciones</t>
  </si>
  <si>
    <t>Superávit por Método de Participación</t>
  </si>
  <si>
    <t>SUBTOTAL SUPERÁVIT DE CAPITAL</t>
  </si>
  <si>
    <t>RESERVAS</t>
  </si>
  <si>
    <t>Obligatorias</t>
  </si>
  <si>
    <t>Estatutarias</t>
  </si>
  <si>
    <t>Ocasionales</t>
  </si>
  <si>
    <t>SUBTOTAL RESERVAS</t>
  </si>
  <si>
    <t>REVALORIZACIÓN DEL PATRIMONIO</t>
  </si>
  <si>
    <t>Ajustes conversion a NIIF por primera vez / ORI</t>
  </si>
  <si>
    <t>Ajustes Moneda Extranjera / Interés minoritario</t>
  </si>
  <si>
    <t>Revalorizacion del Patrimonio</t>
  </si>
  <si>
    <t>SUBTOTAL REVALORIZACIÓN DEL PATRIMONIO</t>
  </si>
  <si>
    <t>Dividendos Decretados en Acciones</t>
  </si>
  <si>
    <t>Resultado del Ejercicio</t>
  </si>
  <si>
    <t>Resultados de Ejercicios Anteriores</t>
  </si>
  <si>
    <t>Superávit por Valorizaciones</t>
  </si>
  <si>
    <t>TOTAL PATRIMONIO</t>
  </si>
  <si>
    <t>TOTAL PASIVO Y PATRIMONIO</t>
  </si>
  <si>
    <t>Contingentes Financieros</t>
  </si>
  <si>
    <t>Acreedoras Fiscales</t>
  </si>
  <si>
    <t>Responsabilidades Contingentes y Acreedoras de Control</t>
  </si>
  <si>
    <t>Cuentas de Orden Deudoras por Contra</t>
  </si>
  <si>
    <t>Validación de Activo Vs. Pasivo + Patrimonio</t>
  </si>
  <si>
    <t>Valor descuadrado (si es positivo el descuadre esta en el Activo)</t>
  </si>
  <si>
    <t>ESTADO DE RESULTADOS</t>
  </si>
  <si>
    <t>INGRESOS</t>
  </si>
  <si>
    <t>Ingresos Nacionales</t>
  </si>
  <si>
    <t>Ingresos Por Exportaciones</t>
  </si>
  <si>
    <t>Costos</t>
  </si>
  <si>
    <r>
      <t>Depreciaciones y Amortizaciones</t>
    </r>
    <r>
      <rPr>
        <i/>
        <sz val="12"/>
        <color theme="1"/>
        <rFont val="Arial"/>
        <family val="2"/>
      </rPr>
      <t xml:space="preserve"> (Informativas para Ebitda)</t>
    </r>
  </si>
  <si>
    <t>UTILIDAD BRUTA</t>
  </si>
  <si>
    <t>GASTOS OPERACIONALES - ADMON.</t>
  </si>
  <si>
    <t>Personal</t>
  </si>
  <si>
    <t>Honorarios</t>
  </si>
  <si>
    <t>Impuestos</t>
  </si>
  <si>
    <t>Arrendamientos</t>
  </si>
  <si>
    <t>Contribuciones y Afiliaciones</t>
  </si>
  <si>
    <t>Seguros</t>
  </si>
  <si>
    <t>Gastos Legales</t>
  </si>
  <si>
    <t>Mantenimientos y Reparaciones</t>
  </si>
  <si>
    <t>Adecuaciones e Instalaciones</t>
  </si>
  <si>
    <t>Gastos de Viaje</t>
  </si>
  <si>
    <t>Diversos</t>
  </si>
  <si>
    <t>Amortización</t>
  </si>
  <si>
    <t>SUBTOTAL GASTOS OPERCIONALES - ADMON.</t>
  </si>
  <si>
    <t>GASTOS OPERACIONALES - VENTAS</t>
  </si>
  <si>
    <t>Amortizaciones</t>
  </si>
  <si>
    <r>
      <t xml:space="preserve">Provisiones / Deterioro / Ajustes Ope. Niif </t>
    </r>
    <r>
      <rPr>
        <sz val="12"/>
        <color theme="1"/>
        <rFont val="Arial"/>
        <family val="2"/>
      </rPr>
      <t>(-Utilidad; +Perdida)</t>
    </r>
  </si>
  <si>
    <t>SUBTOTAL GASTOS OPERACIONALES - VENTAS</t>
  </si>
  <si>
    <t>UTILIDAD OPERACIONAL</t>
  </si>
  <si>
    <t>INGRESOS NO OPERACIONALES</t>
  </si>
  <si>
    <t>Financieros</t>
  </si>
  <si>
    <t>Diferencia en Cambio</t>
  </si>
  <si>
    <t>Otras Ventas</t>
  </si>
  <si>
    <t>Descuentos Comerciales Condicionados</t>
  </si>
  <si>
    <t>Ingresos por Método de Participación</t>
  </si>
  <si>
    <t>Utilidad en Venta de Propiedades, Planta y Equipo</t>
  </si>
  <si>
    <t>Utilidad en Venta de Inversiones</t>
  </si>
  <si>
    <t>Recuperaciones e Indemnizaciones</t>
  </si>
  <si>
    <t>SUBTOTAL INGRESOS NO OPERACIONALES</t>
  </si>
  <si>
    <t>GASTOS NO OPERACIONALES</t>
  </si>
  <si>
    <t>Financieros - Intereses</t>
  </si>
  <si>
    <t>Gastos Bancarios - GMF (4 x 1000)</t>
  </si>
  <si>
    <t>Comisiones</t>
  </si>
  <si>
    <t>Pérdida en Venta y Retiro de Bienes</t>
  </si>
  <si>
    <t>Pérdida por Método de Participación</t>
  </si>
  <si>
    <t>Gastos Extraordinarios</t>
  </si>
  <si>
    <t>Pérdida en Venta de Inversiones</t>
  </si>
  <si>
    <t>Impuestos Asumidos</t>
  </si>
  <si>
    <t>Diversos  / Ajustes No Ope. Niif (Perdida)</t>
  </si>
  <si>
    <t>SUBTOTAL GASTOS NO OPERACIONALES</t>
  </si>
  <si>
    <t>Corrección Monetaria</t>
  </si>
  <si>
    <t>UTILIDAD ANTES DE IMPUESTOS</t>
  </si>
  <si>
    <t>UTILIDAD NETA</t>
  </si>
  <si>
    <t>DIVIDENDOS DISTRIBUIDOS</t>
  </si>
  <si>
    <t>Ebitda</t>
  </si>
  <si>
    <t>Validación Inventarios / Proveedores</t>
  </si>
  <si>
    <t>Validación información para cálculo Ebitda</t>
  </si>
  <si>
    <t>OK</t>
  </si>
  <si>
    <t>Depreciaciones - Amortizaciones</t>
  </si>
  <si>
    <t>Validación de Utilidades P&amp;G vs. Utilidades Patrimonio</t>
  </si>
  <si>
    <t>Valor descuadrado</t>
  </si>
  <si>
    <t>Validación Depreciaciones / Amortizaciones con diferencia del 40%</t>
  </si>
  <si>
    <t>Validación Pasivos Financieros vs. Gastos - Intereses</t>
  </si>
  <si>
    <t>Ingresos Operacionales con variación + o - del 30%</t>
  </si>
  <si>
    <t>Validación Patrimonio</t>
  </si>
  <si>
    <t>PAÍS</t>
  </si>
  <si>
    <t>COLGAAP</t>
  </si>
  <si>
    <t>NIIF</t>
  </si>
  <si>
    <t>HORIZONTAL (ANUALIZADO)</t>
  </si>
  <si>
    <t>VERTICAL</t>
  </si>
  <si>
    <t>Año</t>
  </si>
  <si>
    <t>CORTE</t>
  </si>
  <si>
    <t>Inflación</t>
  </si>
  <si>
    <t>DÍAS PERÍODO</t>
  </si>
  <si>
    <t>Variación TRM</t>
  </si>
  <si>
    <t>INGRESOS OPERACIONALES</t>
  </si>
  <si>
    <t>Crecimiento PIB</t>
  </si>
  <si>
    <t>COSTO DE VENTAS</t>
  </si>
  <si>
    <t>INDICADORES FINANCIEROS</t>
  </si>
  <si>
    <t>GASTOS OPERACIONALES</t>
  </si>
  <si>
    <t>Margen Bruto</t>
  </si>
  <si>
    <t>DEPRECIACIÓN Y AMORTIZACIÓN</t>
  </si>
  <si>
    <t>Margen Operacional</t>
  </si>
  <si>
    <t>EBITDA</t>
  </si>
  <si>
    <t>Margen EBITDA</t>
  </si>
  <si>
    <t>Margen Neto</t>
  </si>
  <si>
    <t xml:space="preserve">         FINANCIEROS</t>
  </si>
  <si>
    <t>Rendimiento del Patrimonio (S.V.)</t>
  </si>
  <si>
    <t xml:space="preserve">         OTROS</t>
  </si>
  <si>
    <t>Rendimiento del Activo Total (S.V.)</t>
  </si>
  <si>
    <t>Razón Corriente</t>
  </si>
  <si>
    <t>Prueba Ácida</t>
  </si>
  <si>
    <t>DIFERENCIA EN CAMBIO NETA</t>
  </si>
  <si>
    <t xml:space="preserve">Capital de Trabajo </t>
  </si>
  <si>
    <t xml:space="preserve">Capital de Trabajo Operativo </t>
  </si>
  <si>
    <t>PROVISIÓN IMPUESTOS</t>
  </si>
  <si>
    <t>EFICIENCIA</t>
  </si>
  <si>
    <t>UTILIDAD (PÉRDIDA) NETA</t>
  </si>
  <si>
    <t>Rotación de Cartera (Días)</t>
  </si>
  <si>
    <t>Rotación de Inventario (Días)</t>
  </si>
  <si>
    <t>Ciclo Operativo (Días)</t>
  </si>
  <si>
    <t>BALANCE GENERAL</t>
  </si>
  <si>
    <t>FUENTES</t>
  </si>
  <si>
    <t>USOS</t>
  </si>
  <si>
    <t>Rotación Proveedores (Días)</t>
  </si>
  <si>
    <t>Ciclo Operativo Neto (Días)</t>
  </si>
  <si>
    <t>CAJA E INVERSIONES TEMPORALES</t>
  </si>
  <si>
    <t>ENDEUDAMIENTO</t>
  </si>
  <si>
    <t>Endeudamiento Con Valorizaciones</t>
  </si>
  <si>
    <t>Endeudamiento Sin Valorizaciones</t>
  </si>
  <si>
    <t>INVENTARIO</t>
  </si>
  <si>
    <t>Endeudamiento Financiero (Sin.Val.)</t>
  </si>
  <si>
    <t>Deuda Financiera / EBITDA</t>
  </si>
  <si>
    <t>Deuda Financiera Neta / EBITDA</t>
  </si>
  <si>
    <t>Pas. Financiero / Total Patrimonio</t>
  </si>
  <si>
    <t>Pasivo Corriente / Total Pasivo</t>
  </si>
  <si>
    <t>Pas. Financiero C.P. / Total Pas. Financiero</t>
  </si>
  <si>
    <t>Pasivo Financiero / Ventas</t>
  </si>
  <si>
    <t>OTROS ACTIVOS DE LARGO PLAZO</t>
  </si>
  <si>
    <t>VIABILIDAD Y SOLVENCIA</t>
  </si>
  <si>
    <t>EBITDA / Intereses (Veces)</t>
  </si>
  <si>
    <t>EBITDA / Consumo K de Trabajo (Veces)</t>
  </si>
  <si>
    <t>Crecimiento Sostenible (S.V.)</t>
  </si>
  <si>
    <t>CUENTAS DE ORDEN DEUDORAS</t>
  </si>
  <si>
    <t>Ebitda / Servicio de la Deuda</t>
  </si>
  <si>
    <t>RESPALDO (SIN VALORIZACIONES)</t>
  </si>
  <si>
    <t>Patrimonio Tangible / Total Patrimonio</t>
  </si>
  <si>
    <t xml:space="preserve">    INDICADORES DE RIESGO CREDITICIO</t>
  </si>
  <si>
    <t xml:space="preserve">MARC </t>
  </si>
  <si>
    <t>CRC</t>
  </si>
  <si>
    <t>10% VENTAS</t>
  </si>
  <si>
    <t>5% ACTIVOS (S.V.)</t>
  </si>
  <si>
    <t>20% PATRIMONIO (S.V.)</t>
  </si>
  <si>
    <t>OTROS PASIVOS</t>
  </si>
  <si>
    <t>CIFIN - REPORTE DE ENDEUDAMIENTO GLOBAL</t>
  </si>
  <si>
    <t>Entidad</t>
  </si>
  <si>
    <t>Tendencia</t>
  </si>
  <si>
    <t>Garantía</t>
  </si>
  <si>
    <t>Calificación</t>
  </si>
  <si>
    <t>CONCILIACIÓN PATRIM.</t>
  </si>
  <si>
    <t>CAPITAL PAGADO</t>
  </si>
  <si>
    <t>CAPITAL</t>
  </si>
  <si>
    <t>RESERVA LEGAL</t>
  </si>
  <si>
    <t>DIVIDENDOS ACCIONES</t>
  </si>
  <si>
    <t>UTILIDADES DE EJERCICIOS ANTERIORES</t>
  </si>
  <si>
    <t>UTILIDAD DEL EJERCICIO</t>
  </si>
  <si>
    <t>DIVIDENDOS EFECTIVO</t>
  </si>
  <si>
    <t>REVALORIZACIÓN PATRIMONIAL</t>
  </si>
  <si>
    <t>OTROS PATRIMONIO</t>
  </si>
  <si>
    <t>RESULTADO EJERCICIO</t>
  </si>
  <si>
    <t>SUPERÁVIT POR VALORIZACIONES</t>
  </si>
  <si>
    <t>REVAL. PATRIM.</t>
  </si>
  <si>
    <t>CONCENTRACIÓN POR GRUPO FINANCIERO</t>
  </si>
  <si>
    <t>CUENTAS DE ORDEN ACREEDORAS</t>
  </si>
  <si>
    <t>AVAL</t>
  </si>
  <si>
    <t>BANCOS EXTRANJEROS</t>
  </si>
  <si>
    <t>BANCOLOMBIA</t>
  </si>
  <si>
    <t>OTROS BANCOS</t>
  </si>
  <si>
    <t>TOTAL FUENTES Y USOS</t>
  </si>
  <si>
    <t>VARIABLES PARA GRÁFICOS</t>
  </si>
  <si>
    <t>VENTAS ($MMM)</t>
  </si>
  <si>
    <t>ACTIVO CORRIENTE ($MMM)</t>
  </si>
  <si>
    <t>UTILIDAD NETA ($MMM)</t>
  </si>
  <si>
    <t>ACTIVO L.P. ($MMM)</t>
  </si>
  <si>
    <t>UTILIDAD OPERACIONAL ($MMM)</t>
  </si>
  <si>
    <t>PASIVO CORRIENTE ($MMM)</t>
  </si>
  <si>
    <t>TOTAL ACTIVO (S.V.) ($MMM)</t>
  </si>
  <si>
    <t>PASIVO L.P. ($MMM)</t>
  </si>
  <si>
    <t>TOTAL PASIVO ($MMM)</t>
  </si>
  <si>
    <t>PASIVO FINANCIERO ($MMM)</t>
  </si>
  <si>
    <t>TOTAL PATRIMONIO ($MMM)</t>
  </si>
  <si>
    <t>LEVERAGE FINANCIERO (Veces)</t>
  </si>
  <si>
    <t>ENDEUDAMIENTO S.V. (%)</t>
  </si>
  <si>
    <t>PASIVO FINANCIERO / VENTAS (%)</t>
  </si>
  <si>
    <t>VALIDACIÓN AÑOS</t>
  </si>
  <si>
    <t>COLUMNAS RESPECTIVAS EN HOJA 'CIFIN'</t>
  </si>
  <si>
    <t>FILAS DE INICIO Y TERMINACIÓN CIFIN POR EMPRESA - HOJA 'CIFIN'</t>
  </si>
  <si>
    <t>COLUMNAS REPORTE</t>
  </si>
  <si>
    <t>FILA INICIAL CIFIN</t>
  </si>
  <si>
    <t>Grupo</t>
  </si>
  <si>
    <t>FILA FINAL CIFIN</t>
  </si>
  <si>
    <t>CONTADORES DILGENCIAMIENTO CIFIN POR EMPRESA</t>
  </si>
  <si>
    <t>COLUMNAS (MACRO CREAR BALANCES)</t>
  </si>
  <si>
    <t>CELDA NOMBRE 'Res' - MACRO CREAR_BALANCES</t>
  </si>
  <si>
    <t>FILAS EMPRESA (MACRO CREAR BALANCES)</t>
  </si>
  <si>
    <t>VARIABLES CÁLCULO CRECIMIENTO SOSTENIBLE</t>
  </si>
  <si>
    <t>Crecimiento Sostenible</t>
  </si>
  <si>
    <t>M (1-Po) (1+L)</t>
  </si>
  <si>
    <t>1/T - M (1-Po) (1+L)</t>
  </si>
  <si>
    <t>MARC</t>
  </si>
  <si>
    <t>ENTIDAD</t>
  </si>
  <si>
    <t>NOMBRE MATRIZ ENTIDAD</t>
  </si>
  <si>
    <t>NOMBRE MATRIZ 2Q</t>
  </si>
  <si>
    <t>NOMBRE MATRIZ 3Q</t>
  </si>
  <si>
    <t>NOMBRE MATRIZ GAR Y CALF</t>
  </si>
  <si>
    <t>NOMBRE MATRIZ 4Q</t>
  </si>
  <si>
    <t>CIFENT1</t>
  </si>
  <si>
    <t>CIF2Q1</t>
  </si>
  <si>
    <t>CIF3Q1</t>
  </si>
  <si>
    <t>CIFGARCAL1</t>
  </si>
  <si>
    <t>CIF4Q1</t>
  </si>
  <si>
    <t>CIFENT2</t>
  </si>
  <si>
    <t>CIF2Q2</t>
  </si>
  <si>
    <t>CIF3Q2</t>
  </si>
  <si>
    <t>CIFGARCAL2</t>
  </si>
  <si>
    <t>CIF4Q2</t>
  </si>
  <si>
    <t>CIFENT3</t>
  </si>
  <si>
    <t>CIF2Q3</t>
  </si>
  <si>
    <t>CIF3Q3</t>
  </si>
  <si>
    <t>CIFGARCAL3</t>
  </si>
  <si>
    <t>CIF4Q3</t>
  </si>
  <si>
    <t>CIFENT4</t>
  </si>
  <si>
    <t>CIF2Q4</t>
  </si>
  <si>
    <t>CIF3Q4</t>
  </si>
  <si>
    <t>CIFGARCAL4</t>
  </si>
  <si>
    <t>CIF4Q4</t>
  </si>
  <si>
    <t>CIFENT5</t>
  </si>
  <si>
    <t>CIF2Q5</t>
  </si>
  <si>
    <t>CIF3Q5</t>
  </si>
  <si>
    <t>CIFGARCAL5</t>
  </si>
  <si>
    <t>CIF4Q5</t>
  </si>
  <si>
    <t>CIFENT6</t>
  </si>
  <si>
    <t>CIF2Q6</t>
  </si>
  <si>
    <t>CIF3Q6</t>
  </si>
  <si>
    <t>CIFGARCAL6</t>
  </si>
  <si>
    <t>CIF4Q6</t>
  </si>
  <si>
    <t>CIFENT7</t>
  </si>
  <si>
    <t>CIF2Q7</t>
  </si>
  <si>
    <t>CIF3Q7</t>
  </si>
  <si>
    <t>CIFGARCAL7</t>
  </si>
  <si>
    <t>CIF4Q7</t>
  </si>
  <si>
    <t>CIFENT8</t>
  </si>
  <si>
    <t>CIF2Q8</t>
  </si>
  <si>
    <t>CIF3Q8</t>
  </si>
  <si>
    <t>CIFGARCAL8</t>
  </si>
  <si>
    <t>CIF4Q8</t>
  </si>
  <si>
    <t>CIFENT9</t>
  </si>
  <si>
    <t>CIF2Q9</t>
  </si>
  <si>
    <t>CIF3Q9</t>
  </si>
  <si>
    <t>CIFGARCAL9</t>
  </si>
  <si>
    <t>CIF4Q9</t>
  </si>
  <si>
    <t>CIFENT10</t>
  </si>
  <si>
    <t>CIF2Q10</t>
  </si>
  <si>
    <t>CIF3Q10</t>
  </si>
  <si>
    <t>CIFGARCAL10</t>
  </si>
  <si>
    <t>CIF4Q10</t>
  </si>
  <si>
    <t>PROYECTADO</t>
  </si>
  <si>
    <t>MES DE CORTE</t>
  </si>
  <si>
    <t>2.1</t>
  </si>
  <si>
    <t>2.2</t>
  </si>
  <si>
    <t>PROVISIONES DEUDORES COMERCIALES</t>
  </si>
  <si>
    <t>3.1</t>
  </si>
  <si>
    <t>INVENTARIOS</t>
  </si>
  <si>
    <t>3.2</t>
  </si>
  <si>
    <t>PROVISIONES INVENTARIOS</t>
  </si>
  <si>
    <t>ANTICIPOS - IMPUESTOS</t>
  </si>
  <si>
    <t>5.1</t>
  </si>
  <si>
    <t>DEUDORES VARIOS</t>
  </si>
  <si>
    <t>5.2</t>
  </si>
  <si>
    <t>OTROS CORRIENTES</t>
  </si>
  <si>
    <t>ACTIVO CORRIENTE</t>
  </si>
  <si>
    <t>INVERSIONES EN FILIALES Y ASOCIADAS (PERMANENTES)</t>
  </si>
  <si>
    <t>7.1</t>
  </si>
  <si>
    <t>ACTIVOS FIJOS</t>
  </si>
  <si>
    <t>7.2</t>
  </si>
  <si>
    <t>DEPRECIACIÓN ACUMULADA ACTIVOS FIJOS</t>
  </si>
  <si>
    <t>INTANGIBLES NETO</t>
  </si>
  <si>
    <t>CARGOS DIFERIDOS NETO</t>
  </si>
  <si>
    <t>OTROS ACTIVOS L.P.</t>
  </si>
  <si>
    <t>TOTAL ACTIVO SIN VALORIZACIONES</t>
  </si>
  <si>
    <t>TOTAL ACTIVO CON VALORIZACIONES</t>
  </si>
  <si>
    <t>OBLIGACIONES FINANCIERAS CORRIENTES</t>
  </si>
  <si>
    <t>13.1</t>
  </si>
  <si>
    <t>OBLIGACIONES FINANCIERAS L.P. - PORCIÓN CORRIENTE</t>
  </si>
  <si>
    <t>13.2</t>
  </si>
  <si>
    <t>BONOS - PORCIÓN CORRIENTE</t>
  </si>
  <si>
    <t>13.3</t>
  </si>
  <si>
    <t>OBLIGACIONES DE LARGO PLAZO DAVIVIENDA - PORCIÓN CORRIENTE</t>
  </si>
  <si>
    <t>PASIVOS LABORALES C.P.</t>
  </si>
  <si>
    <t xml:space="preserve">IMPUESTOS POR PAGAR </t>
  </si>
  <si>
    <t>PASIVOS DIFERIDOS C.P.</t>
  </si>
  <si>
    <t>DEUDAS CON SOCIOS  C.P.</t>
  </si>
  <si>
    <t>20.1</t>
  </si>
  <si>
    <t>20.2</t>
  </si>
  <si>
    <t>21.1</t>
  </si>
  <si>
    <t>21.2</t>
  </si>
  <si>
    <t>BONOS</t>
  </si>
  <si>
    <t>21.3</t>
  </si>
  <si>
    <t>OBLIGACIONES DE LARGO PLAZO DAVIVIENDA</t>
  </si>
  <si>
    <t>22.1</t>
  </si>
  <si>
    <t>PRESTACIONES SOCIALES L.P.</t>
  </si>
  <si>
    <t>22.2</t>
  </si>
  <si>
    <t>PENSIONES DE JUBILACIÓN</t>
  </si>
  <si>
    <t>DEUDAS CON SOCIOS L.P.</t>
  </si>
  <si>
    <t>IMPUESTOS DE L.P. (DIFERIDOS)</t>
  </si>
  <si>
    <t>25.1</t>
  </si>
  <si>
    <t>PASIVOS ESTIMADOS Y PROVISIONES (DIFERIDOS)</t>
  </si>
  <si>
    <t>25.2</t>
  </si>
  <si>
    <t xml:space="preserve">OTROS PASIVOS DE LARGO PLAZO </t>
  </si>
  <si>
    <t>PASIVO L.P</t>
  </si>
  <si>
    <t xml:space="preserve">TOTAL PASIVO </t>
  </si>
  <si>
    <t>PRIMA EN COLOCACIÓN DE ACCIONES (SUPERÁVIT DE CAPITAL)</t>
  </si>
  <si>
    <t>UTILIDADES ACUMULADAS DE EJERCICIOS ANTERIORES</t>
  </si>
  <si>
    <t>CONTINGENTES FINANCIEROS (LEASING - CARTAS DE CRÉDITO ABIERTAS)</t>
  </si>
  <si>
    <t>PRUEBA CERO</t>
  </si>
  <si>
    <t>VENTAS</t>
  </si>
  <si>
    <t>GASTOS DE ADMINISTRACIÓN Y VENTAS</t>
  </si>
  <si>
    <t xml:space="preserve">UTILIDAD OPERACIONAL </t>
  </si>
  <si>
    <t>GASTOS FINANCIEROS</t>
  </si>
  <si>
    <t>CORRECCIÓN MONETARIA</t>
  </si>
  <si>
    <t>DIFERENCIA EN CAMBIO (NETA)</t>
  </si>
  <si>
    <t>41.1</t>
  </si>
  <si>
    <t>OTROS INGRESOS RECURRENTES</t>
  </si>
  <si>
    <t>41.2</t>
  </si>
  <si>
    <t>OTROS EGRESOS RECURRENTES</t>
  </si>
  <si>
    <t>41.3</t>
  </si>
  <si>
    <t>INGRESOS FINANCIEROS</t>
  </si>
  <si>
    <t>41.4</t>
  </si>
  <si>
    <t>UTILIDAD (PÉRDIDA) EN VENTA DE ACTIVOS FIJOS</t>
  </si>
  <si>
    <t>41.5</t>
  </si>
  <si>
    <t>UTILIDAD (PÉRDIDA) EN VENTA DE INVERSIONES</t>
  </si>
  <si>
    <t>41.6</t>
  </si>
  <si>
    <t>INGRESOS (EGRESOS) POR MÉTODO DE PARTICIPACIÓN</t>
  </si>
  <si>
    <t>41.7</t>
  </si>
  <si>
    <t>OTROS INGRESOS</t>
  </si>
  <si>
    <t>41.8</t>
  </si>
  <si>
    <t>OTROS EGRESOS</t>
  </si>
  <si>
    <t>UTILIDAD ANTES DE IMP.</t>
  </si>
  <si>
    <t>IMPUESTOS</t>
  </si>
  <si>
    <t>DEPRECIACIÓN</t>
  </si>
  <si>
    <t>AMORTIZACIÓN INTANGIBLES</t>
  </si>
  <si>
    <t>AMORTIZACIÓN DIFERIDOS</t>
  </si>
  <si>
    <t>INVERSIÓN EXPANSIVA EN ACT. FIJOS (CAPEX) - INCLUYE DEPRECIACIÓN ACUMULADA</t>
  </si>
  <si>
    <t>INVERSIÓN EXPANSIVA EN ACT. FIJOS (CAPEX) - SIN DEPRECIACIÓN ACUMULADA</t>
  </si>
  <si>
    <t>ACTIVOS EN MONEDA EXTRANJERA</t>
  </si>
  <si>
    <t>PASIVOS EN MONEDA EXTRANJERA</t>
  </si>
  <si>
    <t>Ç</t>
  </si>
  <si>
    <t xml:space="preserve">  OBSERVACIONES</t>
  </si>
  <si>
    <t>PAAG PROYECTADO</t>
  </si>
  <si>
    <t>AJUSTES POR INFLACIÓN DEL PERÍODO</t>
  </si>
  <si>
    <t>AJUSTE POR INFLACIÓN  INVENTARIOS</t>
  </si>
  <si>
    <t>AJUSTE POR INFLACIÓN ACTIVOS FIJOS</t>
  </si>
  <si>
    <t>AJUSTE POR INFLACIÓN DEPRECIACIÓN</t>
  </si>
  <si>
    <t>AJUSTE POR INFLACIÓN INTANGIBLES</t>
  </si>
  <si>
    <t>AJUSTE POR INFLACIÓN AMORTIZACIÓN DE INTANGIBLES</t>
  </si>
  <si>
    <t>AJUSTE POR INFLACIÓN  INVERSIONES PERMANENTES</t>
  </si>
  <si>
    <t>AJUSTE POR INFLACIÓN CARGOS DIFERIDOS</t>
  </si>
  <si>
    <t>AJUSTE POR INFLACIÓN AMORTIZACIÓN DE DIFERIDOS</t>
  </si>
  <si>
    <t>AJ. POR INF.OTROS ACTIVOS DE LARGO PLAZO (INCLUYE CORR.MON.DIF.)</t>
  </si>
  <si>
    <t>AJUSTE POR INFLACIÓN PASIVOS</t>
  </si>
  <si>
    <t>EFECTO NETO PYG AJUSTES POR INFLACIÓN</t>
  </si>
  <si>
    <t>PRUEBA AJUSTES</t>
  </si>
  <si>
    <t>+ DEPRECIACIÓN Y AMORTIZACIÓN</t>
  </si>
  <si>
    <t>-  PAGO DE IMPUESTOS</t>
  </si>
  <si>
    <t>FONDOS DESPUÉS DE IMPUESTOS Y DIVIDENDOS</t>
  </si>
  <si>
    <t>- / + CUENTAS POR COBRAR</t>
  </si>
  <si>
    <t>- / + INVENTARIOS</t>
  </si>
  <si>
    <t>- / + ANTICIPOS</t>
  </si>
  <si>
    <t>+ / - PROVEEDORES</t>
  </si>
  <si>
    <t>9.1</t>
  </si>
  <si>
    <t>+ / - PASIVOS LABORALES C.P.</t>
  </si>
  <si>
    <t>9.2</t>
  </si>
  <si>
    <t>+ / - IMPUESTOS POR PAGAR</t>
  </si>
  <si>
    <t>9.3</t>
  </si>
  <si>
    <t>+ / - CUENTAS POR PAGAR</t>
  </si>
  <si>
    <t>+ / - OTROS PASIVOS CORRIENTES OPERACIONALES*</t>
  </si>
  <si>
    <t>NECESIDADES DE CAPITAL DE TRABAJO</t>
  </si>
  <si>
    <t xml:space="preserve">FLUJO DE CAJA LIBRE OPERATIVO </t>
  </si>
  <si>
    <t>10.1</t>
  </si>
  <si>
    <t>-  AMORTIZACIÓN OBLIGACIONES FINANCIERAS CORRIENTES</t>
  </si>
  <si>
    <t>10.2</t>
  </si>
  <si>
    <t>-  AMORTIZACIÓN OBLIGACIONES FINANCIERAS L.P.</t>
  </si>
  <si>
    <t>10.2A</t>
  </si>
  <si>
    <t>- AMORTIZACIÓN DEUDA DAVIVIENDA L.P.</t>
  </si>
  <si>
    <t>10.3</t>
  </si>
  <si>
    <t>-  GASTO DE INTERÉS + DIFERENCIA EN CAMBIO SI ES NEGATIVA NETA</t>
  </si>
  <si>
    <t>- SERVICIO DE DEUDA*</t>
  </si>
  <si>
    <t>FONDOS DESPUÉS DE OPERACIONES</t>
  </si>
  <si>
    <t>+ NUEVAS OBLIGACIONES FINANCIERAS CORRIENTES</t>
  </si>
  <si>
    <t>12.1</t>
  </si>
  <si>
    <t>+ NUEVAS OBLIGACIONES FINANCIERAS L.P.</t>
  </si>
  <si>
    <t>12.2</t>
  </si>
  <si>
    <t>+ NUEVA DEUDA DAVIVIENDA L.P.</t>
  </si>
  <si>
    <t>13.4</t>
  </si>
  <si>
    <t>+ / - PASIVOS CORRIENTES NO OPERACIONALES*</t>
  </si>
  <si>
    <t>14.1</t>
  </si>
  <si>
    <t>14.2</t>
  </si>
  <si>
    <t>14.3</t>
  </si>
  <si>
    <t>14.4</t>
  </si>
  <si>
    <t>14.5</t>
  </si>
  <si>
    <t>14.6</t>
  </si>
  <si>
    <t>+ / - PASIVOS NO OPERACIONALES L.P.*</t>
  </si>
  <si>
    <t>+ / - CAPITALIZACIÓN / DESCAPITALIZACIÓN</t>
  </si>
  <si>
    <t>16.1</t>
  </si>
  <si>
    <t>+ / - OTROS INGRESOS Y EGRESOS RECURRENTES (NETO)</t>
  </si>
  <si>
    <t>16.2</t>
  </si>
  <si>
    <t>16.3</t>
  </si>
  <si>
    <t>16.4</t>
  </si>
  <si>
    <t>16.5</t>
  </si>
  <si>
    <t>16.6</t>
  </si>
  <si>
    <t>+ / - OTROS INGRESOS (EGRESOS) NETO</t>
  </si>
  <si>
    <t>+ / - INGRESOS (EGRESOS) NO OPERACIONALES*</t>
  </si>
  <si>
    <t>TOTAL FUENTES NO OPERACIONALES</t>
  </si>
  <si>
    <t>-  INVERSIÓN EXPANSIVA EN ACTIVOS FIJOS (CAPEX) - SIN DEPR. ACUM.</t>
  </si>
  <si>
    <t>18.1</t>
  </si>
  <si>
    <t>18.2</t>
  </si>
  <si>
    <t>- / + ACTIVOS CORRIENTES NO OPERACIONALES*</t>
  </si>
  <si>
    <t>19.1</t>
  </si>
  <si>
    <t>19.2</t>
  </si>
  <si>
    <t>19.3</t>
  </si>
  <si>
    <t>19.4</t>
  </si>
  <si>
    <t>- / + ACTIVOS NO OPERACIONALES L.P.*</t>
  </si>
  <si>
    <t>TOTAL USOS NO OPERACIONALES</t>
  </si>
  <si>
    <t>+ DEPRECIACIÓN ACUMULADA</t>
  </si>
  <si>
    <t>+ PROVISIONES CUENTAS POR COBRAR</t>
  </si>
  <si>
    <t>20.3</t>
  </si>
  <si>
    <t>+ PROVISIONES INVENTARIOS</t>
  </si>
  <si>
    <t>20.4</t>
  </si>
  <si>
    <t>-  DEPRECIACIÓN DEL PERÍODO</t>
  </si>
  <si>
    <t>+ DEPRECIACIONES Y PROVISIONES DE CARTERA E INVENTARIOS*</t>
  </si>
  <si>
    <t>+ AJUSTE POR INFLACIÓN INVENTARIOS</t>
  </si>
  <si>
    <t>+ AJUSTE POR INFLACIÓN ACTIVOS FIJOS</t>
  </si>
  <si>
    <t>-  AJUSTE POR INFLACIÓN DEPRECIACIÓN</t>
  </si>
  <si>
    <t>21.4</t>
  </si>
  <si>
    <t>+ AJUSTE POR INFLACIÓN INVERSIONES PERMANENTES</t>
  </si>
  <si>
    <t>21.5</t>
  </si>
  <si>
    <t>+ AJUSTE POR INFLACIÓN INTANGIBLES</t>
  </si>
  <si>
    <t>21.6</t>
  </si>
  <si>
    <t>-  AJUSTE POR INFLACIÓN AMORTIZACIÓN INTANGIBLES</t>
  </si>
  <si>
    <t>21.7</t>
  </si>
  <si>
    <t>+ AJUSTE POR INFLACIÓN CARGOS DIFERIDOS</t>
  </si>
  <si>
    <t>21.8</t>
  </si>
  <si>
    <t>-  AJUSTE POR INLFACIÓN AMORTIZACIÓN DIFERIDOS</t>
  </si>
  <si>
    <t>21.9</t>
  </si>
  <si>
    <t>+ AJUSTE POR INFLACIÓN OTROS ACTIVOS</t>
  </si>
  <si>
    <t>21.10</t>
  </si>
  <si>
    <t>-  AJUSTE POR INFLACIÓN PASIVOS</t>
  </si>
  <si>
    <t>21.11</t>
  </si>
  <si>
    <t>-  REVALORIZACIÓN PATRIMONIAL</t>
  </si>
  <si>
    <t>21.12</t>
  </si>
  <si>
    <t>-  CORRECCIÓN MONETARIA</t>
  </si>
  <si>
    <t>+ / - AJUSTES POR INFLACIÓN, REVAL. PATR. Y CORR. MON.*</t>
  </si>
  <si>
    <t>CARGOS QUE NO REPRESENTAN CAJA</t>
  </si>
  <si>
    <t>USO (FUENTE) NETO DE CAJA</t>
  </si>
  <si>
    <t>VARIACIÓN CAJA INICIAL</t>
  </si>
  <si>
    <t xml:space="preserve">PRUEBA FLUJO DE CAJA </t>
  </si>
  <si>
    <t>VALORES NEGATIVOS:   EGRESOS  - NECESIDAD DE RECURSOS (USOS)</t>
  </si>
  <si>
    <t>VALORES POSITIVOS:     INGRESOS - RECURSOS OBTENIDOS (FUENTES)</t>
  </si>
  <si>
    <t>* CUENTAS DE RESUMEN</t>
  </si>
  <si>
    <t>CONCILIACIÓN PATRIMONIAL</t>
  </si>
  <si>
    <t>PRIMA EN COLOCACION DE ACCIONES (SUPERÁVIT DE CAPITAL)</t>
  </si>
  <si>
    <t>CAPITALIZACION</t>
  </si>
  <si>
    <t>UTILIDAD EJ.ANTERIORES</t>
  </si>
  <si>
    <t>DISTRIBUCION DE DIVIDENDOS</t>
  </si>
  <si>
    <t>REVALORIZACIÓN PATRIMONIAL PERÍODO</t>
  </si>
  <si>
    <t>CAPITALIZACIÓN REVALORIZACIÓN PATRIMONIAL</t>
  </si>
  <si>
    <t>DIVIDENDOS PAGADOS ACCIONES</t>
  </si>
  <si>
    <t>APORTES DE CAPITAL</t>
  </si>
  <si>
    <t>DIVIDENDOS PAGADOS EFECTIVO</t>
  </si>
  <si>
    <t>SÓLO CORTE</t>
  </si>
  <si>
    <t>V</t>
  </si>
  <si>
    <t>H</t>
  </si>
  <si>
    <t>N/A</t>
  </si>
  <si>
    <t>MÓDULO DE PROYECCIONES</t>
  </si>
  <si>
    <t>ESTE CORTE</t>
  </si>
  <si>
    <t>NO TIENE</t>
  </si>
  <si>
    <t>PONDERACIÓN ESCOGIDA DE CADA AÑO PARA PROYECCIONES</t>
  </si>
  <si>
    <t>PONDERACIÓN</t>
  </si>
  <si>
    <t>PONDERACIÓN DEFINITIVA DE CADA AÑO PARA LAS PROYECCIONES</t>
  </si>
  <si>
    <t>SE VAN A PROYECTAR MÚLTIPLES ESCENARIOS?</t>
  </si>
  <si>
    <t>Si</t>
  </si>
  <si>
    <t>ESCENARIO A APLICAR:</t>
  </si>
  <si>
    <t>BASE</t>
  </si>
  <si>
    <t>PROYECCIÓN OBLIGACIONES FINANCIERAS VIGENTES DE LARGO PLAZO</t>
  </si>
  <si>
    <t>PLAZO PROMEDIO RESTANTE (AÑOS) - INCLUYENDO PERÍODO DE GRACIA (SI TIENE)</t>
  </si>
  <si>
    <t>SI SE MANEJA PERÍODO DE GRACIA - MES DE PAGO 1a. CUOTA</t>
  </si>
  <si>
    <t>SI SE MANEJA PERÍODO DE GRACIA - AÑO DE INICIO AMORTIZACIÓN</t>
  </si>
  <si>
    <t>% AMORTIZACIÓN ANUAL (VER A PARTIR DE LA COLUMNA T)</t>
  </si>
  <si>
    <t>AMORTIZACIÓN (VER A PARTIR DE LA COLUMNA T)</t>
  </si>
  <si>
    <t>SALDO OBLIGACIONES VIGENTES L.P. - PORCIÓN CORRIENTE</t>
  </si>
  <si>
    <t>SALDO OBLIGACIONES VIGENTES L.P.</t>
  </si>
  <si>
    <t>TASA FINANCIACIÓN OBLIGACIONES VIGENTES L.P.</t>
  </si>
  <si>
    <t>CÁLCULO INTERESES OBLIGACIONES VIGENTES L.P.</t>
  </si>
  <si>
    <t>PROYECCIÓN BONOS VIGENTES</t>
  </si>
  <si>
    <t>SALDO BONOS - PORCIÓN CORRIENTE</t>
  </si>
  <si>
    <t>SALDO BONOS L.P.</t>
  </si>
  <si>
    <t>TASA FINANCIACIÓN BONOS PRIMERA SERIE</t>
  </si>
  <si>
    <t>CÁLCULO INTERESES BONOS PRIMERA SERIE</t>
  </si>
  <si>
    <t>PROYECCIÓN NUEVAS OBLIGACIONES FINANCIERAS DE LARGO PLAZO</t>
  </si>
  <si>
    <t>MÉTODO 1: VARIACIÓN DE OBLIGACIONES FINANCIERAS L.P.</t>
  </si>
  <si>
    <t>PLAZO (AÑOS)</t>
  </si>
  <si>
    <t>VARIACIÓN OBLIGACIONES FINANCIERAS L.P.</t>
  </si>
  <si>
    <t>NUEVAS OBLIGACIONES FINANCIERAS L.P. (COLUMNA T)</t>
  </si>
  <si>
    <t>1a. AMORTIZACION DE CADA DESEMBOLSO NUEVO (COLUMNA T)</t>
  </si>
  <si>
    <t>2a. AMORTIZACION DE CADA DESEMBOLSO NUEVO (COLUMNA T)</t>
  </si>
  <si>
    <t>AMORTIZACIÓN NUEVAS OBLIGACIONES FINANCIERAS L.P. (COLUMNA T)</t>
  </si>
  <si>
    <t>SALDO ACUMULADO (COLUMNA T)</t>
  </si>
  <si>
    <t>TASA FINANCIACIÓN NUEVO ENDEUDAMIENTO LP (COLUMNA U)</t>
  </si>
  <si>
    <t>CÁLCULO INTERESES NUEVO ENDEUDAMIENTO LP (COLUMNA U)</t>
  </si>
  <si>
    <t>AMORTIZACIÓN</t>
  </si>
  <si>
    <t>PORCIÓN CORRIENTE</t>
  </si>
  <si>
    <t>CÁLCULO PORCIÓN CORRIENTE Y DE LARGO PLAZO</t>
  </si>
  <si>
    <t>L.P.</t>
  </si>
  <si>
    <t>MÉTODO 2: NUEVOS DESEMBOLSOS PROYECTADOS (HASTA 3)</t>
  </si>
  <si>
    <t>1er. DESEMBOLSO</t>
  </si>
  <si>
    <t>% AMORTIZACIÓN ANUAL</t>
  </si>
  <si>
    <t>MONTO AMORTIZADO</t>
  </si>
  <si>
    <t>SALDO PORCIÓN CORRIENTE</t>
  </si>
  <si>
    <t>SALDO L.P.</t>
  </si>
  <si>
    <t>TASA DE INTERÉS E.A.</t>
  </si>
  <si>
    <t>CÁLCULO INTERESES</t>
  </si>
  <si>
    <t>2o. DESEMBOLSO - MONTO OBLIGACIONES FINANCIERAS L.P. NUEVAS</t>
  </si>
  <si>
    <t xml:space="preserve">2o. DESEMBOLSO  </t>
  </si>
  <si>
    <t>2o. DESEMBOLSO - PLAZO (AÑOS) INCLUYENDO PERÍODO DE GRACIA (SI TIENE)</t>
  </si>
  <si>
    <t>2o. DESEMBOLSO - PERÍODO DE GRACIA (MESES)</t>
  </si>
  <si>
    <t>2o. DESEMBOLSO - MES DE DESEMBOLSO</t>
  </si>
  <si>
    <t>2o. DESEMBOLSO - AÑO DE DESEMBOLSO</t>
  </si>
  <si>
    <t>2o. DESEMBOLSO - DESTINACIÓN DEL CRÉDITO</t>
  </si>
  <si>
    <t>2o. DESEMBOLSO - AMORTIZACIÓN DE CAPITAL</t>
  </si>
  <si>
    <t>3er. DESEMBOLSO - MONTO OBLIGACIONES FINANCIERAS L.P. NUEVAS</t>
  </si>
  <si>
    <t xml:space="preserve">3er. DESEMBOLSO  </t>
  </si>
  <si>
    <t>3er. DESEMBOLSO - PLAZO (AÑOS) INCLUYENDO PERÍODO DE GRACIA (SI TIENE)</t>
  </si>
  <si>
    <t>3er. DESEMBOLSO - PERÍODO DE GRACIA (MESES)</t>
  </si>
  <si>
    <t>3er. DESEMBOLSO - MES DE DESEMBOLSO</t>
  </si>
  <si>
    <t>3er. DESEMBOLSO - AÑO DE DESEMBOLSO</t>
  </si>
  <si>
    <t>3er. DESEMBOLSO - DESTINACIÓN DEL CRÉDITO</t>
  </si>
  <si>
    <t>3er. DESEMBOLSO - AMORTIZACIÓN DE CAPITAL</t>
  </si>
  <si>
    <t>SALDO PORCIÓN CORRIENTE NUEVAS OBLIGACIONES FINANCIERAS L.P. (COL. T)</t>
  </si>
  <si>
    <t>SALDO LARGO PLAZO NUEVAS OBLIGACIONES FINANCIERAS L.P. (COLUMNA T)</t>
  </si>
  <si>
    <t>INTERESES TOTALES NUEVAS OBLIGACIONES FINANCIERAS L.P. (COLUMNA T)</t>
  </si>
  <si>
    <t>PROYECCIÓN TASA DE INTERÉS SOCIOS - CÁLCULO INTERESES</t>
  </si>
  <si>
    <t>TASA FINANCIACIÓN SOCIOS</t>
  </si>
  <si>
    <t>CÁLCULO INTERESES PASIVO CON SOCIOS</t>
  </si>
  <si>
    <t>PROYECCIÓN CRÉDITO NUEVO DAVIVIENDA L.P. (HASTA 3 DESEMBOLSOS)</t>
  </si>
  <si>
    <t>2o. DESEMBOLSO - MONTO DEL CRÉDITO</t>
  </si>
  <si>
    <t>3er. DESEMBOLSO - MONTO DEL CRÉDITO</t>
  </si>
  <si>
    <t>SALDO PORCIÓN CORRIENTE NUEVAS OBLIGACIONES L.P. DAVIVIENDA (COLUMNA T)</t>
  </si>
  <si>
    <t>SALDO LARGO PLAZO NUEVAS OBLIGACIONES L.P. DAVIVIENDA (COLUMNA T)</t>
  </si>
  <si>
    <t>INTERESES TOTALES NUEVAS OBLIGACIONES L.P. DAVIVIENDA (COLUMNA T)</t>
  </si>
  <si>
    <t>PROYECCIÓN ESTADO DE RESULTADOS (A PARTIR DE LA COLUMNA N)</t>
  </si>
  <si>
    <t>TASA FINANCIACIÓN OBLIGACIONES FINANCIERAS CORRRIENTES</t>
  </si>
  <si>
    <t>CÁLCULO INTERESES OBLIGACIONES FINANCIERAS CORRRIENTES</t>
  </si>
  <si>
    <t>PROYECCIÓN BALANCE GENERAL (A PARTIR DE LA COLUMNA N)</t>
  </si>
  <si>
    <t>PROYECCIÓN DIFERENCIA EN CAMBIO</t>
  </si>
  <si>
    <t>DIFERENCIA DE MONEDA EXTRANJERA</t>
  </si>
  <si>
    <t>VARIABLES MACROECONÓMICAS (Fuente: DANE - Banco de la República)</t>
  </si>
  <si>
    <t>TRM (COP POR 1 USD)</t>
  </si>
  <si>
    <t>PROYECCIÓN ESTADO DE RESULTADOS</t>
  </si>
  <si>
    <t>CRECIMIENTO EN VENTAS</t>
  </si>
  <si>
    <t>MARGEN BRUTO</t>
  </si>
  <si>
    <t>GASTOS DE ADMINISTRACIÓN Y VENTAS / VENTAS</t>
  </si>
  <si>
    <t>TASA DE INTERÉS OBLIGACIONES FINANCIERAS CORRIENTES</t>
  </si>
  <si>
    <t>CÁLCULO INTERESES OBLIGACIONES FINANCIERAS CORRIENTES</t>
  </si>
  <si>
    <t>INGRESOS FINANCIEROS / VENTAS</t>
  </si>
  <si>
    <t>UTILIDAD (PÉRDIDA) EN VENTA DE ACTIVOS FIJOS / VENTAS</t>
  </si>
  <si>
    <t>UTILIDAD (PÉRDIDA) EN VENTA DE INVERSIONES / VENTAS</t>
  </si>
  <si>
    <t>INGRESOS (EGRESOS) POR MÉTODO DE PARTICIPACIÓN / VENTAS</t>
  </si>
  <si>
    <t>OTROS INGRESOS / VENTAS</t>
  </si>
  <si>
    <t>OTROS EGRESOS / VENTAS</t>
  </si>
  <si>
    <t>IMPUESTOS / UTILIDAD NETA</t>
  </si>
  <si>
    <t>PROYECCIÓN BALANCE GENERAL</t>
  </si>
  <si>
    <t>CAJA (EN DÍAS DE VENTAS): AL PROYECTAR SE USA PARA GENERAR LA CAJA MÍNIMA REQUERIDA</t>
  </si>
  <si>
    <t>DÍAS CARTERA BRUTA</t>
  </si>
  <si>
    <t>PROVISIONES CUENTAS POR COBRAR  (% SOBRE LAS CUENTAS POR COBRAR)</t>
  </si>
  <si>
    <t>DÍAS INVENTARIO BRUTO</t>
  </si>
  <si>
    <t>PROVISIONES INVENTARIOS  (% SOBRE LOS INVENTARIOS)</t>
  </si>
  <si>
    <t>DÍAS PAGO</t>
  </si>
  <si>
    <t>CAPEX BRUTO ($MM)</t>
  </si>
  <si>
    <t>VARIACIÓN DEPRECIACIÓN ACUMULADA / ACTIVO FIJO BRUTO</t>
  </si>
  <si>
    <t>DEPRECIACIÓN / ACTIVO FIJO BRUTO</t>
  </si>
  <si>
    <t>VARIACIÓN INTANGIBLES</t>
  </si>
  <si>
    <t>AMORTIZACIÓN INTANGIBLES / INTANGIBLES</t>
  </si>
  <si>
    <t>VARIACIÓN DIFERIDOS</t>
  </si>
  <si>
    <t>AMORTIZACIÓN DIFERIDOS / DIFERIDOS</t>
  </si>
  <si>
    <t>IMPUESTOS POR PAGAR / VENTAS (ANUALIZADAS)</t>
  </si>
  <si>
    <t>DIVIDENDOS PAGADOS / UTILIDAD NETA EJERCICIO ANTERIOR</t>
  </si>
  <si>
    <t>VARIACIÓN REVALORIZACIÓN PATRIMONIAL</t>
  </si>
  <si>
    <t>VARIABLES MACROECONÓMICAS</t>
  </si>
  <si>
    <t>FUENTES PARA INFORMACIÓN INICIAL DE PROYECCIÓN: BANCO DE LA REPÚBLICA, DIRECCIÓN EJECUTIVA DE ESTUDIOS ECONÓMICOS, CÁLCULOS DAVIVIENDA</t>
  </si>
  <si>
    <t>VAR. %</t>
  </si>
  <si>
    <t>Indicadores Macroeconomicos (Filiales)</t>
  </si>
  <si>
    <t>MÓDULO DE IMPRESIÓN</t>
  </si>
  <si>
    <t>Costa Rica</t>
  </si>
  <si>
    <t>VARIABLES MACROECONÓMICAS (Fuente: Dpto de Filiales)</t>
  </si>
  <si>
    <t>Lista</t>
  </si>
  <si>
    <t>El Salvador</t>
  </si>
  <si>
    <t>Honduras</t>
  </si>
  <si>
    <t>Panamá</t>
  </si>
  <si>
    <t>Colombia</t>
  </si>
  <si>
    <t>DEUDORES COMERCIALES (NETO) *</t>
  </si>
  <si>
    <t>3.3</t>
  </si>
  <si>
    <t>INVENTARIOS (NETO) * A</t>
  </si>
  <si>
    <t>OTROS ACTIVOS CORRIENTES *</t>
  </si>
  <si>
    <t>6.1</t>
  </si>
  <si>
    <t>6.2</t>
  </si>
  <si>
    <t>INVERSIONES EN FILIALES Y ASOCIADAS - PERMANENTES * A</t>
  </si>
  <si>
    <t>7.3</t>
  </si>
  <si>
    <t>AJUSTE POR INFLACIÓN (ACTIVOS FIJOS - DEPRECIACIONES)</t>
  </si>
  <si>
    <t>ACTIVO FIJO NETO * A</t>
  </si>
  <si>
    <t>8.1</t>
  </si>
  <si>
    <t>8.2</t>
  </si>
  <si>
    <t>AJUSTE POR INFLACIÓN (INTANGIBLES - AMORTIZACIÓN)</t>
  </si>
  <si>
    <t>INTANGIBLES (NETO) * A</t>
  </si>
  <si>
    <t>AJUSTE POR INFLACIÓN (DIFERIDOS - AMORTIZACIÓN)</t>
  </si>
  <si>
    <t>CARGOS DIFERIDOS (NETO) * A</t>
  </si>
  <si>
    <t>OTROS ACTIVOS DE LARGO PLAZO * A</t>
  </si>
  <si>
    <t>RC</t>
  </si>
  <si>
    <t>DEPARTAMENTOS</t>
  </si>
  <si>
    <t>CC</t>
  </si>
  <si>
    <t>CF</t>
  </si>
  <si>
    <t>FILIALES</t>
  </si>
  <si>
    <t>CME</t>
  </si>
  <si>
    <t>CG</t>
  </si>
  <si>
    <t>CR</t>
  </si>
  <si>
    <t>OTROS PASIVOS CORRIENTES *</t>
  </si>
  <si>
    <t>PASIVOS LABORALES L.P. *</t>
  </si>
  <si>
    <t>25.3</t>
  </si>
  <si>
    <t>OTROS PASIVOS L.P. * A</t>
  </si>
  <si>
    <t>OTROS INGRESOS (EGRESOS) NO OPERACIONALES (NETO) *</t>
  </si>
  <si>
    <t>INVERSIÓN EXPANSIVA EN ACT. FIJOS (CAPEX) - CON DEPRECIACIÓN ACUMULADA</t>
  </si>
  <si>
    <t>A CUENTA INCLUYE AJUSTES POR INFLACIÓN</t>
  </si>
  <si>
    <t>BALANCE</t>
  </si>
  <si>
    <t>CARTERA (CON PROVISIONES)</t>
  </si>
  <si>
    <t>INVENTARIO (CON PROVISIONES)</t>
  </si>
  <si>
    <t>ACTIVO FIJO NETO</t>
  </si>
  <si>
    <t>CAPITAL PAGADO Y PRIMA EN COLOCACIÓN DE ACCIONES (SUPERÁVIT DE CAPITAL)</t>
  </si>
  <si>
    <t>REVALORIZACIÓN PATRIMONIAL / PATRIMONIO</t>
  </si>
  <si>
    <t>PATRIMONIO TANGIBLE</t>
  </si>
  <si>
    <t/>
  </si>
  <si>
    <t>PRODUCTIVIDAD</t>
  </si>
  <si>
    <t>VENTAS NETAS</t>
  </si>
  <si>
    <t>CRECIMIENTO EN VENTAS ANUALIZADAS</t>
  </si>
  <si>
    <t>CRECIMIENTO EN VENTAS CON RESPECTO AL CORTE DEL AÑO ANTERIOR (ANUALIZ.)</t>
  </si>
  <si>
    <t>MARGEN OPERACIONAL</t>
  </si>
  <si>
    <t>MARGEN EBITDA</t>
  </si>
  <si>
    <t>CARGA FINANCIERA / UTILIDAD OPERACIONAL</t>
  </si>
  <si>
    <t>MARGEN NETO</t>
  </si>
  <si>
    <t>DÍAS CARTERA SIN PROVISIONES</t>
  </si>
  <si>
    <t>DÍAS CARTERA</t>
  </si>
  <si>
    <t>DÍAS INVENTARIO SIN PROVISIONES</t>
  </si>
  <si>
    <t>DÍAS INVENTARIO</t>
  </si>
  <si>
    <t>CICLO PRODUCTIVO SIN PROVISIONES</t>
  </si>
  <si>
    <t>CICLO PRODUCTIVO</t>
  </si>
  <si>
    <t>DÍAS PROVEEDORES</t>
  </si>
  <si>
    <t xml:space="preserve">LIQUIDEZ Y SOLVENCIA </t>
  </si>
  <si>
    <t>CAPITAL DE TRABAJO</t>
  </si>
  <si>
    <t>CAPITAL DE TRABAJO OPERATIVO</t>
  </si>
  <si>
    <t>RAZÓN CORRIENTE</t>
  </si>
  <si>
    <t>PRUEBA ÁCIDA</t>
  </si>
  <si>
    <t>EBITDA / INTERESES</t>
  </si>
  <si>
    <t>EBITDA / CONSUMO CAPITAL DE TRABAJO</t>
  </si>
  <si>
    <t>FLUJO DE CAJA LIBRE OPERATIVO / SERVICIO DE DEUDA</t>
  </si>
  <si>
    <t xml:space="preserve">FLUJO DE CAJA LIBRE </t>
  </si>
  <si>
    <t>PASIVO FINANCIERO / VENTAS</t>
  </si>
  <si>
    <t>PASIVO FINANCIERO / EBITDA</t>
  </si>
  <si>
    <t>DEUDA / EBITDA</t>
  </si>
  <si>
    <t>DEUDA FINANCIERA NETA / EBITDA</t>
  </si>
  <si>
    <t>LEVERAGE TOTAL CON PATRIMONIO TANGIBLE</t>
  </si>
  <si>
    <t>LEVERAGE FINANCIERO CON PATRIMONIO TANGIBLE</t>
  </si>
  <si>
    <t>PASIVO FINANCIERO / PATRIMONIO</t>
  </si>
  <si>
    <t>ROA C.V</t>
  </si>
  <si>
    <t>ROA S.V</t>
  </si>
  <si>
    <t>ROE C.V</t>
  </si>
  <si>
    <t>ROE S.V</t>
  </si>
  <si>
    <t>- AMORTIZACIÓN OBLIGACIONES FINANCIERAS CORRIENTES</t>
  </si>
  <si>
    <t>- AMORTIZACIÓN OBLIGACIONES FINANCIERAS L.P.</t>
  </si>
  <si>
    <t>- GASTO DE INTERÉS + DIFERENCIA EN CAMBIO SI ES NEGATIVA NETA</t>
  </si>
  <si>
    <t>+ / - INGRESOS FINANCIEROS</t>
  </si>
  <si>
    <t>+ / - UTILIDAD (PÉRDIDA) EN VENTA DE ACTIVOS FIJOS</t>
  </si>
  <si>
    <t>+ / - UTILIDAD (PÉRDIDA) EN VENTA DE INVERSIONES</t>
  </si>
  <si>
    <t>+ / - INGRESOS  (EGRESOS) POR MÉTODO DE PARTICIPACIÓN</t>
  </si>
  <si>
    <t>Monedas</t>
  </si>
  <si>
    <t>COP Millones</t>
  </si>
  <si>
    <t>USD Miles</t>
  </si>
  <si>
    <t xml:space="preserve">CIFRAS EN </t>
  </si>
  <si>
    <t>V (%)</t>
  </si>
  <si>
    <t>V(%)</t>
  </si>
  <si>
    <t>H(%)</t>
  </si>
  <si>
    <t>Ventas Netas</t>
  </si>
  <si>
    <t>(-) Costo de Ventas</t>
  </si>
  <si>
    <t>Utilidad Bruta</t>
  </si>
  <si>
    <t>(-) Gastos Operacionales</t>
  </si>
  <si>
    <t>Utilidad Operacional</t>
  </si>
  <si>
    <t>Depreciaciones y Amortizaciones</t>
  </si>
  <si>
    <t>Ingresos No Operacionales</t>
  </si>
  <si>
    <t>(-) Egresos No Operacionales</t>
  </si>
  <si>
    <t>(-) Gastos Financieros</t>
  </si>
  <si>
    <t>Utilidad Antes de Impuestos</t>
  </si>
  <si>
    <t>(-) Impuestos</t>
  </si>
  <si>
    <t>Utilidad Neta</t>
  </si>
  <si>
    <t>PASIVOS Y ACTIVOS NO OPER</t>
  </si>
  <si>
    <t>Variación Capital de Trabajo</t>
  </si>
  <si>
    <t>CAPEX</t>
  </si>
  <si>
    <t>Inversiones Permanentes</t>
  </si>
  <si>
    <t>Flujo de Caja Libre</t>
  </si>
  <si>
    <t>Egresos No Operacionales</t>
  </si>
  <si>
    <t>Variación Act. y Pas. No Operativos</t>
  </si>
  <si>
    <t>Capitalizaciones</t>
  </si>
  <si>
    <t>Flujo de Caja Antes de Deuda Financiera</t>
  </si>
  <si>
    <t>Gastos Financieros</t>
  </si>
  <si>
    <t>Amortización Obligaciones Financieras C.P.</t>
  </si>
  <si>
    <t>Amortización Obligaciones Financieras L.P.</t>
  </si>
  <si>
    <t>Nuevas Obligaciones Financieras C.P.</t>
  </si>
  <si>
    <t>Nuevas Obligaciones Financieras L.P.</t>
  </si>
  <si>
    <t>Flujo Resultante</t>
  </si>
  <si>
    <t>Caja Inicial</t>
  </si>
  <si>
    <t>Caja Final</t>
  </si>
  <si>
    <t>SALDO OBLIGACIONES FINANCIERAS C.P.</t>
  </si>
  <si>
    <t>SALDO OBLIGACIONES FINANCIERAS L.P.</t>
  </si>
  <si>
    <t>SALDO TOTAL OBLIGACIONES FINANCIERAS</t>
  </si>
  <si>
    <t>FCL+Caja / Servicio de la Deuda</t>
  </si>
  <si>
    <t>No</t>
  </si>
  <si>
    <t>Deuda / EBITDA</t>
  </si>
  <si>
    <t>Endeudamiento (Sin Val.)</t>
  </si>
  <si>
    <t>Rotación de Cartera</t>
  </si>
  <si>
    <t>Rotación de Inventario</t>
  </si>
  <si>
    <t>Rotación de Proveedores</t>
  </si>
  <si>
    <t>VALIDACIONES</t>
  </si>
  <si>
    <t>DETERMINACIÓN DE NIT, NÚMERO DE EMPRESA Y MONEDA</t>
  </si>
  <si>
    <t>VISIBLE</t>
  </si>
  <si>
    <t>NO IMPRIMIR</t>
  </si>
  <si>
    <t>TODO</t>
  </si>
  <si>
    <t>NO</t>
  </si>
  <si>
    <t>IMPRIMIR</t>
  </si>
  <si>
    <t>OCULTA</t>
  </si>
  <si>
    <t>BALANCE / P&amp;G</t>
  </si>
  <si>
    <t>SENSIBILIZADO</t>
  </si>
  <si>
    <t>SI</t>
  </si>
  <si>
    <t>FILAS Y CELDAS CAJA Y VENTAS - MACRO click EN cmdAceptar (FORMULARIO frmImpBal)</t>
  </si>
  <si>
    <t>CELDAS DE COMPARACIÓN Y FILAS A OCULTAR O MOSTRAR - MACRO MOSTRAR_OCULTAR_EFICIENCIA_SIN_PROVISIONES</t>
  </si>
  <si>
    <t>AMBOS</t>
  </si>
  <si>
    <t>DATOS FINANCIEROS</t>
  </si>
  <si>
    <t>SENSIBILIZADO 2</t>
  </si>
  <si>
    <t>FLUJO DE CAJA</t>
  </si>
  <si>
    <t>AÑO INICIO IMPRESIÓN</t>
  </si>
  <si>
    <t>CELDAS PARA NOMBRES Y PARA DESOCUPAR - MACRO CREAR_BALANCES</t>
  </si>
  <si>
    <t>IMPRESIÓN DE ESCENARIOS - MACRO IMPR_PRES</t>
  </si>
  <si>
    <t>ÁREAS DE IMPRESIÓN - MACRO click EN cmdAceptar (FORMULARIO frmImpBal)</t>
  </si>
  <si>
    <t>AÑO FIN IMPRESIÓN</t>
  </si>
  <si>
    <t>No. DE SENSIBILIZACIONES A IMPRIMIR</t>
  </si>
  <si>
    <t>CAJA MÍNIMA CALCULADA</t>
  </si>
  <si>
    <t>NUEVOS DESEMBOLSOS DE LARGO PLAZO:DESTINOS Y PORCENTAJES DE AMORTIZACIÓN SEGÚN MES DE DESEMBOLSO</t>
  </si>
  <si>
    <t>FILAS A ABRIR - MACRO ABRIR_DESEMBOLSOS</t>
  </si>
  <si>
    <t>COLUMNAS - MACRO click EN cmdAceptar (FORMULARIO frmImpBal),</t>
  </si>
  <si>
    <t>COMPRA DE ACTIVOS</t>
  </si>
  <si>
    <t>AUMENTA ACTIVO FIJO BRUTO</t>
  </si>
  <si>
    <t>MACRO APLICAR_PROYECCION</t>
  </si>
  <si>
    <t>AÑOS PROYECCIÓN - MACRO APLICAR_PROYECCION, MACRO click EN cmdAceptar (FORMULARIO frmImpBal)</t>
  </si>
  <si>
    <t>CAPITALIZACION RECURSOS NUEVOS</t>
  </si>
  <si>
    <t>AUMENTA CAPITAL PAGADO</t>
  </si>
  <si>
    <t>DESEMBOLSOS NO DAVIVIENDA</t>
  </si>
  <si>
    <t>SUSTITUCIÓN PASIVOS L.P.</t>
  </si>
  <si>
    <t>AMORTIZA PASIVO L.P. VIGENTE</t>
  </si>
  <si>
    <t>SUSTITUCIÓN BONOS</t>
  </si>
  <si>
    <t>AMORTIZA BONOS VIGENTES</t>
  </si>
  <si>
    <t>RANGO AÑOS IMPRESIÓN, TOTAL FILAS DE LISTA Y DIRECCIONES DE VALORES INICIALES - LISTAS DE FORMULARIO cboDesde Y cboHasta (Initialize EN FORMULARIO frmImpBal)</t>
  </si>
  <si>
    <t>NUEVAS OBLIGACIONES FINANCIERAS - OTRAS ENTIDADES - LARGO PLAZO</t>
  </si>
  <si>
    <t>TOTALES</t>
  </si>
  <si>
    <t>FILAS A OCULTAR O MOSTRAR - MACRO MOSTRAR_OCULTAR_OBLIGS_LP_BANCAFE</t>
  </si>
  <si>
    <t>AÑO INICIO AMORTIZACIÓN, CUOTAS AMORTIZADAS 1er. AÑO Y CUOTAS TOTALES - 1er. DESEMBOLSO</t>
  </si>
  <si>
    <t>DESEMBOLSOS DAVIVIENDA</t>
  </si>
  <si>
    <t>ÁREA DE IMPRESIÓN - MACRO IMPR_RES_PROY</t>
  </si>
  <si>
    <t>DESTINO Y CÁLCULO DE INTERESES LIQUIDADOS PARA 1er. AÑO - 1er. DESEMBOLSO</t>
  </si>
  <si>
    <t>AÑO INICIO AMORTIZACIÓN, CUOTAS AMORTIZADAS 1er. AÑO Y CUOTAS TOTALES - 2o.. DESEMBOLSO</t>
  </si>
  <si>
    <t>DESTINO Y CÁLCULO DE INTERESES LIQUIDADOS PARA 1er. AÑO - 2o. DESEMBOLSO</t>
  </si>
  <si>
    <t>AÑO INICIO AMORTIZACIÓN, CUOTAS AMORTIZADAS 3er. AÑO Y CUOTAS TOTALES - 3er. DESEMBOLSO</t>
  </si>
  <si>
    <t>CONTADORES - MACRO click EN cmdAceptar (FORMULARIO frmImpBal)</t>
  </si>
  <si>
    <t>DESTINO Y CÁLCULO DE INTERESES LIQUIDADOS PARA 1er. AÑO - 3er. DESEMBOLSO</t>
  </si>
  <si>
    <t>CELDAS PARA FÓRMULAS Y COLS. PARA REEMPLAZAR - MACRO APLICAR_BENCH_GRUPO</t>
  </si>
  <si>
    <t>NUEVAS OBLIGACIONES FINANCIERAS - DAVIVIENDA - LARGO PLAZO</t>
  </si>
  <si>
    <t>LISTA PLAZO OBLIGACIONES FINANCIERAS</t>
  </si>
  <si>
    <t>DISTRIBUCIÓN DE IMPRESIÓN - MACRO IMPR_RES_PROY</t>
  </si>
  <si>
    <t>VALIDACIONES Y EQUIVALENCIAS DE MESES, PARÁMETROS DE AMORTIZACIÓN SEGÚN MES DE DESEMBOLSO</t>
  </si>
  <si>
    <t>AÑOS A PROYECTAR - MACRO APLICAR_PROYECCION</t>
  </si>
  <si>
    <t>ENERO</t>
  </si>
  <si>
    <t>MENSUAL</t>
  </si>
  <si>
    <t>FEBRERO</t>
  </si>
  <si>
    <t>TRIMESTRAL</t>
  </si>
  <si>
    <t>MARZO</t>
  </si>
  <si>
    <t>SEMESTRAL</t>
  </si>
  <si>
    <t>ABRIL</t>
  </si>
  <si>
    <t>ANUAL</t>
  </si>
  <si>
    <t>MAYO</t>
  </si>
  <si>
    <t>VALIDACIÓN AÑOS PARA PLAZO - NUEVAS OBLIGACIONES DE LARGO PLAZO</t>
  </si>
  <si>
    <t>JUNIO</t>
  </si>
  <si>
    <t>CORTES</t>
  </si>
  <si>
    <t>JULIO</t>
  </si>
  <si>
    <t>AGOSTO</t>
  </si>
  <si>
    <t>MÚLTIPLOS INFERIORES PARA PERÍODOS DE GRACIA</t>
  </si>
  <si>
    <t>SEPTIEMBRE</t>
  </si>
  <si>
    <t>OCTUBRE</t>
  </si>
  <si>
    <t>NOVIEMBRE</t>
  </si>
  <si>
    <t>DICIEMBRE</t>
  </si>
  <si>
    <t>RESUMEN PARA EMPRESAS</t>
  </si>
  <si>
    <t>P&amp;G</t>
  </si>
  <si>
    <t>Ventas</t>
  </si>
  <si>
    <t>Costos y Gastos</t>
  </si>
  <si>
    <t>DESCRIPCIÓN</t>
  </si>
  <si>
    <t>Ingresos</t>
  </si>
  <si>
    <t>Evolución en Ingresos</t>
  </si>
  <si>
    <t>Inventario</t>
  </si>
  <si>
    <t>Cuentas por cobrar</t>
  </si>
  <si>
    <t>Otros ingresos y egresos</t>
  </si>
  <si>
    <t>Diferencia en cambio</t>
  </si>
  <si>
    <t>Variación KW</t>
  </si>
  <si>
    <t>Total activo corriente</t>
  </si>
  <si>
    <t>Propiedad planta y Equipo</t>
  </si>
  <si>
    <t>%</t>
  </si>
  <si>
    <t>Diferidos e Intangibles</t>
  </si>
  <si>
    <t>INDICADORES</t>
  </si>
  <si>
    <t>Variación Inversiones Permanentes</t>
  </si>
  <si>
    <t>Otros activos L.P.</t>
  </si>
  <si>
    <t>Flujo de Caja Libre (FCL)</t>
  </si>
  <si>
    <t>Valorizaciones</t>
  </si>
  <si>
    <t>Rentabilidad</t>
  </si>
  <si>
    <t>Variación Otros Act y Pas No Ope.</t>
  </si>
  <si>
    <t>Total activo no corriente</t>
  </si>
  <si>
    <t>Otros Ingresos - (Egresos) Neto</t>
  </si>
  <si>
    <t>Margen Ebitda</t>
  </si>
  <si>
    <t>Flujo Disponible Servicio de la Deuda (FDSD)</t>
  </si>
  <si>
    <t>Obligaciones Financieras</t>
  </si>
  <si>
    <t>ROE (Con.Val.)</t>
  </si>
  <si>
    <t>Amortización de Obligaciones CP y LP</t>
  </si>
  <si>
    <t>Actividad</t>
  </si>
  <si>
    <t>Nuevos Desembolso de Obligaciones CP</t>
  </si>
  <si>
    <t>Cuentas por pagar</t>
  </si>
  <si>
    <t>Evolución en Ventas</t>
  </si>
  <si>
    <t>Nuevos Desembolso de Obligaciones LP</t>
  </si>
  <si>
    <t>Otros Pasivos</t>
  </si>
  <si>
    <t>Rotacion Cartera</t>
  </si>
  <si>
    <t>Flujo de Caja Accionistas</t>
  </si>
  <si>
    <t xml:space="preserve">MODELO DE ORIGINACIÓN </t>
  </si>
  <si>
    <t>Total pasivos corrientes</t>
  </si>
  <si>
    <t>Rotacion Inventario</t>
  </si>
  <si>
    <t>Obligaciones Financieras L.P</t>
  </si>
  <si>
    <t>Ciclo Operativo</t>
  </si>
  <si>
    <t>Otros Pasivos L.P.</t>
  </si>
  <si>
    <t>Rotación Proveedores</t>
  </si>
  <si>
    <t>Flujo de Caja Neto</t>
  </si>
  <si>
    <t>Score</t>
  </si>
  <si>
    <t>Total pasivos no corrientes</t>
  </si>
  <si>
    <t>Ciclo Neto Operativo</t>
  </si>
  <si>
    <t>Rating</t>
  </si>
  <si>
    <t>Endeudamiento</t>
  </si>
  <si>
    <t>Endeudamiento Total (Sin. Val.)</t>
  </si>
  <si>
    <t>Saldo Obligaciones Financieras</t>
  </si>
  <si>
    <t>Sector comercio</t>
  </si>
  <si>
    <t>Capital Pagado</t>
  </si>
  <si>
    <t>Endeudamiento Financiero (Sin Val.)</t>
  </si>
  <si>
    <t>Óptimo</t>
  </si>
  <si>
    <t>Bueno</t>
  </si>
  <si>
    <t>Regular</t>
  </si>
  <si>
    <t>Débil</t>
  </si>
  <si>
    <t>Superávit de Capital</t>
  </si>
  <si>
    <t>EBITDA / Gastos Financieros</t>
  </si>
  <si>
    <t>Socios y la Empresa     -    45%</t>
  </si>
  <si>
    <t>P</t>
  </si>
  <si>
    <t>Depurado</t>
  </si>
  <si>
    <t>Reservas</t>
  </si>
  <si>
    <t>FCL / Servicio de la Deuda</t>
  </si>
  <si>
    <t>Concepto de los socios</t>
  </si>
  <si>
    <t xml:space="preserve">Activos </t>
  </si>
  <si>
    <t xml:space="preserve">Calificacion </t>
  </si>
  <si>
    <t>Pasivos</t>
  </si>
  <si>
    <t>Otros Patrimonio</t>
  </si>
  <si>
    <t>Ebitda-Capex Inversión-Variación KW-TX</t>
  </si>
  <si>
    <t>Concepto de Junta Directiva</t>
  </si>
  <si>
    <t>Activo CP</t>
  </si>
  <si>
    <t>Viabilidad y Solvencia</t>
  </si>
  <si>
    <t>Serv. deuda+ (Saldo deuda CP -Cartera- Inventarios)</t>
  </si>
  <si>
    <t>Continuidad del negocio</t>
  </si>
  <si>
    <t>Ebitda / Intereses</t>
  </si>
  <si>
    <t>FCL depurado / Servicio de la Deuda Depurado</t>
  </si>
  <si>
    <t>Nivel de regulacion de la industria</t>
  </si>
  <si>
    <t>Sector industrial</t>
  </si>
  <si>
    <t>Riesgo sector</t>
  </si>
  <si>
    <t>Sector servicios</t>
  </si>
  <si>
    <t>Bancos</t>
  </si>
  <si>
    <t>Inversiones de CP</t>
  </si>
  <si>
    <t>Costos por pagar</t>
  </si>
  <si>
    <t>RESUMEN LÍMITES DE CRÉDITO
Cifras en $ MM o USD Miles</t>
  </si>
  <si>
    <t>Análisis Financiero     -     45%</t>
  </si>
  <si>
    <t>Fiscales</t>
  </si>
  <si>
    <t>Cartera</t>
  </si>
  <si>
    <t>Laborales</t>
  </si>
  <si>
    <t>INDICADOR</t>
  </si>
  <si>
    <t>Validador fuerte</t>
  </si>
  <si>
    <t>Validador Bueno</t>
  </si>
  <si>
    <t>Validador Regular</t>
  </si>
  <si>
    <t>Validador débil</t>
  </si>
  <si>
    <t xml:space="preserve">Otras cuentas por cobrar </t>
  </si>
  <si>
    <t>Anticipos</t>
  </si>
  <si>
    <t>FCL / servicio de deuda</t>
  </si>
  <si>
    <t>TIPO DE LÍMITE</t>
  </si>
  <si>
    <t>PROPUESTOS</t>
  </si>
  <si>
    <t>SOLICITADOS</t>
  </si>
  <si>
    <t>ANTERIORES</t>
  </si>
  <si>
    <t>DEUDA ACTUAL</t>
  </si>
  <si>
    <t>FCL Depurado / servicio de deuda Depurado</t>
  </si>
  <si>
    <t>Calificación MARC</t>
  </si>
  <si>
    <t>CORTO PLAZO</t>
  </si>
  <si>
    <t>Se alimentará del Rib según instrucciones de reporte que se enviarán</t>
  </si>
  <si>
    <t>Tendencia (FCL Depurado)</t>
  </si>
  <si>
    <t>suma</t>
  </si>
  <si>
    <t>S/GIRO - CANJE - REMESAS</t>
  </si>
  <si>
    <t>Check</t>
  </si>
  <si>
    <t>DERIVADOS - CONTRAPARTE</t>
  </si>
  <si>
    <t>Activo LP</t>
  </si>
  <si>
    <t>SUMA</t>
  </si>
  <si>
    <t>OPERACIONES DE L.P.  Xxx AÑOS</t>
  </si>
  <si>
    <t>Deuda Financiera / Ebitda</t>
  </si>
  <si>
    <t xml:space="preserve">PREVIAMENTE APROBADAS </t>
  </si>
  <si>
    <t>Tendencia (Deuda financiera / Ebitda)</t>
  </si>
  <si>
    <t>Inmuebles</t>
  </si>
  <si>
    <t>RIESGO TOTAL</t>
  </si>
  <si>
    <t>Pasivo Exigible</t>
  </si>
  <si>
    <t>GARANTÍA</t>
  </si>
  <si>
    <t>Tendencia (Margen EBITDA)</t>
  </si>
  <si>
    <t>Equipo de oficina</t>
  </si>
  <si>
    <t>Activo depurado</t>
  </si>
  <si>
    <t>Dinamica Ingresos</t>
  </si>
  <si>
    <t>Otros PPYE</t>
  </si>
  <si>
    <t>total</t>
  </si>
  <si>
    <t>Tendencia (Dinamica Ingresos)</t>
  </si>
  <si>
    <t>Intangibles (Leasing)</t>
  </si>
  <si>
    <t>Pasivo Exigible / Activo Depurado</t>
  </si>
  <si>
    <t>Intangibles (Marcas y otros)</t>
  </si>
  <si>
    <t>Tendencia (Activo depurado)</t>
  </si>
  <si>
    <t>Inversiones</t>
  </si>
  <si>
    <t>CÁLCULO DE FCL: Depurado / servicio de deuda</t>
  </si>
  <si>
    <t>Campo editable</t>
  </si>
  <si>
    <t>Calf</t>
  </si>
  <si>
    <t>Activos Diferidos</t>
  </si>
  <si>
    <t>(M/L)</t>
  </si>
  <si>
    <t>(M/E)</t>
  </si>
  <si>
    <t>Tendencia (Margene Neto)</t>
  </si>
  <si>
    <t>Numerador</t>
  </si>
  <si>
    <t>Prestamos a socios</t>
  </si>
  <si>
    <t>Tendencia (Rotacion de cartera)</t>
  </si>
  <si>
    <t>Capex Mant. e Inver.</t>
  </si>
  <si>
    <t>Endeudamiento Financiero  - 10%</t>
  </si>
  <si>
    <t>Total numerador</t>
  </si>
  <si>
    <t>N.A</t>
  </si>
  <si>
    <t>Endeudamiento Sistema Financiero</t>
  </si>
  <si>
    <t>FLC</t>
  </si>
  <si>
    <t>Tendencia endeudamiento</t>
  </si>
  <si>
    <t>Reporte negativo en centrales de riesgo</t>
  </si>
  <si>
    <t>Denominador</t>
  </si>
  <si>
    <t>Servicio de deuda</t>
  </si>
  <si>
    <t>Saldo deuda CP</t>
  </si>
  <si>
    <t>Saldo deuda LP</t>
  </si>
  <si>
    <t>x</t>
  </si>
  <si>
    <t>Cartera+ Inventarios</t>
  </si>
  <si>
    <t>Condicional</t>
  </si>
  <si>
    <t>Indicadores    1: Optimo, 2: Bueno, 3: Regular, 4: Debil</t>
  </si>
  <si>
    <t>Total denominador</t>
  </si>
  <si>
    <t>Deuda Neta / EBITDA</t>
  </si>
  <si>
    <t>Tendencias     1:  Positiva, 2: Estable , 3: Negativa</t>
  </si>
  <si>
    <t xml:space="preserve"> FCL: Depurado / servicio de deuda</t>
  </si>
  <si>
    <t>Part. (%)</t>
  </si>
  <si>
    <t xml:space="preserve">Principal </t>
  </si>
  <si>
    <t>Suplente</t>
  </si>
  <si>
    <t>· Nit</t>
  </si>
  <si>
    <t>· Nombre</t>
  </si>
  <si>
    <t>· Segmento al que pertenece la empresa (Emp/Corp/Pyme)</t>
  </si>
  <si>
    <t>Corp</t>
  </si>
  <si>
    <t>· Código CIIU</t>
  </si>
  <si>
    <t>· Cifín</t>
  </si>
  <si>
    <t>RESUMEN PARA EMPRESAS DE INFRAESTRUCTURA</t>
  </si>
  <si>
    <t>FLUJO DE CAJA PARA PROYECTO</t>
  </si>
  <si>
    <t>N.D</t>
  </si>
  <si>
    <t>Vinculados económicos (No com.)</t>
  </si>
  <si>
    <t>Retención sobre contratos</t>
  </si>
  <si>
    <t>Capex</t>
  </si>
  <si>
    <t>Otras cuentas por cobrar</t>
  </si>
  <si>
    <t>Anticipos y avances de Imp.</t>
  </si>
  <si>
    <t>Aportes Equity</t>
  </si>
  <si>
    <t>Rotación de Inventarios</t>
  </si>
  <si>
    <t>Deuda Financiera / (Equity + Deuda)</t>
  </si>
  <si>
    <t>Anticipos y avances recibidos</t>
  </si>
  <si>
    <t>Equity / (Equity + Deuda)</t>
  </si>
  <si>
    <t>FCLO / Servicio de la Deuda</t>
  </si>
  <si>
    <t>VALIDA Caja Final</t>
  </si>
  <si>
    <t>Vinculados económicos</t>
  </si>
  <si>
    <t>Anticipos y avances recibidos LP</t>
  </si>
  <si>
    <t>Otros Pasivos L.P. Varios</t>
  </si>
  <si>
    <t>RESUMEN CIFRAS PARA EMPRESAS MENORES O BENCHMAK</t>
  </si>
  <si>
    <t xml:space="preserve">RESULTADOS FINANCIEROS </t>
  </si>
  <si>
    <t>Empresa Benchmark</t>
  </si>
  <si>
    <t>(Cifras en $ MM)</t>
  </si>
  <si>
    <t>Caja e Inversiones temp.</t>
  </si>
  <si>
    <t>Cuentas por cobrar CP</t>
  </si>
  <si>
    <t>Otros activos CP</t>
  </si>
  <si>
    <t>PPE</t>
  </si>
  <si>
    <t>Inversiones permanentes</t>
  </si>
  <si>
    <t>Intagibles y Diferidos</t>
  </si>
  <si>
    <t>Otros activos LP</t>
  </si>
  <si>
    <t xml:space="preserve">Activo </t>
  </si>
  <si>
    <t>Obligaciones Financieras CP</t>
  </si>
  <si>
    <t>Cuentas por pagar CP</t>
  </si>
  <si>
    <t>EXPOSICIÓN TOTAL GRUPO</t>
  </si>
  <si>
    <t>Otros pasivos CP</t>
  </si>
  <si>
    <t>Obligaciones Financieras LP</t>
  </si>
  <si>
    <t>Otros Pasivos LP</t>
  </si>
  <si>
    <t>Pasivo</t>
  </si>
  <si>
    <t>Superavit de Capital</t>
  </si>
  <si>
    <t xml:space="preserve">Patrimonio </t>
  </si>
  <si>
    <t>Crecimiento Ventas</t>
  </si>
  <si>
    <t>ROE (Con Val.)</t>
  </si>
  <si>
    <t>Lista Empresas</t>
  </si>
  <si>
    <t xml:space="preserve">Deuda Financiera / Ebitda: </t>
  </si>
  <si>
    <t xml:space="preserve">EBITDA / Servicio de la Deuda      &gt; </t>
  </si>
  <si>
    <t>Patrimonio  &gt;</t>
  </si>
  <si>
    <t>FCL/Servicio deuda</t>
  </si>
  <si>
    <t xml:space="preserve">Estructura de capital de inversión XX% deuda - XX% Equity (Pari Passu); </t>
  </si>
  <si>
    <t>Endeudamiento de la empresa no puede superar el XX%</t>
  </si>
  <si>
    <t>Equity Call de los socios en caso de deficit de servicio de la deuda</t>
  </si>
  <si>
    <t>DECLARACIÓN DE RENTA</t>
  </si>
  <si>
    <t>IMPRESIÓN CODEUDORES DECLARACIÓN DE RENTA</t>
  </si>
  <si>
    <t>6.</t>
  </si>
  <si>
    <t xml:space="preserve">POLÍTICAS Y ASPECTOS LEGALES DE CRÉDITO: </t>
  </si>
  <si>
    <t>7.</t>
  </si>
  <si>
    <t>REPORTE ASOCIACIÓN BANCARIA (CIFIN)</t>
  </si>
  <si>
    <t>Reportado por las Siguientes Entidades :</t>
  </si>
  <si>
    <t>FECHA REPORTE:</t>
  </si>
  <si>
    <t>Calificación Comercial</t>
  </si>
  <si>
    <t>Vr. Total Comercial</t>
  </si>
  <si>
    <t>Participacion Comercial</t>
  </si>
  <si>
    <t>Calificación Arrastre Comercial</t>
  </si>
  <si>
    <t>Participación Arrastre Comercial</t>
  </si>
  <si>
    <t>Tipo de Garantia</t>
  </si>
  <si>
    <t>SUBTOTAL</t>
  </si>
  <si>
    <t>ANEXO - DECLARACIÓN DE RENTA CODEUDORES</t>
  </si>
  <si>
    <t>Codeudor 1</t>
  </si>
  <si>
    <t>Codeudor 2</t>
  </si>
  <si>
    <t>Acciones y Aportes</t>
  </si>
  <si>
    <t>Activos Fijos</t>
  </si>
  <si>
    <t>Otros Activos</t>
  </si>
  <si>
    <t>Total Patrimonio Bruto</t>
  </si>
  <si>
    <t>Total Patrimonio Líquido</t>
  </si>
  <si>
    <t>Total Ingresos Netos</t>
  </si>
  <si>
    <t>Renta Líquida Gravable</t>
  </si>
  <si>
    <t>Impuesto a Cargo</t>
  </si>
  <si>
    <t>Codeudor 3</t>
  </si>
  <si>
    <t>Codeudor 4</t>
  </si>
  <si>
    <t>Codeudor 5</t>
  </si>
  <si>
    <t>Codeudor 6</t>
  </si>
  <si>
    <t>Codeudor 7</t>
  </si>
  <si>
    <t>Codeudor 8</t>
  </si>
  <si>
    <t>Sin</t>
  </si>
  <si>
    <t>AGD Almacafé</t>
  </si>
  <si>
    <t>Hipoteca</t>
  </si>
  <si>
    <t>AGD Almagrario</t>
  </si>
  <si>
    <t>Fiducia</t>
  </si>
  <si>
    <t>AGD Almaviva</t>
  </si>
  <si>
    <t>FNG</t>
  </si>
  <si>
    <t>AGD Alpopular</t>
  </si>
  <si>
    <t>Idónea</t>
  </si>
  <si>
    <t>Bco AV Villas</t>
  </si>
  <si>
    <t>No idónea</t>
  </si>
  <si>
    <t>Bco Banagrario</t>
  </si>
  <si>
    <t>Leasing</t>
  </si>
  <si>
    <t>Bco Bancamía</t>
  </si>
  <si>
    <t>Prenda</t>
  </si>
  <si>
    <t xml:space="preserve">Bco Bancolombia </t>
  </si>
  <si>
    <t>Otra</t>
  </si>
  <si>
    <t>Bco Bancoomeva</t>
  </si>
  <si>
    <t>Bco BBVA Colombia</t>
  </si>
  <si>
    <t>Bco BCSC</t>
  </si>
  <si>
    <t>Bco Citibank</t>
  </si>
  <si>
    <t>Comercial</t>
  </si>
  <si>
    <t>Bco Colpatria</t>
  </si>
  <si>
    <t>Consumo</t>
  </si>
  <si>
    <t>Bco CorpBanca</t>
  </si>
  <si>
    <t>Hipotecaria</t>
  </si>
  <si>
    <t>Bco Davivienda</t>
  </si>
  <si>
    <t>Bco de Bogotá</t>
  </si>
  <si>
    <t>A</t>
  </si>
  <si>
    <t>Bco de Occidente</t>
  </si>
  <si>
    <t>B</t>
  </si>
  <si>
    <t>Bco Falabella</t>
  </si>
  <si>
    <t>C</t>
  </si>
  <si>
    <t>Bco Finandina</t>
  </si>
  <si>
    <t>D</t>
  </si>
  <si>
    <t>Bco GNB Sudameris</t>
  </si>
  <si>
    <t>E</t>
  </si>
  <si>
    <t>Bco Helm Bank</t>
  </si>
  <si>
    <t>K</t>
  </si>
  <si>
    <t>Bco HSBC Colombia</t>
  </si>
  <si>
    <t>Bco Pichincha</t>
  </si>
  <si>
    <t>Bco Popular</t>
  </si>
  <si>
    <t>Bco ProCredit Colombia</t>
  </si>
  <si>
    <t>Bco Scotiabank</t>
  </si>
  <si>
    <t>Bco WWB</t>
  </si>
  <si>
    <t>CFC CIT Capita Colombia</t>
  </si>
  <si>
    <t>CFC Coltefinanciera</t>
  </si>
  <si>
    <t>CFC Confinanciera</t>
  </si>
  <si>
    <t>CFC Credifamilia</t>
  </si>
  <si>
    <t>CFC Dann Regional</t>
  </si>
  <si>
    <t>CFC Factoring Bancolombia</t>
  </si>
  <si>
    <t>CFC Finamérica</t>
  </si>
  <si>
    <t>CFC Financiera Cambiamos</t>
  </si>
  <si>
    <t>CFC Financiera Internacional</t>
  </si>
  <si>
    <t>CFC Financiera Pagos Internacionales</t>
  </si>
  <si>
    <t>CFC Giros y Finanzas</t>
  </si>
  <si>
    <t>CFC GMAC Colombia</t>
  </si>
  <si>
    <t>CFC La Polar</t>
  </si>
  <si>
    <t>CFC Leasing Bancoldex</t>
  </si>
  <si>
    <t>CFC Leasing Bancolombia</t>
  </si>
  <si>
    <t>CFC Leasing Bolívar</t>
  </si>
  <si>
    <t>CFC Leasing Colpatria</t>
  </si>
  <si>
    <t>CFC Leasing Corficolombiana</t>
  </si>
  <si>
    <t>CFC Macrofinanciera</t>
  </si>
  <si>
    <t>CFC Mi Plata</t>
  </si>
  <si>
    <t>CFC Prisa - En Liquidación Voluntaria</t>
  </si>
  <si>
    <t>CFC Serfinansa</t>
  </si>
  <si>
    <t>CFC Tuya</t>
  </si>
  <si>
    <t>CFI Banca de Inversión Bancolombia</t>
  </si>
  <si>
    <t>CFI BNP Paribas Colombia</t>
  </si>
  <si>
    <t>CFI Corficolombiana</t>
  </si>
  <si>
    <t>CFI JP Morgan</t>
  </si>
  <si>
    <t>COO Confiar Cooperativa</t>
  </si>
  <si>
    <t>COO Coofinep</t>
  </si>
  <si>
    <t>COO Coop. Fin. Antioquia</t>
  </si>
  <si>
    <t>COO Coop. Fin. Kennedy</t>
  </si>
  <si>
    <t>COO Coopcentral</t>
  </si>
  <si>
    <t>COO Cotrafa Cooperativa</t>
  </si>
  <si>
    <t>COO Juriscoop</t>
  </si>
  <si>
    <t>CSG ACE Seguros</t>
  </si>
  <si>
    <t>CSG BBVA Seguros</t>
  </si>
  <si>
    <t>CSG Cardif Colombia</t>
  </si>
  <si>
    <t>CSG Chartis Colombia</t>
  </si>
  <si>
    <t>CSG Chubb de Colombia</t>
  </si>
  <si>
    <t>CSG Colseguros</t>
  </si>
  <si>
    <t>CSG Cóndor</t>
  </si>
  <si>
    <t>CSG Confianza</t>
  </si>
  <si>
    <t>CSG Eco Seguros</t>
  </si>
  <si>
    <t>CSG Generali Colombia</t>
  </si>
  <si>
    <t>CSG La Previsora</t>
  </si>
  <si>
    <t>CSG Liberty Seguros</t>
  </si>
  <si>
    <t>CSG Mapfre Crediseguro</t>
  </si>
  <si>
    <t>CSG Mapfre Seguros Generales</t>
  </si>
  <si>
    <t>CSG Mundial de Seguros</t>
  </si>
  <si>
    <t>CSG QBE Colombia</t>
  </si>
  <si>
    <t>CSG Royal &amp; Sunalliance Colombia</t>
  </si>
  <si>
    <t>CSG Segurexpo de Colombia</t>
  </si>
  <si>
    <t>CSG Seguros Alfa</t>
  </si>
  <si>
    <t>CSG Seguros Ciales. Bolívar</t>
  </si>
  <si>
    <t>CSG Seguros Colpatria</t>
  </si>
  <si>
    <t>CSG Seguros del Estado</t>
  </si>
  <si>
    <t>CSG Sura</t>
  </si>
  <si>
    <t>FID Acción Fiduciaria</t>
  </si>
  <si>
    <t>FID Alianza Fiduciaria</t>
  </si>
  <si>
    <t>FID BBVA Fiduciaria</t>
  </si>
  <si>
    <t>FID Cititrust</t>
  </si>
  <si>
    <t>FID Fiduagraria</t>
  </si>
  <si>
    <t>FID Fiducafé</t>
  </si>
  <si>
    <t>FID Fiducentral</t>
  </si>
  <si>
    <t>FID Fiduciaria Bancolombia</t>
  </si>
  <si>
    <t>FID Fiduciaria Bogotá</t>
  </si>
  <si>
    <t>FID Fiduciaria Colmena</t>
  </si>
  <si>
    <t>FID Fiduciaria Colpatria</t>
  </si>
  <si>
    <t>FID Fiduciaria Colseguros</t>
  </si>
  <si>
    <t>FID Fiduciaria Corficolombiana</t>
  </si>
  <si>
    <t>FID Fiduciaria Davivienda</t>
  </si>
  <si>
    <t>FID Fiduciaria de Occidente</t>
  </si>
  <si>
    <t>FID Fiduciaria La Previsora</t>
  </si>
  <si>
    <t>FID Fiduciaria Popular</t>
  </si>
  <si>
    <t>FID Fiducoldex</t>
  </si>
  <si>
    <t>FID Fiducor</t>
  </si>
  <si>
    <t>FID Fidugestión</t>
  </si>
  <si>
    <t>FID Fidupaís</t>
  </si>
  <si>
    <t>FID Fidupetrol</t>
  </si>
  <si>
    <t>FID Helm Fiduciaria</t>
  </si>
  <si>
    <t>FID HSBC Fiduciaria</t>
  </si>
  <si>
    <t>FID Santander Investment Trust</t>
  </si>
  <si>
    <t>FID Servitrust GNB Sudameris</t>
  </si>
  <si>
    <t>FID Skandia</t>
  </si>
  <si>
    <t>IOE Bancoldex BCO</t>
  </si>
  <si>
    <t>IOE Caja Promotora de Vivienda Militar y de Policía</t>
  </si>
  <si>
    <t>IOE FEN - Financiera Energética Nal.</t>
  </si>
  <si>
    <t>IOE Finagro</t>
  </si>
  <si>
    <t>IOE Findeter</t>
  </si>
  <si>
    <t>IOE FNA - Fondo Nal. del Ahorro</t>
  </si>
  <si>
    <t>IOE FNG - Fondo Nal. de Garantías</t>
  </si>
  <si>
    <t>IOE Fogacoop</t>
  </si>
  <si>
    <t>IOE Fogafin</t>
  </si>
  <si>
    <t>IOE Fonade</t>
  </si>
  <si>
    <t>IOE Icetex</t>
  </si>
  <si>
    <t>8.</t>
  </si>
  <si>
    <t>JUSTIFICACIÓN DE LAS OPERACIONES - ASPECTOS RELEVANTES</t>
  </si>
  <si>
    <t>PROPUESTA ÁREA COMERCIAL</t>
  </si>
  <si>
    <t>ACCIONISTAS Y ADMINISTRACIÓN</t>
  </si>
  <si>
    <t>8.3</t>
  </si>
  <si>
    <t>ESTUDIO SECTORIAL</t>
  </si>
  <si>
    <t>8.4</t>
  </si>
  <si>
    <t>OPERACIÓN Y MERCADO</t>
  </si>
  <si>
    <t>8.5</t>
  </si>
  <si>
    <t>ESTUDIO FINANCIERO - HISTÓRICO Y PROYECTADO (RESULTADOS, CAJA, BALANCE, INDICADORES)</t>
  </si>
  <si>
    <t>8.6</t>
  </si>
  <si>
    <t>ACCESO A FUENTES DE FINANCIACIÓN</t>
  </si>
  <si>
    <t>8.7</t>
  </si>
  <si>
    <t>OTROS ASPECTOS IMPORTANTES DE LA EMPRESA</t>
  </si>
  <si>
    <t>8.8</t>
  </si>
  <si>
    <t xml:space="preserve">FACTORES DE RIESGO INVOLUCRADOS (ECONÓMICOS, FINANCIEROS, ADMINISTRATIVOS): </t>
  </si>
  <si>
    <t>9.</t>
  </si>
  <si>
    <t>CONCEPTO</t>
  </si>
  <si>
    <t xml:space="preserve">   FUNCIONES DE HOJA</t>
  </si>
  <si>
    <t>- NOMBRE DEL PROYECTO</t>
  </si>
  <si>
    <t>COVENANTS (NOMBRE O FÓRMULA)</t>
  </si>
  <si>
    <t>CONDICIÓN</t>
  </si>
  <si>
    <t>VALOR</t>
  </si>
  <si>
    <t>Ingresos Operacionales</t>
  </si>
  <si>
    <t>- Costos y Gastos Operacionales</t>
  </si>
  <si>
    <t>+ Depreciaciones y Amortizaciones</t>
  </si>
  <si>
    <t>- Capital de Trabajo</t>
  </si>
  <si>
    <t>- Pago de Impuestos (Renta)</t>
  </si>
  <si>
    <t>FLUJO DE CAJA LIBRE OPERATIVO</t>
  </si>
  <si>
    <t>- CAPEX</t>
  </si>
  <si>
    <t>+/- Ingresos (Egresos) No Operacionales</t>
  </si>
  <si>
    <t>+ Aportes de Capital (Equity)</t>
  </si>
  <si>
    <t>FLUJO DE CAJA ANTES DE FINANCIACIÓN</t>
  </si>
  <si>
    <t>+ Nuevas Obligaciones Financieras C.P.</t>
  </si>
  <si>
    <t>+ Nuevas Obligaciones Financieras L.P.</t>
  </si>
  <si>
    <r>
      <t xml:space="preserve">+ Nuevas Obligaciones L.P. - </t>
    </r>
    <r>
      <rPr>
        <b/>
        <sz val="12"/>
        <color indexed="16"/>
        <rFont val="Arial"/>
        <family val="2"/>
      </rPr>
      <t>Davivienda</t>
    </r>
  </si>
  <si>
    <t>FLUJO DE CAJA CON FINANCIACIÓN</t>
  </si>
  <si>
    <t>- Gasto Financiero</t>
  </si>
  <si>
    <t>- Amortización Obligaciones Financieras C.P.</t>
  </si>
  <si>
    <t>- Amortización Obligaciones Financieras L.P.</t>
  </si>
  <si>
    <r>
      <t xml:space="preserve">- Amortización Obligaciones L.P. - </t>
    </r>
    <r>
      <rPr>
        <b/>
        <sz val="12"/>
        <color indexed="16"/>
        <rFont val="Arial"/>
        <family val="2"/>
      </rPr>
      <t>Davivienda</t>
    </r>
  </si>
  <si>
    <t>SERVICIO DE DEUDA</t>
  </si>
  <si>
    <t>FLUJO DE CAJA ANTES DE EXCEDENTES</t>
  </si>
  <si>
    <t>- Pago de Excedentes (Dividendos)</t>
  </si>
  <si>
    <t>+ Caja Inicial</t>
  </si>
  <si>
    <t>CAJA FINAL</t>
  </si>
  <si>
    <t>SALDO OBLIGACIONES L.P. DAVIVIENDA</t>
  </si>
  <si>
    <t>SALDO OBLIGACIONES L.P. TOTAL</t>
  </si>
  <si>
    <t>EQUITY ACUMULADO</t>
  </si>
  <si>
    <t>EBITDA / Carga Financiera</t>
  </si>
  <si>
    <t>Flujo de Caja Libre Operativo / Servicio Deuda</t>
  </si>
  <si>
    <t>Pasivo Financiero / Ingresos Operacionales</t>
  </si>
  <si>
    <t>Deuda / (Equity + Deuda)</t>
  </si>
  <si>
    <t>COVENANTS Y CUMPLIMIENTO</t>
  </si>
  <si>
    <t>C / I</t>
  </si>
  <si>
    <t>MÓDULO DE PROYECCIONES PARA PROYECTOS</t>
  </si>
  <si>
    <t>PROYECCIÓN NUEVAS OBLIGACIONES FINANCIERAS L.P.</t>
  </si>
  <si>
    <t>2o. DESEMBOLSO - MONTO</t>
  </si>
  <si>
    <t>2o. DESEMBOLSO - PLAZO (AÑOS) CON PERÍODO DE GRACIA</t>
  </si>
  <si>
    <t>2o. DESEMBOLSO</t>
  </si>
  <si>
    <t>2o. DESEMBOLSO - % AMORTIZACIÓN ANUAL</t>
  </si>
  <si>
    <t>2o. DESEMBOLSO - AMORTIZACIÓN</t>
  </si>
  <si>
    <t xml:space="preserve">2o. DESEMBOLSO - SALDO </t>
  </si>
  <si>
    <t>2o. DESEMBOLSO - TASA DE FINANCIACIÓN E.A.</t>
  </si>
  <si>
    <t>2o. DESEMBOLSO - CÁLCULO INTERESES</t>
  </si>
  <si>
    <t>3er. DESEMBOLSO - MONTO</t>
  </si>
  <si>
    <t>3er. DESEMBOLSO - PLAZO (AÑOS) CON PERÍODO DE GRACIA</t>
  </si>
  <si>
    <t>3er. DESEMBOLSO</t>
  </si>
  <si>
    <t>3er. DESEMBOLSO - % AMORTIZACIÓN ANUAL</t>
  </si>
  <si>
    <t>3er. DESEMBOLSO - AMORTIZACIÓN</t>
  </si>
  <si>
    <t xml:space="preserve">3er. DESEMBOLSO - SALDO </t>
  </si>
  <si>
    <t>3er. DESEMBOLSO - TASA DE FINANCIACIÓN E.A.</t>
  </si>
  <si>
    <t>3er. DESEMBOLSO - CÁLCULO INTERESES</t>
  </si>
  <si>
    <t>4o. DESEMBOLSO - AMORTIZACIÓN DE CAPITAL</t>
  </si>
  <si>
    <t>4o. DESEMBOLSO - MONTO</t>
  </si>
  <si>
    <t>4o. DESEMBOLSO - PLAZO (AÑOS) CON PERÍODO DE GRACIA</t>
  </si>
  <si>
    <t>4o. DESEMBOLSO - PERÍODO DE GRACIA (MESES)</t>
  </si>
  <si>
    <t>4o. DESEMBOLSO - MES DE DESEMBOLSO</t>
  </si>
  <si>
    <t>4o. DESEMBOLSO - AÑO DE DESEMBOLSO</t>
  </si>
  <si>
    <t>4o. DESEMBOLSO</t>
  </si>
  <si>
    <t>4o. DESEMBOLSO - % AMORTIZACIÓN ANUAL</t>
  </si>
  <si>
    <t>4o. DESEMBOLSO - AMORTIZACIÓN</t>
  </si>
  <si>
    <t xml:space="preserve">4o. DESEMBOLSO - SALDO </t>
  </si>
  <si>
    <t>4o. DESEMBOLSO - TASA DE FINANCIACIÓN E.A.</t>
  </si>
  <si>
    <t>4o. DESEMBOLSO - CÁLCULO INTERESES</t>
  </si>
  <si>
    <t>5o. DESEMBOLSO - AMORTIZACIÓN DE CAPITAL</t>
  </si>
  <si>
    <t>5o. DESEMBOLSO - MONTO</t>
  </si>
  <si>
    <t>5o. DESEMBOLSO - PLAZO (AÑOS) CON PERÍODO DE GRACIA</t>
  </si>
  <si>
    <t>5o. DESEMBOLSO - PERÍODO DE GRACIA (MESES)</t>
  </si>
  <si>
    <t>5o. DESEMBOLSO - MES DE DESEMBOLSO</t>
  </si>
  <si>
    <t>5o. DESEMBOLSO - AÑO DE DESEMBOLSO</t>
  </si>
  <si>
    <t>5o. DESEMBOLSO</t>
  </si>
  <si>
    <t>5o. DESEMBOLSO - % AMORTIZACIÓN ANUAL</t>
  </si>
  <si>
    <t>5o. DESEMBOLSO - AMORTIZACIÓN</t>
  </si>
  <si>
    <t xml:space="preserve">5o. DESEMBOLSO - SALDO </t>
  </si>
  <si>
    <t>5o. DESEMBOLSO - TASA DE FINANCIACIÓN E.A.</t>
  </si>
  <si>
    <t>5o. DESEMBOLSO - CÁLCULO INTERESES</t>
  </si>
  <si>
    <t>AMORTIZACIÓN TOTAL</t>
  </si>
  <si>
    <t>SALDO TOTAL</t>
  </si>
  <si>
    <t>INTERESES TOTALES</t>
  </si>
  <si>
    <t>PROYECCIÓN OBLIGACIONES FINANCIERAS L.P. DAVIVIENDA</t>
  </si>
  <si>
    <t>INGRESOS OPERACIONALES (COL B.  - $MM / COL. D - VAR. %)</t>
  </si>
  <si>
    <t>(DEPRECIACIONES + AMORTIZACIONES) / EGRESOS OPER.</t>
  </si>
  <si>
    <t>CAPITAL DE TRABAJO / INGRESOS OPERACIONALES</t>
  </si>
  <si>
    <t>IMPUESTOS / INGRESOS OPERACIONALES</t>
  </si>
  <si>
    <t>FLUJO DE CAJA - PORCIÓN NO OPERATIVA</t>
  </si>
  <si>
    <t>CAJA MÍNIMA REQUERIDA (EN DÍAS DE INGRESOS OPER.)</t>
  </si>
  <si>
    <t>CAPEX ($MM)</t>
  </si>
  <si>
    <t>OTROS INGRESOS (EGRESOS) / INGRESOS OPERACIONALES</t>
  </si>
  <si>
    <t>APORTES DE CAPITAL (EQUITY) ($MM)</t>
  </si>
  <si>
    <t>PAGO DE EXCEDENTES / INGRESOS OPERACIONALES</t>
  </si>
  <si>
    <t>TASA - OBLIGACIONES FINANCIERAS C.P.</t>
  </si>
  <si>
    <t>TASA FINANCIACIÓN OBLIGACIONES FINANCIERAS C.P.</t>
  </si>
  <si>
    <t>CÁLCULO INTERESES - OBLIGACIONES C.P.</t>
  </si>
  <si>
    <t>CRECIMIENTO PIB (VARIACIÓN PORCENTUAL - BASE 1.994)</t>
  </si>
  <si>
    <t>VARIACIÓN PORCENTUAL IPC (INFLACIÓN)</t>
  </si>
  <si>
    <t>VARIACIÓN TRM  (DEVAL./REVAL.) - AÑO CORRIDO</t>
  </si>
  <si>
    <t>TRM A 31 DE DICIEMBRE (COP POR 1 USD)</t>
  </si>
  <si>
    <t>DTF E.A.</t>
  </si>
  <si>
    <t>VAR.</t>
  </si>
  <si>
    <t>ESCENARIOS</t>
  </si>
  <si>
    <t>BINARIAS</t>
  </si>
  <si>
    <t>CONDICIONES COVENANTS</t>
  </si>
  <si>
    <t>SÍ</t>
  </si>
  <si>
    <t>&gt;</t>
  </si>
  <si>
    <t>&lt;</t>
  </si>
  <si>
    <t>&lt;&gt;</t>
  </si>
  <si>
    <t>CELDAS Y FÓRMULAS VINCULADAS PARA CREACIÓN FLUJO - MACRO CREAR_PROYECTO</t>
  </si>
  <si>
    <t>AREA DE IMPRESIÓN - MACRO IMPR_FLUJO</t>
  </si>
  <si>
    <t>COLUMNAS Y AÑOS TOTALES PROYECCIONES - MACRO APLICAR_AÑOS_PROYECTO</t>
  </si>
  <si>
    <t>Balances y Proyecciones (1)'!B14</t>
  </si>
  <si>
    <t>CÁLCULO CAJA MÍNIMA REQUERIDA</t>
  </si>
  <si>
    <t>CONTROL DE USO DE MACRO IMPR_PRES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</si>
  <si>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- 1er. DESEMBOLSO</t>
    </r>
  </si>
  <si>
    <t>AÑOS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</si>
  <si>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- 2o.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</si>
  <si>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- 3er.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</si>
  <si>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- 4o.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</si>
  <si>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- 5o. DESEMBOLSO</t>
    </r>
  </si>
  <si>
    <t>DISTRIBUCIÓN DE IMPRESIÓN - MACRO IMPR_FLUJO</t>
  </si>
  <si>
    <t>COLUMNAS A OCULTAR - MACRO APLICAR_AÑOS_PROYECTO</t>
  </si>
  <si>
    <t>FÓRMULAS CUMPLIMIENTO COVENANTS SEGÚN CONDICIÓN</t>
  </si>
  <si>
    <t>COVENANT 1</t>
  </si>
  <si>
    <t>COVENANT 2</t>
  </si>
  <si>
    <t>COVENANT 3</t>
  </si>
  <si>
    <t>COVENANT 4</t>
  </si>
  <si>
    <t>Empresa</t>
  </si>
  <si>
    <t>Segmento</t>
  </si>
  <si>
    <t>Aplicativo</t>
  </si>
  <si>
    <t>No. Obligación</t>
  </si>
  <si>
    <t>Concepto ME</t>
  </si>
  <si>
    <t>Concepto Negocio General</t>
  </si>
  <si>
    <t>Días Mora</t>
  </si>
  <si>
    <t>Días Sobregiro</t>
  </si>
  <si>
    <t>Saldo Total</t>
  </si>
  <si>
    <t>Saldo Capital</t>
  </si>
  <si>
    <t>Saldo ME</t>
  </si>
  <si>
    <t>Intereses</t>
  </si>
  <si>
    <t>Otros Cargos</t>
  </si>
  <si>
    <t>Vr. Mora</t>
  </si>
  <si>
    <t>Tasa %</t>
  </si>
  <si>
    <t>Fecha Apertura</t>
  </si>
  <si>
    <t>Fecha Vencimiento</t>
  </si>
  <si>
    <t>Compañía</t>
  </si>
  <si>
    <t>Ejecutivo</t>
  </si>
  <si>
    <t>Detalle Caso Especial</t>
  </si>
  <si>
    <t>Ejecutivo Caso Especial</t>
  </si>
  <si>
    <t>M = Utilidad Neta / Ventas</t>
  </si>
  <si>
    <t>Po = Dividendos / Utilidad Neta</t>
  </si>
  <si>
    <t>L= Obligaciones Financieras / Capital Contable</t>
  </si>
  <si>
    <t>T= Ventas / Activo Total (S.V.)</t>
  </si>
  <si>
    <t>( 1= No , 4= Si )</t>
  </si>
  <si>
    <t>1= Con Garantia ; 4= Sin Garantia</t>
  </si>
  <si>
    <t>1= Idonea; 4= No idonea</t>
  </si>
  <si>
    <t>Deuda Financiera Neta /Ebitda &lt;=</t>
  </si>
  <si>
    <t>=</t>
  </si>
  <si>
    <t>&gt;=</t>
  </si>
  <si>
    <t>&lt;=</t>
  </si>
  <si>
    <t xml:space="preserve">Las cifras se deben digitar en Miles de: </t>
  </si>
  <si>
    <t>Auditado</t>
  </si>
  <si>
    <t xml:space="preserve">Actividad Económica: </t>
  </si>
  <si>
    <t xml:space="preserve">LOCAL </t>
  </si>
  <si>
    <t>UNIDAD DE RIESGO</t>
  </si>
  <si>
    <t>CORPORATIVO</t>
  </si>
  <si>
    <t>DivisaConversion</t>
  </si>
  <si>
    <t>Sin_Filtro</t>
  </si>
  <si>
    <t>Con_Filtro</t>
  </si>
  <si>
    <t>&lt;&gt;0</t>
  </si>
  <si>
    <t>PaisAct</t>
  </si>
  <si>
    <t>TipoAuditado</t>
  </si>
  <si>
    <t>Auditados Con Salvedades</t>
  </si>
  <si>
    <t>Auditados Sin Salvedades</t>
  </si>
  <si>
    <t>No Auditados</t>
  </si>
  <si>
    <t>Protegida por derechos de Autor - Banco Davivienda CAM ver 2.4H Grupos  - 20220419</t>
  </si>
  <si>
    <t>900142011</t>
  </si>
  <si>
    <t>PRUEBA DA 27.08.23</t>
  </si>
  <si>
    <t>PRUEBA DA</t>
  </si>
  <si>
    <t>HN - Sociedad Anónima</t>
  </si>
  <si>
    <t>JUAN ARIAS</t>
  </si>
  <si>
    <t>REPRESENTANTE</t>
  </si>
  <si>
    <t>1213</t>
  </si>
  <si>
    <t>CALLE 1 1 1</t>
  </si>
  <si>
    <t>6018050512</t>
  </si>
  <si>
    <t>Sonaguera - Colón</t>
  </si>
  <si>
    <t>12345</t>
  </si>
  <si>
    <t>PRUEBA@PRUEBA.COM</t>
  </si>
  <si>
    <t>WWW.PRUEBA.COM</t>
  </si>
  <si>
    <t>2015/01/15</t>
  </si>
  <si>
    <t>1</t>
  </si>
  <si>
    <t>7020</t>
  </si>
  <si>
    <t>100</t>
  </si>
  <si>
    <t>Davivienda</t>
  </si>
  <si>
    <t>Vigente</t>
  </si>
  <si>
    <t>0</t>
  </si>
  <si>
    <t>True</t>
  </si>
  <si>
    <t>8</t>
  </si>
  <si>
    <t>4</t>
  </si>
  <si>
    <t>89</t>
  </si>
  <si>
    <t>Lempira HNL</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</si>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</sst>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164" formatCode="&quot;$&quot;\ #,##0"/>
    <numFmt numFmtId="165" formatCode="mmmm\ /\ yyyy;@"/>
    <numFmt numFmtId="166" formatCode="&quot;NIT:  &quot;#,##0"/>
    <numFmt numFmtId="167" formatCode="0.0%"/>
    <numFmt numFmtId="168" formatCode="_(* #,##0_);_(* \(#,##0\);_(* &quot;-&quot;_);_(@_)"/>
    <numFmt numFmtId="169" formatCode="0.0"/>
    <numFmt numFmtId="170" formatCode="_(* #,##0.00_);_(* \(#,##0.00\);_(* &quot;-&quot;??_);_(@_)"/>
    <numFmt numFmtId="171" formatCode="yyyy"/>
    <numFmt numFmtId="172" formatCode="_(* #,##0_);_(* \(#,##0\);_(* &quot;-&quot;??_);_(@_)"/>
    <numFmt numFmtId="173" formatCode="_(&quot;$&quot;* #,##0.00_);_(&quot;$&quot;* \(#,##0.00\);_(&quot;$&quot;* &quot;-&quot;??_);_(@_)"/>
    <numFmt numFmtId="174" formatCode="&quot;PROY. &quot;#,##0"/>
    <numFmt numFmtId="175" formatCode="0.0%&quot;   &quot;"/>
    <numFmt numFmtId="176" formatCode="#,##0.0&quot;   &quot;"/>
    <numFmt numFmtId="177" formatCode="_(* #,##0.0_);_(* \(#,##0.0\);_(* &quot;-&quot;??_);_(@_)"/>
    <numFmt numFmtId="178" formatCode="#,##0&quot;   &quot;"/>
    <numFmt numFmtId="179" formatCode="&quot;$&quot;\ #,##0&quot;   &quot;"/>
    <numFmt numFmtId="180" formatCode="_(&quot;$&quot;* #,##0_);_(&quot;$&quot;* \(#,##0\);_(&quot;$&quot;* &quot;-&quot;??_);_(@_)"/>
    <numFmt numFmtId="181" formatCode="_-* #,##0\ _$_-;\-* #,##0\ _$_-;_-* &quot;-&quot;??\ _$_-;@"/>
    <numFmt numFmtId="182" formatCode="0.00_);\(0.00\)"/>
    <numFmt numFmtId="183" formatCode="_(&quot;$&quot;* #,##0_);_(&quot;$&quot;* \(#,##0\);_(&quot;$&quot;* &quot;-&quot;_);_(@_)"/>
    <numFmt numFmtId="184" formatCode="&quot;$&quot;#,##0"/>
    <numFmt numFmtId="185" formatCode="_-* #,##0.00\ _$_-;\-* #,##0.00\ _$_-;_-* &quot;-&quot;??\ _$_-;_-@_-"/>
    <numFmt numFmtId="186" formatCode="_-* #,##0\ _$_-;\-* #,##0\ _$_-;_-* &quot;-&quot;??\ _$_-;_-@_-"/>
    <numFmt numFmtId="187" formatCode="#,##0\ &quot;DÍAS&quot;"/>
    <numFmt numFmtId="188" formatCode="#,##0\ &quot;MM&quot;"/>
    <numFmt numFmtId="189" formatCode="0.000000"/>
    <numFmt numFmtId="190" formatCode="_ * #,##0_ ;_ * \-#,##0_ ;_ * &quot;-&quot;??_ ;_ @_ "/>
    <numFmt numFmtId="191" formatCode="0.00_)"/>
    <numFmt numFmtId="192" formatCode="#,##0.0;\-#,##0.0"/>
    <numFmt numFmtId="193" formatCode="#,##0.0"/>
    <numFmt numFmtId="194" formatCode="&quot;SÓLO &quot;#,##0"/>
    <numFmt numFmtId="195" formatCode="#,##0.0000;\-#,##0.0000"/>
    <numFmt numFmtId="196" formatCode="#,##0.000000;\-#,##0.000000"/>
    <numFmt numFmtId="197" formatCode="#,##0.000;\-#,##0.000"/>
    <numFmt numFmtId="198" formatCode="#,##0_ ;\(\ #,##0\ \)"/>
    <numFmt numFmtId="199" formatCode="_(&quot;$&quot;\ * #,##0_);_(&quot;$&quot;\ * \(#,##0\);_(&quot;$&quot;\ * &quot;-&quot;??_);_(@_)"/>
    <numFmt numFmtId="200" formatCode="&quot; Depurado&quot;_(* #,##0_);_(* \(#,##0\);_(* &quot;-&quot;??_);_(@_)"/>
    <numFmt numFmtId="201" formatCode="&quot;Depurado&quot;\ \(* #,##0_);_(* \(#,##0\);_(* &quot;-&quot;??_);_(@_)"/>
    <numFmt numFmtId="202" formatCode="&quot;Proy. Año en curso&quot;_(* #,##0_);_(* \(#,##0\);_(* &quot;-&quot;??_);_(@_)"/>
    <numFmt numFmtId="203" formatCode="&quot;Proy. año&quot;_(* #,##0_);_(* \(#,##0\);_(* &quot;-&quot;??_);_(@_)"/>
    <numFmt numFmtId="204" formatCode="_-* #,##0.00\ _€_-;\-* #,##0.00\ _€_-;_-* &quot;-&quot;??\ _€_-;_-@_-"/>
    <numFmt numFmtId="205" formatCode="_-* #,##0\ _€_-;\-* #,##0\ _€_-;_-* &quot;-&quot;??\ _€_-;_-@_-"/>
    <numFmt numFmtId="206" formatCode="#,##0\ &quot;%&quot;"/>
    <numFmt numFmtId="207" formatCode="_-* #,##0.00\ &quot;$&quot;_-;\-* #,##0.00\ &quot;$&quot;_-;_-* &quot;-&quot;??\ &quot;$&quot;_-;_-@_-"/>
    <numFmt numFmtId="208" formatCode="#,##0.0_);\(#,##0.0\)"/>
    <numFmt numFmtId="209" formatCode="&quot;$&quot;#,##0&quot;   &quot;;\-&quot;$&quot;#,##0&quot;   &quot;"/>
    <numFmt numFmtId="210" formatCode="\ #,##0\ &quot;%&quot;"/>
    <numFmt numFmtId="211" formatCode="_(\ * #,##0_);_(\ * \(#,##0\);_(\ * &quot;-&quot;??_);_(@_)"/>
    <numFmt numFmtId="212" formatCode="mm/yyyy"/>
  </numFmts>
  <fonts count="20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
      <color theme="0"/>
      <name val="Calibri"/>
      <family val="2"/>
      <scheme val="minor"/>
    </font>
    <font>
      <sz val="10"/>
      <color rgb="FFFF0000"/>
      <name val="Arial"/>
      <family val="2"/>
    </font>
    <font>
      <sz val="9"/>
      <color theme="6" tint="0.59999389629810485"/>
      <name val="Calibri"/>
      <family val="2"/>
      <scheme val="minor"/>
    </font>
    <font>
      <b/>
      <sz val="12"/>
      <name val="Calibri"/>
      <family val="2"/>
      <scheme val="minor"/>
    </font>
    <font>
      <sz val="11"/>
      <name val="Calibri"/>
      <family val="2"/>
      <scheme val="minor"/>
    </font>
    <font>
      <b/>
      <sz val="10"/>
      <name val="Calibri"/>
      <family val="2"/>
      <scheme val="minor"/>
    </font>
    <font>
      <b/>
      <sz val="9"/>
      <color rgb="FFC00000"/>
      <name val="Calibri"/>
      <family val="2"/>
      <scheme val="minor"/>
    </font>
    <font>
      <sz val="9"/>
      <color theme="1"/>
      <name val="Calibri"/>
      <family val="2"/>
      <scheme val="minor"/>
    </font>
    <font>
      <sz val="10"/>
      <name val="Courier New"/>
      <family val="3"/>
    </font>
    <font>
      <b/>
      <sz val="12"/>
      <color indexed="16"/>
      <name val="Arial"/>
      <family val="2"/>
    </font>
    <font>
      <sz val="12"/>
      <name val="Arial"/>
      <family val="2"/>
    </font>
    <font>
      <b/>
      <sz val="12"/>
      <name val="Arial"/>
      <family val="2"/>
    </font>
    <font>
      <sz val="13"/>
      <name val="Arial"/>
      <family val="2"/>
    </font>
    <font>
      <b/>
      <sz val="18"/>
      <name val="Arial"/>
      <family val="2"/>
    </font>
    <font>
      <sz val="10"/>
      <name val="Arial"/>
      <family val="2"/>
    </font>
    <font>
      <b/>
      <sz val="11"/>
      <name val="Arial"/>
      <family val="2"/>
    </font>
    <font>
      <sz val="12"/>
      <color theme="1"/>
      <name val="Arial"/>
      <family val="2"/>
    </font>
    <font>
      <sz val="11"/>
      <name val="Arial"/>
      <family val="2"/>
    </font>
    <font>
      <b/>
      <sz val="16"/>
      <color theme="0"/>
      <name val="Calibri"/>
      <family val="2"/>
      <scheme val="minor"/>
    </font>
    <font>
      <b/>
      <sz val="11"/>
      <color rgb="FFFF0000"/>
      <name val="Calibri"/>
      <family val="2"/>
      <scheme val="minor"/>
    </font>
    <font>
      <sz val="10"/>
      <color indexed="9"/>
      <name val="Arial"/>
      <family val="2"/>
    </font>
    <font>
      <sz val="10"/>
      <color indexed="10"/>
      <name val="Arial"/>
      <family val="2"/>
    </font>
    <font>
      <b/>
      <sz val="11"/>
      <color rgb="FFFF0000"/>
      <name val="Arial"/>
      <family val="2"/>
    </font>
    <font>
      <sz val="8"/>
      <name val="Arial"/>
      <family val="2"/>
    </font>
    <font>
      <b/>
      <sz val="10"/>
      <color indexed="10"/>
      <name val="Arial"/>
      <family val="2"/>
    </font>
    <font>
      <b/>
      <sz val="8"/>
      <name val="Arial"/>
      <family val="2"/>
    </font>
    <font>
      <b/>
      <sz val="10"/>
      <name val="Arial"/>
      <family val="2"/>
    </font>
    <font>
      <b/>
      <sz val="9"/>
      <color indexed="9"/>
      <name val="Arial"/>
      <family val="2"/>
    </font>
    <font>
      <sz val="8"/>
      <color indexed="10"/>
      <name val="Arial"/>
      <family val="2"/>
    </font>
    <font>
      <b/>
      <sz val="8"/>
      <color indexed="10"/>
      <name val="Arial"/>
      <family val="2"/>
    </font>
    <font>
      <b/>
      <u/>
      <sz val="8"/>
      <name val="Arial"/>
      <family val="2"/>
    </font>
    <font>
      <sz val="8"/>
      <color indexed="17"/>
      <name val="Arial"/>
      <family val="2"/>
    </font>
    <font>
      <sz val="6"/>
      <color theme="0"/>
      <name val="Calibri"/>
      <family val="2"/>
    </font>
    <font>
      <sz val="10"/>
      <color theme="1"/>
      <name val="Calibri"/>
      <family val="2"/>
      <scheme val="minor"/>
    </font>
    <font>
      <u/>
      <sz val="11"/>
      <color theme="10"/>
      <name val="Calibri"/>
      <family val="2"/>
    </font>
    <font>
      <b/>
      <sz val="16"/>
      <color theme="1"/>
      <name val="Calibri"/>
      <family val="2"/>
    </font>
    <font>
      <sz val="6"/>
      <color theme="0"/>
      <name val="Calibri"/>
      <family val="2"/>
      <scheme val="minor"/>
    </font>
    <font>
      <b/>
      <sz val="10"/>
      <color theme="1"/>
      <name val="Calibri"/>
      <family val="2"/>
      <scheme val="minor"/>
    </font>
    <font>
      <b/>
      <sz val="11"/>
      <color theme="0" tint="-0.499984740745262"/>
      <name val="Calibri"/>
      <family val="2"/>
      <scheme val="minor"/>
    </font>
    <font>
      <b/>
      <sz val="8"/>
      <color theme="0" tint="-0.499984740745262"/>
      <name val="Calibri"/>
      <family val="2"/>
      <scheme val="minor"/>
    </font>
    <font>
      <b/>
      <sz val="16"/>
      <color theme="0"/>
      <name val="Calibri"/>
      <family val="2"/>
    </font>
    <font>
      <b/>
      <sz val="10"/>
      <color theme="0"/>
      <name val="Calibri"/>
      <family val="2"/>
      <scheme val="minor"/>
    </font>
    <font>
      <sz val="6"/>
      <name val="Calibri"/>
      <family val="2"/>
    </font>
    <font>
      <b/>
      <sz val="16.5"/>
      <name val="Arial"/>
      <family val="2"/>
    </font>
    <font>
      <sz val="15"/>
      <name val="Arial"/>
      <family val="2"/>
    </font>
    <font>
      <b/>
      <sz val="10"/>
      <color rgb="FFFF0000"/>
      <name val="Arial"/>
      <family val="2"/>
    </font>
    <font>
      <b/>
      <sz val="15"/>
      <color indexed="9"/>
      <name val="Arial"/>
      <family val="2"/>
    </font>
    <font>
      <b/>
      <sz val="15"/>
      <name val="Arial"/>
      <family val="2"/>
    </font>
    <font>
      <sz val="10"/>
      <color theme="1"/>
      <name val="Arial"/>
      <family val="2"/>
    </font>
    <font>
      <sz val="15"/>
      <color theme="1"/>
      <name val="Arial"/>
      <family val="2"/>
    </font>
    <font>
      <sz val="10"/>
      <color theme="1"/>
      <name val="Calibri"/>
      <family val="2"/>
    </font>
    <font>
      <sz val="10"/>
      <color indexed="8"/>
      <name val="Calibri"/>
      <family val="2"/>
    </font>
    <font>
      <b/>
      <sz val="15"/>
      <color theme="1"/>
      <name val="Arial"/>
      <family val="2"/>
    </font>
    <font>
      <b/>
      <sz val="16.5"/>
      <color theme="1"/>
      <name val="Arial"/>
      <family val="2"/>
    </font>
    <font>
      <b/>
      <sz val="11"/>
      <color theme="1"/>
      <name val="Calibri"/>
      <family val="2"/>
    </font>
    <font>
      <b/>
      <sz val="9"/>
      <color indexed="8"/>
      <name val="Calibri"/>
      <family val="2"/>
    </font>
    <font>
      <b/>
      <sz val="10"/>
      <color theme="1"/>
      <name val="Calibri"/>
      <family val="2"/>
    </font>
    <font>
      <b/>
      <sz val="18"/>
      <color theme="1"/>
      <name val="Arial"/>
      <family val="2"/>
    </font>
    <font>
      <i/>
      <sz val="12"/>
      <color theme="1"/>
      <name val="Arial"/>
      <family val="2"/>
    </font>
    <font>
      <sz val="15"/>
      <color theme="1"/>
      <name val="Calibri"/>
      <family val="2"/>
    </font>
    <font>
      <b/>
      <sz val="16"/>
      <color indexed="8"/>
      <name val="Calibri"/>
      <family val="2"/>
    </font>
    <font>
      <sz val="16"/>
      <color theme="1"/>
      <name val="Calibri"/>
      <family val="2"/>
      <scheme val="minor"/>
    </font>
    <font>
      <sz val="15"/>
      <color theme="1"/>
      <name val="Calibri"/>
      <family val="2"/>
      <scheme val="minor"/>
    </font>
    <font>
      <b/>
      <sz val="11"/>
      <color indexed="8"/>
      <name val="Calibri"/>
      <family val="2"/>
    </font>
    <font>
      <sz val="2"/>
      <color theme="0"/>
      <name val="Calibri"/>
      <family val="2"/>
    </font>
    <font>
      <b/>
      <sz val="2"/>
      <color theme="0"/>
      <name val="Calibri"/>
      <family val="2"/>
    </font>
    <font>
      <sz val="2"/>
      <color theme="0"/>
      <name val="Calibri"/>
      <family val="2"/>
      <scheme val="minor"/>
    </font>
    <font>
      <b/>
      <sz val="14"/>
      <color indexed="16"/>
      <name val="Arial"/>
      <family val="2"/>
    </font>
    <font>
      <b/>
      <sz val="22"/>
      <name val="Arial"/>
      <family val="2"/>
    </font>
    <font>
      <sz val="16"/>
      <name val="Arial"/>
      <family val="2"/>
    </font>
    <font>
      <sz val="24"/>
      <name val="Arial"/>
      <family val="2"/>
    </font>
    <font>
      <sz val="1"/>
      <color theme="0"/>
      <name val="Arial"/>
      <family val="2"/>
    </font>
    <font>
      <b/>
      <sz val="36"/>
      <color indexed="56"/>
      <name val="Arial"/>
      <family val="2"/>
    </font>
    <font>
      <sz val="36"/>
      <name val="Arial"/>
      <family val="2"/>
    </font>
    <font>
      <b/>
      <sz val="14"/>
      <color indexed="56"/>
      <name val="Arial"/>
      <family val="2"/>
    </font>
    <font>
      <b/>
      <sz val="20"/>
      <color indexed="56"/>
      <name val="Arial"/>
      <family val="2"/>
    </font>
    <font>
      <b/>
      <sz val="24"/>
      <color indexed="56"/>
      <name val="Arial"/>
      <family val="2"/>
    </font>
    <font>
      <b/>
      <sz val="20"/>
      <name val="Arial"/>
      <family val="2"/>
    </font>
    <font>
      <b/>
      <sz val="16"/>
      <name val="Arial"/>
      <family val="2"/>
    </font>
    <font>
      <sz val="10"/>
      <name val="Courier"/>
      <family val="3"/>
    </font>
    <font>
      <b/>
      <sz val="14"/>
      <name val="Arial"/>
      <family val="2"/>
    </font>
    <font>
      <sz val="20"/>
      <name val="ARIAL"/>
      <family val="2"/>
    </font>
    <font>
      <sz val="18"/>
      <name val="Arial"/>
      <family val="2"/>
    </font>
    <font>
      <b/>
      <sz val="18"/>
      <color indexed="56"/>
      <name val="Arial"/>
      <family val="2"/>
    </font>
    <font>
      <b/>
      <sz val="20"/>
      <color indexed="62"/>
      <name val="Arial"/>
      <family val="2"/>
    </font>
    <font>
      <sz val="20"/>
      <color indexed="62"/>
      <name val="Arial"/>
      <family val="2"/>
    </font>
    <font>
      <b/>
      <sz val="20"/>
      <color indexed="9"/>
      <name val="Arial"/>
      <family val="2"/>
    </font>
    <font>
      <b/>
      <sz val="20"/>
      <color indexed="12"/>
      <name val="Arial"/>
      <family val="2"/>
    </font>
    <font>
      <sz val="20"/>
      <color theme="1"/>
      <name val="Arial"/>
      <family val="2"/>
    </font>
    <font>
      <sz val="16"/>
      <color theme="1"/>
      <name val="ARIAL"/>
      <family val="2"/>
    </font>
    <font>
      <sz val="18"/>
      <color indexed="9"/>
      <name val="Arial"/>
      <family val="2"/>
    </font>
    <font>
      <b/>
      <sz val="17"/>
      <name val="Arial"/>
      <family val="2"/>
    </font>
    <font>
      <vertAlign val="superscript"/>
      <sz val="24"/>
      <name val="Arial"/>
      <family val="2"/>
    </font>
    <font>
      <b/>
      <sz val="8"/>
      <color theme="1"/>
      <name val="Arial"/>
      <family val="2"/>
    </font>
    <font>
      <sz val="9"/>
      <name val="Arial"/>
      <family val="2"/>
    </font>
    <font>
      <b/>
      <sz val="9"/>
      <name val="Arial"/>
      <family val="2"/>
    </font>
    <font>
      <b/>
      <i/>
      <sz val="10"/>
      <name val="Arial"/>
      <family val="2"/>
    </font>
    <font>
      <b/>
      <i/>
      <sz val="9"/>
      <color indexed="10"/>
      <name val="Arial"/>
      <family val="2"/>
    </font>
    <font>
      <b/>
      <i/>
      <sz val="8"/>
      <name val="Arial"/>
      <family val="2"/>
    </font>
    <font>
      <i/>
      <sz val="9"/>
      <name val="Arial"/>
      <family val="2"/>
    </font>
    <font>
      <i/>
      <sz val="8"/>
      <name val="Arial"/>
      <family val="2"/>
    </font>
    <font>
      <i/>
      <sz val="10"/>
      <name val="Arial"/>
      <family val="2"/>
    </font>
    <font>
      <b/>
      <i/>
      <sz val="9"/>
      <name val="Arial"/>
      <family val="2"/>
    </font>
    <font>
      <b/>
      <i/>
      <sz val="10"/>
      <color indexed="56"/>
      <name val="Arial"/>
      <family val="2"/>
    </font>
    <font>
      <b/>
      <i/>
      <sz val="8"/>
      <color indexed="56"/>
      <name val="Arial"/>
      <family val="2"/>
    </font>
    <font>
      <b/>
      <i/>
      <sz val="9"/>
      <color indexed="56"/>
      <name val="Arial"/>
      <family val="2"/>
    </font>
    <font>
      <sz val="11"/>
      <color indexed="10"/>
      <name val="Arial"/>
      <family val="2"/>
    </font>
    <font>
      <b/>
      <sz val="7"/>
      <name val="Arial"/>
      <family val="2"/>
    </font>
    <font>
      <b/>
      <sz val="9"/>
      <color indexed="10"/>
      <name val="Arial"/>
      <family val="2"/>
    </font>
    <font>
      <sz val="8"/>
      <color theme="1"/>
      <name val="Arial"/>
      <family val="2"/>
    </font>
    <font>
      <b/>
      <sz val="9"/>
      <color indexed="22"/>
      <name val="Arial"/>
      <family val="2"/>
    </font>
    <font>
      <sz val="9"/>
      <color indexed="9"/>
      <name val="Arial"/>
      <family val="2"/>
    </font>
    <font>
      <b/>
      <i/>
      <sz val="9"/>
      <color indexed="22"/>
      <name val="Arial"/>
      <family val="2"/>
    </font>
    <font>
      <i/>
      <sz val="9"/>
      <color indexed="9"/>
      <name val="Arial"/>
      <family val="2"/>
    </font>
    <font>
      <b/>
      <i/>
      <sz val="9"/>
      <color indexed="9"/>
      <name val="Arial"/>
      <family val="2"/>
    </font>
    <font>
      <b/>
      <sz val="10"/>
      <color indexed="62"/>
      <name val="Arial"/>
      <family val="2"/>
    </font>
    <font>
      <sz val="10"/>
      <color indexed="62"/>
      <name val="Arial"/>
      <family val="2"/>
    </font>
    <font>
      <b/>
      <sz val="10"/>
      <color indexed="21"/>
      <name val="Arial"/>
      <family val="2"/>
    </font>
    <font>
      <b/>
      <sz val="10"/>
      <color indexed="36"/>
      <name val="Arial"/>
      <family val="2"/>
    </font>
    <font>
      <sz val="8"/>
      <color indexed="9"/>
      <name val="Arial"/>
      <family val="2"/>
    </font>
    <font>
      <b/>
      <sz val="11"/>
      <color indexed="16"/>
      <name val="Arial"/>
      <family val="2"/>
    </font>
    <font>
      <b/>
      <sz val="10"/>
      <color indexed="9"/>
      <name val="Arial"/>
      <family val="2"/>
    </font>
    <font>
      <b/>
      <sz val="8"/>
      <color indexed="12"/>
      <name val="Arial"/>
      <family val="2"/>
    </font>
    <font>
      <b/>
      <sz val="8"/>
      <color indexed="17"/>
      <name val="Arial"/>
      <family val="2"/>
    </font>
    <font>
      <b/>
      <sz val="8"/>
      <color indexed="50"/>
      <name val="Arial"/>
      <family val="2"/>
    </font>
    <font>
      <b/>
      <sz val="10"/>
      <color indexed="60"/>
      <name val="Arial"/>
      <family val="2"/>
    </font>
    <font>
      <i/>
      <sz val="10"/>
      <color indexed="18"/>
      <name val="Arial"/>
      <family val="2"/>
    </font>
    <font>
      <b/>
      <vertAlign val="superscript"/>
      <sz val="8"/>
      <name val="Arial"/>
      <family val="2"/>
    </font>
    <font>
      <b/>
      <sz val="13"/>
      <color indexed="16"/>
      <name val="Arial"/>
      <family val="2"/>
    </font>
    <font>
      <sz val="13"/>
      <color indexed="16"/>
      <name val="Arial"/>
      <family val="2"/>
    </font>
    <font>
      <sz val="14"/>
      <color indexed="16"/>
      <name val="Arial"/>
      <family val="2"/>
    </font>
    <font>
      <sz val="12"/>
      <color indexed="16"/>
      <name val="Arial"/>
      <family val="2"/>
    </font>
    <font>
      <b/>
      <i/>
      <sz val="14"/>
      <color indexed="16"/>
      <name val="Arial"/>
      <family val="2"/>
    </font>
    <font>
      <b/>
      <i/>
      <sz val="13"/>
      <color indexed="16"/>
      <name val="Arial"/>
      <family val="2"/>
    </font>
    <font>
      <b/>
      <i/>
      <sz val="12"/>
      <color indexed="16"/>
      <name val="Arial"/>
      <family val="2"/>
    </font>
    <font>
      <b/>
      <sz val="10"/>
      <color rgb="FFC00000"/>
      <name val="Arial"/>
      <family val="2"/>
    </font>
    <font>
      <sz val="8"/>
      <color indexed="57"/>
      <name val="Arial"/>
      <family val="2"/>
    </font>
    <font>
      <sz val="8"/>
      <color indexed="52"/>
      <name val="Arial"/>
      <family val="2"/>
    </font>
    <font>
      <sz val="8"/>
      <color indexed="12"/>
      <name val="Arial"/>
      <family val="2"/>
    </font>
    <font>
      <sz val="8"/>
      <color indexed="14"/>
      <name val="Arial"/>
      <family val="2"/>
    </font>
    <font>
      <sz val="8"/>
      <color indexed="20"/>
      <name val="Arial"/>
      <family val="2"/>
    </font>
    <font>
      <b/>
      <sz val="24"/>
      <name val="Arial"/>
      <family val="2"/>
    </font>
    <font>
      <sz val="22"/>
      <name val="Arial"/>
      <family val="2"/>
    </font>
    <font>
      <b/>
      <sz val="22"/>
      <color theme="0"/>
      <name val="Arial"/>
      <family val="2"/>
    </font>
    <font>
      <b/>
      <sz val="22"/>
      <color theme="1"/>
      <name val="Arial"/>
      <family val="2"/>
    </font>
    <font>
      <sz val="22"/>
      <color theme="1"/>
      <name val="Arial"/>
      <family val="2"/>
    </font>
    <font>
      <sz val="16"/>
      <color theme="0" tint="-0.34998626667073579"/>
      <name val="Arial"/>
      <family val="2"/>
    </font>
    <font>
      <i/>
      <sz val="22"/>
      <color theme="1"/>
      <name val="Arial"/>
      <family val="2"/>
    </font>
    <font>
      <i/>
      <sz val="20"/>
      <color theme="1"/>
      <name val="Arial"/>
      <family val="2"/>
    </font>
    <font>
      <b/>
      <sz val="26"/>
      <name val="Arial"/>
      <family val="2"/>
    </font>
    <font>
      <b/>
      <sz val="16"/>
      <color theme="1"/>
      <name val="Calibri"/>
      <family val="2"/>
      <scheme val="minor"/>
    </font>
    <font>
      <sz val="9"/>
      <color theme="0"/>
      <name val="Arial"/>
      <family val="2"/>
    </font>
    <font>
      <sz val="14"/>
      <name val="Arial"/>
      <family val="2"/>
    </font>
    <font>
      <b/>
      <sz val="14"/>
      <color theme="1"/>
      <name val="Calibri"/>
      <family val="2"/>
      <scheme val="minor"/>
    </font>
    <font>
      <b/>
      <sz val="18"/>
      <color theme="0"/>
      <name val="Calibri"/>
      <family val="2"/>
      <scheme val="minor"/>
    </font>
    <font>
      <sz val="16"/>
      <color theme="0"/>
      <name val="Calibri"/>
      <family val="2"/>
      <scheme val="minor"/>
    </font>
    <font>
      <sz val="18"/>
      <color theme="1"/>
      <name val="Calibri"/>
      <family val="2"/>
      <scheme val="minor"/>
    </font>
    <font>
      <sz val="14"/>
      <color theme="1"/>
      <name val="Calibri"/>
      <family val="2"/>
      <scheme val="minor"/>
    </font>
    <font>
      <b/>
      <sz val="14"/>
      <color theme="0"/>
      <name val="Calibri"/>
      <family val="2"/>
      <scheme val="minor"/>
    </font>
    <font>
      <b/>
      <sz val="20"/>
      <color theme="1"/>
      <name val="Arial"/>
      <family val="2"/>
    </font>
    <font>
      <b/>
      <sz val="20"/>
      <color theme="0"/>
      <name val="Arial"/>
      <family val="2"/>
    </font>
    <font>
      <i/>
      <sz val="18"/>
      <color theme="0"/>
      <name val="Arial"/>
      <family val="2"/>
    </font>
    <font>
      <b/>
      <i/>
      <sz val="12"/>
      <name val="Arial"/>
      <family val="2"/>
    </font>
    <font>
      <b/>
      <sz val="20"/>
      <color theme="0"/>
      <name val="Calibri"/>
      <family val="2"/>
      <scheme val="minor"/>
    </font>
    <font>
      <b/>
      <sz val="22"/>
      <color theme="1"/>
      <name val="Calibri"/>
      <family val="2"/>
      <scheme val="minor"/>
    </font>
    <font>
      <b/>
      <u/>
      <sz val="20"/>
      <color theme="1"/>
      <name val="Arial"/>
      <family val="2"/>
    </font>
    <font>
      <b/>
      <sz val="18"/>
      <color theme="1"/>
      <name val="Calibri"/>
      <family val="2"/>
      <scheme val="minor"/>
    </font>
    <font>
      <sz val="11"/>
      <color theme="2" tint="-0.249977111117893"/>
      <name val="Calibri"/>
      <family val="2"/>
      <scheme val="minor"/>
    </font>
    <font>
      <b/>
      <sz val="12"/>
      <color theme="1"/>
      <name val="Calibri"/>
      <family val="2"/>
      <scheme val="minor"/>
    </font>
    <font>
      <sz val="14"/>
      <color theme="0"/>
      <name val="Calibri"/>
      <family val="2"/>
      <scheme val="minor"/>
    </font>
    <font>
      <i/>
      <sz val="14"/>
      <color theme="1"/>
      <name val="Arial"/>
      <family val="2"/>
    </font>
    <font>
      <b/>
      <i/>
      <sz val="14"/>
      <color theme="1"/>
      <name val="Calibri"/>
      <family val="2"/>
      <scheme val="minor"/>
    </font>
    <font>
      <b/>
      <i/>
      <sz val="11"/>
      <color theme="0"/>
      <name val="Calibri"/>
      <family val="2"/>
      <scheme val="minor"/>
    </font>
    <font>
      <b/>
      <sz val="16"/>
      <color theme="0"/>
      <name val="Arial"/>
      <family val="2"/>
    </font>
    <font>
      <b/>
      <sz val="8"/>
      <color indexed="16"/>
      <name val="Arial"/>
      <family val="2"/>
    </font>
    <font>
      <b/>
      <sz val="1"/>
      <color theme="0"/>
      <name val="Arial"/>
      <family val="2"/>
    </font>
    <font>
      <i/>
      <sz val="12"/>
      <name val="Arial"/>
      <family val="2"/>
    </font>
    <font>
      <b/>
      <sz val="9"/>
      <color indexed="16"/>
      <name val="Arial"/>
      <family val="2"/>
    </font>
    <font>
      <b/>
      <sz val="10"/>
      <color indexed="16"/>
      <name val="Arial"/>
      <family val="2"/>
    </font>
    <font>
      <sz val="10"/>
      <color indexed="16"/>
      <name val="Arial"/>
      <family val="2"/>
    </font>
    <font>
      <b/>
      <i/>
      <sz val="10"/>
      <color indexed="16"/>
      <name val="Arial"/>
      <family val="2"/>
    </font>
    <font>
      <b/>
      <sz val="10"/>
      <color indexed="20"/>
      <name val="Arial"/>
      <family val="2"/>
    </font>
    <font>
      <b/>
      <sz val="9"/>
      <color indexed="12"/>
      <name val="Arial"/>
      <family val="2"/>
    </font>
    <font>
      <b/>
      <sz val="9"/>
      <color indexed="17"/>
      <name val="Arial"/>
      <family val="2"/>
    </font>
    <font>
      <sz val="9"/>
      <color indexed="57"/>
      <name val="Arial"/>
      <family val="2"/>
    </font>
    <font>
      <sz val="9"/>
      <color indexed="52"/>
      <name val="Arial"/>
      <family val="2"/>
    </font>
    <font>
      <sz val="9"/>
      <color indexed="12"/>
      <name val="Arial"/>
      <family val="2"/>
    </font>
    <font>
      <sz val="9"/>
      <color indexed="20"/>
      <name val="Arial"/>
      <family val="2"/>
    </font>
    <font>
      <sz val="14"/>
      <color theme="1"/>
      <name val="Arial"/>
      <family val="2"/>
    </font>
    <font>
      <b/>
      <sz val="14"/>
      <color theme="1"/>
      <name val="Arial"/>
      <family val="2"/>
    </font>
    <font>
      <sz val="14"/>
      <color rgb="FF000000"/>
      <name val="Arial"/>
      <family val="2"/>
    </font>
    <font>
      <b/>
      <sz val="14"/>
      <color rgb="FF000000"/>
      <name val="Calibri"/>
      <family val="2"/>
    </font>
    <font>
      <sz val="14"/>
      <color rgb="FF000000"/>
      <name val="Calibri"/>
      <family val="2"/>
    </font>
    <font>
      <sz val="14"/>
      <color theme="0"/>
      <name val="Arial"/>
      <family val="2"/>
    </font>
    <font>
      <sz val="15"/>
      <color theme="0" tint="-0.34998626667073579"/>
      <name val="Calibri"/>
      <family val="2"/>
      <scheme val="minor"/>
    </font>
    <font>
      <sz val="14"/>
      <color theme="0" tint="-0.34998626667073579"/>
      <name val="Arial"/>
      <family val="2"/>
    </font>
    <font>
      <b/>
      <sz val="14"/>
      <color theme="0" tint="-0.34998626667073579"/>
      <name val="Arial"/>
      <family val="2"/>
    </font>
    <font>
      <sz val="12"/>
      <color theme="0" tint="-0.34998626667073579"/>
      <name val="Arial"/>
      <family val="2"/>
    </font>
    <font>
      <sz val="21"/>
      <color theme="1"/>
      <name val="Arial"/>
      <family val="2"/>
    </font>
    <font>
      <sz val="1"/>
      <color theme="0"/>
      <name val="Calibri"/>
      <family val="2"/>
    </font>
    <font>
      <b/>
      <sz val="16"/>
      <color rgb="FFFF0000"/>
      <name val="Arial"/>
      <family val="2"/>
    </font>
  </fonts>
  <fills count="35">
    <fill>
      <patternFill patternType="none"/>
    </fill>
    <fill>
      <patternFill patternType="gray125"/>
    </fill>
    <fill>
      <patternFill patternType="solid">
        <fgColor rgb="FFFFFF00"/>
        <bgColor indexed="64"/>
      </patternFill>
    </fill>
    <fill>
      <patternFill patternType="solid">
        <fgColor theme="0"/>
        <bgColor theme="0"/>
      </patternFill>
    </fill>
    <fill>
      <patternFill patternType="solid">
        <fgColor rgb="FFC00000"/>
        <bgColor indexed="64"/>
      </patternFill>
    </fill>
    <fill>
      <patternFill patternType="solid">
        <fgColor theme="0" tint="-0.14999847407452621"/>
        <bgColor indexed="64"/>
      </patternFill>
    </fill>
    <fill>
      <patternFill patternType="solid">
        <fgColor indexed="1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rgb="FFFFC000"/>
        <bgColor indexed="64"/>
      </patternFill>
    </fill>
    <fill>
      <patternFill patternType="solid">
        <fgColor theme="0"/>
        <bgColor indexed="64"/>
      </patternFill>
    </fill>
    <fill>
      <patternFill patternType="solid">
        <fgColor indexed="65"/>
        <bgColor indexed="64"/>
      </patternFill>
    </fill>
    <fill>
      <patternFill patternType="gray0625">
        <fgColor indexed="47"/>
        <bgColor indexed="47"/>
      </patternFill>
    </fill>
    <fill>
      <patternFill patternType="solid">
        <fgColor indexed="47"/>
        <bgColor indexed="47"/>
      </patternFill>
    </fill>
    <fill>
      <patternFill patternType="solid">
        <fgColor indexed="22"/>
        <bgColor indexed="22"/>
      </patternFill>
    </fill>
    <fill>
      <patternFill patternType="solid">
        <fgColor indexed="22"/>
        <bgColor indexed="47"/>
      </patternFill>
    </fill>
    <fill>
      <patternFill patternType="solid">
        <fgColor indexed="65"/>
        <bgColor indexed="47"/>
      </patternFill>
    </fill>
    <fill>
      <patternFill patternType="solid">
        <fgColor rgb="FFFF0000"/>
        <bgColor indexed="64"/>
      </patternFill>
    </fill>
    <fill>
      <patternFill patternType="solid">
        <fgColor indexed="9"/>
        <bgColor indexed="47"/>
      </patternFill>
    </fill>
    <fill>
      <patternFill patternType="gray0625">
        <fgColor indexed="47"/>
        <bgColor rgb="FFFF0000"/>
      </patternFill>
    </fill>
    <fill>
      <patternFill patternType="gray0625">
        <fgColor indexed="22"/>
        <bgColor indexed="22"/>
      </patternFill>
    </fill>
    <fill>
      <patternFill patternType="solid">
        <fgColor indexed="12"/>
        <bgColor indexed="64"/>
      </patternFill>
    </fill>
    <fill>
      <patternFill patternType="solid">
        <fgColor indexed="17"/>
        <bgColor indexed="64"/>
      </patternFill>
    </fill>
    <fill>
      <patternFill patternType="solid">
        <fgColor indexed="47"/>
        <bgColor indexed="22"/>
      </patternFill>
    </fill>
    <fill>
      <patternFill patternType="solid">
        <fgColor theme="1"/>
        <bgColor indexed="64"/>
      </patternFill>
    </fill>
    <fill>
      <patternFill patternType="solid">
        <fgColor theme="6"/>
        <bgColor indexed="64"/>
      </patternFill>
    </fill>
    <fill>
      <patternFill patternType="solid">
        <fgColor theme="0" tint="-0.499984740745262"/>
        <bgColor indexed="64"/>
      </patternFill>
    </fill>
    <fill>
      <patternFill patternType="solid">
        <fgColor rgb="FF92D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s>
  <borders count="640">
    <border>
      <left/>
      <right/>
      <top/>
      <bottom/>
      <diagonal/>
    </border>
    <border>
      <left style="medium">
        <color indexed="64"/>
      </left>
      <right style="hair">
        <color theme="0" tint="-0.34998626667073579"/>
      </right>
      <top style="medium">
        <color indexed="64"/>
      </top>
      <bottom style="hair">
        <color theme="0" tint="-0.34998626667073579"/>
      </bottom>
      <diagonal/>
    </border>
    <border>
      <left style="hair">
        <color theme="0" tint="-0.34998626667073579"/>
      </left>
      <right style="hair">
        <color theme="0" tint="-0.34998626667073579"/>
      </right>
      <top style="medium">
        <color indexed="64"/>
      </top>
      <bottom style="hair">
        <color theme="0" tint="-0.34998626667073579"/>
      </bottom>
      <diagonal/>
    </border>
    <border>
      <left style="hair">
        <color theme="0" tint="-0.34998626667073579"/>
      </left>
      <right style="medium">
        <color indexed="64"/>
      </right>
      <top style="medium">
        <color indexed="64"/>
      </top>
      <bottom style="hair">
        <color theme="0" tint="-0.34998626667073579"/>
      </bottom>
      <diagonal/>
    </border>
    <border>
      <left style="medium">
        <color indexed="64"/>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medium">
        <color indexed="64"/>
      </right>
      <top style="hair">
        <color theme="0" tint="-0.34998626667073579"/>
      </top>
      <bottom style="hair">
        <color theme="0" tint="-0.34998626667073579"/>
      </bottom>
      <diagonal/>
    </border>
    <border>
      <left style="medium">
        <color indexed="64"/>
      </left>
      <right style="hair">
        <color theme="0" tint="-0.34998626667073579"/>
      </right>
      <top style="hair">
        <color theme="0" tint="-0.34998626667073579"/>
      </top>
      <bottom style="medium">
        <color indexed="64"/>
      </bottom>
      <diagonal/>
    </border>
    <border>
      <left style="hair">
        <color theme="0" tint="-0.34998626667073579"/>
      </left>
      <right style="hair">
        <color theme="0" tint="-0.34998626667073579"/>
      </right>
      <top style="hair">
        <color theme="0" tint="-0.34998626667073579"/>
      </top>
      <bottom style="medium">
        <color indexed="64"/>
      </bottom>
      <diagonal/>
    </border>
    <border>
      <left style="hair">
        <color theme="0" tint="-0.34998626667073579"/>
      </left>
      <right style="medium">
        <color indexed="64"/>
      </right>
      <top style="hair">
        <color theme="0" tint="-0.34998626667073579"/>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top/>
      <bottom style="thin">
        <color indexed="64"/>
      </bottom>
      <diagonal/>
    </border>
    <border>
      <left style="thin">
        <color indexed="64"/>
      </left>
      <right/>
      <top/>
      <bottom style="thin">
        <color rgb="FF000000"/>
      </bottom>
      <diagonal/>
    </border>
    <border>
      <left style="hair">
        <color indexed="64"/>
      </left>
      <right style="thin">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hair">
        <color indexed="64"/>
      </left>
      <right style="hair">
        <color indexed="64"/>
      </right>
      <top style="thin">
        <color indexed="64"/>
      </top>
      <bottom style="hair">
        <color indexed="64"/>
      </bottom>
      <diagonal/>
    </border>
    <border>
      <left style="hair">
        <color indexed="64"/>
      </left>
      <right style="thin">
        <color rgb="FF000000"/>
      </right>
      <top style="thin">
        <color indexed="64"/>
      </top>
      <bottom style="hair">
        <color indexed="64"/>
      </bottom>
      <diagonal/>
    </border>
    <border>
      <left style="thin">
        <color rgb="FF000000"/>
      </left>
      <right/>
      <top style="thin">
        <color indexed="64"/>
      </top>
      <bottom/>
      <diagonal/>
    </border>
    <border>
      <left/>
      <right style="dotted">
        <color rgb="FF000000"/>
      </right>
      <top style="thin">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rgb="FF000000"/>
      </right>
      <top style="hair">
        <color indexed="64"/>
      </top>
      <bottom style="thin">
        <color indexed="64"/>
      </bottom>
      <diagonal/>
    </border>
    <border>
      <left style="thin">
        <color rgb="FF000000"/>
      </left>
      <right/>
      <top/>
      <bottom style="thin">
        <color indexed="64"/>
      </bottom>
      <diagonal/>
    </border>
    <border>
      <left/>
      <right style="dotted">
        <color rgb="FF000000"/>
      </right>
      <top/>
      <bottom style="thin">
        <color indexed="64"/>
      </bottom>
      <diagonal/>
    </border>
    <border>
      <left style="thin">
        <color indexed="64"/>
      </left>
      <right style="dotted">
        <color rgb="FF000000"/>
      </right>
      <top style="thin">
        <color indexed="64"/>
      </top>
      <bottom/>
      <diagonal/>
    </border>
    <border>
      <left style="thin">
        <color rgb="FF000000"/>
      </left>
      <right/>
      <top/>
      <bottom/>
      <diagonal/>
    </border>
    <border>
      <left/>
      <right style="dotted">
        <color rgb="FF000000"/>
      </right>
      <top/>
      <bottom/>
      <diagonal/>
    </border>
    <border>
      <left style="thin">
        <color indexed="64"/>
      </left>
      <right style="dotted">
        <color rgb="FF000000"/>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16"/>
      </bottom>
      <diagonal/>
    </border>
    <border>
      <left style="medium">
        <color indexed="16"/>
      </left>
      <right/>
      <top style="medium">
        <color indexed="16"/>
      </top>
      <bottom/>
      <diagonal/>
    </border>
    <border>
      <left/>
      <right style="medium">
        <color indexed="16"/>
      </right>
      <top style="medium">
        <color indexed="16"/>
      </top>
      <bottom/>
      <diagonal/>
    </border>
    <border>
      <left/>
      <right style="medium">
        <color indexed="16"/>
      </right>
      <top/>
      <bottom style="medium">
        <color indexed="16"/>
      </bottom>
      <diagonal/>
    </border>
    <border>
      <left style="medium">
        <color indexed="16"/>
      </left>
      <right/>
      <top/>
      <bottom/>
      <diagonal/>
    </border>
    <border>
      <left/>
      <right style="medium">
        <color indexed="16"/>
      </right>
      <top/>
      <bottom/>
      <diagonal/>
    </border>
    <border>
      <left/>
      <right/>
      <top style="hair">
        <color indexed="16"/>
      </top>
      <bottom style="hair">
        <color indexed="16"/>
      </bottom>
      <diagonal/>
    </border>
    <border>
      <left style="medium">
        <color indexed="16"/>
      </left>
      <right style="medium">
        <color indexed="16"/>
      </right>
      <top style="hair">
        <color indexed="16"/>
      </top>
      <bottom style="hair">
        <color indexed="16"/>
      </bottom>
      <diagonal/>
    </border>
    <border>
      <left/>
      <right style="medium">
        <color indexed="16"/>
      </right>
      <top style="medium">
        <color indexed="16"/>
      </top>
      <bottom style="medium">
        <color indexed="16"/>
      </bottom>
      <diagonal/>
    </border>
    <border>
      <left/>
      <right/>
      <top style="medium">
        <color indexed="16"/>
      </top>
      <bottom/>
      <diagonal/>
    </border>
    <border>
      <left/>
      <right/>
      <top style="hair">
        <color indexed="16"/>
      </top>
      <bottom style="thin">
        <color indexed="16"/>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theme="1"/>
      </right>
      <top style="medium">
        <color indexed="64"/>
      </top>
      <bottom style="hair">
        <color theme="9" tint="0.59996337778862885"/>
      </bottom>
      <diagonal/>
    </border>
    <border>
      <left style="thin">
        <color theme="1"/>
      </left>
      <right style="thin">
        <color theme="1"/>
      </right>
      <top/>
      <bottom style="hair">
        <color theme="9" tint="0.59996337778862885"/>
      </bottom>
      <diagonal/>
    </border>
    <border>
      <left style="thin">
        <color theme="1"/>
      </left>
      <right/>
      <top/>
      <bottom style="hair">
        <color theme="9" tint="0.59996337778862885"/>
      </bottom>
      <diagonal/>
    </border>
    <border>
      <left style="thin">
        <color indexed="64"/>
      </left>
      <right style="thin">
        <color indexed="64"/>
      </right>
      <top/>
      <bottom style="hair">
        <color theme="9" tint="0.59996337778862885"/>
      </bottom>
      <diagonal/>
    </border>
    <border>
      <left style="medium">
        <color indexed="64"/>
      </left>
      <right style="thin">
        <color theme="1"/>
      </right>
      <top style="hair">
        <color theme="9" tint="0.59996337778862885"/>
      </top>
      <bottom style="hair">
        <color theme="9" tint="0.59996337778862885"/>
      </bottom>
      <diagonal/>
    </border>
    <border>
      <left style="thin">
        <color theme="1"/>
      </left>
      <right style="thin">
        <color theme="1"/>
      </right>
      <top style="hair">
        <color theme="9" tint="0.59996337778862885"/>
      </top>
      <bottom style="hair">
        <color theme="9" tint="0.59996337778862885"/>
      </bottom>
      <diagonal/>
    </border>
    <border>
      <left style="medium">
        <color indexed="64"/>
      </left>
      <right style="thin">
        <color theme="1"/>
      </right>
      <top style="hair">
        <color theme="9" tint="0.59996337778862885"/>
      </top>
      <bottom style="medium">
        <color indexed="64"/>
      </bottom>
      <diagonal/>
    </border>
    <border>
      <left style="thin">
        <color theme="1"/>
      </left>
      <right style="thin">
        <color theme="1"/>
      </right>
      <top style="hair">
        <color theme="9" tint="0.59996337778862885"/>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thin">
        <color indexed="64"/>
      </right>
      <top style="thin">
        <color indexed="64"/>
      </top>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dotted">
        <color indexed="64"/>
      </right>
      <top style="hair">
        <color indexed="64"/>
      </top>
      <bottom/>
      <diagonal/>
    </border>
    <border>
      <left style="dotted">
        <color indexed="64"/>
      </left>
      <right style="thin">
        <color indexed="64"/>
      </right>
      <top style="hair">
        <color indexed="64"/>
      </top>
      <bottom/>
      <diagonal/>
    </border>
    <border>
      <left style="dotted">
        <color indexed="64"/>
      </left>
      <right style="dotted">
        <color indexed="64"/>
      </right>
      <top style="hair">
        <color indexed="64"/>
      </top>
      <bottom/>
      <diagonal/>
    </border>
    <border>
      <left/>
      <right style="hair">
        <color indexed="64"/>
      </right>
      <top/>
      <bottom/>
      <diagonal/>
    </border>
    <border>
      <left style="hair">
        <color indexed="64"/>
      </left>
      <right style="hair">
        <color indexed="64"/>
      </right>
      <top/>
      <bottom/>
      <diagonal/>
    </border>
    <border>
      <left style="thin">
        <color indexed="64"/>
      </left>
      <right/>
      <top/>
      <bottom style="hair">
        <color indexed="64"/>
      </bottom>
      <diagonal/>
    </border>
    <border>
      <left/>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dotted">
        <color indexed="64"/>
      </right>
      <top/>
      <bottom style="hair">
        <color indexed="64"/>
      </bottom>
      <diagonal/>
    </border>
    <border>
      <left style="dotted">
        <color indexed="64"/>
      </left>
      <right style="thin">
        <color indexed="64"/>
      </right>
      <top/>
      <bottom style="hair">
        <color indexed="64"/>
      </bottom>
      <diagonal/>
    </border>
    <border>
      <left style="dotted">
        <color indexed="64"/>
      </left>
      <right style="dotted">
        <color indexed="64"/>
      </right>
      <top/>
      <bottom style="hair">
        <color indexed="64"/>
      </bottom>
      <diagonal/>
    </border>
    <border>
      <left/>
      <right/>
      <top style="hair">
        <color indexed="64"/>
      </top>
      <bottom/>
      <diagonal/>
    </border>
    <border>
      <left style="thin">
        <color indexed="64"/>
      </left>
      <right style="dotted">
        <color indexed="64"/>
      </right>
      <top/>
      <bottom/>
      <diagonal/>
    </border>
    <border>
      <left style="dotted">
        <color indexed="64"/>
      </left>
      <right style="thin">
        <color indexed="64"/>
      </right>
      <top/>
      <bottom/>
      <diagonal/>
    </border>
    <border>
      <left style="dotted">
        <color indexed="64"/>
      </left>
      <right style="dotted">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dotted">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dotted">
        <color indexed="64"/>
      </right>
      <top style="hair">
        <color indexed="64"/>
      </top>
      <bottom style="thin">
        <color indexed="64"/>
      </bottom>
      <diagonal/>
    </border>
    <border>
      <left style="dotted">
        <color indexed="64"/>
      </left>
      <right style="thin">
        <color indexed="64"/>
      </right>
      <top style="hair">
        <color indexed="64"/>
      </top>
      <bottom style="thin">
        <color indexed="64"/>
      </bottom>
      <diagonal/>
    </border>
    <border>
      <left style="dotted">
        <color indexed="64"/>
      </left>
      <right style="dotted">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dotted">
        <color indexed="64"/>
      </bottom>
      <diagonal/>
    </border>
    <border>
      <left/>
      <right/>
      <top style="hair">
        <color indexed="64"/>
      </top>
      <bottom style="dotted">
        <color indexed="64"/>
      </bottom>
      <diagonal/>
    </border>
    <border>
      <left/>
      <right style="thin">
        <color indexed="64"/>
      </right>
      <top/>
      <bottom style="hair">
        <color indexed="64"/>
      </bottom>
      <diagonal/>
    </border>
    <border>
      <left style="thin">
        <color indexed="64"/>
      </left>
      <right style="hair">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right style="hair">
        <color indexed="64"/>
      </right>
      <top style="hair">
        <color indexed="64"/>
      </top>
      <bottom style="hair">
        <color indexed="64"/>
      </bottom>
      <diagonal/>
    </border>
    <border>
      <left style="dotted">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hair">
        <color indexed="64"/>
      </right>
      <top style="hair">
        <color indexed="64"/>
      </top>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right style="thick">
        <color indexed="53"/>
      </right>
      <top/>
      <bottom/>
      <diagonal/>
    </border>
    <border>
      <left style="thin">
        <color indexed="64"/>
      </left>
      <right style="thin">
        <color indexed="64"/>
      </right>
      <top/>
      <bottom style="thin">
        <color indexed="8"/>
      </bottom>
      <diagonal/>
    </border>
    <border>
      <left/>
      <right/>
      <top/>
      <bottom style="thick">
        <color indexed="64"/>
      </bottom>
      <diagonal/>
    </border>
    <border>
      <left style="thin">
        <color indexed="64"/>
      </left>
      <right/>
      <top/>
      <bottom style="thick">
        <color indexed="64"/>
      </bottom>
      <diagonal/>
    </border>
    <border>
      <left/>
      <right style="thick">
        <color rgb="FFFF6600"/>
      </right>
      <top/>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top style="thick">
        <color indexed="64"/>
      </top>
      <bottom/>
      <diagonal/>
    </border>
    <border>
      <left/>
      <right style="thick">
        <color rgb="FFFF6600"/>
      </right>
      <top style="thick">
        <color auto="1"/>
      </top>
      <bottom/>
      <diagonal/>
    </border>
    <border>
      <left style="medium">
        <color indexed="62"/>
      </left>
      <right/>
      <top style="medium">
        <color indexed="62"/>
      </top>
      <bottom style="medium">
        <color indexed="62"/>
      </bottom>
      <diagonal/>
    </border>
    <border>
      <left/>
      <right style="medium">
        <color indexed="62"/>
      </right>
      <top style="medium">
        <color indexed="62"/>
      </top>
      <bottom style="medium">
        <color indexed="62"/>
      </bottom>
      <diagonal/>
    </border>
    <border>
      <left/>
      <right/>
      <top/>
      <bottom style="medium">
        <color indexed="62"/>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right/>
      <top style="medium">
        <color indexed="62"/>
      </top>
      <bottom/>
      <diagonal/>
    </border>
    <border>
      <left/>
      <right style="medium">
        <color indexed="62"/>
      </right>
      <top style="medium">
        <color indexed="62"/>
      </top>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right/>
      <top/>
      <bottom style="thin">
        <color indexed="62"/>
      </bottom>
      <diagonal/>
    </border>
    <border>
      <left/>
      <right style="medium">
        <color indexed="62"/>
      </right>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hair">
        <color indexed="62"/>
      </bottom>
      <diagonal/>
    </border>
    <border>
      <left style="medium">
        <color indexed="62"/>
      </left>
      <right style="thin">
        <color indexed="62"/>
      </right>
      <top style="hair">
        <color indexed="62"/>
      </top>
      <bottom style="hair">
        <color indexed="62"/>
      </bottom>
      <diagonal/>
    </border>
    <border>
      <left style="thin">
        <color indexed="62"/>
      </left>
      <right style="thin">
        <color indexed="62"/>
      </right>
      <top/>
      <bottom style="hair">
        <color indexed="62"/>
      </bottom>
      <diagonal/>
    </border>
    <border>
      <left style="thin">
        <color indexed="62"/>
      </left>
      <right style="medium">
        <color indexed="62"/>
      </right>
      <top/>
      <bottom style="hair">
        <color indexed="62"/>
      </bottom>
      <diagonal/>
    </border>
    <border>
      <left style="thin">
        <color indexed="62"/>
      </left>
      <right style="thin">
        <color indexed="62"/>
      </right>
      <top style="thin">
        <color indexed="62"/>
      </top>
      <bottom style="hair">
        <color indexed="62"/>
      </bottom>
      <diagonal/>
    </border>
    <border>
      <left style="thin">
        <color indexed="62"/>
      </left>
      <right style="thin">
        <color indexed="62"/>
      </right>
      <top style="hair">
        <color indexed="62"/>
      </top>
      <bottom style="hair">
        <color indexed="62"/>
      </bottom>
      <diagonal/>
    </border>
    <border>
      <left style="thin">
        <color indexed="62"/>
      </left>
      <right style="medium">
        <color indexed="62"/>
      </right>
      <top style="hair">
        <color indexed="62"/>
      </top>
      <bottom style="hair">
        <color indexed="62"/>
      </bottom>
      <diagonal/>
    </border>
    <border>
      <left style="thin">
        <color indexed="62"/>
      </left>
      <right style="thin">
        <color indexed="62"/>
      </right>
      <top style="hair">
        <color indexed="62"/>
      </top>
      <bottom style="thin">
        <color indexed="62"/>
      </bottom>
      <diagonal/>
    </border>
    <border>
      <left style="thin">
        <color indexed="62"/>
      </left>
      <right style="medium">
        <color indexed="62"/>
      </right>
      <top style="hair">
        <color indexed="62"/>
      </top>
      <bottom style="thin">
        <color indexed="62"/>
      </bottom>
      <diagonal/>
    </border>
    <border>
      <left style="medium">
        <color indexed="62"/>
      </left>
      <right style="thin">
        <color indexed="62"/>
      </right>
      <top style="hair">
        <color indexed="62"/>
      </top>
      <bottom style="medium">
        <color indexed="62"/>
      </bottom>
      <diagonal/>
    </border>
    <border>
      <left style="thin">
        <color indexed="62"/>
      </left>
      <right style="thin">
        <color indexed="62"/>
      </right>
      <top style="hair">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style="medium">
        <color indexed="21"/>
      </left>
      <right/>
      <top style="medium">
        <color indexed="21"/>
      </top>
      <bottom style="medium">
        <color indexed="21"/>
      </bottom>
      <diagonal/>
    </border>
    <border>
      <left/>
      <right style="medium">
        <color indexed="21"/>
      </right>
      <top style="medium">
        <color indexed="21"/>
      </top>
      <bottom style="medium">
        <color indexed="21"/>
      </bottom>
      <diagonal/>
    </border>
    <border>
      <left/>
      <right/>
      <top/>
      <bottom style="medium">
        <color indexed="21"/>
      </bottom>
      <diagonal/>
    </border>
    <border>
      <left style="medium">
        <color indexed="21"/>
      </left>
      <right style="thin">
        <color indexed="21"/>
      </right>
      <top style="medium">
        <color indexed="21"/>
      </top>
      <bottom style="thin">
        <color indexed="21"/>
      </bottom>
      <diagonal/>
    </border>
    <border>
      <left style="thin">
        <color indexed="21"/>
      </left>
      <right style="thin">
        <color indexed="21"/>
      </right>
      <top style="medium">
        <color indexed="21"/>
      </top>
      <bottom style="thin">
        <color indexed="21"/>
      </bottom>
      <diagonal/>
    </border>
    <border>
      <left/>
      <right/>
      <top style="medium">
        <color indexed="21"/>
      </top>
      <bottom/>
      <diagonal/>
    </border>
    <border>
      <left/>
      <right style="medium">
        <color indexed="21"/>
      </right>
      <top style="medium">
        <color indexed="21"/>
      </top>
      <bottom/>
      <diagonal/>
    </border>
    <border>
      <left style="medium">
        <color indexed="21"/>
      </left>
      <right style="thin">
        <color indexed="21"/>
      </right>
      <top style="thin">
        <color indexed="21"/>
      </top>
      <bottom style="thin">
        <color indexed="21"/>
      </bottom>
      <diagonal/>
    </border>
    <border>
      <left style="thin">
        <color indexed="21"/>
      </left>
      <right style="thin">
        <color indexed="21"/>
      </right>
      <top style="thin">
        <color indexed="21"/>
      </top>
      <bottom style="thin">
        <color indexed="21"/>
      </bottom>
      <diagonal/>
    </border>
    <border>
      <left/>
      <right/>
      <top/>
      <bottom style="thin">
        <color indexed="21"/>
      </bottom>
      <diagonal/>
    </border>
    <border>
      <left/>
      <right style="medium">
        <color indexed="21"/>
      </right>
      <top/>
      <bottom style="thin">
        <color indexed="21"/>
      </bottom>
      <diagonal/>
    </border>
    <border>
      <left style="medium">
        <color indexed="21"/>
      </left>
      <right style="thin">
        <color indexed="21"/>
      </right>
      <top style="thin">
        <color indexed="21"/>
      </top>
      <bottom/>
      <diagonal/>
    </border>
    <border>
      <left style="thin">
        <color indexed="21"/>
      </left>
      <right style="thin">
        <color indexed="21"/>
      </right>
      <top style="thin">
        <color indexed="21"/>
      </top>
      <bottom/>
      <diagonal/>
    </border>
    <border>
      <left style="thin">
        <color indexed="21"/>
      </left>
      <right style="medium">
        <color indexed="21"/>
      </right>
      <top style="thin">
        <color indexed="21"/>
      </top>
      <bottom style="thin">
        <color indexed="21"/>
      </bottom>
      <diagonal/>
    </border>
    <border>
      <left style="medium">
        <color indexed="21"/>
      </left>
      <right style="thin">
        <color indexed="21"/>
      </right>
      <top style="thin">
        <color indexed="21"/>
      </top>
      <bottom style="hair">
        <color indexed="21"/>
      </bottom>
      <diagonal/>
    </border>
    <border>
      <left style="medium">
        <color indexed="21"/>
      </left>
      <right style="thin">
        <color indexed="21"/>
      </right>
      <top style="hair">
        <color indexed="21"/>
      </top>
      <bottom style="hair">
        <color indexed="21"/>
      </bottom>
      <diagonal/>
    </border>
    <border>
      <left style="thin">
        <color indexed="21"/>
      </left>
      <right style="thin">
        <color indexed="21"/>
      </right>
      <top/>
      <bottom style="hair">
        <color indexed="21"/>
      </bottom>
      <diagonal/>
    </border>
    <border>
      <left style="thin">
        <color indexed="21"/>
      </left>
      <right style="medium">
        <color indexed="21"/>
      </right>
      <top/>
      <bottom style="hair">
        <color indexed="21"/>
      </bottom>
      <diagonal/>
    </border>
    <border>
      <left style="thin">
        <color indexed="21"/>
      </left>
      <right style="thin">
        <color indexed="21"/>
      </right>
      <top style="thin">
        <color indexed="21"/>
      </top>
      <bottom style="hair">
        <color indexed="21"/>
      </bottom>
      <diagonal/>
    </border>
    <border>
      <left style="thin">
        <color indexed="21"/>
      </left>
      <right style="thin">
        <color indexed="21"/>
      </right>
      <top style="hair">
        <color indexed="21"/>
      </top>
      <bottom style="hair">
        <color indexed="21"/>
      </bottom>
      <diagonal/>
    </border>
    <border>
      <left style="thin">
        <color indexed="21"/>
      </left>
      <right style="medium">
        <color indexed="21"/>
      </right>
      <top style="hair">
        <color indexed="21"/>
      </top>
      <bottom style="hair">
        <color indexed="21"/>
      </bottom>
      <diagonal/>
    </border>
    <border>
      <left style="thin">
        <color indexed="21"/>
      </left>
      <right style="thin">
        <color indexed="21"/>
      </right>
      <top style="hair">
        <color indexed="21"/>
      </top>
      <bottom style="thin">
        <color indexed="21"/>
      </bottom>
      <diagonal/>
    </border>
    <border>
      <left style="thin">
        <color indexed="21"/>
      </left>
      <right style="medium">
        <color indexed="21"/>
      </right>
      <top style="hair">
        <color indexed="21"/>
      </top>
      <bottom style="thin">
        <color indexed="21"/>
      </bottom>
      <diagonal/>
    </border>
    <border>
      <left style="medium">
        <color indexed="21"/>
      </left>
      <right style="thin">
        <color indexed="21"/>
      </right>
      <top style="hair">
        <color indexed="21"/>
      </top>
      <bottom style="medium">
        <color indexed="21"/>
      </bottom>
      <diagonal/>
    </border>
    <border>
      <left style="thin">
        <color indexed="21"/>
      </left>
      <right style="thin">
        <color indexed="21"/>
      </right>
      <top style="hair">
        <color indexed="21"/>
      </top>
      <bottom style="medium">
        <color indexed="21"/>
      </bottom>
      <diagonal/>
    </border>
    <border>
      <left style="thin">
        <color indexed="21"/>
      </left>
      <right style="thin">
        <color indexed="21"/>
      </right>
      <top style="thin">
        <color indexed="21"/>
      </top>
      <bottom style="medium">
        <color indexed="21"/>
      </bottom>
      <diagonal/>
    </border>
    <border>
      <left style="thin">
        <color indexed="21"/>
      </left>
      <right style="medium">
        <color indexed="21"/>
      </right>
      <top style="thin">
        <color indexed="21"/>
      </top>
      <bottom style="medium">
        <color indexed="21"/>
      </bottom>
      <diagonal/>
    </border>
    <border>
      <left style="medium">
        <color indexed="36"/>
      </left>
      <right/>
      <top style="medium">
        <color indexed="36"/>
      </top>
      <bottom/>
      <diagonal/>
    </border>
    <border>
      <left style="medium">
        <color indexed="36"/>
      </left>
      <right/>
      <top/>
      <bottom style="medium">
        <color indexed="36"/>
      </bottom>
      <diagonal/>
    </border>
    <border>
      <left/>
      <right/>
      <top/>
      <bottom style="medium">
        <color indexed="36"/>
      </bottom>
      <diagonal/>
    </border>
    <border>
      <left/>
      <right/>
      <top style="medium">
        <color indexed="36"/>
      </top>
      <bottom/>
      <diagonal/>
    </border>
    <border>
      <left/>
      <right/>
      <top style="medium">
        <color indexed="36"/>
      </top>
      <bottom style="thin">
        <color indexed="36"/>
      </bottom>
      <diagonal/>
    </border>
    <border>
      <left/>
      <right style="medium">
        <color indexed="36"/>
      </right>
      <top style="medium">
        <color indexed="36"/>
      </top>
      <bottom style="thin">
        <color indexed="36"/>
      </bottom>
      <diagonal/>
    </border>
    <border>
      <left style="medium">
        <color indexed="36"/>
      </left>
      <right style="thin">
        <color indexed="36"/>
      </right>
      <top style="thin">
        <color indexed="36"/>
      </top>
      <bottom style="thin">
        <color indexed="36"/>
      </bottom>
      <diagonal/>
    </border>
    <border>
      <left/>
      <right/>
      <top style="thin">
        <color indexed="36"/>
      </top>
      <bottom/>
      <diagonal/>
    </border>
    <border>
      <left style="thin">
        <color indexed="36"/>
      </left>
      <right style="thin">
        <color indexed="36"/>
      </right>
      <top style="thin">
        <color indexed="36"/>
      </top>
      <bottom style="thin">
        <color indexed="36"/>
      </bottom>
      <diagonal/>
    </border>
    <border>
      <left style="thin">
        <color indexed="36"/>
      </left>
      <right style="medium">
        <color indexed="36"/>
      </right>
      <top style="thin">
        <color indexed="36"/>
      </top>
      <bottom style="thin">
        <color indexed="36"/>
      </bottom>
      <diagonal/>
    </border>
    <border>
      <left style="medium">
        <color indexed="36"/>
      </left>
      <right/>
      <top/>
      <bottom style="hair">
        <color indexed="36"/>
      </bottom>
      <diagonal/>
    </border>
    <border>
      <left style="medium">
        <color indexed="36"/>
      </left>
      <right style="thin">
        <color indexed="36"/>
      </right>
      <top style="hair">
        <color indexed="36"/>
      </top>
      <bottom style="hair">
        <color indexed="36"/>
      </bottom>
      <diagonal/>
    </border>
    <border>
      <left style="thin">
        <color indexed="36"/>
      </left>
      <right style="thin">
        <color indexed="36"/>
      </right>
      <top style="thin">
        <color indexed="36"/>
      </top>
      <bottom style="hair">
        <color indexed="36"/>
      </bottom>
      <diagonal/>
    </border>
    <border>
      <left style="thin">
        <color indexed="36"/>
      </left>
      <right style="medium">
        <color indexed="36"/>
      </right>
      <top style="thin">
        <color indexed="36"/>
      </top>
      <bottom style="hair">
        <color indexed="36"/>
      </bottom>
      <diagonal/>
    </border>
    <border>
      <left style="thin">
        <color indexed="36"/>
      </left>
      <right style="thin">
        <color indexed="36"/>
      </right>
      <top style="hair">
        <color indexed="36"/>
      </top>
      <bottom style="hair">
        <color indexed="36"/>
      </bottom>
      <diagonal/>
    </border>
    <border>
      <left style="thin">
        <color indexed="36"/>
      </left>
      <right style="medium">
        <color indexed="36"/>
      </right>
      <top style="hair">
        <color indexed="36"/>
      </top>
      <bottom style="hair">
        <color indexed="36"/>
      </bottom>
      <diagonal/>
    </border>
    <border>
      <left style="thin">
        <color indexed="36"/>
      </left>
      <right style="thin">
        <color indexed="36"/>
      </right>
      <top style="hair">
        <color indexed="36"/>
      </top>
      <bottom style="thin">
        <color indexed="36"/>
      </bottom>
      <diagonal/>
    </border>
    <border>
      <left style="thin">
        <color indexed="36"/>
      </left>
      <right style="medium">
        <color indexed="36"/>
      </right>
      <top style="hair">
        <color indexed="36"/>
      </top>
      <bottom style="thin">
        <color indexed="36"/>
      </bottom>
      <diagonal/>
    </border>
    <border>
      <left style="thin">
        <color indexed="36"/>
      </left>
      <right style="thin">
        <color indexed="36"/>
      </right>
      <top/>
      <bottom style="thin">
        <color indexed="36"/>
      </bottom>
      <diagonal/>
    </border>
    <border>
      <left style="thin">
        <color indexed="36"/>
      </left>
      <right style="medium">
        <color indexed="36"/>
      </right>
      <top/>
      <bottom style="thin">
        <color indexed="36"/>
      </bottom>
      <diagonal/>
    </border>
    <border>
      <left style="medium">
        <color indexed="36"/>
      </left>
      <right style="thin">
        <color indexed="36"/>
      </right>
      <top style="hair">
        <color indexed="36"/>
      </top>
      <bottom style="thin">
        <color indexed="36"/>
      </bottom>
      <diagonal/>
    </border>
    <border>
      <left style="medium">
        <color indexed="36"/>
      </left>
      <right/>
      <top/>
      <bottom/>
      <diagonal/>
    </border>
    <border>
      <left style="medium">
        <color indexed="36"/>
      </left>
      <right style="medium">
        <color indexed="36"/>
      </right>
      <top style="thin">
        <color indexed="36"/>
      </top>
      <bottom style="hair">
        <color indexed="36"/>
      </bottom>
      <diagonal/>
    </border>
    <border>
      <left/>
      <right style="medium">
        <color indexed="36"/>
      </right>
      <top style="thin">
        <color indexed="36"/>
      </top>
      <bottom style="hair">
        <color indexed="36"/>
      </bottom>
      <diagonal/>
    </border>
    <border>
      <left style="medium">
        <color indexed="36"/>
      </left>
      <right style="medium">
        <color indexed="36"/>
      </right>
      <top style="hair">
        <color indexed="36"/>
      </top>
      <bottom style="hair">
        <color indexed="36"/>
      </bottom>
      <diagonal/>
    </border>
    <border>
      <left/>
      <right style="medium">
        <color indexed="36"/>
      </right>
      <top style="hair">
        <color indexed="36"/>
      </top>
      <bottom style="hair">
        <color indexed="36"/>
      </bottom>
      <diagonal/>
    </border>
    <border>
      <left style="thin">
        <color indexed="36"/>
      </left>
      <right style="thin">
        <color indexed="36"/>
      </right>
      <top style="hair">
        <color indexed="36"/>
      </top>
      <bottom/>
      <diagonal/>
    </border>
    <border>
      <left style="thin">
        <color indexed="36"/>
      </left>
      <right style="medium">
        <color indexed="36"/>
      </right>
      <top style="hair">
        <color indexed="36"/>
      </top>
      <bottom/>
      <diagonal/>
    </border>
    <border>
      <left style="medium">
        <color indexed="36"/>
      </left>
      <right style="medium">
        <color indexed="36"/>
      </right>
      <top style="hair">
        <color indexed="36"/>
      </top>
      <bottom/>
      <diagonal/>
    </border>
    <border>
      <left/>
      <right style="medium">
        <color indexed="36"/>
      </right>
      <top style="hair">
        <color indexed="36"/>
      </top>
      <bottom/>
      <diagonal/>
    </border>
    <border>
      <left style="medium">
        <color indexed="36"/>
      </left>
      <right style="medium">
        <color indexed="36"/>
      </right>
      <top style="hair">
        <color indexed="36"/>
      </top>
      <bottom style="thin">
        <color indexed="36"/>
      </bottom>
      <diagonal/>
    </border>
    <border>
      <left/>
      <right style="medium">
        <color indexed="36"/>
      </right>
      <top style="hair">
        <color indexed="36"/>
      </top>
      <bottom style="thin">
        <color indexed="36"/>
      </bottom>
      <diagonal/>
    </border>
    <border>
      <left/>
      <right/>
      <top style="thin">
        <color indexed="36"/>
      </top>
      <bottom style="thin">
        <color indexed="36"/>
      </bottom>
      <diagonal/>
    </border>
    <border>
      <left style="thin">
        <color indexed="36"/>
      </left>
      <right/>
      <top style="thin">
        <color indexed="36"/>
      </top>
      <bottom style="thin">
        <color indexed="36"/>
      </bottom>
      <diagonal/>
    </border>
    <border>
      <left style="medium">
        <color indexed="36"/>
      </left>
      <right style="medium">
        <color indexed="36"/>
      </right>
      <top style="thin">
        <color indexed="36"/>
      </top>
      <bottom style="thin">
        <color indexed="36"/>
      </bottom>
      <diagonal/>
    </border>
    <border>
      <left/>
      <right style="medium">
        <color indexed="36"/>
      </right>
      <top style="thin">
        <color indexed="36"/>
      </top>
      <bottom style="thin">
        <color indexed="36"/>
      </bottom>
      <diagonal/>
    </border>
    <border>
      <left/>
      <right/>
      <top/>
      <bottom style="dashed">
        <color indexed="36"/>
      </bottom>
      <diagonal/>
    </border>
    <border>
      <left style="medium">
        <color indexed="36"/>
      </left>
      <right/>
      <top style="dashed">
        <color indexed="36"/>
      </top>
      <bottom/>
      <diagonal/>
    </border>
    <border>
      <left/>
      <right/>
      <top style="dashed">
        <color indexed="36"/>
      </top>
      <bottom/>
      <diagonal/>
    </border>
    <border>
      <left/>
      <right/>
      <top style="dashed">
        <color rgb="FF7030A0"/>
      </top>
      <bottom/>
      <diagonal/>
    </border>
    <border>
      <left/>
      <right style="thin">
        <color indexed="36"/>
      </right>
      <top style="thin">
        <color indexed="36"/>
      </top>
      <bottom style="thin">
        <color indexed="36"/>
      </bottom>
      <diagonal/>
    </border>
    <border>
      <left style="thin">
        <color indexed="36"/>
      </left>
      <right/>
      <top/>
      <bottom style="thin">
        <color indexed="36"/>
      </bottom>
      <diagonal/>
    </border>
    <border>
      <left/>
      <right/>
      <top/>
      <bottom style="thin">
        <color indexed="36"/>
      </bottom>
      <diagonal/>
    </border>
    <border>
      <left/>
      <right/>
      <top/>
      <bottom style="thin">
        <color rgb="FF7030A0"/>
      </bottom>
      <diagonal/>
    </border>
    <border>
      <left style="medium">
        <color indexed="36"/>
      </left>
      <right style="thin">
        <color indexed="36"/>
      </right>
      <top/>
      <bottom style="hair">
        <color indexed="36"/>
      </bottom>
      <diagonal/>
    </border>
    <border>
      <left style="thin">
        <color indexed="36"/>
      </left>
      <right style="thin">
        <color indexed="36"/>
      </right>
      <top/>
      <bottom style="hair">
        <color indexed="36"/>
      </bottom>
      <diagonal/>
    </border>
    <border>
      <left style="medium">
        <color indexed="36"/>
      </left>
      <right style="medium">
        <color indexed="36"/>
      </right>
      <top style="thin">
        <color rgb="FF7030A0"/>
      </top>
      <bottom style="thin">
        <color indexed="36"/>
      </bottom>
      <diagonal/>
    </border>
    <border>
      <left style="thin">
        <color indexed="36"/>
      </left>
      <right/>
      <top/>
      <bottom style="hair">
        <color indexed="36"/>
      </bottom>
      <diagonal/>
    </border>
    <border>
      <left/>
      <right/>
      <top/>
      <bottom style="hair">
        <color indexed="36"/>
      </bottom>
      <diagonal/>
    </border>
    <border>
      <left style="thin">
        <color indexed="36"/>
      </left>
      <right style="medium">
        <color indexed="36"/>
      </right>
      <top/>
      <bottom style="hair">
        <color indexed="36"/>
      </bottom>
      <diagonal/>
    </border>
    <border>
      <left style="medium">
        <color indexed="36"/>
      </left>
      <right style="thin">
        <color indexed="36"/>
      </right>
      <top style="hair">
        <color indexed="36"/>
      </top>
      <bottom/>
      <diagonal/>
    </border>
    <border>
      <left style="thin">
        <color indexed="36"/>
      </left>
      <right/>
      <top style="hair">
        <color indexed="36"/>
      </top>
      <bottom style="hair">
        <color indexed="36"/>
      </bottom>
      <diagonal/>
    </border>
    <border>
      <left/>
      <right/>
      <top style="hair">
        <color indexed="36"/>
      </top>
      <bottom style="hair">
        <color indexed="36"/>
      </bottom>
      <diagonal/>
    </border>
    <border>
      <left style="thin">
        <color indexed="36"/>
      </left>
      <right/>
      <top style="hair">
        <color indexed="36"/>
      </top>
      <bottom/>
      <diagonal/>
    </border>
    <border>
      <left/>
      <right/>
      <top style="hair">
        <color indexed="36"/>
      </top>
      <bottom/>
      <diagonal/>
    </border>
    <border>
      <left style="medium">
        <color indexed="20"/>
      </left>
      <right style="thin">
        <color indexed="20"/>
      </right>
      <top style="hair">
        <color indexed="20"/>
      </top>
      <bottom style="thin">
        <color indexed="20"/>
      </bottom>
      <diagonal/>
    </border>
    <border>
      <left style="thin">
        <color indexed="20"/>
      </left>
      <right style="thin">
        <color indexed="20"/>
      </right>
      <top style="hair">
        <color indexed="20"/>
      </top>
      <bottom style="thin">
        <color indexed="20"/>
      </bottom>
      <diagonal/>
    </border>
    <border>
      <left/>
      <right style="medium">
        <color indexed="36"/>
      </right>
      <top/>
      <bottom/>
      <diagonal/>
    </border>
    <border>
      <left style="medium">
        <color indexed="36"/>
      </left>
      <right/>
      <top/>
      <bottom style="thin">
        <color indexed="36"/>
      </bottom>
      <diagonal/>
    </border>
    <border>
      <left style="medium">
        <color indexed="36"/>
      </left>
      <right style="thin">
        <color indexed="36"/>
      </right>
      <top style="thin">
        <color indexed="36"/>
      </top>
      <bottom style="hair">
        <color indexed="36"/>
      </bottom>
      <diagonal/>
    </border>
    <border>
      <left style="medium">
        <color indexed="36"/>
      </left>
      <right style="thick">
        <color indexed="53"/>
      </right>
      <top/>
      <bottom/>
      <diagonal/>
    </border>
    <border>
      <left style="medium">
        <color indexed="36"/>
      </left>
      <right/>
      <top style="thin">
        <color indexed="36"/>
      </top>
      <bottom style="thin">
        <color indexed="36"/>
      </bottom>
      <diagonal/>
    </border>
    <border>
      <left style="medium">
        <color indexed="36"/>
      </left>
      <right/>
      <top style="thin">
        <color indexed="36"/>
      </top>
      <bottom style="medium">
        <color indexed="36"/>
      </bottom>
      <diagonal/>
    </border>
    <border>
      <left/>
      <right/>
      <top style="thin">
        <color indexed="36"/>
      </top>
      <bottom style="medium">
        <color indexed="36"/>
      </bottom>
      <diagonal/>
    </border>
    <border>
      <left style="thin">
        <color indexed="36"/>
      </left>
      <right style="thin">
        <color indexed="36"/>
      </right>
      <top style="thin">
        <color indexed="36"/>
      </top>
      <bottom style="medium">
        <color indexed="36"/>
      </bottom>
      <diagonal/>
    </border>
    <border>
      <left style="thin">
        <color indexed="36"/>
      </left>
      <right style="medium">
        <color indexed="36"/>
      </right>
      <top style="thin">
        <color indexed="36"/>
      </top>
      <bottom style="medium">
        <color indexed="36"/>
      </bottom>
      <diagonal/>
    </border>
    <border>
      <left/>
      <right/>
      <top style="medium">
        <color indexed="36"/>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16"/>
      </left>
      <right style="thin">
        <color indexed="16"/>
      </right>
      <top style="medium">
        <color indexed="16"/>
      </top>
      <bottom style="medium">
        <color indexed="16"/>
      </bottom>
      <diagonal/>
    </border>
    <border>
      <left/>
      <right/>
      <top style="medium">
        <color indexed="16"/>
      </top>
      <bottom style="medium">
        <color indexed="16"/>
      </bottom>
      <diagonal/>
    </border>
    <border>
      <left style="medium">
        <color indexed="16"/>
      </left>
      <right style="thin">
        <color indexed="16"/>
      </right>
      <top style="medium">
        <color indexed="16"/>
      </top>
      <bottom style="hair">
        <color indexed="16"/>
      </bottom>
      <diagonal/>
    </border>
    <border>
      <left style="thin">
        <color indexed="16"/>
      </left>
      <right style="thin">
        <color indexed="16"/>
      </right>
      <top style="medium">
        <color indexed="16"/>
      </top>
      <bottom style="hair">
        <color indexed="16"/>
      </bottom>
      <diagonal/>
    </border>
    <border>
      <left/>
      <right style="thin">
        <color indexed="16"/>
      </right>
      <top style="medium">
        <color indexed="16"/>
      </top>
      <bottom/>
      <diagonal/>
    </border>
    <border>
      <left style="thin">
        <color indexed="16"/>
      </left>
      <right style="thin">
        <color indexed="16"/>
      </right>
      <top style="medium">
        <color indexed="16"/>
      </top>
      <bottom style="thin">
        <color indexed="16"/>
      </bottom>
      <diagonal/>
    </border>
    <border>
      <left style="thin">
        <color indexed="16"/>
      </left>
      <right style="medium">
        <color indexed="16"/>
      </right>
      <top style="medium">
        <color indexed="16"/>
      </top>
      <bottom style="thin">
        <color indexed="16"/>
      </bottom>
      <diagonal/>
    </border>
    <border>
      <left style="medium">
        <color indexed="16"/>
      </left>
      <right style="thin">
        <color indexed="16"/>
      </right>
      <top style="hair">
        <color indexed="16"/>
      </top>
      <bottom style="hair">
        <color indexed="16"/>
      </bottom>
      <diagonal/>
    </border>
    <border>
      <left style="thin">
        <color indexed="16"/>
      </left>
      <right style="thin">
        <color indexed="16"/>
      </right>
      <top style="hair">
        <color indexed="16"/>
      </top>
      <bottom style="hair">
        <color indexed="16"/>
      </bottom>
      <diagonal/>
    </border>
    <border>
      <left style="thin">
        <color indexed="16"/>
      </left>
      <right style="thin">
        <color indexed="16"/>
      </right>
      <top style="thin">
        <color indexed="16"/>
      </top>
      <bottom style="thin">
        <color indexed="16"/>
      </bottom>
      <diagonal/>
    </border>
    <border>
      <left style="thin">
        <color indexed="16"/>
      </left>
      <right style="medium">
        <color indexed="16"/>
      </right>
      <top style="thin">
        <color indexed="16"/>
      </top>
      <bottom style="thin">
        <color indexed="16"/>
      </bottom>
      <diagonal/>
    </border>
    <border>
      <left style="thin">
        <color indexed="16"/>
      </left>
      <right/>
      <top style="thin">
        <color indexed="16"/>
      </top>
      <bottom style="thin">
        <color indexed="16"/>
      </bottom>
      <diagonal/>
    </border>
    <border>
      <left/>
      <right/>
      <top style="thin">
        <color indexed="16"/>
      </top>
      <bottom style="thin">
        <color indexed="16"/>
      </bottom>
      <diagonal/>
    </border>
    <border>
      <left style="thin">
        <color indexed="16"/>
      </left>
      <right/>
      <top style="thin">
        <color indexed="16"/>
      </top>
      <bottom style="hair">
        <color indexed="16"/>
      </bottom>
      <diagonal/>
    </border>
    <border>
      <left/>
      <right/>
      <top style="thin">
        <color indexed="16"/>
      </top>
      <bottom style="hair">
        <color indexed="16"/>
      </bottom>
      <diagonal/>
    </border>
    <border>
      <left style="thin">
        <color indexed="16"/>
      </left>
      <right style="thin">
        <color indexed="16"/>
      </right>
      <top style="thin">
        <color indexed="16"/>
      </top>
      <bottom style="hair">
        <color indexed="16"/>
      </bottom>
      <diagonal/>
    </border>
    <border>
      <left style="thin">
        <color indexed="16"/>
      </left>
      <right style="medium">
        <color indexed="16"/>
      </right>
      <top style="thin">
        <color indexed="16"/>
      </top>
      <bottom style="hair">
        <color indexed="16"/>
      </bottom>
      <diagonal/>
    </border>
    <border>
      <left style="thin">
        <color indexed="16"/>
      </left>
      <right/>
      <top style="hair">
        <color indexed="16"/>
      </top>
      <bottom style="hair">
        <color indexed="16"/>
      </bottom>
      <diagonal/>
    </border>
    <border>
      <left style="thin">
        <color indexed="16"/>
      </left>
      <right style="medium">
        <color indexed="16"/>
      </right>
      <top style="hair">
        <color indexed="16"/>
      </top>
      <bottom style="hair">
        <color indexed="16"/>
      </bottom>
      <diagonal/>
    </border>
    <border>
      <left style="thin">
        <color indexed="16"/>
      </left>
      <right/>
      <top style="hair">
        <color indexed="16"/>
      </top>
      <bottom style="thin">
        <color indexed="16"/>
      </bottom>
      <diagonal/>
    </border>
    <border>
      <left style="thin">
        <color indexed="16"/>
      </left>
      <right style="thin">
        <color indexed="16"/>
      </right>
      <top style="hair">
        <color indexed="16"/>
      </top>
      <bottom style="thin">
        <color indexed="16"/>
      </bottom>
      <diagonal/>
    </border>
    <border>
      <left style="thin">
        <color indexed="16"/>
      </left>
      <right style="medium">
        <color indexed="16"/>
      </right>
      <top style="hair">
        <color indexed="16"/>
      </top>
      <bottom style="thin">
        <color indexed="16"/>
      </bottom>
      <diagonal/>
    </border>
    <border>
      <left style="medium">
        <color indexed="16"/>
      </left>
      <right style="thin">
        <color indexed="16"/>
      </right>
      <top style="hair">
        <color indexed="16"/>
      </top>
      <bottom style="thin">
        <color indexed="16"/>
      </bottom>
      <diagonal/>
    </border>
    <border>
      <left style="medium">
        <color indexed="16"/>
      </left>
      <right/>
      <top/>
      <bottom style="thin">
        <color indexed="16"/>
      </bottom>
      <diagonal/>
    </border>
    <border>
      <left/>
      <right/>
      <top/>
      <bottom style="thin">
        <color indexed="16"/>
      </bottom>
      <diagonal/>
    </border>
    <border>
      <left/>
      <right/>
      <top/>
      <bottom style="thin">
        <color theme="5"/>
      </bottom>
      <diagonal/>
    </border>
    <border>
      <left/>
      <right style="thin">
        <color theme="5"/>
      </right>
      <top/>
      <bottom style="thin">
        <color theme="5"/>
      </bottom>
      <diagonal/>
    </border>
    <border>
      <left style="medium">
        <color indexed="16"/>
      </left>
      <right style="thin">
        <color indexed="16"/>
      </right>
      <top/>
      <bottom style="hair">
        <color indexed="16"/>
      </bottom>
      <diagonal/>
    </border>
    <border>
      <left style="thin">
        <color indexed="16"/>
      </left>
      <right style="thin">
        <color indexed="16"/>
      </right>
      <top/>
      <bottom style="hair">
        <color indexed="16"/>
      </bottom>
      <diagonal/>
    </border>
    <border>
      <left style="thin">
        <color indexed="16"/>
      </left>
      <right style="thin">
        <color indexed="16"/>
      </right>
      <top/>
      <bottom style="thin">
        <color indexed="16"/>
      </bottom>
      <diagonal/>
    </border>
    <border>
      <left style="thin">
        <color indexed="16"/>
      </left>
      <right/>
      <top/>
      <bottom style="thin">
        <color indexed="16"/>
      </bottom>
      <diagonal/>
    </border>
    <border>
      <left style="medium">
        <color theme="5"/>
      </left>
      <right style="medium">
        <color theme="5"/>
      </right>
      <top style="thin">
        <color theme="5"/>
      </top>
      <bottom style="thin">
        <color indexed="16"/>
      </bottom>
      <diagonal/>
    </border>
    <border>
      <left/>
      <right style="medium">
        <color indexed="16"/>
      </right>
      <top/>
      <bottom style="thin">
        <color indexed="16"/>
      </bottom>
      <diagonal/>
    </border>
    <border>
      <left style="thin">
        <color indexed="16"/>
      </left>
      <right style="medium">
        <color indexed="16"/>
      </right>
      <top/>
      <bottom style="thin">
        <color indexed="16"/>
      </bottom>
      <diagonal/>
    </border>
    <border>
      <left style="medium">
        <color theme="5"/>
      </left>
      <right style="medium">
        <color theme="5"/>
      </right>
      <top style="thin">
        <color indexed="16"/>
      </top>
      <bottom style="thin">
        <color indexed="16"/>
      </bottom>
      <diagonal/>
    </border>
    <border>
      <left/>
      <right style="medium">
        <color indexed="16"/>
      </right>
      <top style="thin">
        <color indexed="16"/>
      </top>
      <bottom style="thin">
        <color indexed="16"/>
      </bottom>
      <diagonal/>
    </border>
    <border>
      <left style="medium">
        <color theme="5"/>
      </left>
      <right style="medium">
        <color theme="5"/>
      </right>
      <top style="thin">
        <color indexed="16"/>
      </top>
      <bottom style="hair">
        <color indexed="16"/>
      </bottom>
      <diagonal/>
    </border>
    <border>
      <left/>
      <right style="medium">
        <color indexed="16"/>
      </right>
      <top style="thin">
        <color indexed="16"/>
      </top>
      <bottom style="hair">
        <color indexed="16"/>
      </bottom>
      <diagonal/>
    </border>
    <border>
      <left style="medium">
        <color theme="5"/>
      </left>
      <right style="medium">
        <color theme="5"/>
      </right>
      <top style="hair">
        <color indexed="16"/>
      </top>
      <bottom style="hair">
        <color indexed="16"/>
      </bottom>
      <diagonal/>
    </border>
    <border>
      <left/>
      <right style="medium">
        <color indexed="16"/>
      </right>
      <top style="hair">
        <color indexed="16"/>
      </top>
      <bottom style="hair">
        <color indexed="16"/>
      </bottom>
      <diagonal/>
    </border>
    <border>
      <left style="medium">
        <color theme="5"/>
      </left>
      <right style="medium">
        <color theme="5"/>
      </right>
      <top style="hair">
        <color indexed="16"/>
      </top>
      <bottom style="thin">
        <color indexed="16"/>
      </bottom>
      <diagonal/>
    </border>
    <border>
      <left/>
      <right style="medium">
        <color indexed="16"/>
      </right>
      <top style="hair">
        <color indexed="16"/>
      </top>
      <bottom style="thin">
        <color indexed="16"/>
      </bottom>
      <diagonal/>
    </border>
    <border>
      <left style="medium">
        <color indexed="16"/>
      </left>
      <right style="medium">
        <color indexed="16"/>
      </right>
      <top style="thin">
        <color indexed="16"/>
      </top>
      <bottom style="thin">
        <color indexed="16"/>
      </bottom>
      <diagonal/>
    </border>
    <border>
      <left style="medium">
        <color indexed="16"/>
      </left>
      <right style="medium">
        <color indexed="16"/>
      </right>
      <top style="thin">
        <color indexed="16"/>
      </top>
      <bottom style="hair">
        <color indexed="16"/>
      </bottom>
      <diagonal/>
    </border>
    <border>
      <left style="medium">
        <color indexed="16"/>
      </left>
      <right style="medium">
        <color indexed="16"/>
      </right>
      <top style="hair">
        <color indexed="16"/>
      </top>
      <bottom style="thin">
        <color indexed="16"/>
      </bottom>
      <diagonal/>
    </border>
    <border>
      <left style="medium">
        <color indexed="16"/>
      </left>
      <right/>
      <top style="thin">
        <color indexed="16"/>
      </top>
      <bottom style="thin">
        <color indexed="16"/>
      </bottom>
      <diagonal/>
    </border>
    <border>
      <left/>
      <right style="thin">
        <color indexed="16"/>
      </right>
      <top style="thin">
        <color indexed="16"/>
      </top>
      <bottom style="thin">
        <color indexed="16"/>
      </bottom>
      <diagonal/>
    </border>
    <border>
      <left style="medium">
        <color indexed="16"/>
      </left>
      <right/>
      <top style="thin">
        <color indexed="16"/>
      </top>
      <bottom style="medium">
        <color indexed="16"/>
      </bottom>
      <diagonal/>
    </border>
    <border>
      <left/>
      <right/>
      <top style="thin">
        <color indexed="16"/>
      </top>
      <bottom style="medium">
        <color indexed="16"/>
      </bottom>
      <diagonal/>
    </border>
    <border>
      <left/>
      <right style="thin">
        <color indexed="16"/>
      </right>
      <top style="thin">
        <color indexed="16"/>
      </top>
      <bottom style="medium">
        <color indexed="16"/>
      </bottom>
      <diagonal/>
    </border>
    <border>
      <left style="thin">
        <color indexed="16"/>
      </left>
      <right style="thin">
        <color indexed="16"/>
      </right>
      <top style="thin">
        <color indexed="16"/>
      </top>
      <bottom style="medium">
        <color indexed="16"/>
      </bottom>
      <diagonal/>
    </border>
    <border>
      <left style="thin">
        <color indexed="16"/>
      </left>
      <right style="medium">
        <color indexed="16"/>
      </right>
      <top style="thin">
        <color indexed="16"/>
      </top>
      <bottom style="medium">
        <color indexed="16"/>
      </bottom>
      <diagonal/>
    </border>
    <border>
      <left/>
      <right/>
      <top style="medium">
        <color indexed="16"/>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44"/>
      </left>
      <right style="medium">
        <color indexed="44"/>
      </right>
      <top style="medium">
        <color indexed="44"/>
      </top>
      <bottom style="medium">
        <color indexed="44"/>
      </bottom>
      <diagonal/>
    </border>
    <border>
      <left style="medium">
        <color indexed="44"/>
      </left>
      <right/>
      <top style="medium">
        <color indexed="44"/>
      </top>
      <bottom style="medium">
        <color indexed="44"/>
      </bottom>
      <diagonal/>
    </border>
    <border>
      <left/>
      <right/>
      <top style="medium">
        <color indexed="44"/>
      </top>
      <bottom style="medium">
        <color indexed="44"/>
      </bottom>
      <diagonal/>
    </border>
    <border>
      <left/>
      <right style="medium">
        <color indexed="44"/>
      </right>
      <top style="medium">
        <color indexed="44"/>
      </top>
      <bottom style="medium">
        <color indexed="44"/>
      </bottom>
      <diagonal/>
    </border>
    <border>
      <left/>
      <right/>
      <top/>
      <bottom style="medium">
        <color indexed="12"/>
      </bottom>
      <diagonal/>
    </border>
    <border>
      <left style="medium">
        <color indexed="12"/>
      </left>
      <right style="thin">
        <color indexed="12"/>
      </right>
      <top style="medium">
        <color indexed="12"/>
      </top>
      <bottom style="thin">
        <color indexed="12"/>
      </bottom>
      <diagonal/>
    </border>
    <border>
      <left style="thin">
        <color indexed="12"/>
      </left>
      <right style="thin">
        <color indexed="12"/>
      </right>
      <top style="medium">
        <color indexed="12"/>
      </top>
      <bottom style="thin">
        <color indexed="12"/>
      </bottom>
      <diagonal/>
    </border>
    <border>
      <left style="thin">
        <color indexed="12"/>
      </left>
      <right style="medium">
        <color indexed="12"/>
      </right>
      <top style="medium">
        <color indexed="12"/>
      </top>
      <bottom style="thin">
        <color indexed="12"/>
      </bottom>
      <diagonal/>
    </border>
    <border>
      <left/>
      <right/>
      <top style="medium">
        <color indexed="12"/>
      </top>
      <bottom/>
      <diagonal/>
    </border>
    <border>
      <left style="thin">
        <color indexed="12"/>
      </left>
      <right style="thin">
        <color indexed="12"/>
      </right>
      <top style="thin">
        <color indexed="12"/>
      </top>
      <bottom style="thin">
        <color indexed="12"/>
      </bottom>
      <diagonal/>
    </border>
    <border>
      <left style="thin">
        <color indexed="12"/>
      </left>
      <right style="medium">
        <color indexed="12"/>
      </right>
      <top style="thin">
        <color indexed="12"/>
      </top>
      <bottom style="thin">
        <color indexed="12"/>
      </bottom>
      <diagonal/>
    </border>
    <border>
      <left style="medium">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12"/>
      </bottom>
      <diagonal/>
    </border>
    <border>
      <left style="thin">
        <color indexed="12"/>
      </left>
      <right style="medium">
        <color indexed="12"/>
      </right>
      <top style="thin">
        <color indexed="12"/>
      </top>
      <bottom style="hair">
        <color indexed="12"/>
      </bottom>
      <diagonal/>
    </border>
    <border>
      <left style="medium">
        <color indexed="12"/>
      </left>
      <right style="thin">
        <color indexed="12"/>
      </right>
      <top style="hair">
        <color indexed="64"/>
      </top>
      <bottom style="hair">
        <color indexed="64"/>
      </bottom>
      <diagonal/>
    </border>
    <border>
      <left style="thin">
        <color indexed="12"/>
      </left>
      <right style="thin">
        <color indexed="12"/>
      </right>
      <top style="hair">
        <color indexed="64"/>
      </top>
      <bottom style="hair">
        <color indexed="64"/>
      </bottom>
      <diagonal/>
    </border>
    <border>
      <left style="thin">
        <color indexed="12"/>
      </left>
      <right style="thin">
        <color indexed="12"/>
      </right>
      <top style="hair">
        <color indexed="12"/>
      </top>
      <bottom style="hair">
        <color indexed="12"/>
      </bottom>
      <diagonal/>
    </border>
    <border>
      <left style="thin">
        <color indexed="12"/>
      </left>
      <right style="medium">
        <color indexed="12"/>
      </right>
      <top style="hair">
        <color indexed="12"/>
      </top>
      <bottom style="hair">
        <color indexed="12"/>
      </bottom>
      <diagonal/>
    </border>
    <border>
      <left style="thin">
        <color indexed="12"/>
      </left>
      <right style="thin">
        <color indexed="12"/>
      </right>
      <top style="hair">
        <color indexed="12"/>
      </top>
      <bottom/>
      <diagonal/>
    </border>
    <border>
      <left style="thin">
        <color indexed="12"/>
      </left>
      <right style="medium">
        <color indexed="12"/>
      </right>
      <top style="hair">
        <color indexed="12"/>
      </top>
      <bottom/>
      <diagonal/>
    </border>
    <border>
      <left style="thin">
        <color indexed="12"/>
      </left>
      <right style="thin">
        <color indexed="12"/>
      </right>
      <top/>
      <bottom style="hair">
        <color indexed="12"/>
      </bottom>
      <diagonal/>
    </border>
    <border>
      <left style="thin">
        <color indexed="12"/>
      </left>
      <right style="medium">
        <color indexed="12"/>
      </right>
      <top/>
      <bottom style="hair">
        <color indexed="12"/>
      </bottom>
      <diagonal/>
    </border>
    <border>
      <left style="medium">
        <color indexed="12"/>
      </left>
      <right style="thin">
        <color indexed="12"/>
      </right>
      <top style="hair">
        <color indexed="64"/>
      </top>
      <bottom style="thin">
        <color indexed="12"/>
      </bottom>
      <diagonal/>
    </border>
    <border>
      <left style="thin">
        <color indexed="12"/>
      </left>
      <right style="thin">
        <color indexed="12"/>
      </right>
      <top style="hair">
        <color indexed="64"/>
      </top>
      <bottom style="thin">
        <color indexed="12"/>
      </bottom>
      <diagonal/>
    </border>
    <border>
      <left style="thin">
        <color indexed="12"/>
      </left>
      <right style="thin">
        <color indexed="12"/>
      </right>
      <top style="hair">
        <color indexed="12"/>
      </top>
      <bottom style="thin">
        <color indexed="12"/>
      </bottom>
      <diagonal/>
    </border>
    <border>
      <left style="thin">
        <color indexed="12"/>
      </left>
      <right style="medium">
        <color indexed="12"/>
      </right>
      <top style="hair">
        <color indexed="12"/>
      </top>
      <bottom style="thin">
        <color indexed="12"/>
      </bottom>
      <diagonal/>
    </border>
    <border>
      <left style="medium">
        <color indexed="12"/>
      </left>
      <right/>
      <top/>
      <bottom/>
      <diagonal/>
    </border>
    <border>
      <left/>
      <right/>
      <top style="thin">
        <color indexed="12"/>
      </top>
      <bottom/>
      <diagonal/>
    </border>
    <border>
      <left style="medium">
        <color indexed="12"/>
      </left>
      <right style="thin">
        <color indexed="12"/>
      </right>
      <top style="thin">
        <color indexed="12"/>
      </top>
      <bottom/>
      <diagonal/>
    </border>
    <border>
      <left/>
      <right/>
      <top/>
      <bottom style="thin">
        <color indexed="12"/>
      </bottom>
      <diagonal/>
    </border>
    <border>
      <left/>
      <right style="medium">
        <color indexed="12"/>
      </right>
      <top style="hair">
        <color indexed="12"/>
      </top>
      <bottom style="hair">
        <color indexed="12"/>
      </bottom>
      <diagonal/>
    </border>
    <border>
      <left/>
      <right style="medium">
        <color indexed="12"/>
      </right>
      <top style="hair">
        <color indexed="12"/>
      </top>
      <bottom style="thin">
        <color indexed="12"/>
      </bottom>
      <diagonal/>
    </border>
    <border>
      <left/>
      <right/>
      <top style="thin">
        <color indexed="12"/>
      </top>
      <bottom style="thin">
        <color indexed="12"/>
      </bottom>
      <diagonal/>
    </border>
    <border>
      <left style="medium">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style="medium">
        <color indexed="12"/>
      </left>
      <right/>
      <top style="thin">
        <color indexed="12"/>
      </top>
      <bottom style="hair">
        <color indexed="64"/>
      </bottom>
      <diagonal/>
    </border>
    <border>
      <left style="medium">
        <color indexed="12"/>
      </left>
      <right/>
      <top style="hair">
        <color indexed="64"/>
      </top>
      <bottom style="hair">
        <color indexed="64"/>
      </bottom>
      <diagonal/>
    </border>
    <border>
      <left style="medium">
        <color indexed="12"/>
      </left>
      <right/>
      <top style="hair">
        <color indexed="64"/>
      </top>
      <bottom style="medium">
        <color indexed="12"/>
      </bottom>
      <diagonal/>
    </border>
    <border>
      <left style="thin">
        <color indexed="12"/>
      </left>
      <right style="thin">
        <color indexed="12"/>
      </right>
      <top style="hair">
        <color indexed="64"/>
      </top>
      <bottom style="medium">
        <color indexed="12"/>
      </bottom>
      <diagonal/>
    </border>
    <border>
      <left style="thin">
        <color indexed="12"/>
      </left>
      <right style="thin">
        <color indexed="12"/>
      </right>
      <top style="thin">
        <color indexed="12"/>
      </top>
      <bottom style="medium">
        <color indexed="12"/>
      </bottom>
      <diagonal/>
    </border>
    <border>
      <left style="thin">
        <color indexed="12"/>
      </left>
      <right style="medium">
        <color indexed="12"/>
      </right>
      <top style="thin">
        <color indexed="12"/>
      </top>
      <bottom style="medium">
        <color indexed="12"/>
      </bottom>
      <diagonal/>
    </border>
    <border>
      <left style="medium">
        <color indexed="42"/>
      </left>
      <right style="medium">
        <color indexed="42"/>
      </right>
      <top style="medium">
        <color indexed="42"/>
      </top>
      <bottom style="medium">
        <color indexed="42"/>
      </bottom>
      <diagonal/>
    </border>
    <border>
      <left style="medium">
        <color indexed="42"/>
      </left>
      <right/>
      <top style="medium">
        <color indexed="42"/>
      </top>
      <bottom style="medium">
        <color indexed="42"/>
      </bottom>
      <diagonal/>
    </border>
    <border>
      <left/>
      <right/>
      <top style="medium">
        <color indexed="42"/>
      </top>
      <bottom style="medium">
        <color indexed="42"/>
      </bottom>
      <diagonal/>
    </border>
    <border>
      <left/>
      <right style="medium">
        <color indexed="42"/>
      </right>
      <top style="medium">
        <color indexed="42"/>
      </top>
      <bottom style="medium">
        <color indexed="42"/>
      </bottom>
      <diagonal/>
    </border>
    <border>
      <left/>
      <right/>
      <top/>
      <bottom style="medium">
        <color indexed="17"/>
      </bottom>
      <diagonal/>
    </border>
    <border>
      <left style="medium">
        <color indexed="17"/>
      </left>
      <right style="thin">
        <color indexed="17"/>
      </right>
      <top style="medium">
        <color indexed="17"/>
      </top>
      <bottom style="thin">
        <color indexed="17"/>
      </bottom>
      <diagonal/>
    </border>
    <border>
      <left style="thin">
        <color indexed="17"/>
      </left>
      <right style="thin">
        <color indexed="17"/>
      </right>
      <top style="medium">
        <color indexed="17"/>
      </top>
      <bottom style="thin">
        <color indexed="17"/>
      </bottom>
      <diagonal/>
    </border>
    <border>
      <left style="thin">
        <color indexed="17"/>
      </left>
      <right style="medium">
        <color indexed="17"/>
      </right>
      <top style="medium">
        <color indexed="17"/>
      </top>
      <bottom style="thin">
        <color indexed="17"/>
      </bottom>
      <diagonal/>
    </border>
    <border>
      <left/>
      <right/>
      <top style="medium">
        <color indexed="17"/>
      </top>
      <bottom/>
      <diagonal/>
    </border>
    <border>
      <left style="thin">
        <color indexed="17"/>
      </left>
      <right/>
      <top style="medium">
        <color indexed="17"/>
      </top>
      <bottom style="thin">
        <color indexed="17"/>
      </bottom>
      <diagonal/>
    </border>
    <border>
      <left style="thin">
        <color indexed="17"/>
      </left>
      <right style="thin">
        <color indexed="17"/>
      </right>
      <top style="thin">
        <color indexed="17"/>
      </top>
      <bottom style="thin">
        <color indexed="17"/>
      </bottom>
      <diagonal/>
    </border>
    <border>
      <left style="thin">
        <color indexed="17"/>
      </left>
      <right style="medium">
        <color indexed="17"/>
      </right>
      <top style="thin">
        <color indexed="17"/>
      </top>
      <bottom style="thin">
        <color indexed="17"/>
      </bottom>
      <diagonal/>
    </border>
    <border>
      <left style="medium">
        <color indexed="17"/>
      </left>
      <right style="thin">
        <color indexed="17"/>
      </right>
      <top style="thin">
        <color indexed="17"/>
      </top>
      <bottom style="hair">
        <color indexed="64"/>
      </bottom>
      <diagonal/>
    </border>
    <border>
      <left style="thin">
        <color indexed="17"/>
      </left>
      <right style="thin">
        <color indexed="17"/>
      </right>
      <top style="thin">
        <color indexed="17"/>
      </top>
      <bottom style="hair">
        <color indexed="64"/>
      </bottom>
      <diagonal/>
    </border>
    <border>
      <left style="thin">
        <color indexed="17"/>
      </left>
      <right/>
      <top style="thin">
        <color indexed="17"/>
      </top>
      <bottom style="hair">
        <color indexed="17"/>
      </bottom>
      <diagonal/>
    </border>
    <border>
      <left style="thin">
        <color indexed="17"/>
      </left>
      <right style="thin">
        <color indexed="17"/>
      </right>
      <top style="thin">
        <color indexed="17"/>
      </top>
      <bottom style="hair">
        <color indexed="17"/>
      </bottom>
      <diagonal/>
    </border>
    <border>
      <left/>
      <right style="medium">
        <color indexed="17"/>
      </right>
      <top style="thin">
        <color indexed="17"/>
      </top>
      <bottom style="hair">
        <color indexed="17"/>
      </bottom>
      <diagonal/>
    </border>
    <border>
      <left style="medium">
        <color indexed="17"/>
      </left>
      <right style="thin">
        <color indexed="17"/>
      </right>
      <top style="hair">
        <color indexed="64"/>
      </top>
      <bottom style="hair">
        <color indexed="64"/>
      </bottom>
      <diagonal/>
    </border>
    <border>
      <left style="thin">
        <color indexed="17"/>
      </left>
      <right style="thin">
        <color indexed="17"/>
      </right>
      <top style="hair">
        <color indexed="64"/>
      </top>
      <bottom style="hair">
        <color indexed="64"/>
      </bottom>
      <diagonal/>
    </border>
    <border>
      <left style="thin">
        <color indexed="17"/>
      </left>
      <right/>
      <top style="hair">
        <color indexed="17"/>
      </top>
      <bottom style="hair">
        <color indexed="17"/>
      </bottom>
      <diagonal/>
    </border>
    <border>
      <left style="thin">
        <color indexed="17"/>
      </left>
      <right style="thin">
        <color indexed="17"/>
      </right>
      <top style="hair">
        <color indexed="17"/>
      </top>
      <bottom style="hair">
        <color indexed="17"/>
      </bottom>
      <diagonal/>
    </border>
    <border>
      <left/>
      <right style="medium">
        <color indexed="17"/>
      </right>
      <top style="hair">
        <color indexed="17"/>
      </top>
      <bottom style="hair">
        <color indexed="17"/>
      </bottom>
      <diagonal/>
    </border>
    <border>
      <left style="thin">
        <color indexed="17"/>
      </left>
      <right/>
      <top style="hair">
        <color indexed="17"/>
      </top>
      <bottom/>
      <diagonal/>
    </border>
    <border>
      <left style="thin">
        <color indexed="17"/>
      </left>
      <right style="thin">
        <color indexed="17"/>
      </right>
      <top style="hair">
        <color indexed="17"/>
      </top>
      <bottom/>
      <diagonal/>
    </border>
    <border>
      <left/>
      <right style="medium">
        <color indexed="17"/>
      </right>
      <top style="hair">
        <color indexed="17"/>
      </top>
      <bottom/>
      <diagonal/>
    </border>
    <border>
      <left/>
      <right/>
      <top style="thin">
        <color indexed="17"/>
      </top>
      <bottom style="thin">
        <color indexed="17"/>
      </bottom>
      <diagonal/>
    </border>
    <border>
      <left/>
      <right style="medium">
        <color indexed="17"/>
      </right>
      <top style="thin">
        <color indexed="17"/>
      </top>
      <bottom style="thin">
        <color indexed="17"/>
      </bottom>
      <diagonal/>
    </border>
    <border>
      <left style="thin">
        <color indexed="17"/>
      </left>
      <right/>
      <top/>
      <bottom style="hair">
        <color indexed="17"/>
      </bottom>
      <diagonal/>
    </border>
    <border>
      <left style="thin">
        <color indexed="17"/>
      </left>
      <right style="thin">
        <color indexed="17"/>
      </right>
      <top/>
      <bottom style="hair">
        <color indexed="17"/>
      </bottom>
      <diagonal/>
    </border>
    <border>
      <left/>
      <right style="medium">
        <color indexed="17"/>
      </right>
      <top/>
      <bottom style="hair">
        <color indexed="17"/>
      </bottom>
      <diagonal/>
    </border>
    <border>
      <left style="medium">
        <color indexed="17"/>
      </left>
      <right style="thin">
        <color indexed="17"/>
      </right>
      <top style="hair">
        <color indexed="64"/>
      </top>
      <bottom style="thin">
        <color indexed="17"/>
      </bottom>
      <diagonal/>
    </border>
    <border>
      <left style="thin">
        <color indexed="17"/>
      </left>
      <right style="thin">
        <color indexed="17"/>
      </right>
      <top style="hair">
        <color indexed="64"/>
      </top>
      <bottom style="thin">
        <color indexed="17"/>
      </bottom>
      <diagonal/>
    </border>
    <border>
      <left style="thin">
        <color indexed="17"/>
      </left>
      <right/>
      <top style="hair">
        <color indexed="17"/>
      </top>
      <bottom style="thin">
        <color indexed="17"/>
      </bottom>
      <diagonal/>
    </border>
    <border>
      <left style="thin">
        <color indexed="17"/>
      </left>
      <right style="thin">
        <color indexed="17"/>
      </right>
      <top style="hair">
        <color indexed="17"/>
      </top>
      <bottom style="thin">
        <color indexed="17"/>
      </bottom>
      <diagonal/>
    </border>
    <border>
      <left style="thin">
        <color indexed="17"/>
      </left>
      <right style="medium">
        <color indexed="17"/>
      </right>
      <top style="hair">
        <color indexed="17"/>
      </top>
      <bottom style="thin">
        <color indexed="17"/>
      </bottom>
      <diagonal/>
    </border>
    <border>
      <left style="medium">
        <color indexed="17"/>
      </left>
      <right/>
      <top/>
      <bottom/>
      <diagonal/>
    </border>
    <border>
      <left/>
      <right/>
      <top style="thin">
        <color indexed="17"/>
      </top>
      <bottom/>
      <diagonal/>
    </border>
    <border>
      <left style="medium">
        <color indexed="17"/>
      </left>
      <right style="thin">
        <color indexed="17"/>
      </right>
      <top style="thin">
        <color indexed="17"/>
      </top>
      <bottom/>
      <diagonal/>
    </border>
    <border>
      <left/>
      <right/>
      <top/>
      <bottom style="thin">
        <color indexed="17"/>
      </bottom>
      <diagonal/>
    </border>
    <border>
      <left style="thin">
        <color indexed="17"/>
      </left>
      <right style="medium">
        <color indexed="17"/>
      </right>
      <top style="thin">
        <color indexed="17"/>
      </top>
      <bottom style="hair">
        <color indexed="17"/>
      </bottom>
      <diagonal/>
    </border>
    <border>
      <left style="thin">
        <color indexed="17"/>
      </left>
      <right style="medium">
        <color indexed="17"/>
      </right>
      <top style="hair">
        <color indexed="17"/>
      </top>
      <bottom style="hair">
        <color indexed="17"/>
      </bottom>
      <diagonal/>
    </border>
    <border>
      <left style="medium">
        <color indexed="17"/>
      </left>
      <right style="thin">
        <color indexed="17"/>
      </right>
      <top style="thin">
        <color indexed="17"/>
      </top>
      <bottom style="thin">
        <color indexed="17"/>
      </bottom>
      <diagonal/>
    </border>
    <border>
      <left/>
      <right style="medium">
        <color indexed="17"/>
      </right>
      <top style="hair">
        <color indexed="17"/>
      </top>
      <bottom style="thin">
        <color indexed="17"/>
      </bottom>
      <diagonal/>
    </border>
    <border>
      <left style="medium">
        <color indexed="17"/>
      </left>
      <right style="thin">
        <color indexed="17"/>
      </right>
      <top style="hair">
        <color indexed="64"/>
      </top>
      <bottom style="medium">
        <color indexed="17"/>
      </bottom>
      <diagonal/>
    </border>
    <border>
      <left style="thin">
        <color indexed="17"/>
      </left>
      <right style="thin">
        <color indexed="17"/>
      </right>
      <top style="hair">
        <color indexed="64"/>
      </top>
      <bottom style="medium">
        <color indexed="17"/>
      </bottom>
      <diagonal/>
    </border>
    <border>
      <left/>
      <right style="thin">
        <color indexed="17"/>
      </right>
      <top/>
      <bottom style="medium">
        <color indexed="17"/>
      </bottom>
      <diagonal/>
    </border>
    <border>
      <left style="thin">
        <color indexed="17"/>
      </left>
      <right style="thin">
        <color indexed="17"/>
      </right>
      <top/>
      <bottom style="medium">
        <color indexed="17"/>
      </bottom>
      <diagonal/>
    </border>
    <border>
      <left style="thin">
        <color indexed="17"/>
      </left>
      <right style="medium">
        <color indexed="17"/>
      </right>
      <top style="thin">
        <color indexed="17"/>
      </top>
      <bottom style="medium">
        <color indexed="17"/>
      </bottom>
      <diagonal/>
    </border>
    <border>
      <left style="medium">
        <color indexed="29"/>
      </left>
      <right style="medium">
        <color indexed="29"/>
      </right>
      <top style="medium">
        <color indexed="29"/>
      </top>
      <bottom style="medium">
        <color indexed="29"/>
      </bottom>
      <diagonal/>
    </border>
    <border>
      <left style="medium">
        <color indexed="29"/>
      </left>
      <right/>
      <top style="medium">
        <color indexed="29"/>
      </top>
      <bottom style="medium">
        <color indexed="29"/>
      </bottom>
      <diagonal/>
    </border>
    <border>
      <left/>
      <right/>
      <top style="medium">
        <color indexed="29"/>
      </top>
      <bottom style="medium">
        <color indexed="29"/>
      </bottom>
      <diagonal/>
    </border>
    <border>
      <left/>
      <right style="medium">
        <color indexed="29"/>
      </right>
      <top style="medium">
        <color indexed="29"/>
      </top>
      <bottom style="medium">
        <color indexed="29"/>
      </bottom>
      <diagonal/>
    </border>
    <border>
      <left/>
      <right/>
      <top/>
      <bottom style="medium">
        <color indexed="10"/>
      </bottom>
      <diagonal/>
    </border>
    <border>
      <left style="medium">
        <color indexed="10"/>
      </left>
      <right style="thin">
        <color indexed="10"/>
      </right>
      <top style="medium">
        <color indexed="10"/>
      </top>
      <bottom style="thin">
        <color indexed="10"/>
      </bottom>
      <diagonal/>
    </border>
    <border>
      <left style="thin">
        <color indexed="10"/>
      </left>
      <right style="thin">
        <color indexed="10"/>
      </right>
      <top style="medium">
        <color indexed="10"/>
      </top>
      <bottom style="thin">
        <color indexed="10"/>
      </bottom>
      <diagonal/>
    </border>
    <border>
      <left style="thin">
        <color indexed="10"/>
      </left>
      <right style="medium">
        <color indexed="10"/>
      </right>
      <top style="medium">
        <color indexed="10"/>
      </top>
      <bottom style="thin">
        <color indexed="10"/>
      </bottom>
      <diagonal/>
    </border>
    <border>
      <left style="thin">
        <color indexed="10"/>
      </left>
      <right style="thin">
        <color indexed="10"/>
      </right>
      <top style="medium">
        <color indexed="10"/>
      </top>
      <bottom/>
      <diagonal/>
    </border>
    <border>
      <left/>
      <right/>
      <top style="medium">
        <color indexed="10"/>
      </top>
      <bottom/>
      <diagonal/>
    </border>
    <border>
      <left style="thin">
        <color indexed="10"/>
      </left>
      <right/>
      <top style="medium">
        <color indexed="10"/>
      </top>
      <bottom style="thin">
        <color indexed="10"/>
      </bottom>
      <diagonal/>
    </border>
    <border>
      <left style="thin">
        <color indexed="10"/>
      </left>
      <right style="thin">
        <color indexed="10"/>
      </right>
      <top style="thin">
        <color indexed="10"/>
      </top>
      <bottom/>
      <diagonal/>
    </border>
    <border>
      <left style="thin">
        <color indexed="10"/>
      </left>
      <right style="medium">
        <color indexed="10"/>
      </right>
      <top style="thin">
        <color indexed="10"/>
      </top>
      <bottom/>
      <diagonal/>
    </border>
    <border>
      <left style="medium">
        <color indexed="10"/>
      </left>
      <right/>
      <top style="thin">
        <color indexed="10"/>
      </top>
      <bottom style="hair">
        <color indexed="64"/>
      </bottom>
      <diagonal/>
    </border>
    <border>
      <left style="thin">
        <color indexed="10"/>
      </left>
      <right style="thin">
        <color indexed="10"/>
      </right>
      <top style="thin">
        <color indexed="10"/>
      </top>
      <bottom style="hair">
        <color indexed="64"/>
      </bottom>
      <diagonal/>
    </border>
    <border>
      <left style="thin">
        <color indexed="10"/>
      </left>
      <right style="thin">
        <color indexed="10"/>
      </right>
      <top style="thin">
        <color indexed="10"/>
      </top>
      <bottom style="hair">
        <color indexed="10"/>
      </bottom>
      <diagonal/>
    </border>
    <border>
      <left style="thin">
        <color indexed="10"/>
      </left>
      <right style="medium">
        <color indexed="10"/>
      </right>
      <top style="thin">
        <color indexed="10"/>
      </top>
      <bottom style="hair">
        <color indexed="10"/>
      </bottom>
      <diagonal/>
    </border>
    <border>
      <left style="medium">
        <color indexed="10"/>
      </left>
      <right/>
      <top style="hair">
        <color indexed="64"/>
      </top>
      <bottom style="hair">
        <color indexed="64"/>
      </bottom>
      <diagonal/>
    </border>
    <border>
      <left style="thin">
        <color indexed="10"/>
      </left>
      <right style="thin">
        <color indexed="10"/>
      </right>
      <top style="hair">
        <color indexed="64"/>
      </top>
      <bottom style="hair">
        <color indexed="64"/>
      </bottom>
      <diagonal/>
    </border>
    <border>
      <left style="thin">
        <color indexed="10"/>
      </left>
      <right style="thin">
        <color indexed="10"/>
      </right>
      <top style="hair">
        <color indexed="10"/>
      </top>
      <bottom style="hair">
        <color indexed="10"/>
      </bottom>
      <diagonal/>
    </border>
    <border>
      <left style="thin">
        <color indexed="10"/>
      </left>
      <right style="medium">
        <color indexed="10"/>
      </right>
      <top style="hair">
        <color indexed="10"/>
      </top>
      <bottom style="hair">
        <color indexed="10"/>
      </bottom>
      <diagonal/>
    </border>
    <border>
      <left style="thin">
        <color indexed="10"/>
      </left>
      <right style="thin">
        <color indexed="10"/>
      </right>
      <top style="hair">
        <color indexed="10"/>
      </top>
      <bottom/>
      <diagonal/>
    </border>
    <border>
      <left style="thin">
        <color indexed="10"/>
      </left>
      <right style="medium">
        <color indexed="10"/>
      </right>
      <top style="hair">
        <color indexed="10"/>
      </top>
      <bottom/>
      <diagonal/>
    </border>
    <border>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n">
        <color indexed="10"/>
      </left>
      <right style="medium">
        <color indexed="10"/>
      </right>
      <top style="thin">
        <color indexed="10"/>
      </top>
      <bottom style="thin">
        <color indexed="10"/>
      </bottom>
      <diagonal/>
    </border>
    <border>
      <left style="thin">
        <color indexed="10"/>
      </left>
      <right style="thin">
        <color indexed="10"/>
      </right>
      <top/>
      <bottom style="hair">
        <color indexed="10"/>
      </bottom>
      <diagonal/>
    </border>
    <border>
      <left style="thin">
        <color indexed="10"/>
      </left>
      <right style="medium">
        <color indexed="10"/>
      </right>
      <top/>
      <bottom style="hair">
        <color indexed="10"/>
      </bottom>
      <diagonal/>
    </border>
    <border>
      <left style="medium">
        <color indexed="10"/>
      </left>
      <right/>
      <top style="hair">
        <color indexed="64"/>
      </top>
      <bottom style="thin">
        <color indexed="10"/>
      </bottom>
      <diagonal/>
    </border>
    <border>
      <left style="thin">
        <color indexed="10"/>
      </left>
      <right style="thin">
        <color indexed="10"/>
      </right>
      <top style="hair">
        <color indexed="64"/>
      </top>
      <bottom style="thin">
        <color indexed="10"/>
      </bottom>
      <diagonal/>
    </border>
    <border>
      <left style="thin">
        <color indexed="10"/>
      </left>
      <right style="thin">
        <color indexed="10"/>
      </right>
      <top style="hair">
        <color indexed="10"/>
      </top>
      <bottom style="thin">
        <color indexed="10"/>
      </bottom>
      <diagonal/>
    </border>
    <border>
      <left style="thin">
        <color indexed="10"/>
      </left>
      <right style="medium">
        <color indexed="10"/>
      </right>
      <top style="hair">
        <color indexed="10"/>
      </top>
      <bottom style="thin">
        <color indexed="10"/>
      </bottom>
      <diagonal/>
    </border>
    <border>
      <left style="medium">
        <color indexed="10"/>
      </left>
      <right/>
      <top/>
      <bottom/>
      <diagonal/>
    </border>
    <border>
      <left/>
      <right/>
      <top style="thin">
        <color indexed="10"/>
      </top>
      <bottom/>
      <diagonal/>
    </border>
    <border>
      <left style="medium">
        <color indexed="10"/>
      </left>
      <right style="thin">
        <color indexed="10"/>
      </right>
      <top style="thin">
        <color indexed="10"/>
      </top>
      <bottom/>
      <diagonal/>
    </border>
    <border>
      <left/>
      <right/>
      <top/>
      <bottom style="thin">
        <color indexed="10"/>
      </bottom>
      <diagonal/>
    </border>
    <border>
      <left/>
      <right/>
      <top style="thin">
        <color indexed="10"/>
      </top>
      <bottom style="thin">
        <color indexed="10"/>
      </bottom>
      <diagonal/>
    </border>
    <border>
      <left style="medium">
        <color indexed="10"/>
      </left>
      <right style="thin">
        <color indexed="10"/>
      </right>
      <top style="thin">
        <color indexed="10"/>
      </top>
      <bottom style="thin">
        <color indexed="10"/>
      </bottom>
      <diagonal/>
    </border>
    <border>
      <left style="medium">
        <color indexed="10"/>
      </left>
      <right style="thin">
        <color indexed="10"/>
      </right>
      <top style="thin">
        <color indexed="10"/>
      </top>
      <bottom style="hair">
        <color indexed="64"/>
      </bottom>
      <diagonal/>
    </border>
    <border>
      <left style="medium">
        <color indexed="10"/>
      </left>
      <right style="thin">
        <color indexed="10"/>
      </right>
      <top style="hair">
        <color indexed="64"/>
      </top>
      <bottom style="hair">
        <color indexed="64"/>
      </bottom>
      <diagonal/>
    </border>
    <border>
      <left style="thin">
        <color indexed="10"/>
      </left>
      <right style="thin">
        <color indexed="10"/>
      </right>
      <top/>
      <bottom style="thin">
        <color indexed="10"/>
      </bottom>
      <diagonal/>
    </border>
    <border>
      <left style="medium">
        <color indexed="10"/>
      </left>
      <right style="thin">
        <color indexed="10"/>
      </right>
      <top style="hair">
        <color indexed="64"/>
      </top>
      <bottom style="medium">
        <color indexed="10"/>
      </bottom>
      <diagonal/>
    </border>
    <border>
      <left style="thin">
        <color indexed="10"/>
      </left>
      <right style="thin">
        <color indexed="10"/>
      </right>
      <top style="hair">
        <color indexed="64"/>
      </top>
      <bottom style="medium">
        <color indexed="10"/>
      </bottom>
      <diagonal/>
    </border>
    <border>
      <left style="thin">
        <color indexed="10"/>
      </left>
      <right style="thin">
        <color indexed="10"/>
      </right>
      <top style="thin">
        <color indexed="10"/>
      </top>
      <bottom style="medium">
        <color indexed="10"/>
      </bottom>
      <diagonal/>
    </border>
    <border>
      <left style="thin">
        <color indexed="10"/>
      </left>
      <right style="medium">
        <color indexed="10"/>
      </right>
      <top style="thin">
        <color indexed="10"/>
      </top>
      <bottom style="medium">
        <color indexed="10"/>
      </bottom>
      <diagonal/>
    </border>
    <border>
      <left/>
      <right/>
      <top/>
      <bottom style="thick">
        <color rgb="FFFF6600"/>
      </bottom>
      <diagonal/>
    </border>
    <border>
      <left/>
      <right/>
      <top style="medium">
        <color indexed="10"/>
      </top>
      <bottom style="thick">
        <color rgb="FFFF6600"/>
      </bottom>
      <diagonal/>
    </border>
    <border>
      <left/>
      <right style="thick">
        <color rgb="FFFF6600"/>
      </right>
      <top/>
      <bottom style="thick">
        <color rgb="FFFF6600"/>
      </bottom>
      <diagonal/>
    </border>
    <border>
      <left style="thick">
        <color indexed="64"/>
      </left>
      <right/>
      <top style="thick">
        <color indexed="64"/>
      </top>
      <bottom/>
      <diagonal/>
    </border>
    <border>
      <left/>
      <right style="thick">
        <color theme="1"/>
      </right>
      <top style="thick">
        <color indexed="64"/>
      </top>
      <bottom/>
      <diagonal/>
    </border>
    <border>
      <left style="medium">
        <color indexed="64"/>
      </left>
      <right style="medium">
        <color indexed="64"/>
      </right>
      <top style="medium">
        <color indexed="64"/>
      </top>
      <bottom style="medium">
        <color indexed="64"/>
      </bottom>
      <diagonal/>
    </border>
    <border>
      <left style="thick">
        <color indexed="64"/>
      </left>
      <right/>
      <top/>
      <bottom/>
      <diagonal/>
    </border>
    <border>
      <left/>
      <right style="thick">
        <color theme="1"/>
      </right>
      <top/>
      <bottom/>
      <diagonal/>
    </border>
    <border>
      <left style="thin">
        <color indexed="64"/>
      </left>
      <right style="thin">
        <color indexed="64"/>
      </right>
      <top style="thin">
        <color indexed="64"/>
      </top>
      <bottom style="dashed">
        <color indexed="64"/>
      </bottom>
      <diagonal/>
    </border>
    <border>
      <left style="thin">
        <color indexed="64"/>
      </left>
      <right style="hair">
        <color indexed="64"/>
      </right>
      <top style="thin">
        <color indexed="64"/>
      </top>
      <bottom style="dashed">
        <color indexed="64"/>
      </bottom>
      <diagonal/>
    </border>
    <border>
      <left style="hair">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thin">
        <color indexed="64"/>
      </left>
      <right style="hair">
        <color indexed="64"/>
      </right>
      <top style="hair">
        <color indexed="64"/>
      </top>
      <bottom/>
      <diagonal/>
    </border>
    <border>
      <left style="thick">
        <color indexed="12"/>
      </left>
      <right/>
      <top style="thick">
        <color indexed="12"/>
      </top>
      <bottom/>
      <diagonal/>
    </border>
    <border>
      <left/>
      <right/>
      <top style="thick">
        <color indexed="12"/>
      </top>
      <bottom/>
      <diagonal/>
    </border>
    <border>
      <left/>
      <right style="thick">
        <color indexed="12"/>
      </right>
      <top style="thick">
        <color indexed="12"/>
      </top>
      <bottom/>
      <diagonal/>
    </border>
    <border>
      <left style="thick">
        <color indexed="12"/>
      </left>
      <right/>
      <top/>
      <bottom/>
      <diagonal/>
    </border>
    <border>
      <left/>
      <right style="thick">
        <color indexed="12"/>
      </right>
      <top/>
      <bottom/>
      <diagonal/>
    </border>
    <border>
      <left style="thick">
        <color indexed="64"/>
      </left>
      <right/>
      <top/>
      <bottom style="thick">
        <color indexed="64"/>
      </bottom>
      <diagonal/>
    </border>
    <border>
      <left/>
      <right style="thick">
        <color theme="1"/>
      </right>
      <top/>
      <bottom style="thick">
        <color indexed="64"/>
      </bottom>
      <diagonal/>
    </border>
    <border>
      <left style="thin">
        <color indexed="16"/>
      </left>
      <right style="thin">
        <color indexed="16"/>
      </right>
      <top style="thin">
        <color indexed="16"/>
      </top>
      <bottom/>
      <diagonal/>
    </border>
    <border>
      <left/>
      <right style="thin">
        <color indexed="16"/>
      </right>
      <top style="thin">
        <color indexed="16"/>
      </top>
      <bottom/>
      <diagonal/>
    </border>
    <border>
      <left style="thin">
        <color indexed="16"/>
      </left>
      <right style="thin">
        <color indexed="16"/>
      </right>
      <top/>
      <bottom/>
      <diagonal/>
    </border>
    <border>
      <left style="thin">
        <color indexed="16"/>
      </left>
      <right/>
      <top/>
      <bottom/>
      <diagonal/>
    </border>
    <border>
      <left/>
      <right style="thin">
        <color indexed="16"/>
      </right>
      <top/>
      <bottom/>
      <diagonal/>
    </border>
    <border>
      <left/>
      <right style="thin">
        <color indexed="16"/>
      </right>
      <top/>
      <bottom style="thin">
        <color indexed="16"/>
      </bottom>
      <diagonal/>
    </border>
    <border>
      <left/>
      <right/>
      <top style="thin">
        <color indexed="16"/>
      </top>
      <bottom/>
      <diagonal/>
    </border>
    <border>
      <left style="thin">
        <color indexed="16"/>
      </left>
      <right style="thin">
        <color indexed="16"/>
      </right>
      <top/>
      <bottom style="dotted">
        <color indexed="16"/>
      </bottom>
      <diagonal/>
    </border>
    <border>
      <left style="thin">
        <color indexed="16"/>
      </left>
      <right/>
      <top/>
      <bottom style="dotted">
        <color indexed="16"/>
      </bottom>
      <diagonal/>
    </border>
    <border>
      <left/>
      <right style="thin">
        <color indexed="16"/>
      </right>
      <top/>
      <bottom style="dotted">
        <color indexed="16"/>
      </bottom>
      <diagonal/>
    </border>
    <border>
      <left/>
      <right/>
      <top/>
      <bottom style="dotted">
        <color indexed="16"/>
      </bottom>
      <diagonal/>
    </border>
    <border>
      <left/>
      <right style="thin">
        <color indexed="16"/>
      </right>
      <top style="dotted">
        <color indexed="16"/>
      </top>
      <bottom/>
      <diagonal/>
    </border>
    <border>
      <left style="thin">
        <color indexed="16"/>
      </left>
      <right/>
      <top style="thin">
        <color indexed="16"/>
      </top>
      <bottom/>
      <diagonal/>
    </border>
    <border>
      <left/>
      <right/>
      <top style="thin">
        <color rgb="FFFF0000"/>
      </top>
      <bottom/>
      <diagonal/>
    </border>
    <border>
      <left style="thick">
        <color indexed="12"/>
      </left>
      <right/>
      <top/>
      <bottom style="thick">
        <color indexed="12"/>
      </bottom>
      <diagonal/>
    </border>
    <border>
      <left/>
      <right/>
      <top/>
      <bottom style="thick">
        <color indexed="12"/>
      </bottom>
      <diagonal/>
    </border>
    <border>
      <left/>
      <right/>
      <top style="thin">
        <color rgb="FFC00000"/>
      </top>
      <bottom style="thick">
        <color indexed="12"/>
      </bottom>
      <diagonal/>
    </border>
    <border>
      <left/>
      <right/>
      <top style="thin">
        <color indexed="16"/>
      </top>
      <bottom style="thick">
        <color indexed="12"/>
      </bottom>
      <diagonal/>
    </border>
    <border>
      <left/>
      <right style="thick">
        <color indexed="12"/>
      </right>
      <top/>
      <bottom style="thick">
        <color indexed="1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style="thin">
        <color indexed="64"/>
      </top>
      <bottom/>
      <diagonal/>
    </border>
    <border>
      <left style="thin">
        <color indexed="64"/>
      </left>
      <right style="hair">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64"/>
      </left>
      <right style="thin">
        <color indexed="8"/>
      </right>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8"/>
      </right>
      <top/>
      <bottom style="thin">
        <color indexed="8"/>
      </bottom>
      <diagonal/>
    </border>
    <border>
      <left style="thin">
        <color indexed="64"/>
      </left>
      <right style="thin">
        <color indexed="64"/>
      </right>
      <top style="thin">
        <color indexed="8"/>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thin">
        <color indexed="8"/>
      </right>
      <top/>
      <bottom style="thin">
        <color indexed="64"/>
      </bottom>
      <diagonal/>
    </border>
    <border>
      <left style="thin">
        <color indexed="8"/>
      </left>
      <right/>
      <top/>
      <bottom style="thin">
        <color indexed="64"/>
      </bottom>
      <diagonal/>
    </border>
    <border>
      <left style="dotted">
        <color indexed="16"/>
      </left>
      <right style="thin">
        <color indexed="16"/>
      </right>
      <top style="thin">
        <color indexed="16"/>
      </top>
      <bottom style="thin">
        <color indexed="16"/>
      </bottom>
      <diagonal/>
    </border>
    <border>
      <left style="dotted">
        <color indexed="16"/>
      </left>
      <right style="dotted">
        <color indexed="16"/>
      </right>
      <top style="thin">
        <color indexed="16"/>
      </top>
      <bottom style="thin">
        <color indexed="16"/>
      </bottom>
      <diagonal/>
    </border>
    <border>
      <left style="dotted">
        <color indexed="16"/>
      </left>
      <right style="thin">
        <color indexed="16"/>
      </right>
      <top/>
      <bottom/>
      <diagonal/>
    </border>
    <border>
      <left style="dotted">
        <color indexed="16"/>
      </left>
      <right style="dotted">
        <color indexed="16"/>
      </right>
      <top/>
      <bottom/>
      <diagonal/>
    </border>
    <border>
      <left style="dotted">
        <color indexed="16"/>
      </left>
      <right style="thin">
        <color indexed="16"/>
      </right>
      <top style="thin">
        <color indexed="16"/>
      </top>
      <bottom style="hair">
        <color indexed="16"/>
      </bottom>
      <diagonal/>
    </border>
    <border>
      <left style="dotted">
        <color indexed="16"/>
      </left>
      <right style="dotted">
        <color indexed="16"/>
      </right>
      <top style="thin">
        <color indexed="16"/>
      </top>
      <bottom style="hair">
        <color indexed="16"/>
      </bottom>
      <diagonal/>
    </border>
    <border>
      <left style="dotted">
        <color indexed="16"/>
      </left>
      <right style="thin">
        <color indexed="16"/>
      </right>
      <top style="hair">
        <color indexed="16"/>
      </top>
      <bottom style="thin">
        <color indexed="16"/>
      </bottom>
      <diagonal/>
    </border>
    <border>
      <left style="dotted">
        <color indexed="16"/>
      </left>
      <right style="dotted">
        <color indexed="16"/>
      </right>
      <top style="hair">
        <color indexed="16"/>
      </top>
      <bottom style="thin">
        <color indexed="16"/>
      </bottom>
      <diagonal/>
    </border>
    <border>
      <left style="thin">
        <color indexed="16"/>
      </left>
      <right style="thin">
        <color indexed="16"/>
      </right>
      <top style="thin">
        <color indexed="16"/>
      </top>
      <bottom style="dashed">
        <color indexed="16"/>
      </bottom>
      <diagonal/>
    </border>
    <border>
      <left/>
      <right/>
      <top style="thin">
        <color indexed="16"/>
      </top>
      <bottom style="dashed">
        <color indexed="16"/>
      </bottom>
      <diagonal/>
    </border>
    <border>
      <left style="dotted">
        <color indexed="16"/>
      </left>
      <right style="thin">
        <color indexed="16"/>
      </right>
      <top style="thin">
        <color indexed="16"/>
      </top>
      <bottom style="dashed">
        <color indexed="16"/>
      </bottom>
      <diagonal/>
    </border>
    <border>
      <left style="dotted">
        <color indexed="16"/>
      </left>
      <right style="dotted">
        <color indexed="16"/>
      </right>
      <top style="thin">
        <color indexed="16"/>
      </top>
      <bottom style="dashed">
        <color indexed="16"/>
      </bottom>
      <diagonal/>
    </border>
    <border>
      <left/>
      <right style="thin">
        <color indexed="16"/>
      </right>
      <top style="dashed">
        <color indexed="16"/>
      </top>
      <bottom/>
      <diagonal/>
    </border>
    <border>
      <left style="dashed">
        <color indexed="16"/>
      </left>
      <right style="thin">
        <color indexed="16"/>
      </right>
      <top style="dashed">
        <color indexed="16"/>
      </top>
      <bottom/>
      <diagonal/>
    </border>
    <border>
      <left style="dashed">
        <color indexed="16"/>
      </left>
      <right style="thin">
        <color indexed="16"/>
      </right>
      <top/>
      <bottom/>
      <diagonal/>
    </border>
    <border>
      <left style="dashed">
        <color indexed="16"/>
      </left>
      <right style="thin">
        <color indexed="16"/>
      </right>
      <top/>
      <bottom style="thin">
        <color indexed="16"/>
      </bottom>
      <diagonal/>
    </border>
    <border>
      <left style="dotted">
        <color indexed="16"/>
      </left>
      <right style="thin">
        <color indexed="16"/>
      </right>
      <top/>
      <bottom style="thin">
        <color indexed="16"/>
      </bottom>
      <diagonal/>
    </border>
    <border>
      <left style="medium">
        <color indexed="20"/>
      </left>
      <right/>
      <top style="medium">
        <color indexed="20"/>
      </top>
      <bottom/>
      <diagonal/>
    </border>
    <border>
      <left/>
      <right/>
      <top style="medium">
        <color indexed="20"/>
      </top>
      <bottom/>
      <diagonal/>
    </border>
    <border>
      <left/>
      <right style="medium">
        <color indexed="20"/>
      </right>
      <top style="medium">
        <color indexed="20"/>
      </top>
      <bottom/>
      <diagonal/>
    </border>
    <border>
      <left style="medium">
        <color indexed="20"/>
      </left>
      <right style="thin">
        <color indexed="20"/>
      </right>
      <top style="medium">
        <color indexed="20"/>
      </top>
      <bottom style="hair">
        <color indexed="20"/>
      </bottom>
      <diagonal/>
    </border>
    <border>
      <left style="thin">
        <color indexed="20"/>
      </left>
      <right style="thin">
        <color indexed="20"/>
      </right>
      <top style="medium">
        <color indexed="20"/>
      </top>
      <bottom style="hair">
        <color indexed="20"/>
      </bottom>
      <diagonal/>
    </border>
    <border>
      <left style="medium">
        <color indexed="20"/>
      </left>
      <right style="thin">
        <color indexed="20"/>
      </right>
      <top style="hair">
        <color indexed="20"/>
      </top>
      <bottom style="hair">
        <color indexed="20"/>
      </bottom>
      <diagonal/>
    </border>
    <border>
      <left style="thin">
        <color indexed="20"/>
      </left>
      <right style="thin">
        <color indexed="20"/>
      </right>
      <top/>
      <bottom style="hair">
        <color indexed="20"/>
      </bottom>
      <diagonal/>
    </border>
    <border>
      <left/>
      <right style="medium">
        <color indexed="20"/>
      </right>
      <top/>
      <bottom/>
      <diagonal/>
    </border>
    <border>
      <left style="thin">
        <color indexed="20"/>
      </left>
      <right style="thin">
        <color indexed="20"/>
      </right>
      <top style="hair">
        <color indexed="20"/>
      </top>
      <bottom style="hair">
        <color indexed="20"/>
      </bottom>
      <diagonal/>
    </border>
    <border>
      <left style="medium">
        <color indexed="20"/>
      </left>
      <right/>
      <top/>
      <bottom/>
      <diagonal/>
    </border>
    <border>
      <left style="thin">
        <color indexed="20"/>
      </left>
      <right style="thin">
        <color indexed="20"/>
      </right>
      <top style="thin">
        <color indexed="20"/>
      </top>
      <bottom style="thin">
        <color indexed="20"/>
      </bottom>
      <diagonal/>
    </border>
    <border>
      <left style="medium">
        <color indexed="20"/>
      </left>
      <right style="thin">
        <color indexed="20"/>
      </right>
      <top style="thin">
        <color indexed="20"/>
      </top>
      <bottom style="thin">
        <color indexed="20"/>
      </bottom>
      <diagonal/>
    </border>
    <border>
      <left style="medium">
        <color indexed="20"/>
      </left>
      <right style="thin">
        <color indexed="20"/>
      </right>
      <top style="thin">
        <color indexed="20"/>
      </top>
      <bottom style="hair">
        <color indexed="20"/>
      </bottom>
      <diagonal/>
    </border>
    <border>
      <left style="thin">
        <color indexed="20"/>
      </left>
      <right style="thin">
        <color indexed="20"/>
      </right>
      <top style="thin">
        <color indexed="20"/>
      </top>
      <bottom style="hair">
        <color indexed="20"/>
      </bottom>
      <diagonal/>
    </border>
    <border>
      <left style="thin">
        <color indexed="20"/>
      </left>
      <right/>
      <top/>
      <bottom/>
      <diagonal/>
    </border>
    <border>
      <left style="medium">
        <color indexed="20"/>
      </left>
      <right style="thin">
        <color indexed="20"/>
      </right>
      <top style="slantDashDot">
        <color indexed="20"/>
      </top>
      <bottom style="hair">
        <color indexed="20"/>
      </bottom>
      <diagonal/>
    </border>
    <border>
      <left style="thin">
        <color indexed="20"/>
      </left>
      <right style="thin">
        <color indexed="20"/>
      </right>
      <top style="slantDashDot">
        <color indexed="20"/>
      </top>
      <bottom style="hair">
        <color indexed="20"/>
      </bottom>
      <diagonal/>
    </border>
    <border>
      <left/>
      <right/>
      <top style="slantDashDot">
        <color indexed="20"/>
      </top>
      <bottom/>
      <diagonal/>
    </border>
    <border>
      <left/>
      <right style="medium">
        <color indexed="20"/>
      </right>
      <top style="slantDashDot">
        <color indexed="20"/>
      </top>
      <bottom/>
      <diagonal/>
    </border>
    <border>
      <left style="thin">
        <color indexed="20"/>
      </left>
      <right/>
      <top/>
      <bottom style="thin">
        <color indexed="20"/>
      </bottom>
      <diagonal/>
    </border>
    <border>
      <left/>
      <right/>
      <top/>
      <bottom style="thin">
        <color indexed="20"/>
      </bottom>
      <diagonal/>
    </border>
    <border>
      <left/>
      <right style="medium">
        <color indexed="20"/>
      </right>
      <top/>
      <bottom style="thin">
        <color indexed="20"/>
      </bottom>
      <diagonal/>
    </border>
    <border>
      <left/>
      <right/>
      <top style="thin">
        <color indexed="20"/>
      </top>
      <bottom/>
      <diagonal/>
    </border>
    <border>
      <left/>
      <right style="medium">
        <color indexed="20"/>
      </right>
      <top style="thin">
        <color indexed="20"/>
      </top>
      <bottom/>
      <diagonal/>
    </border>
    <border>
      <left style="medium">
        <color indexed="20"/>
      </left>
      <right style="thin">
        <color indexed="20"/>
      </right>
      <top style="thin">
        <color indexed="20"/>
      </top>
      <bottom style="medium">
        <color indexed="20"/>
      </bottom>
      <diagonal/>
    </border>
    <border>
      <left style="thin">
        <color indexed="20"/>
      </left>
      <right style="thin">
        <color indexed="20"/>
      </right>
      <top style="thin">
        <color indexed="20"/>
      </top>
      <bottom style="medium">
        <color indexed="20"/>
      </bottom>
      <diagonal/>
    </border>
    <border>
      <left/>
      <right/>
      <top/>
      <bottom style="medium">
        <color indexed="20"/>
      </bottom>
      <diagonal/>
    </border>
    <border>
      <left/>
      <right style="medium">
        <color indexed="20"/>
      </right>
      <top/>
      <bottom style="medium">
        <color indexed="20"/>
      </bottom>
      <diagonal/>
    </border>
    <border>
      <left style="medium">
        <color indexed="16"/>
      </left>
      <right style="thin">
        <color indexed="16"/>
      </right>
      <top style="thin">
        <color indexed="16"/>
      </top>
      <bottom style="thin">
        <color indexed="16"/>
      </bottom>
      <diagonal/>
    </border>
    <border>
      <left style="medium">
        <color indexed="16"/>
      </left>
      <right style="thin">
        <color indexed="16"/>
      </right>
      <top style="thin">
        <color indexed="16"/>
      </top>
      <bottom style="hair">
        <color indexed="16"/>
      </bottom>
      <diagonal/>
    </border>
    <border>
      <left style="medium">
        <color indexed="16"/>
      </left>
      <right style="thin">
        <color indexed="16"/>
      </right>
      <top style="slantDashDot">
        <color indexed="16"/>
      </top>
      <bottom style="hair">
        <color indexed="16"/>
      </bottom>
      <diagonal/>
    </border>
    <border>
      <left style="thin">
        <color indexed="16"/>
      </left>
      <right style="thin">
        <color indexed="16"/>
      </right>
      <top style="slantDashDot">
        <color indexed="16"/>
      </top>
      <bottom style="hair">
        <color indexed="16"/>
      </bottom>
      <diagonal/>
    </border>
    <border>
      <left/>
      <right/>
      <top style="slantDashDot">
        <color indexed="16"/>
      </top>
      <bottom/>
      <diagonal/>
    </border>
    <border>
      <left/>
      <right style="medium">
        <color indexed="16"/>
      </right>
      <top style="slantDashDot">
        <color indexed="16"/>
      </top>
      <bottom/>
      <diagonal/>
    </border>
    <border>
      <left/>
      <right style="medium">
        <color indexed="16"/>
      </right>
      <top style="thin">
        <color indexed="16"/>
      </top>
      <bottom/>
      <diagonal/>
    </border>
    <border>
      <left style="medium">
        <color indexed="16"/>
      </left>
      <right style="thin">
        <color indexed="16"/>
      </right>
      <top style="thin">
        <color indexed="16"/>
      </top>
      <bottom style="medium">
        <color indexed="16"/>
      </bottom>
      <diagonal/>
    </border>
    <border>
      <left style="medium">
        <color indexed="64"/>
      </left>
      <right style="thin">
        <color indexed="64"/>
      </right>
      <top style="thin">
        <color indexed="64"/>
      </top>
      <bottom/>
      <diagonal/>
    </border>
    <border>
      <left style="medium">
        <color indexed="64"/>
      </left>
      <right/>
      <top/>
      <bottom style="hair">
        <color indexed="64"/>
      </bottom>
      <diagonal/>
    </border>
    <border>
      <left style="medium">
        <color indexed="64"/>
      </left>
      <right/>
      <top style="hair">
        <color indexed="64"/>
      </top>
      <bottom style="thin">
        <color indexed="64"/>
      </bottom>
      <diagonal/>
    </border>
    <border>
      <left/>
      <right style="medium">
        <color indexed="12"/>
      </right>
      <top style="medium">
        <color indexed="12"/>
      </top>
      <bottom/>
      <diagonal/>
    </border>
    <border>
      <left style="medium">
        <color indexed="12"/>
      </left>
      <right style="thin">
        <color indexed="12"/>
      </right>
      <top style="thin">
        <color indexed="12"/>
      </top>
      <bottom style="hair">
        <color indexed="12"/>
      </bottom>
      <diagonal/>
    </border>
    <border>
      <left/>
      <right style="medium">
        <color indexed="12"/>
      </right>
      <top/>
      <bottom/>
      <diagonal/>
    </border>
    <border>
      <left style="medium">
        <color indexed="12"/>
      </left>
      <right style="thin">
        <color indexed="12"/>
      </right>
      <top style="hair">
        <color indexed="12"/>
      </top>
      <bottom style="hair">
        <color indexed="12"/>
      </bottom>
      <diagonal/>
    </border>
    <border>
      <left style="medium">
        <color indexed="12"/>
      </left>
      <right style="thin">
        <color indexed="12"/>
      </right>
      <top style="hair">
        <color indexed="12"/>
      </top>
      <bottom style="thin">
        <color indexed="12"/>
      </bottom>
      <diagonal/>
    </border>
    <border>
      <left style="medium">
        <color indexed="12"/>
      </left>
      <right style="thin">
        <color indexed="12"/>
      </right>
      <top style="hair">
        <color indexed="12"/>
      </top>
      <bottom/>
      <diagonal/>
    </border>
    <border>
      <left style="medium">
        <color indexed="12"/>
      </left>
      <right style="thin">
        <color indexed="12"/>
      </right>
      <top style="hair">
        <color indexed="12"/>
      </top>
      <bottom style="medium">
        <color indexed="12"/>
      </bottom>
      <diagonal/>
    </border>
    <border>
      <left style="thin">
        <color indexed="12"/>
      </left>
      <right style="thin">
        <color indexed="12"/>
      </right>
      <top style="hair">
        <color indexed="12"/>
      </top>
      <bottom style="medium">
        <color indexed="12"/>
      </bottom>
      <diagonal/>
    </border>
    <border>
      <left style="thin">
        <color indexed="12"/>
      </left>
      <right style="thin">
        <color indexed="12"/>
      </right>
      <top/>
      <bottom style="medium">
        <color indexed="12"/>
      </bottom>
      <diagonal/>
    </border>
    <border>
      <left/>
      <right style="medium">
        <color indexed="12"/>
      </right>
      <top/>
      <bottom style="medium">
        <color indexed="12"/>
      </bottom>
      <diagonal/>
    </border>
    <border>
      <left style="thin">
        <color indexed="17"/>
      </left>
      <right style="thin">
        <color indexed="17"/>
      </right>
      <top style="medium">
        <color indexed="17"/>
      </top>
      <bottom/>
      <diagonal/>
    </border>
    <border>
      <left/>
      <right style="medium">
        <color indexed="17"/>
      </right>
      <top style="medium">
        <color indexed="17"/>
      </top>
      <bottom/>
      <diagonal/>
    </border>
    <border>
      <left style="medium">
        <color indexed="17"/>
      </left>
      <right style="thin">
        <color indexed="17"/>
      </right>
      <top style="thin">
        <color indexed="17"/>
      </top>
      <bottom style="hair">
        <color indexed="17"/>
      </bottom>
      <diagonal/>
    </border>
    <border>
      <left/>
      <right style="medium">
        <color indexed="17"/>
      </right>
      <top/>
      <bottom/>
      <diagonal/>
    </border>
    <border>
      <left style="medium">
        <color indexed="17"/>
      </left>
      <right style="thin">
        <color indexed="17"/>
      </right>
      <top style="hair">
        <color indexed="17"/>
      </top>
      <bottom style="hair">
        <color indexed="17"/>
      </bottom>
      <diagonal/>
    </border>
    <border>
      <left style="medium">
        <color indexed="17"/>
      </left>
      <right style="thin">
        <color indexed="17"/>
      </right>
      <top style="hair">
        <color indexed="17"/>
      </top>
      <bottom style="thin">
        <color indexed="17"/>
      </bottom>
      <diagonal/>
    </border>
    <border>
      <left style="medium">
        <color indexed="17"/>
      </left>
      <right style="thin">
        <color indexed="17"/>
      </right>
      <top style="hair">
        <color indexed="17"/>
      </top>
      <bottom style="medium">
        <color indexed="17"/>
      </bottom>
      <diagonal/>
    </border>
    <border>
      <left style="thin">
        <color indexed="17"/>
      </left>
      <right style="thin">
        <color indexed="17"/>
      </right>
      <top style="hair">
        <color indexed="17"/>
      </top>
      <bottom style="medium">
        <color indexed="17"/>
      </bottom>
      <diagonal/>
    </border>
    <border>
      <left/>
      <right style="medium">
        <color indexed="17"/>
      </right>
      <top/>
      <bottom style="medium">
        <color indexed="17"/>
      </bottom>
      <diagonal/>
    </border>
    <border>
      <left/>
      <right style="medium">
        <color indexed="10"/>
      </right>
      <top style="medium">
        <color indexed="10"/>
      </top>
      <bottom/>
      <diagonal/>
    </border>
    <border>
      <left style="medium">
        <color indexed="10"/>
      </left>
      <right style="thin">
        <color indexed="10"/>
      </right>
      <top style="thin">
        <color indexed="10"/>
      </top>
      <bottom style="hair">
        <color indexed="10"/>
      </bottom>
      <diagonal/>
    </border>
    <border>
      <left/>
      <right style="medium">
        <color indexed="10"/>
      </right>
      <top/>
      <bottom/>
      <diagonal/>
    </border>
    <border>
      <left style="medium">
        <color indexed="10"/>
      </left>
      <right style="thin">
        <color indexed="10"/>
      </right>
      <top style="hair">
        <color indexed="10"/>
      </top>
      <bottom style="hair">
        <color indexed="10"/>
      </bottom>
      <diagonal/>
    </border>
    <border>
      <left style="medium">
        <color indexed="10"/>
      </left>
      <right style="thin">
        <color indexed="10"/>
      </right>
      <top style="hair">
        <color indexed="10"/>
      </top>
      <bottom style="thin">
        <color indexed="10"/>
      </bottom>
      <diagonal/>
    </border>
    <border>
      <left style="medium">
        <color indexed="10"/>
      </left>
      <right style="thin">
        <color indexed="10"/>
      </right>
      <top style="hair">
        <color indexed="10"/>
      </top>
      <bottom/>
      <diagonal/>
    </border>
    <border>
      <left style="medium">
        <color indexed="10"/>
      </left>
      <right style="thin">
        <color indexed="10"/>
      </right>
      <top style="hair">
        <color indexed="10"/>
      </top>
      <bottom style="medium">
        <color indexed="10"/>
      </bottom>
      <diagonal/>
    </border>
    <border>
      <left style="thin">
        <color indexed="10"/>
      </left>
      <right style="thin">
        <color indexed="10"/>
      </right>
      <top style="hair">
        <color indexed="10"/>
      </top>
      <bottom style="medium">
        <color indexed="10"/>
      </bottom>
      <diagonal/>
    </border>
    <border>
      <left style="thin">
        <color indexed="10"/>
      </left>
      <right style="thin">
        <color indexed="10"/>
      </right>
      <top/>
      <bottom style="medium">
        <color indexed="10"/>
      </bottom>
      <diagonal/>
    </border>
    <border>
      <left/>
      <right style="medium">
        <color indexed="10"/>
      </right>
      <top/>
      <bottom style="medium">
        <color indexed="10"/>
      </bottom>
      <diagonal/>
    </border>
    <border>
      <left style="medium">
        <color indexed="64"/>
      </left>
      <right style="thin">
        <color theme="1"/>
      </right>
      <top/>
      <bottom style="hair">
        <color theme="9" tint="0.59996337778862885"/>
      </bottom>
      <diagonal/>
    </border>
    <border>
      <left/>
      <right/>
      <top/>
      <bottom style="hair">
        <color theme="9" tint="0.59996337778862885"/>
      </bottom>
      <diagonal/>
    </border>
  </borders>
  <cellStyleXfs count="19">
    <xf numFmtId="0" fontId="0" fillId="0" borderId="0"/>
    <xf numFmtId="0" fontId="30" fillId="0" borderId="0" applyFill="0" applyBorder="0" applyAlignment="0" applyProtection="0"/>
    <xf numFmtId="9" fontId="1" fillId="0" borderId="0" applyFont="0" applyFill="0" applyBorder="0" applyAlignment="0" applyProtection="0"/>
    <xf numFmtId="37" fontId="13" fillId="0" borderId="0"/>
    <xf numFmtId="0" fontId="19" fillId="0" borderId="0"/>
    <xf numFmtId="9" fontId="19" fillId="0" borderId="0" applyFont="0" applyFill="0" applyBorder="0" applyAlignment="0" applyProtection="0"/>
    <xf numFmtId="0" fontId="19" fillId="0" borderId="0"/>
    <xf numFmtId="170" fontId="19" fillId="0" borderId="0" applyFont="0" applyFill="0" applyBorder="0" applyAlignment="0" applyProtection="0"/>
    <xf numFmtId="0" fontId="39" fillId="0" borderId="0" applyNumberFormat="0" applyFill="0" applyBorder="0" applyAlignment="0" applyProtection="0">
      <alignment vertical="top"/>
      <protection locked="0"/>
    </xf>
    <xf numFmtId="37" fontId="84" fillId="0" borderId="0"/>
    <xf numFmtId="170"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83" fontId="19" fillId="0" borderId="0" applyFont="0" applyFill="0" applyBorder="0" applyAlignment="0" applyProtection="0"/>
    <xf numFmtId="0" fontId="28" fillId="0" borderId="0"/>
    <xf numFmtId="185" fontId="28" fillId="0" borderId="0" applyFont="0" applyFill="0" applyBorder="0" applyAlignment="0" applyProtection="0"/>
    <xf numFmtId="189" fontId="19" fillId="0" borderId="0">
      <alignment horizontal="left" wrapText="1"/>
    </xf>
    <xf numFmtId="207" fontId="28" fillId="0" borderId="0" applyFont="0" applyFill="0" applyBorder="0" applyAlignment="0" applyProtection="0"/>
  </cellStyleXfs>
  <cellXfs count="3488">
    <xf numFmtId="0" fontId="0" fillId="0" borderId="0" xfId="0"/>
    <xf numFmtId="0" fontId="12" fillId="0" borderId="12" xfId="0" applyFont="1" applyBorder="1" applyAlignment="1" applyProtection="1">
      <alignment horizontal="center" vertical="justify" wrapText="1"/>
      <protection hidden="1"/>
    </xf>
    <xf numFmtId="0" fontId="0" fillId="0" borderId="0" xfId="0" applyProtection="1">
      <protection hidden="1"/>
    </xf>
    <xf numFmtId="0" fontId="2" fillId="0" borderId="0" xfId="0" applyFont="1" applyProtection="1">
      <protection hidden="1"/>
    </xf>
    <xf numFmtId="0" fontId="5" fillId="0" borderId="0" xfId="0" applyFont="1" applyProtection="1">
      <protection hidden="1"/>
    </xf>
    <xf numFmtId="1" fontId="9" fillId="0" borderId="3" xfId="0" applyNumberFormat="1" applyFont="1" applyBorder="1" applyAlignment="1" applyProtection="1">
      <alignment horizontal="left" vertical="center"/>
      <protection locked="0" hidden="1"/>
    </xf>
    <xf numFmtId="1" fontId="9" fillId="0" borderId="6" xfId="0" applyNumberFormat="1" applyFont="1" applyBorder="1" applyAlignment="1" applyProtection="1">
      <alignment horizontal="left" vertical="center" wrapText="1"/>
      <protection locked="0" hidden="1"/>
    </xf>
    <xf numFmtId="14" fontId="9" fillId="0" borderId="6" xfId="0" applyNumberFormat="1" applyFont="1" applyBorder="1" applyAlignment="1" applyProtection="1">
      <alignment horizontal="left" vertical="center" wrapText="1"/>
      <protection locked="0" hidden="1"/>
    </xf>
    <xf numFmtId="1" fontId="9" fillId="0" borderId="6" xfId="0" applyNumberFormat="1" applyFont="1" applyBorder="1" applyAlignment="1" applyProtection="1">
      <alignment vertical="center" wrapText="1"/>
      <protection locked="0" hidden="1"/>
    </xf>
    <xf numFmtId="1" fontId="9" fillId="0" borderId="9" xfId="0" applyNumberFormat="1" applyFont="1" applyBorder="1" applyAlignment="1" applyProtection="1">
      <alignment vertical="center" wrapText="1"/>
      <protection locked="0" hidden="1"/>
    </xf>
    <xf numFmtId="0" fontId="5" fillId="0" borderId="0" xfId="0" applyFont="1" applyAlignment="1" applyProtection="1">
      <alignment horizontal="center"/>
      <protection hidden="1"/>
    </xf>
    <xf numFmtId="0" fontId="12" fillId="0" borderId="0" xfId="0" applyFont="1" applyAlignment="1" applyProtection="1">
      <alignment horizontal="center" vertical="justify" wrapText="1"/>
      <protection hidden="1"/>
    </xf>
    <xf numFmtId="0" fontId="3" fillId="5" borderId="47" xfId="0" applyFont="1" applyFill="1" applyBorder="1" applyAlignment="1" applyProtection="1">
      <alignment horizontal="center"/>
      <protection hidden="1"/>
    </xf>
    <xf numFmtId="3" fontId="0" fillId="0" borderId="47" xfId="0" applyNumberFormat="1" applyBorder="1" applyAlignment="1" applyProtection="1">
      <alignment horizontal="center"/>
      <protection locked="0" hidden="1"/>
    </xf>
    <xf numFmtId="0" fontId="0" fillId="0" borderId="47" xfId="0" applyBorder="1" applyProtection="1">
      <protection locked="0" hidden="1"/>
    </xf>
    <xf numFmtId="0" fontId="0" fillId="0" borderId="47" xfId="0" applyBorder="1" applyAlignment="1" applyProtection="1">
      <alignment horizontal="center"/>
      <protection locked="0" hidden="1"/>
    </xf>
    <xf numFmtId="0" fontId="0" fillId="0" borderId="47" xfId="0" applyBorder="1" applyAlignment="1" applyProtection="1">
      <alignment horizontal="left" indent="1"/>
      <protection locked="0" hidden="1"/>
    </xf>
    <xf numFmtId="0" fontId="0" fillId="0" borderId="47" xfId="0" applyBorder="1" applyProtection="1">
      <protection hidden="1"/>
    </xf>
    <xf numFmtId="0" fontId="3" fillId="0" borderId="47" xfId="0" applyFont="1" applyBorder="1" applyAlignment="1" applyProtection="1">
      <alignment horizontal="center"/>
      <protection hidden="1"/>
    </xf>
    <xf numFmtId="0" fontId="0" fillId="0" borderId="47" xfId="0" applyBorder="1" applyAlignment="1" applyProtection="1">
      <alignment horizontal="center"/>
      <protection hidden="1"/>
    </xf>
    <xf numFmtId="0" fontId="19" fillId="0" borderId="0" xfId="6"/>
    <xf numFmtId="0" fontId="19" fillId="0" borderId="0" xfId="6" applyAlignment="1">
      <alignment vertical="center"/>
    </xf>
    <xf numFmtId="0" fontId="37" fillId="0" borderId="0" xfId="0" applyFont="1" applyAlignment="1" applyProtection="1">
      <alignment horizontal="center"/>
      <protection hidden="1"/>
    </xf>
    <xf numFmtId="0" fontId="38" fillId="0" borderId="0" xfId="0" applyFont="1" applyAlignment="1">
      <alignment horizontal="center"/>
    </xf>
    <xf numFmtId="0" fontId="38" fillId="0" borderId="0" xfId="0" applyFont="1" applyProtection="1">
      <protection hidden="1"/>
    </xf>
    <xf numFmtId="0" fontId="41" fillId="0" borderId="0" xfId="0" applyFont="1" applyAlignment="1">
      <alignment horizontal="center"/>
    </xf>
    <xf numFmtId="0" fontId="42" fillId="0" borderId="0" xfId="0" applyFont="1" applyAlignment="1" applyProtection="1">
      <alignment horizontal="center"/>
      <protection locked="0" hidden="1"/>
    </xf>
    <xf numFmtId="0" fontId="43" fillId="0" borderId="0" xfId="0" applyFont="1" applyAlignment="1" applyProtection="1">
      <alignment horizontal="center"/>
      <protection hidden="1"/>
    </xf>
    <xf numFmtId="0" fontId="44" fillId="0" borderId="62" xfId="0" applyFont="1" applyBorder="1" applyAlignment="1" applyProtection="1">
      <alignment horizontal="center" vertical="center"/>
      <protection hidden="1"/>
    </xf>
    <xf numFmtId="0" fontId="44" fillId="0" borderId="63" xfId="0" applyFont="1" applyBorder="1" applyAlignment="1" applyProtection="1">
      <alignment horizontal="center" vertical="center"/>
      <protection hidden="1"/>
    </xf>
    <xf numFmtId="0" fontId="38" fillId="0" borderId="64" xfId="0" applyFont="1" applyBorder="1" applyAlignment="1" applyProtection="1">
      <alignment horizontal="center" vertical="center"/>
      <protection hidden="1"/>
    </xf>
    <xf numFmtId="0" fontId="45" fillId="4" borderId="65" xfId="0" applyFont="1" applyFill="1" applyBorder="1" applyAlignment="1" applyProtection="1">
      <alignment horizontal="center" vertical="center"/>
      <protection hidden="1"/>
    </xf>
    <xf numFmtId="0" fontId="45" fillId="4" borderId="66" xfId="0" applyFont="1" applyFill="1" applyBorder="1" applyAlignment="1" applyProtection="1">
      <alignment horizontal="center"/>
      <protection hidden="1"/>
    </xf>
    <xf numFmtId="0" fontId="45" fillId="4" borderId="67" xfId="0" applyFont="1" applyFill="1" applyBorder="1" applyAlignment="1" applyProtection="1">
      <alignment horizontal="center"/>
      <protection hidden="1"/>
    </xf>
    <xf numFmtId="0" fontId="45" fillId="4" borderId="68" xfId="0" applyFont="1" applyFill="1" applyBorder="1" applyAlignment="1" applyProtection="1">
      <alignment horizontal="center"/>
      <protection locked="0" hidden="1"/>
    </xf>
    <xf numFmtId="0" fontId="45" fillId="4" borderId="69" xfId="0" applyFont="1" applyFill="1" applyBorder="1" applyAlignment="1" applyProtection="1">
      <alignment horizontal="center" vertical="center"/>
      <protection hidden="1"/>
    </xf>
    <xf numFmtId="0" fontId="45" fillId="4" borderId="70" xfId="0" applyFont="1" applyFill="1" applyBorder="1" applyAlignment="1" applyProtection="1">
      <alignment horizontal="center"/>
      <protection hidden="1"/>
    </xf>
    <xf numFmtId="0" fontId="45" fillId="4" borderId="70" xfId="0" applyFont="1" applyFill="1" applyBorder="1" applyAlignment="1" applyProtection="1">
      <alignment horizontal="center"/>
      <protection locked="0" hidden="1"/>
    </xf>
    <xf numFmtId="0" fontId="45" fillId="4" borderId="71" xfId="0" applyFont="1" applyFill="1" applyBorder="1" applyAlignment="1" applyProtection="1">
      <alignment horizontal="center" vertical="center"/>
      <protection hidden="1"/>
    </xf>
    <xf numFmtId="0" fontId="46" fillId="4" borderId="72" xfId="0" applyFont="1" applyFill="1" applyBorder="1" applyAlignment="1" applyProtection="1">
      <alignment horizontal="center" vertical="center"/>
      <protection locked="0" hidden="1"/>
    </xf>
    <xf numFmtId="0" fontId="47" fillId="0" borderId="0" xfId="0" applyFont="1" applyAlignment="1" applyProtection="1">
      <alignment horizontal="center"/>
      <protection hidden="1"/>
    </xf>
    <xf numFmtId="37" fontId="48" fillId="0" borderId="0" xfId="3" applyFont="1" applyAlignment="1" applyProtection="1">
      <alignment vertical="center"/>
      <protection hidden="1"/>
    </xf>
    <xf numFmtId="37" fontId="49" fillId="0" borderId="0" xfId="3" applyFont="1" applyAlignment="1" applyProtection="1">
      <alignment vertical="center"/>
      <protection hidden="1"/>
    </xf>
    <xf numFmtId="37" fontId="49" fillId="0" borderId="16" xfId="3" applyFont="1" applyBorder="1" applyAlignment="1" applyProtection="1">
      <alignment vertical="center"/>
      <protection hidden="1"/>
    </xf>
    <xf numFmtId="37" fontId="27" fillId="0" borderId="47" xfId="3" applyFont="1" applyBorder="1" applyAlignment="1" applyProtection="1">
      <alignment horizontal="center" vertical="center"/>
      <protection hidden="1"/>
    </xf>
    <xf numFmtId="37" fontId="50" fillId="0" borderId="47" xfId="3" applyFont="1" applyBorder="1" applyAlignment="1" applyProtection="1">
      <alignment horizontal="center" vertical="center"/>
      <protection hidden="1"/>
    </xf>
    <xf numFmtId="0" fontId="9" fillId="0" borderId="0" xfId="0" applyFont="1" applyProtection="1">
      <protection hidden="1"/>
    </xf>
    <xf numFmtId="0" fontId="51" fillId="0" borderId="0" xfId="3" applyNumberFormat="1" applyFont="1" applyAlignment="1" applyProtection="1">
      <alignment horizontal="center" vertical="center"/>
      <protection hidden="1"/>
    </xf>
    <xf numFmtId="37" fontId="52" fillId="0" borderId="0" xfId="3" applyFont="1" applyAlignment="1" applyProtection="1">
      <alignment vertical="center"/>
      <protection hidden="1"/>
    </xf>
    <xf numFmtId="37" fontId="52" fillId="0" borderId="29" xfId="3" applyFont="1" applyBorder="1" applyAlignment="1" applyProtection="1">
      <alignment vertical="center"/>
      <protection hidden="1"/>
    </xf>
    <xf numFmtId="37" fontId="49" fillId="0" borderId="29" xfId="3" applyFont="1" applyBorder="1" applyAlignment="1" applyProtection="1">
      <alignment vertical="center"/>
      <protection hidden="1"/>
    </xf>
    <xf numFmtId="37" fontId="53" fillId="0" borderId="29" xfId="3" applyFont="1" applyBorder="1" applyAlignment="1" applyProtection="1">
      <alignment vertical="center"/>
      <protection hidden="1"/>
    </xf>
    <xf numFmtId="0" fontId="37" fillId="0" borderId="0" xfId="0" quotePrefix="1" applyFont="1" applyAlignment="1" applyProtection="1">
      <alignment horizontal="center"/>
      <protection hidden="1"/>
    </xf>
    <xf numFmtId="37" fontId="52" fillId="0" borderId="0" xfId="3" applyFont="1" applyAlignment="1" applyProtection="1">
      <alignment horizontal="center" vertical="center"/>
      <protection hidden="1"/>
    </xf>
    <xf numFmtId="37" fontId="54" fillId="0" borderId="73" xfId="3" applyFont="1" applyBorder="1" applyAlignment="1" applyProtection="1">
      <alignment vertical="center"/>
      <protection hidden="1"/>
    </xf>
    <xf numFmtId="37" fontId="49" fillId="0" borderId="73" xfId="3" applyFont="1" applyBorder="1" applyAlignment="1" applyProtection="1">
      <alignment vertical="center"/>
      <protection locked="0" hidden="1"/>
    </xf>
    <xf numFmtId="37" fontId="54" fillId="0" borderId="73" xfId="3" applyFont="1" applyBorder="1" applyAlignment="1" applyProtection="1">
      <alignment vertical="center"/>
      <protection locked="0" hidden="1"/>
    </xf>
    <xf numFmtId="0" fontId="55" fillId="0" borderId="0" xfId="0" applyFont="1" applyProtection="1">
      <protection hidden="1"/>
    </xf>
    <xf numFmtId="0" fontId="56" fillId="0" borderId="0" xfId="0" applyFont="1" applyProtection="1">
      <protection hidden="1"/>
    </xf>
    <xf numFmtId="37" fontId="54" fillId="0" borderId="74" xfId="3" applyFont="1" applyBorder="1" applyAlignment="1" applyProtection="1">
      <alignment vertical="center"/>
      <protection hidden="1"/>
    </xf>
    <xf numFmtId="37" fontId="52" fillId="10" borderId="17" xfId="3" applyFont="1" applyFill="1" applyBorder="1" applyAlignment="1" applyProtection="1">
      <alignment vertical="center"/>
      <protection hidden="1"/>
    </xf>
    <xf numFmtId="37" fontId="57" fillId="10" borderId="75" xfId="3" applyFont="1" applyFill="1" applyBorder="1" applyAlignment="1" applyProtection="1">
      <alignment vertical="center"/>
      <protection hidden="1"/>
    </xf>
    <xf numFmtId="37" fontId="52" fillId="10" borderId="76" xfId="3" applyFont="1" applyFill="1" applyBorder="1" applyAlignment="1">
      <alignment vertical="center"/>
    </xf>
    <xf numFmtId="37" fontId="57" fillId="10" borderId="76" xfId="3" applyFont="1" applyFill="1" applyBorder="1" applyAlignment="1">
      <alignment vertical="center"/>
    </xf>
    <xf numFmtId="0" fontId="38" fillId="0" borderId="0" xfId="0" applyFont="1"/>
    <xf numFmtId="37" fontId="57" fillId="0" borderId="19" xfId="3" applyFont="1" applyBorder="1" applyAlignment="1" applyProtection="1">
      <alignment vertical="center"/>
      <protection hidden="1"/>
    </xf>
    <xf numFmtId="37" fontId="49" fillId="0" borderId="19" xfId="3" applyFont="1" applyBorder="1" applyAlignment="1" applyProtection="1">
      <alignment vertical="center"/>
      <protection hidden="1"/>
    </xf>
    <xf numFmtId="37" fontId="54" fillId="0" borderId="19" xfId="3" applyFont="1" applyBorder="1" applyAlignment="1" applyProtection="1">
      <alignment vertical="center"/>
      <protection hidden="1"/>
    </xf>
    <xf numFmtId="37" fontId="54" fillId="0" borderId="74" xfId="3" applyFont="1" applyBorder="1" applyAlignment="1" applyProtection="1">
      <alignment vertical="center"/>
      <protection locked="0"/>
    </xf>
    <xf numFmtId="37" fontId="49" fillId="0" borderId="74" xfId="3" applyFont="1" applyBorder="1" applyAlignment="1" applyProtection="1">
      <alignment vertical="center"/>
      <protection locked="0" hidden="1"/>
    </xf>
    <xf numFmtId="37" fontId="54" fillId="0" borderId="74" xfId="3" applyFont="1" applyBorder="1" applyAlignment="1" applyProtection="1">
      <alignment vertical="center"/>
      <protection locked="0" hidden="1"/>
    </xf>
    <xf numFmtId="37" fontId="52" fillId="0" borderId="13" xfId="3" applyFont="1" applyBorder="1" applyAlignment="1" applyProtection="1">
      <alignment vertical="center"/>
      <protection hidden="1"/>
    </xf>
    <xf numFmtId="37" fontId="49" fillId="0" borderId="74" xfId="3" applyFont="1" applyBorder="1" applyAlignment="1" applyProtection="1">
      <alignment vertical="center"/>
      <protection locked="0"/>
    </xf>
    <xf numFmtId="37" fontId="52" fillId="10" borderId="10" xfId="3" applyFont="1" applyFill="1" applyBorder="1" applyAlignment="1" applyProtection="1">
      <alignment vertical="center"/>
      <protection hidden="1"/>
    </xf>
    <xf numFmtId="37" fontId="57" fillId="10" borderId="77" xfId="3" applyFont="1" applyFill="1" applyBorder="1" applyAlignment="1" applyProtection="1">
      <alignment vertical="center"/>
      <protection hidden="1"/>
    </xf>
    <xf numFmtId="37" fontId="52" fillId="10" borderId="78" xfId="3" applyFont="1" applyFill="1" applyBorder="1" applyAlignment="1">
      <alignment vertical="center"/>
    </xf>
    <xf numFmtId="37" fontId="57" fillId="10" borderId="78" xfId="3" applyFont="1" applyFill="1" applyBorder="1" applyAlignment="1">
      <alignment vertical="center"/>
    </xf>
    <xf numFmtId="37" fontId="51" fillId="0" borderId="0" xfId="3" applyFont="1" applyAlignment="1" applyProtection="1">
      <alignment horizontal="center" vertical="center"/>
      <protection hidden="1"/>
    </xf>
    <xf numFmtId="37" fontId="52" fillId="11" borderId="47" xfId="3" applyFont="1" applyFill="1" applyBorder="1" applyAlignment="1" applyProtection="1">
      <alignment vertical="center"/>
      <protection hidden="1"/>
    </xf>
    <xf numFmtId="37" fontId="57" fillId="11" borderId="47" xfId="3" applyFont="1" applyFill="1" applyBorder="1" applyAlignment="1" applyProtection="1">
      <alignment vertical="center"/>
      <protection hidden="1"/>
    </xf>
    <xf numFmtId="37" fontId="52" fillId="11" borderId="47" xfId="3" applyFont="1" applyFill="1" applyBorder="1" applyAlignment="1">
      <alignment vertical="center"/>
    </xf>
    <xf numFmtId="37" fontId="57" fillId="11" borderId="47" xfId="3" applyFont="1" applyFill="1" applyBorder="1" applyAlignment="1">
      <alignment vertical="center"/>
    </xf>
    <xf numFmtId="37" fontId="57" fillId="0" borderId="29" xfId="3" applyFont="1" applyBorder="1" applyAlignment="1" applyProtection="1">
      <alignment vertical="center"/>
      <protection hidden="1"/>
    </xf>
    <xf numFmtId="37" fontId="54" fillId="0" borderId="29" xfId="3" applyFont="1" applyBorder="1" applyAlignment="1" applyProtection="1">
      <alignment vertical="center"/>
      <protection hidden="1"/>
    </xf>
    <xf numFmtId="37" fontId="52" fillId="10" borderId="76" xfId="3" applyFont="1" applyFill="1" applyBorder="1" applyAlignment="1" applyProtection="1">
      <alignment vertical="center"/>
      <protection hidden="1"/>
    </xf>
    <xf numFmtId="37" fontId="57" fillId="10" borderId="76" xfId="3" applyFont="1" applyFill="1" applyBorder="1" applyAlignment="1" applyProtection="1">
      <alignment vertical="center"/>
      <protection hidden="1"/>
    </xf>
    <xf numFmtId="37" fontId="52" fillId="11" borderId="17" xfId="3" applyFont="1" applyFill="1" applyBorder="1" applyAlignment="1" applyProtection="1">
      <alignment vertical="center"/>
      <protection hidden="1"/>
    </xf>
    <xf numFmtId="37" fontId="57" fillId="11" borderId="18" xfId="3" applyFont="1" applyFill="1" applyBorder="1" applyAlignment="1" applyProtection="1">
      <alignment vertical="center"/>
      <protection hidden="1"/>
    </xf>
    <xf numFmtId="37" fontId="52" fillId="11" borderId="19" xfId="3" applyFont="1" applyFill="1" applyBorder="1" applyAlignment="1" applyProtection="1">
      <alignment vertical="center"/>
      <protection hidden="1"/>
    </xf>
    <xf numFmtId="37" fontId="54" fillId="0" borderId="78" xfId="3" applyFont="1" applyBorder="1" applyAlignment="1" applyProtection="1">
      <alignment vertical="center"/>
      <protection hidden="1"/>
    </xf>
    <xf numFmtId="37" fontId="49" fillId="0" borderId="78" xfId="3" applyFont="1" applyBorder="1" applyAlignment="1" applyProtection="1">
      <alignment vertical="center"/>
      <protection locked="0" hidden="1"/>
    </xf>
    <xf numFmtId="37" fontId="54" fillId="0" borderId="78" xfId="3" applyFont="1" applyBorder="1" applyAlignment="1" applyProtection="1">
      <alignment vertical="center"/>
      <protection locked="0" hidden="1"/>
    </xf>
    <xf numFmtId="37" fontId="54" fillId="0" borderId="0" xfId="3" applyFont="1" applyAlignment="1" applyProtection="1">
      <alignment vertical="center"/>
      <protection hidden="1"/>
    </xf>
    <xf numFmtId="37" fontId="58" fillId="0" borderId="0" xfId="3" applyFont="1" applyAlignment="1" applyProtection="1">
      <alignment vertical="center"/>
      <protection hidden="1"/>
    </xf>
    <xf numFmtId="37" fontId="54" fillId="0" borderId="73" xfId="3" applyFont="1" applyBorder="1" applyAlignment="1" applyProtection="1">
      <alignment vertical="center"/>
      <protection locked="0"/>
    </xf>
    <xf numFmtId="37" fontId="49" fillId="0" borderId="73" xfId="3" applyFont="1" applyBorder="1" applyAlignment="1" applyProtection="1">
      <alignment vertical="center"/>
      <protection locked="0"/>
    </xf>
    <xf numFmtId="37" fontId="57" fillId="10" borderId="79" xfId="3" applyFont="1" applyFill="1" applyBorder="1" applyAlignment="1" applyProtection="1">
      <alignment vertical="center"/>
      <protection hidden="1"/>
    </xf>
    <xf numFmtId="37" fontId="52" fillId="10" borderId="74" xfId="3" applyFont="1" applyFill="1" applyBorder="1" applyAlignment="1">
      <alignment vertical="center"/>
    </xf>
    <xf numFmtId="37" fontId="57" fillId="10" borderId="74" xfId="3" applyFont="1" applyFill="1" applyBorder="1" applyAlignment="1">
      <alignment vertical="center"/>
    </xf>
    <xf numFmtId="37" fontId="49" fillId="0" borderId="74" xfId="3" applyFont="1" applyBorder="1" applyAlignment="1" applyProtection="1">
      <alignment vertical="center"/>
      <protection hidden="1"/>
    </xf>
    <xf numFmtId="37" fontId="54" fillId="0" borderId="76" xfId="3" applyFont="1" applyBorder="1" applyAlignment="1" applyProtection="1">
      <alignment vertical="center"/>
      <protection hidden="1"/>
    </xf>
    <xf numFmtId="37" fontId="49" fillId="0" borderId="76" xfId="3" applyFont="1" applyBorder="1" applyAlignment="1" applyProtection="1">
      <alignment vertical="center"/>
      <protection locked="0" hidden="1"/>
    </xf>
    <xf numFmtId="37" fontId="54" fillId="0" borderId="76" xfId="3" applyFont="1" applyBorder="1" applyAlignment="1" applyProtection="1">
      <alignment vertical="center"/>
      <protection locked="0" hidden="1"/>
    </xf>
    <xf numFmtId="0" fontId="59" fillId="0" borderId="59" xfId="0" applyFont="1" applyBorder="1" applyAlignment="1" applyProtection="1">
      <alignment horizontal="right" indent="1"/>
      <protection hidden="1"/>
    </xf>
    <xf numFmtId="37" fontId="60" fillId="0" borderId="59" xfId="0" applyNumberFormat="1" applyFont="1" applyBorder="1" applyAlignment="1" applyProtection="1">
      <alignment horizontal="center"/>
      <protection locked="0" hidden="1"/>
    </xf>
    <xf numFmtId="37" fontId="61" fillId="0" borderId="59" xfId="0" applyNumberFormat="1" applyFont="1" applyBorder="1" applyAlignment="1" applyProtection="1">
      <alignment horizontal="center"/>
      <protection locked="0" hidden="1"/>
    </xf>
    <xf numFmtId="0" fontId="59" fillId="0" borderId="61" xfId="0" applyFont="1" applyBorder="1" applyAlignment="1" applyProtection="1">
      <alignment horizontal="right" indent="1"/>
      <protection hidden="1"/>
    </xf>
    <xf numFmtId="37" fontId="60" fillId="0" borderId="61" xfId="0" applyNumberFormat="1" applyFont="1" applyBorder="1" applyAlignment="1" applyProtection="1">
      <alignment horizontal="center"/>
      <protection locked="0" hidden="1"/>
    </xf>
    <xf numFmtId="37" fontId="61" fillId="0" borderId="61" xfId="0" applyNumberFormat="1" applyFont="1" applyBorder="1" applyAlignment="1" applyProtection="1">
      <alignment horizontal="center"/>
      <protection locked="0" hidden="1"/>
    </xf>
    <xf numFmtId="37" fontId="53" fillId="0" borderId="0" xfId="3" applyFont="1" applyAlignment="1" applyProtection="1">
      <alignment vertical="center"/>
      <protection hidden="1"/>
    </xf>
    <xf numFmtId="37" fontId="18" fillId="0" borderId="0" xfId="3" applyFont="1" applyAlignment="1" applyProtection="1">
      <alignment vertical="center"/>
      <protection hidden="1"/>
    </xf>
    <xf numFmtId="37" fontId="62" fillId="0" borderId="0" xfId="3" applyFont="1" applyAlignment="1" applyProtection="1">
      <alignment vertical="center"/>
      <protection hidden="1"/>
    </xf>
    <xf numFmtId="37" fontId="49" fillId="11" borderId="19" xfId="3" applyFont="1" applyFill="1" applyBorder="1" applyAlignment="1" applyProtection="1">
      <alignment vertical="center"/>
      <protection hidden="1"/>
    </xf>
    <xf numFmtId="37" fontId="52" fillId="0" borderId="16" xfId="3" applyFont="1" applyBorder="1" applyAlignment="1" applyProtection="1">
      <alignment vertical="center"/>
      <protection hidden="1"/>
    </xf>
    <xf numFmtId="37" fontId="54" fillId="0" borderId="60" xfId="3" applyFont="1" applyBorder="1" applyAlignment="1" applyProtection="1">
      <alignment vertical="center"/>
      <protection hidden="1"/>
    </xf>
    <xf numFmtId="37" fontId="49" fillId="0" borderId="60" xfId="3" applyFont="1" applyBorder="1" applyAlignment="1" applyProtection="1">
      <alignment vertical="center"/>
      <protection locked="0" hidden="1"/>
    </xf>
    <xf numFmtId="37" fontId="52" fillId="0" borderId="14" xfId="3" applyFont="1" applyBorder="1" applyAlignment="1" applyProtection="1">
      <alignment vertical="center"/>
      <protection hidden="1"/>
    </xf>
    <xf numFmtId="37" fontId="57" fillId="0" borderId="15" xfId="3" applyFont="1" applyBorder="1" applyAlignment="1" applyProtection="1">
      <alignment vertical="center"/>
      <protection hidden="1"/>
    </xf>
    <xf numFmtId="37" fontId="49" fillId="0" borderId="61" xfId="3" applyFont="1" applyBorder="1" applyAlignment="1" applyProtection="1">
      <alignment vertical="center"/>
      <protection hidden="1"/>
    </xf>
    <xf numFmtId="37" fontId="49" fillId="0" borderId="61" xfId="3" applyFont="1" applyBorder="1" applyAlignment="1" applyProtection="1">
      <alignment vertical="center"/>
      <protection locked="0"/>
    </xf>
    <xf numFmtId="37" fontId="54" fillId="0" borderId="61" xfId="3" applyFont="1" applyBorder="1" applyAlignment="1" applyProtection="1">
      <alignment vertical="center"/>
      <protection locked="0" hidden="1"/>
    </xf>
    <xf numFmtId="37" fontId="56" fillId="0" borderId="0" xfId="0" applyNumberFormat="1" applyFont="1" applyProtection="1">
      <protection hidden="1"/>
    </xf>
    <xf numFmtId="37" fontId="64" fillId="0" borderId="0" xfId="0" applyNumberFormat="1" applyFont="1" applyProtection="1">
      <protection hidden="1"/>
    </xf>
    <xf numFmtId="0" fontId="4" fillId="0" borderId="0" xfId="0" applyFont="1" applyProtection="1">
      <protection hidden="1"/>
    </xf>
    <xf numFmtId="0" fontId="65" fillId="0" borderId="47" xfId="0" applyFont="1" applyBorder="1" applyAlignment="1" applyProtection="1">
      <alignment horizontal="right" indent="1"/>
      <protection hidden="1"/>
    </xf>
    <xf numFmtId="37" fontId="66" fillId="0" borderId="47" xfId="0" applyNumberFormat="1" applyFont="1" applyBorder="1" applyProtection="1">
      <protection hidden="1"/>
    </xf>
    <xf numFmtId="37" fontId="67" fillId="0" borderId="47" xfId="0" applyNumberFormat="1" applyFont="1" applyBorder="1" applyProtection="1">
      <protection hidden="1"/>
    </xf>
    <xf numFmtId="0" fontId="0" fillId="0" borderId="0" xfId="0" applyProtection="1">
      <protection locked="0" hidden="1"/>
    </xf>
    <xf numFmtId="0" fontId="38" fillId="0" borderId="0" xfId="0" applyFont="1" applyProtection="1">
      <protection locked="0" hidden="1"/>
    </xf>
    <xf numFmtId="0" fontId="68" fillId="0" borderId="59" xfId="0" applyFont="1" applyBorder="1" applyAlignment="1" applyProtection="1">
      <alignment horizontal="right" indent="1"/>
      <protection hidden="1"/>
    </xf>
    <xf numFmtId="1" fontId="60" fillId="0" borderId="59" xfId="0" applyNumberFormat="1" applyFont="1" applyBorder="1" applyAlignment="1" applyProtection="1">
      <alignment horizontal="center"/>
      <protection locked="0" hidden="1"/>
    </xf>
    <xf numFmtId="1" fontId="61" fillId="0" borderId="59" xfId="0" applyNumberFormat="1" applyFont="1" applyBorder="1" applyAlignment="1" applyProtection="1">
      <alignment horizontal="center"/>
      <protection locked="0" hidden="1"/>
    </xf>
    <xf numFmtId="0" fontId="68" fillId="0" borderId="61" xfId="0" applyFont="1" applyBorder="1" applyAlignment="1" applyProtection="1">
      <alignment horizontal="right" indent="1"/>
      <protection hidden="1"/>
    </xf>
    <xf numFmtId="1" fontId="60" fillId="0" borderId="60" xfId="0" applyNumberFormat="1" applyFont="1" applyBorder="1" applyAlignment="1" applyProtection="1">
      <alignment horizontal="center"/>
      <protection locked="0" hidden="1"/>
    </xf>
    <xf numFmtId="1" fontId="61" fillId="0" borderId="60" xfId="0" applyNumberFormat="1" applyFont="1" applyBorder="1" applyAlignment="1" applyProtection="1">
      <alignment horizontal="center"/>
      <protection locked="0" hidden="1"/>
    </xf>
    <xf numFmtId="0" fontId="68" fillId="0" borderId="60" xfId="0" applyFont="1" applyBorder="1" applyAlignment="1" applyProtection="1">
      <alignment horizontal="right" indent="1"/>
      <protection hidden="1"/>
    </xf>
    <xf numFmtId="0" fontId="60" fillId="0" borderId="59" xfId="0" applyFont="1" applyBorder="1" applyAlignment="1" applyProtection="1">
      <alignment horizontal="center"/>
      <protection locked="0" hidden="1"/>
    </xf>
    <xf numFmtId="0" fontId="61" fillId="0" borderId="59" xfId="0" applyFont="1" applyBorder="1" applyAlignment="1" applyProtection="1">
      <alignment horizontal="center"/>
      <protection locked="0" hidden="1"/>
    </xf>
    <xf numFmtId="169" fontId="60" fillId="0" borderId="61" xfId="0" applyNumberFormat="1" applyFont="1" applyBorder="1" applyAlignment="1" applyProtection="1">
      <alignment horizontal="center"/>
      <protection locked="0" hidden="1"/>
    </xf>
    <xf numFmtId="169" fontId="61" fillId="0" borderId="61" xfId="0" applyNumberFormat="1" applyFont="1" applyBorder="1" applyAlignment="1" applyProtection="1">
      <alignment horizontal="center"/>
      <protection locked="0" hidden="1"/>
    </xf>
    <xf numFmtId="0" fontId="69" fillId="0" borderId="0" xfId="0" applyFont="1" applyAlignment="1" applyProtection="1">
      <alignment horizontal="center"/>
      <protection hidden="1"/>
    </xf>
    <xf numFmtId="0" fontId="69" fillId="0" borderId="0" xfId="0" applyFont="1" applyProtection="1">
      <protection hidden="1"/>
    </xf>
    <xf numFmtId="0" fontId="55" fillId="0" borderId="0" xfId="0" applyFont="1" applyAlignment="1" applyProtection="1">
      <alignment horizontal="center"/>
      <protection hidden="1"/>
    </xf>
    <xf numFmtId="37" fontId="70" fillId="0" borderId="0" xfId="0" applyNumberFormat="1" applyFont="1" applyAlignment="1" applyProtection="1">
      <alignment vertical="top" wrapText="1"/>
      <protection hidden="1"/>
    </xf>
    <xf numFmtId="37" fontId="61" fillId="0" borderId="0" xfId="0" applyNumberFormat="1" applyFont="1" applyAlignment="1" applyProtection="1">
      <alignment vertical="top" wrapText="1"/>
      <protection hidden="1"/>
    </xf>
    <xf numFmtId="0" fontId="71" fillId="0" borderId="0" xfId="0" applyFont="1" applyProtection="1">
      <protection hidden="1"/>
    </xf>
    <xf numFmtId="0" fontId="4" fillId="0" borderId="0" xfId="0" applyFont="1"/>
    <xf numFmtId="37" fontId="72" fillId="0" borderId="80" xfId="3" applyFont="1" applyBorder="1" applyAlignment="1" applyProtection="1">
      <alignment horizontal="left" vertical="center"/>
      <protection locked="0"/>
    </xf>
    <xf numFmtId="3" fontId="73" fillId="0" borderId="80" xfId="0" applyNumberFormat="1" applyFont="1" applyBorder="1" applyAlignment="1" applyProtection="1">
      <alignment horizontal="center" vertical="center"/>
      <protection locked="0"/>
    </xf>
    <xf numFmtId="3" fontId="74" fillId="0" borderId="0" xfId="0" applyNumberFormat="1" applyFont="1" applyAlignment="1" applyProtection="1">
      <alignment horizontal="left" vertical="center"/>
      <protection locked="0"/>
    </xf>
    <xf numFmtId="3" fontId="74" fillId="0" borderId="81" xfId="0" applyNumberFormat="1" applyFont="1" applyBorder="1" applyAlignment="1" applyProtection="1">
      <alignment horizontal="left" vertical="center"/>
      <protection locked="0"/>
    </xf>
    <xf numFmtId="3" fontId="75" fillId="0" borderId="81" xfId="0" applyNumberFormat="1" applyFont="1" applyBorder="1" applyAlignment="1" applyProtection="1">
      <alignment horizontal="center" vertical="center"/>
      <protection locked="0" hidden="1"/>
    </xf>
    <xf numFmtId="3" fontId="76" fillId="0" borderId="0" xfId="0" applyNumberFormat="1" applyFont="1" applyAlignment="1" applyProtection="1">
      <alignment horizontal="left" vertical="center"/>
      <protection hidden="1"/>
    </xf>
    <xf numFmtId="1" fontId="77" fillId="0" borderId="0" xfId="0" applyNumberFormat="1" applyFont="1" applyAlignment="1" applyProtection="1">
      <alignment horizontal="centerContinuous" vertical="center"/>
      <protection locked="0"/>
    </xf>
    <xf numFmtId="0" fontId="78" fillId="0" borderId="0" xfId="0" applyFont="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0" xfId="0" applyProtection="1">
      <protection locked="0"/>
    </xf>
    <xf numFmtId="1" fontId="79" fillId="0" borderId="0" xfId="0" applyNumberFormat="1" applyFont="1" applyAlignment="1" applyProtection="1">
      <alignment horizontal="left" vertical="center"/>
      <protection locked="0"/>
    </xf>
    <xf numFmtId="1" fontId="80" fillId="0" borderId="0" xfId="0" applyNumberFormat="1" applyFont="1" applyAlignment="1" applyProtection="1">
      <alignment horizontal="center" vertical="center"/>
      <protection locked="0"/>
    </xf>
    <xf numFmtId="1" fontId="81" fillId="0" borderId="0" xfId="0" applyNumberFormat="1" applyFont="1" applyAlignment="1" applyProtection="1">
      <alignment horizontal="right" vertical="center"/>
      <protection locked="0"/>
    </xf>
    <xf numFmtId="0" fontId="82" fillId="0" borderId="19" xfId="0" applyFont="1" applyBorder="1" applyAlignment="1">
      <alignment horizontal="centerContinuous" vertical="center"/>
    </xf>
    <xf numFmtId="0" fontId="82" fillId="0" borderId="18" xfId="0" applyFont="1" applyBorder="1" applyAlignment="1">
      <alignment horizontal="centerContinuous" vertical="center"/>
    </xf>
    <xf numFmtId="1" fontId="81" fillId="0" borderId="10" xfId="0" applyNumberFormat="1" applyFont="1" applyBorder="1" applyAlignment="1">
      <alignment horizontal="centerContinuous" vertical="center"/>
    </xf>
    <xf numFmtId="1" fontId="81" fillId="0" borderId="16" xfId="0" applyNumberFormat="1" applyFont="1" applyBorder="1" applyAlignment="1">
      <alignment horizontal="centerContinuous" vertical="center"/>
    </xf>
    <xf numFmtId="3" fontId="18" fillId="0" borderId="82" xfId="0" applyNumberFormat="1" applyFont="1" applyBorder="1" applyAlignment="1" applyProtection="1">
      <alignment horizontal="center" vertical="center"/>
      <protection locked="0" hidden="1"/>
    </xf>
    <xf numFmtId="3" fontId="18" fillId="0" borderId="83" xfId="0" applyNumberFormat="1" applyFont="1" applyBorder="1" applyAlignment="1" applyProtection="1">
      <alignment horizontal="center" vertical="center"/>
      <protection locked="0"/>
    </xf>
    <xf numFmtId="3" fontId="18" fillId="0" borderId="84" xfId="0" applyNumberFormat="1" applyFont="1" applyBorder="1" applyAlignment="1" applyProtection="1">
      <alignment horizontal="center" vertical="center"/>
      <protection locked="0"/>
    </xf>
    <xf numFmtId="0" fontId="83" fillId="0" borderId="82" xfId="0" applyFont="1" applyBorder="1" applyAlignment="1">
      <alignment horizontal="centerContinuous" vertical="center"/>
    </xf>
    <xf numFmtId="0" fontId="83" fillId="0" borderId="11" xfId="0" applyFont="1" applyBorder="1" applyAlignment="1">
      <alignment horizontal="centerContinuous" vertical="center"/>
    </xf>
    <xf numFmtId="0" fontId="74" fillId="0" borderId="83" xfId="0" applyFont="1" applyBorder="1" applyAlignment="1">
      <alignment horizontal="centerContinuous" vertical="center"/>
    </xf>
    <xf numFmtId="0" fontId="83" fillId="0" borderId="85" xfId="0" applyFont="1" applyBorder="1" applyAlignment="1">
      <alignment horizontal="centerContinuous" vertical="center"/>
    </xf>
    <xf numFmtId="0" fontId="18" fillId="0" borderId="16" xfId="0" applyFont="1" applyBorder="1" applyAlignment="1" applyProtection="1">
      <alignment vertical="center"/>
      <protection locked="0"/>
    </xf>
    <xf numFmtId="0" fontId="18" fillId="0" borderId="11" xfId="0" applyFont="1" applyBorder="1" applyAlignment="1" applyProtection="1">
      <alignment vertical="center"/>
      <protection locked="0"/>
    </xf>
    <xf numFmtId="3" fontId="82" fillId="0" borderId="35" xfId="0" applyNumberFormat="1" applyFont="1" applyBorder="1" applyAlignment="1">
      <alignment horizontal="center" vertical="center"/>
    </xf>
    <xf numFmtId="3" fontId="82" fillId="0" borderId="88" xfId="0" applyNumberFormat="1" applyFont="1" applyBorder="1" applyAlignment="1">
      <alignment horizontal="center" vertical="center"/>
    </xf>
    <xf numFmtId="3" fontId="82" fillId="0" borderId="28" xfId="0" applyNumberFormat="1" applyFont="1" applyBorder="1" applyAlignment="1">
      <alignment horizontal="center" vertical="center"/>
    </xf>
    <xf numFmtId="0" fontId="18" fillId="10" borderId="89" xfId="0" applyFont="1" applyFill="1" applyBorder="1" applyAlignment="1">
      <alignment vertical="center"/>
    </xf>
    <xf numFmtId="37" fontId="85" fillId="10" borderId="90" xfId="9" applyFont="1" applyFill="1" applyBorder="1" applyAlignment="1">
      <alignment horizontal="center" vertical="center"/>
    </xf>
    <xf numFmtId="17" fontId="18" fillId="10" borderId="91" xfId="10" applyNumberFormat="1" applyFont="1" applyFill="1" applyBorder="1" applyAlignment="1" applyProtection="1">
      <alignment horizontal="center" vertical="center"/>
      <protection locked="0"/>
    </xf>
    <xf numFmtId="17" fontId="18" fillId="10" borderId="92" xfId="10" applyNumberFormat="1" applyFont="1" applyFill="1" applyBorder="1" applyAlignment="1" applyProtection="1">
      <alignment horizontal="center" vertical="center"/>
      <protection locked="0"/>
    </xf>
    <xf numFmtId="17" fontId="18" fillId="10" borderId="93" xfId="10" applyNumberFormat="1" applyFont="1" applyFill="1" applyBorder="1" applyAlignment="1" applyProtection="1">
      <alignment horizontal="center" vertical="center"/>
      <protection locked="0"/>
    </xf>
    <xf numFmtId="1" fontId="18" fillId="0" borderId="94" xfId="10" applyNumberFormat="1" applyFont="1" applyFill="1" applyBorder="1" applyAlignment="1" applyProtection="1">
      <alignment horizontal="center" vertical="center"/>
    </xf>
    <xf numFmtId="1" fontId="18" fillId="0" borderId="95" xfId="10" applyNumberFormat="1" applyFont="1" applyFill="1" applyBorder="1" applyAlignment="1" applyProtection="1">
      <alignment horizontal="center" vertical="center"/>
    </xf>
    <xf numFmtId="171" fontId="18" fillId="0" borderId="94" xfId="10" applyNumberFormat="1" applyFont="1" applyFill="1" applyBorder="1" applyAlignment="1" applyProtection="1">
      <alignment horizontal="center" vertical="center"/>
    </xf>
    <xf numFmtId="171" fontId="18" fillId="0" borderId="96" xfId="10" applyNumberFormat="1" applyFont="1" applyFill="1" applyBorder="1" applyAlignment="1" applyProtection="1">
      <alignment horizontal="center" vertical="center"/>
    </xf>
    <xf numFmtId="171" fontId="18" fillId="0" borderId="95" xfId="10" applyNumberFormat="1" applyFont="1" applyFill="1" applyBorder="1" applyAlignment="1" applyProtection="1">
      <alignment horizontal="center" vertical="center"/>
    </xf>
    <xf numFmtId="0" fontId="18" fillId="0" borderId="0" xfId="0" applyFont="1" applyAlignment="1" applyProtection="1">
      <alignment vertical="center"/>
      <protection locked="0"/>
    </xf>
    <xf numFmtId="0" fontId="18" fillId="0" borderId="13" xfId="0" applyFont="1" applyBorder="1" applyAlignment="1" applyProtection="1">
      <alignment vertical="center"/>
      <protection locked="0"/>
    </xf>
    <xf numFmtId="0" fontId="86" fillId="0" borderId="12" xfId="0" applyFont="1" applyBorder="1" applyAlignment="1">
      <alignment vertical="center"/>
    </xf>
    <xf numFmtId="0" fontId="86" fillId="0" borderId="97" xfId="0" applyFont="1" applyBorder="1" applyAlignment="1">
      <alignment vertical="center"/>
    </xf>
    <xf numFmtId="167" fontId="86" fillId="0" borderId="98" xfId="0" applyNumberFormat="1" applyFont="1" applyBorder="1" applyAlignment="1">
      <alignment vertical="center"/>
    </xf>
    <xf numFmtId="0" fontId="18" fillId="0" borderId="99" xfId="0" applyFont="1" applyBorder="1" applyAlignment="1">
      <alignment horizontal="left" vertical="center"/>
    </xf>
    <xf numFmtId="0" fontId="87" fillId="0" borderId="100" xfId="0" applyFont="1" applyBorder="1" applyAlignment="1">
      <alignment horizontal="left" vertical="center"/>
    </xf>
    <xf numFmtId="3" fontId="18" fillId="0" borderId="101" xfId="10" applyNumberFormat="1" applyFont="1" applyFill="1" applyBorder="1" applyAlignment="1" applyProtection="1">
      <alignment horizontal="center" vertical="center"/>
      <protection locked="0"/>
    </xf>
    <xf numFmtId="3" fontId="18" fillId="0" borderId="102" xfId="10" applyNumberFormat="1" applyFont="1" applyFill="1" applyBorder="1" applyAlignment="1" applyProtection="1">
      <alignment horizontal="center" vertical="center"/>
      <protection locked="0"/>
    </xf>
    <xf numFmtId="3" fontId="18" fillId="0" borderId="103" xfId="10" applyNumberFormat="1" applyFont="1" applyFill="1" applyBorder="1" applyAlignment="1" applyProtection="1">
      <alignment horizontal="center" vertical="center"/>
      <protection locked="0"/>
    </xf>
    <xf numFmtId="0" fontId="87" fillId="0" borderId="104" xfId="0" applyFont="1" applyBorder="1" applyAlignment="1">
      <alignment horizontal="center" vertical="center"/>
    </xf>
    <xf numFmtId="0" fontId="87" fillId="0" borderId="105" xfId="0" applyFont="1" applyBorder="1" applyAlignment="1">
      <alignment horizontal="center" vertical="center"/>
    </xf>
    <xf numFmtId="0" fontId="87" fillId="0" borderId="106" xfId="0" applyFont="1" applyBorder="1" applyAlignment="1">
      <alignment horizontal="center" vertical="center"/>
    </xf>
    <xf numFmtId="172" fontId="18" fillId="0" borderId="0" xfId="5" applyNumberFormat="1" applyFont="1" applyFill="1" applyBorder="1" applyAlignment="1" applyProtection="1">
      <alignment vertical="center"/>
      <protection locked="0"/>
    </xf>
    <xf numFmtId="0" fontId="88" fillId="0" borderId="12" xfId="0" applyFont="1" applyBorder="1" applyAlignment="1">
      <alignment vertical="center"/>
    </xf>
    <xf numFmtId="1" fontId="18" fillId="0" borderId="0" xfId="0" applyNumberFormat="1" applyFont="1" applyAlignment="1">
      <alignment vertical="center"/>
    </xf>
    <xf numFmtId="3" fontId="18" fillId="0" borderId="22" xfId="0" applyNumberFormat="1" applyFont="1" applyBorder="1" applyAlignment="1">
      <alignment horizontal="center" vertical="center"/>
    </xf>
    <xf numFmtId="3" fontId="18" fillId="0" borderId="107" xfId="0" applyNumberFormat="1" applyFont="1" applyBorder="1" applyAlignment="1">
      <alignment horizontal="center" vertical="center"/>
    </xf>
    <xf numFmtId="3" fontId="18" fillId="0" borderId="77" xfId="0" applyNumberFormat="1" applyFont="1" applyBorder="1" applyAlignment="1">
      <alignment horizontal="center" vertical="center"/>
    </xf>
    <xf numFmtId="9" fontId="87" fillId="0" borderId="108" xfId="5" applyFont="1" applyFill="1" applyBorder="1" applyAlignment="1" applyProtection="1">
      <alignment horizontal="center" vertical="center"/>
    </xf>
    <xf numFmtId="9" fontId="87" fillId="0" borderId="109" xfId="5" applyFont="1" applyFill="1" applyBorder="1" applyAlignment="1" applyProtection="1">
      <alignment horizontal="center" vertical="center"/>
    </xf>
    <xf numFmtId="9" fontId="87" fillId="0" borderId="108" xfId="0" applyNumberFormat="1" applyFont="1" applyBorder="1" applyAlignment="1">
      <alignment horizontal="center" vertical="center"/>
    </xf>
    <xf numFmtId="9" fontId="87" fillId="0" borderId="110" xfId="5" applyFont="1" applyFill="1" applyBorder="1" applyAlignment="1" applyProtection="1">
      <alignment horizontal="center" vertical="center"/>
    </xf>
    <xf numFmtId="1" fontId="88" fillId="0" borderId="12" xfId="0" applyNumberFormat="1" applyFont="1" applyBorder="1" applyAlignment="1">
      <alignment vertical="center"/>
    </xf>
    <xf numFmtId="3" fontId="18" fillId="0" borderId="12" xfId="10" applyNumberFormat="1" applyFont="1" applyFill="1" applyBorder="1" applyAlignment="1" applyProtection="1">
      <alignment horizontal="center" vertical="center"/>
    </xf>
    <xf numFmtId="3" fontId="18" fillId="0" borderId="0" xfId="10" applyNumberFormat="1" applyFont="1" applyFill="1" applyBorder="1" applyAlignment="1" applyProtection="1">
      <alignment horizontal="center" vertical="center"/>
    </xf>
    <xf numFmtId="0" fontId="86" fillId="0" borderId="14" xfId="0" applyFont="1" applyBorder="1" applyAlignment="1">
      <alignment vertical="center"/>
    </xf>
    <xf numFmtId="3" fontId="74" fillId="0" borderId="111" xfId="0" applyNumberFormat="1" applyFont="1" applyBorder="1" applyAlignment="1">
      <alignment horizontal="left" vertical="center"/>
    </xf>
    <xf numFmtId="3" fontId="86" fillId="0" borderId="112" xfId="11" applyNumberFormat="1" applyFont="1" applyBorder="1" applyAlignment="1" applyProtection="1">
      <alignment vertical="center"/>
    </xf>
    <xf numFmtId="0" fontId="89" fillId="10" borderId="89" xfId="0" applyFont="1" applyFill="1" applyBorder="1" applyAlignment="1">
      <alignment vertical="center"/>
    </xf>
    <xf numFmtId="1" fontId="89" fillId="10" borderId="90" xfId="0" applyNumberFormat="1" applyFont="1" applyFill="1" applyBorder="1" applyAlignment="1">
      <alignment vertical="center"/>
    </xf>
    <xf numFmtId="3" fontId="89" fillId="10" borderId="89" xfId="10" applyNumberFormat="1" applyFont="1" applyFill="1" applyBorder="1" applyAlignment="1" applyProtection="1">
      <alignment horizontal="center" vertical="center"/>
    </xf>
    <xf numFmtId="3" fontId="89" fillId="10" borderId="90" xfId="10" applyNumberFormat="1" applyFont="1" applyFill="1" applyBorder="1" applyAlignment="1" applyProtection="1">
      <alignment horizontal="center" vertical="center"/>
    </xf>
    <xf numFmtId="9" fontId="90" fillId="10" borderId="113" xfId="5" applyFont="1" applyFill="1" applyBorder="1" applyAlignment="1" applyProtection="1">
      <alignment horizontal="center" vertical="center"/>
    </xf>
    <xf numFmtId="9" fontId="90" fillId="10" borderId="114" xfId="5" applyFont="1" applyFill="1" applyBorder="1" applyAlignment="1" applyProtection="1">
      <alignment horizontal="center" vertical="center"/>
    </xf>
    <xf numFmtId="9" fontId="90" fillId="10" borderId="115" xfId="5" applyFont="1" applyFill="1" applyBorder="1" applyAlignment="1" applyProtection="1">
      <alignment horizontal="center" vertical="center"/>
    </xf>
    <xf numFmtId="9" fontId="82" fillId="0" borderId="10" xfId="0" applyNumberFormat="1" applyFont="1" applyBorder="1" applyAlignment="1" applyProtection="1">
      <alignment horizontal="centerContinuous" vertical="center" wrapText="1"/>
      <protection locked="0"/>
    </xf>
    <xf numFmtId="0" fontId="86" fillId="0" borderId="0" xfId="0" applyFont="1" applyAlignment="1" applyProtection="1">
      <alignment horizontal="centerContinuous" vertical="center" wrapText="1"/>
      <protection locked="0"/>
    </xf>
    <xf numFmtId="3" fontId="82" fillId="0" borderId="0" xfId="10" applyNumberFormat="1" applyFont="1" applyFill="1" applyBorder="1" applyAlignment="1" applyProtection="1">
      <alignment horizontal="center" vertical="center"/>
    </xf>
    <xf numFmtId="174" fontId="82" fillId="0" borderId="0" xfId="10" applyNumberFormat="1" applyFont="1" applyFill="1" applyBorder="1" applyAlignment="1" applyProtection="1">
      <alignment horizontal="center" vertical="center"/>
      <protection locked="0"/>
    </xf>
    <xf numFmtId="171" fontId="91" fillId="8" borderId="13" xfId="10" applyNumberFormat="1" applyFont="1" applyFill="1" applyBorder="1" applyAlignment="1" applyProtection="1">
      <alignment vertical="center"/>
      <protection locked="0"/>
    </xf>
    <xf numFmtId="0" fontId="18" fillId="0" borderId="0" xfId="0" applyFont="1" applyAlignment="1">
      <alignment vertical="center"/>
    </xf>
    <xf numFmtId="9" fontId="92" fillId="0" borderId="12" xfId="0" applyNumberFormat="1" applyFont="1" applyBorder="1" applyAlignment="1" applyProtection="1">
      <alignment horizontal="centerContinuous" vertical="center"/>
      <protection locked="0"/>
    </xf>
    <xf numFmtId="9" fontId="92" fillId="0" borderId="0" xfId="0" applyNumberFormat="1" applyFont="1" applyAlignment="1" applyProtection="1">
      <alignment horizontal="centerContinuous" vertical="center"/>
      <protection locked="0"/>
    </xf>
    <xf numFmtId="9" fontId="86" fillId="0" borderId="0" xfId="0" applyNumberFormat="1" applyFont="1" applyAlignment="1" applyProtection="1">
      <alignment vertical="center"/>
      <protection locked="0"/>
    </xf>
    <xf numFmtId="9" fontId="86" fillId="0" borderId="13" xfId="0" applyNumberFormat="1" applyFont="1" applyBorder="1" applyAlignment="1" applyProtection="1">
      <alignment vertical="center"/>
      <protection locked="0"/>
    </xf>
    <xf numFmtId="0" fontId="89" fillId="10" borderId="90" xfId="0" applyFont="1" applyFill="1" applyBorder="1" applyAlignment="1">
      <alignment vertical="center"/>
    </xf>
    <xf numFmtId="9" fontId="86" fillId="0" borderId="12" xfId="0" applyNumberFormat="1" applyFont="1" applyBorder="1" applyAlignment="1" applyProtection="1">
      <alignment vertical="center"/>
      <protection locked="0"/>
    </xf>
    <xf numFmtId="175" fontId="86" fillId="0" borderId="0" xfId="5" applyNumberFormat="1" applyFont="1" applyFill="1" applyBorder="1" applyAlignment="1" applyProtection="1">
      <alignment horizontal="right" vertical="center"/>
    </xf>
    <xf numFmtId="175" fontId="86" fillId="0" borderId="0" xfId="5" applyNumberFormat="1" applyFont="1" applyFill="1" applyBorder="1" applyAlignment="1" applyProtection="1">
      <alignment horizontal="right" vertical="center"/>
      <protection locked="0"/>
    </xf>
    <xf numFmtId="167" fontId="86" fillId="0" borderId="13" xfId="5"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protection locked="0"/>
    </xf>
    <xf numFmtId="1" fontId="87" fillId="0" borderId="0" xfId="0" applyNumberFormat="1" applyFont="1" applyAlignment="1">
      <alignment horizontal="left" vertical="center"/>
    </xf>
    <xf numFmtId="0" fontId="86" fillId="0" borderId="0" xfId="0" applyFont="1" applyAlignment="1">
      <alignment vertical="center"/>
    </xf>
    <xf numFmtId="0" fontId="86" fillId="0" borderId="0" xfId="0" applyFont="1" applyAlignment="1" applyProtection="1">
      <alignment vertical="center"/>
      <protection locked="0"/>
    </xf>
    <xf numFmtId="0" fontId="86" fillId="0" borderId="13" xfId="0" applyFont="1" applyBorder="1" applyAlignment="1" applyProtection="1">
      <alignment vertical="center"/>
      <protection locked="0"/>
    </xf>
    <xf numFmtId="176" fontId="86" fillId="0" borderId="0" xfId="10" applyNumberFormat="1" applyFont="1" applyFill="1" applyBorder="1" applyAlignment="1" applyProtection="1">
      <alignment horizontal="right" vertical="center"/>
    </xf>
    <xf numFmtId="176" fontId="86" fillId="0" borderId="0" xfId="10" applyNumberFormat="1" applyFont="1" applyFill="1" applyBorder="1" applyAlignment="1" applyProtection="1">
      <alignment horizontal="right" vertical="center"/>
      <protection locked="0"/>
    </xf>
    <xf numFmtId="177" fontId="86" fillId="0" borderId="13" xfId="10" applyNumberFormat="1" applyFont="1" applyFill="1" applyBorder="1" applyAlignment="1" applyProtection="1">
      <alignment vertical="center"/>
      <protection locked="0"/>
    </xf>
    <xf numFmtId="3" fontId="18" fillId="0" borderId="13" xfId="10" applyNumberFormat="1" applyFont="1" applyFill="1" applyBorder="1" applyAlignment="1" applyProtection="1">
      <alignment horizontal="center" vertical="center"/>
    </xf>
    <xf numFmtId="178" fontId="86" fillId="0" borderId="0" xfId="10" applyNumberFormat="1" applyFont="1" applyFill="1" applyBorder="1" applyAlignment="1" applyProtection="1">
      <alignment vertical="center"/>
    </xf>
    <xf numFmtId="179" fontId="86" fillId="0" borderId="0" xfId="10" applyNumberFormat="1" applyFont="1" applyFill="1" applyBorder="1" applyAlignment="1" applyProtection="1">
      <alignment vertical="center"/>
      <protection locked="0"/>
    </xf>
    <xf numFmtId="180" fontId="86" fillId="0" borderId="13" xfId="12" applyNumberFormat="1" applyFont="1" applyFill="1" applyBorder="1" applyAlignment="1" applyProtection="1">
      <alignment vertical="center"/>
      <protection locked="0"/>
    </xf>
    <xf numFmtId="9" fontId="86" fillId="0" borderId="0" xfId="0" applyNumberFormat="1" applyFont="1" applyAlignment="1">
      <alignment vertical="center"/>
    </xf>
    <xf numFmtId="0" fontId="89" fillId="10" borderId="116" xfId="0" applyFont="1" applyFill="1" applyBorder="1" applyAlignment="1">
      <alignment vertical="center"/>
    </xf>
    <xf numFmtId="0" fontId="89" fillId="10" borderId="117" xfId="0" applyFont="1" applyFill="1" applyBorder="1" applyAlignment="1">
      <alignment vertical="center"/>
    </xf>
    <xf numFmtId="3" fontId="89" fillId="10" borderId="116" xfId="10" applyNumberFormat="1" applyFont="1" applyFill="1" applyBorder="1" applyAlignment="1" applyProtection="1">
      <alignment horizontal="center" vertical="center"/>
    </xf>
    <xf numFmtId="3" fontId="89" fillId="10" borderId="117" xfId="10" applyNumberFormat="1" applyFont="1" applyFill="1" applyBorder="1" applyAlignment="1" applyProtection="1">
      <alignment horizontal="center" vertical="center"/>
    </xf>
    <xf numFmtId="9" fontId="90" fillId="10" borderId="118" xfId="5" applyFont="1" applyFill="1" applyBorder="1" applyAlignment="1" applyProtection="1">
      <alignment horizontal="center" vertical="center"/>
    </xf>
    <xf numFmtId="9" fontId="90" fillId="10" borderId="119" xfId="5" applyFont="1" applyFill="1" applyBorder="1" applyAlignment="1" applyProtection="1">
      <alignment horizontal="center" vertical="center"/>
    </xf>
    <xf numFmtId="9" fontId="90" fillId="10" borderId="120" xfId="5" applyFont="1" applyFill="1" applyBorder="1" applyAlignment="1" applyProtection="1">
      <alignment horizontal="center" vertical="center"/>
    </xf>
    <xf numFmtId="172" fontId="18" fillId="0" borderId="29" xfId="0" applyNumberFormat="1" applyFont="1" applyBorder="1" applyAlignment="1" applyProtection="1">
      <alignment vertical="center"/>
      <protection locked="0"/>
    </xf>
    <xf numFmtId="0" fontId="18" fillId="0" borderId="15" xfId="0" applyFont="1" applyBorder="1" applyAlignment="1" applyProtection="1">
      <alignment vertical="center"/>
      <protection locked="0"/>
    </xf>
    <xf numFmtId="9" fontId="82" fillId="0" borderId="0" xfId="0" applyNumberFormat="1" applyFont="1" applyAlignment="1" applyProtection="1">
      <alignment vertical="center"/>
      <protection locked="0"/>
    </xf>
    <xf numFmtId="178" fontId="86" fillId="0" borderId="0" xfId="10" applyNumberFormat="1" applyFont="1" applyFill="1" applyBorder="1" applyAlignment="1" applyProtection="1">
      <alignment vertical="center"/>
      <protection locked="0"/>
    </xf>
    <xf numFmtId="177" fontId="82" fillId="0" borderId="13" xfId="10" applyNumberFormat="1" applyFont="1" applyFill="1" applyBorder="1" applyAlignment="1" applyProtection="1">
      <alignment vertical="center"/>
      <protection locked="0"/>
    </xf>
    <xf numFmtId="1" fontId="81" fillId="0" borderId="86" xfId="0" applyNumberFormat="1" applyFont="1" applyBorder="1" applyAlignment="1">
      <alignment horizontal="centerContinuous" vertical="center"/>
    </xf>
    <xf numFmtId="1" fontId="81" fillId="0" borderId="121" xfId="0" applyNumberFormat="1" applyFont="1" applyBorder="1" applyAlignment="1">
      <alignment horizontal="centerContinuous" vertical="center"/>
    </xf>
    <xf numFmtId="181" fontId="19" fillId="0" borderId="86" xfId="0" applyNumberFormat="1" applyFont="1" applyBorder="1" applyAlignment="1" applyProtection="1">
      <alignment horizontal="center" vertical="center"/>
      <protection locked="0"/>
    </xf>
    <xf numFmtId="181" fontId="19" fillId="0" borderId="121" xfId="0" applyNumberFormat="1" applyFont="1" applyBorder="1" applyAlignment="1" applyProtection="1">
      <alignment horizontal="center" vertical="center"/>
      <protection locked="0"/>
    </xf>
    <xf numFmtId="9" fontId="19" fillId="0" borderId="121" xfId="0" applyNumberFormat="1" applyFont="1" applyBorder="1" applyAlignment="1" applyProtection="1">
      <alignment horizontal="center" vertical="center"/>
      <protection locked="0"/>
    </xf>
    <xf numFmtId="9" fontId="16" fillId="0" borderId="121" xfId="0" applyNumberFormat="1" applyFont="1" applyBorder="1" applyAlignment="1" applyProtection="1">
      <alignment horizontal="center" vertical="center" wrapText="1"/>
      <protection locked="0"/>
    </xf>
    <xf numFmtId="9" fontId="19" fillId="0" borderId="122" xfId="0" applyNumberFormat="1" applyFont="1" applyBorder="1" applyAlignment="1" applyProtection="1">
      <alignment horizontal="center" vertical="center"/>
      <protection locked="0"/>
    </xf>
    <xf numFmtId="1" fontId="18" fillId="0" borderId="10" xfId="10" applyNumberFormat="1" applyFont="1" applyFill="1" applyBorder="1" applyAlignment="1" applyProtection="1">
      <alignment horizontal="centerContinuous" vertical="center"/>
      <protection locked="0"/>
    </xf>
    <xf numFmtId="0" fontId="18" fillId="0" borderId="11" xfId="0" applyFont="1" applyBorder="1" applyAlignment="1" applyProtection="1">
      <alignment horizontal="center" vertical="center"/>
      <protection locked="0"/>
    </xf>
    <xf numFmtId="0" fontId="89" fillId="0" borderId="123" xfId="0" applyFont="1" applyBorder="1" applyAlignment="1">
      <alignment vertical="center"/>
    </xf>
    <xf numFmtId="0" fontId="80" fillId="0" borderId="124" xfId="0" applyFont="1" applyBorder="1" applyAlignment="1">
      <alignment vertical="center"/>
    </xf>
    <xf numFmtId="181" fontId="80" fillId="0" borderId="123" xfId="10" applyNumberFormat="1" applyFont="1" applyFill="1" applyBorder="1" applyAlignment="1" applyProtection="1">
      <alignment horizontal="center" vertical="center"/>
      <protection locked="0"/>
    </xf>
    <xf numFmtId="181" fontId="80" fillId="0" borderId="124" xfId="10" applyNumberFormat="1" applyFont="1" applyFill="1" applyBorder="1" applyAlignment="1" applyProtection="1">
      <alignment horizontal="center" vertical="center"/>
      <protection locked="0"/>
    </xf>
    <xf numFmtId="9" fontId="80" fillId="0" borderId="124" xfId="10" applyNumberFormat="1" applyFont="1" applyFill="1" applyBorder="1" applyAlignment="1" applyProtection="1">
      <alignment horizontal="center" vertical="center"/>
      <protection locked="0"/>
    </xf>
    <xf numFmtId="9" fontId="80" fillId="0" borderId="124" xfId="5" applyFont="1" applyFill="1" applyBorder="1" applyAlignment="1" applyProtection="1">
      <alignment horizontal="center" vertical="center"/>
      <protection locked="0"/>
    </xf>
    <xf numFmtId="9" fontId="80" fillId="0" borderId="124" xfId="0" applyNumberFormat="1" applyFont="1" applyBorder="1" applyAlignment="1" applyProtection="1">
      <alignment horizontal="center" vertical="center"/>
      <protection locked="0"/>
    </xf>
    <xf numFmtId="168" fontId="18" fillId="0" borderId="99" xfId="13" applyFont="1" applyFill="1" applyBorder="1" applyAlignment="1" applyProtection="1">
      <alignment horizontal="centerContinuous" vertical="center"/>
      <protection locked="0"/>
    </xf>
    <xf numFmtId="0" fontId="18" fillId="0" borderId="125" xfId="0" applyFont="1" applyBorder="1" applyAlignment="1" applyProtection="1">
      <alignment horizontal="centerContinuous" vertical="center"/>
      <protection locked="0"/>
    </xf>
    <xf numFmtId="3" fontId="74" fillId="0" borderId="13" xfId="0" applyNumberFormat="1" applyFont="1" applyBorder="1" applyAlignment="1" applyProtection="1">
      <alignment horizontal="left" vertical="center"/>
      <protection locked="0"/>
    </xf>
    <xf numFmtId="3" fontId="74" fillId="0" borderId="12" xfId="0" applyNumberFormat="1" applyFont="1" applyBorder="1" applyAlignment="1">
      <alignment horizontal="left" vertical="center"/>
    </xf>
    <xf numFmtId="3" fontId="18" fillId="0" borderId="126" xfId="13" applyNumberFormat="1" applyFont="1" applyFill="1" applyBorder="1" applyAlignment="1" applyProtection="1">
      <alignment horizontal="center" vertical="center"/>
    </xf>
    <xf numFmtId="3" fontId="18" fillId="0" borderId="24" xfId="0" applyNumberFormat="1" applyFont="1" applyBorder="1" applyAlignment="1">
      <alignment horizontal="center" vertical="center"/>
    </xf>
    <xf numFmtId="9" fontId="92" fillId="0" borderId="12" xfId="0" applyNumberFormat="1" applyFont="1" applyBorder="1" applyAlignment="1" applyProtection="1">
      <alignment horizontal="right" vertical="center"/>
      <protection locked="0"/>
    </xf>
    <xf numFmtId="3" fontId="74" fillId="0" borderId="0" xfId="0" applyNumberFormat="1" applyFont="1" applyAlignment="1">
      <alignment horizontal="left" vertical="center"/>
    </xf>
    <xf numFmtId="1" fontId="18" fillId="0" borderId="0" xfId="0" quotePrefix="1" applyNumberFormat="1" applyFont="1" applyAlignment="1">
      <alignment vertical="center"/>
    </xf>
    <xf numFmtId="0" fontId="74" fillId="0" borderId="0" xfId="0" applyFont="1" applyAlignment="1" applyProtection="1">
      <alignment vertical="center"/>
      <protection locked="0"/>
    </xf>
    <xf numFmtId="168" fontId="74" fillId="0" borderId="0" xfId="0" applyNumberFormat="1" applyFont="1" applyAlignment="1" applyProtection="1">
      <alignment vertical="center"/>
      <protection locked="0"/>
    </xf>
    <xf numFmtId="176" fontId="86" fillId="0" borderId="0" xfId="5" applyNumberFormat="1" applyFont="1" applyFill="1" applyBorder="1" applyAlignment="1" applyProtection="1">
      <alignment horizontal="right" vertical="center"/>
    </xf>
    <xf numFmtId="1" fontId="89" fillId="10" borderId="89" xfId="0" quotePrefix="1" applyNumberFormat="1" applyFont="1" applyFill="1" applyBorder="1" applyAlignment="1">
      <alignment vertical="center"/>
    </xf>
    <xf numFmtId="9" fontId="90" fillId="10" borderId="113" xfId="0" applyNumberFormat="1" applyFont="1" applyFill="1" applyBorder="1" applyAlignment="1">
      <alignment horizontal="center" vertical="center"/>
    </xf>
    <xf numFmtId="3" fontId="89" fillId="10" borderId="89" xfId="13" applyNumberFormat="1" applyFont="1" applyFill="1" applyBorder="1" applyAlignment="1" applyProtection="1">
      <alignment horizontal="center" vertical="center"/>
    </xf>
    <xf numFmtId="3" fontId="89" fillId="10" borderId="79" xfId="0" applyNumberFormat="1" applyFont="1" applyFill="1" applyBorder="1" applyAlignment="1">
      <alignment horizontal="center" vertical="center"/>
    </xf>
    <xf numFmtId="0" fontId="18" fillId="0" borderId="0" xfId="0" quotePrefix="1" applyFont="1" applyAlignment="1">
      <alignment vertical="center"/>
    </xf>
    <xf numFmtId="0" fontId="86" fillId="0" borderId="12" xfId="0" applyFont="1" applyBorder="1" applyAlignment="1" applyProtection="1">
      <alignment vertical="center"/>
      <protection locked="0"/>
    </xf>
    <xf numFmtId="176" fontId="86" fillId="0" borderId="0" xfId="12" applyNumberFormat="1" applyFont="1" applyFill="1" applyBorder="1" applyAlignment="1" applyProtection="1">
      <alignment horizontal="right" vertical="center"/>
    </xf>
    <xf numFmtId="176" fontId="86" fillId="0" borderId="0" xfId="12" applyNumberFormat="1" applyFont="1" applyFill="1" applyBorder="1" applyAlignment="1" applyProtection="1">
      <alignment horizontal="right" vertical="center"/>
      <protection locked="0"/>
    </xf>
    <xf numFmtId="1" fontId="89" fillId="10" borderId="22" xfId="0" quotePrefix="1" applyNumberFormat="1" applyFont="1" applyFill="1" applyBorder="1" applyAlignment="1">
      <alignment vertical="center"/>
    </xf>
    <xf numFmtId="0" fontId="89" fillId="10" borderId="107" xfId="0" applyFont="1" applyFill="1" applyBorder="1" applyAlignment="1">
      <alignment vertical="center"/>
    </xf>
    <xf numFmtId="3" fontId="89" fillId="10" borderId="22" xfId="10" applyNumberFormat="1" applyFont="1" applyFill="1" applyBorder="1" applyAlignment="1" applyProtection="1">
      <alignment horizontal="center" vertical="center"/>
    </xf>
    <xf numFmtId="3" fontId="89" fillId="10" borderId="107" xfId="10" applyNumberFormat="1" applyFont="1" applyFill="1" applyBorder="1" applyAlignment="1" applyProtection="1">
      <alignment horizontal="center" vertical="center"/>
    </xf>
    <xf numFmtId="9" fontId="90" fillId="10" borderId="94" xfId="5" applyFont="1" applyFill="1" applyBorder="1" applyAlignment="1" applyProtection="1">
      <alignment horizontal="center" vertical="center"/>
    </xf>
    <xf numFmtId="9" fontId="90" fillId="10" borderId="95" xfId="5" applyFont="1" applyFill="1" applyBorder="1" applyAlignment="1" applyProtection="1">
      <alignment horizontal="center" vertical="center"/>
    </xf>
    <xf numFmtId="9" fontId="90" fillId="10" borderId="94" xfId="0" applyNumberFormat="1" applyFont="1" applyFill="1" applyBorder="1" applyAlignment="1">
      <alignment horizontal="center" vertical="center"/>
    </xf>
    <xf numFmtId="9" fontId="90" fillId="10" borderId="96" xfId="5" applyFont="1" applyFill="1" applyBorder="1" applyAlignment="1" applyProtection="1">
      <alignment horizontal="center" vertical="center"/>
    </xf>
    <xf numFmtId="3" fontId="89" fillId="10" borderId="22" xfId="13" applyNumberFormat="1" applyFont="1" applyFill="1" applyBorder="1" applyAlignment="1" applyProtection="1">
      <alignment horizontal="center" vertical="center"/>
    </xf>
    <xf numFmtId="3" fontId="89" fillId="10" borderId="77" xfId="0" applyNumberFormat="1" applyFont="1" applyFill="1" applyBorder="1" applyAlignment="1">
      <alignment horizontal="center" vertical="center"/>
    </xf>
    <xf numFmtId="1" fontId="89" fillId="10" borderId="99" xfId="0" quotePrefix="1" applyNumberFormat="1" applyFont="1" applyFill="1" applyBorder="1" applyAlignment="1">
      <alignment vertical="center"/>
    </xf>
    <xf numFmtId="0" fontId="89" fillId="10" borderId="100" xfId="0" applyFont="1" applyFill="1" applyBorder="1" applyAlignment="1">
      <alignment vertical="center"/>
    </xf>
    <xf numFmtId="3" fontId="89" fillId="10" borderId="99" xfId="10" applyNumberFormat="1" applyFont="1" applyFill="1" applyBorder="1" applyAlignment="1" applyProtection="1">
      <alignment horizontal="center" vertical="center"/>
    </xf>
    <xf numFmtId="3" fontId="89" fillId="10" borderId="100" xfId="10" applyNumberFormat="1" applyFont="1" applyFill="1" applyBorder="1" applyAlignment="1" applyProtection="1">
      <alignment horizontal="center" vertical="center"/>
    </xf>
    <xf numFmtId="9" fontId="90" fillId="10" borderId="104" xfId="5" applyFont="1" applyFill="1" applyBorder="1" applyAlignment="1" applyProtection="1">
      <alignment horizontal="center" vertical="center"/>
    </xf>
    <xf numFmtId="9" fontId="90" fillId="10" borderId="105" xfId="5" applyFont="1" applyFill="1" applyBorder="1" applyAlignment="1" applyProtection="1">
      <alignment horizontal="center" vertical="center"/>
    </xf>
    <xf numFmtId="9" fontId="90" fillId="10" borderId="104" xfId="0" applyNumberFormat="1" applyFont="1" applyFill="1" applyBorder="1" applyAlignment="1">
      <alignment horizontal="center" vertical="center"/>
    </xf>
    <xf numFmtId="9" fontId="90" fillId="10" borderId="106" xfId="5" applyFont="1" applyFill="1" applyBorder="1" applyAlignment="1" applyProtection="1">
      <alignment horizontal="center" vertical="center"/>
    </xf>
    <xf numFmtId="3" fontId="89" fillId="10" borderId="99" xfId="13" applyNumberFormat="1" applyFont="1" applyFill="1" applyBorder="1" applyAlignment="1" applyProtection="1">
      <alignment horizontal="center" vertical="center"/>
    </xf>
    <xf numFmtId="3" fontId="89" fillId="10" borderId="125" xfId="0" applyNumberFormat="1" applyFont="1" applyFill="1" applyBorder="1" applyAlignment="1">
      <alignment horizontal="center" vertical="center"/>
    </xf>
    <xf numFmtId="182" fontId="86" fillId="0" borderId="13" xfId="13" applyNumberFormat="1" applyFont="1" applyBorder="1" applyAlignment="1" applyProtection="1">
      <alignment vertical="center"/>
      <protection locked="0"/>
    </xf>
    <xf numFmtId="3" fontId="18" fillId="0" borderId="22" xfId="13" applyNumberFormat="1" applyFont="1" applyFill="1" applyBorder="1" applyAlignment="1" applyProtection="1">
      <alignment horizontal="center" vertical="center"/>
    </xf>
    <xf numFmtId="0" fontId="93" fillId="0" borderId="12" xfId="0" applyFont="1" applyBorder="1" applyAlignment="1" applyProtection="1">
      <alignment vertical="center"/>
      <protection locked="0"/>
    </xf>
    <xf numFmtId="3" fontId="94" fillId="0" borderId="0" xfId="0" applyNumberFormat="1" applyFont="1" applyAlignment="1" applyProtection="1">
      <alignment horizontal="left" vertical="center"/>
      <protection locked="0"/>
    </xf>
    <xf numFmtId="176" fontId="93" fillId="0" borderId="0" xfId="10" applyNumberFormat="1" applyFont="1" applyFill="1" applyBorder="1" applyAlignment="1" applyProtection="1">
      <alignment horizontal="right" vertical="center"/>
    </xf>
    <xf numFmtId="180" fontId="86" fillId="0" borderId="0" xfId="12" applyNumberFormat="1" applyFont="1" applyFill="1" applyBorder="1" applyAlignment="1" applyProtection="1">
      <alignment vertical="center"/>
      <protection locked="0"/>
    </xf>
    <xf numFmtId="1" fontId="89" fillId="0" borderId="127" xfId="0" quotePrefix="1" applyNumberFormat="1" applyFont="1" applyBorder="1" applyAlignment="1">
      <alignment vertical="center"/>
    </xf>
    <xf numFmtId="1" fontId="18" fillId="0" borderId="128" xfId="0" applyNumberFormat="1" applyFont="1" applyBorder="1" applyAlignment="1">
      <alignment vertical="center"/>
    </xf>
    <xf numFmtId="181" fontId="18" fillId="0" borderId="127" xfId="10" applyNumberFormat="1" applyFont="1" applyFill="1" applyBorder="1" applyAlignment="1" applyProtection="1">
      <alignment horizontal="center" vertical="center"/>
      <protection locked="0"/>
    </xf>
    <xf numFmtId="181" fontId="18" fillId="0" borderId="128" xfId="10" applyNumberFormat="1" applyFont="1" applyFill="1" applyBorder="1" applyAlignment="1" applyProtection="1">
      <alignment horizontal="center" vertical="center"/>
      <protection locked="0"/>
    </xf>
    <xf numFmtId="9" fontId="18" fillId="0" borderId="128" xfId="5" applyFont="1" applyFill="1" applyBorder="1" applyAlignment="1" applyProtection="1">
      <alignment horizontal="center" vertical="center"/>
      <protection locked="0"/>
    </xf>
    <xf numFmtId="9" fontId="18" fillId="0" borderId="128" xfId="0" applyNumberFormat="1" applyFont="1" applyBorder="1" applyAlignment="1" applyProtection="1">
      <alignment horizontal="center" vertical="center"/>
      <protection locked="0"/>
    </xf>
    <xf numFmtId="168" fontId="18" fillId="0" borderId="128" xfId="13" applyFont="1" applyFill="1" applyBorder="1" applyAlignment="1" applyProtection="1">
      <alignment horizontal="center" vertical="center"/>
      <protection locked="0"/>
    </xf>
    <xf numFmtId="0" fontId="18" fillId="0" borderId="129" xfId="0" applyFont="1" applyBorder="1" applyAlignment="1" applyProtection="1">
      <alignment horizontal="center" vertical="center"/>
      <protection locked="0"/>
    </xf>
    <xf numFmtId="180" fontId="86" fillId="0" borderId="0" xfId="12" quotePrefix="1" applyNumberFormat="1" applyFont="1" applyFill="1" applyBorder="1" applyAlignment="1" applyProtection="1">
      <alignment vertical="center"/>
    </xf>
    <xf numFmtId="180" fontId="86" fillId="0" borderId="0" xfId="12" applyNumberFormat="1" applyFont="1" applyFill="1" applyBorder="1" applyAlignment="1" applyProtection="1">
      <alignment vertical="center"/>
    </xf>
    <xf numFmtId="175" fontId="86" fillId="0" borderId="0" xfId="13" applyNumberFormat="1" applyFont="1" applyBorder="1" applyAlignment="1" applyProtection="1">
      <alignment horizontal="right" vertical="center"/>
      <protection locked="0"/>
    </xf>
    <xf numFmtId="3" fontId="18" fillId="0" borderId="97" xfId="10" applyNumberFormat="1" applyFont="1" applyFill="1" applyBorder="1" applyAlignment="1" applyProtection="1">
      <alignment horizontal="center" vertical="center"/>
    </xf>
    <xf numFmtId="175" fontId="86" fillId="0" borderId="0" xfId="13" applyNumberFormat="1" applyFont="1" applyBorder="1" applyAlignment="1" applyProtection="1">
      <alignment horizontal="right" vertical="center"/>
    </xf>
    <xf numFmtId="9" fontId="92" fillId="0" borderId="12" xfId="0" applyNumberFormat="1" applyFont="1" applyBorder="1" applyAlignment="1" applyProtection="1">
      <alignment horizontal="left" vertical="center"/>
      <protection locked="0"/>
    </xf>
    <xf numFmtId="3" fontId="86" fillId="0" borderId="0" xfId="0" applyNumberFormat="1" applyFont="1" applyAlignment="1">
      <alignment horizontal="left" vertical="center"/>
    </xf>
    <xf numFmtId="3" fontId="86" fillId="0" borderId="0" xfId="0" applyNumberFormat="1" applyFont="1" applyAlignment="1" applyProtection="1">
      <alignment horizontal="left" vertical="center"/>
      <protection locked="0"/>
    </xf>
    <xf numFmtId="3" fontId="86" fillId="0" borderId="0" xfId="0" applyNumberFormat="1" applyFont="1" applyAlignment="1" applyProtection="1">
      <alignment horizontal="center" vertical="center"/>
      <protection locked="0"/>
    </xf>
    <xf numFmtId="3" fontId="74" fillId="0" borderId="15" xfId="0" applyNumberFormat="1" applyFont="1" applyBorder="1" applyAlignment="1" applyProtection="1">
      <alignment horizontal="left" vertical="center"/>
      <protection locked="0"/>
    </xf>
    <xf numFmtId="9" fontId="92" fillId="0" borderId="12" xfId="0" applyNumberFormat="1" applyFont="1" applyBorder="1" applyAlignment="1" applyProtection="1">
      <alignment vertical="center"/>
      <protection locked="0"/>
    </xf>
    <xf numFmtId="9" fontId="89" fillId="10" borderId="10" xfId="0" applyNumberFormat="1" applyFont="1" applyFill="1" applyBorder="1" applyAlignment="1">
      <alignment horizontal="centerContinuous" vertical="center"/>
    </xf>
    <xf numFmtId="9" fontId="89" fillId="10" borderId="16" xfId="0" applyNumberFormat="1" applyFont="1" applyFill="1" applyBorder="1" applyAlignment="1">
      <alignment horizontal="centerContinuous" vertical="center"/>
    </xf>
    <xf numFmtId="9" fontId="89" fillId="10" borderId="13" xfId="0" applyNumberFormat="1" applyFont="1" applyFill="1" applyBorder="1" applyAlignment="1">
      <alignment horizontal="centerContinuous" vertical="center"/>
    </xf>
    <xf numFmtId="0" fontId="0" fillId="0" borderId="12" xfId="0" applyBorder="1" applyAlignment="1" applyProtection="1">
      <alignment vertical="center"/>
      <protection locked="0"/>
    </xf>
    <xf numFmtId="0" fontId="83" fillId="0" borderId="17" xfId="0" applyFont="1" applyBorder="1" applyAlignment="1">
      <alignment horizontal="left" vertical="center"/>
    </xf>
    <xf numFmtId="164" fontId="83" fillId="0" borderId="19" xfId="0" applyNumberFormat="1" applyFont="1" applyBorder="1" applyAlignment="1">
      <alignment horizontal="center" vertical="center"/>
    </xf>
    <xf numFmtId="0" fontId="83" fillId="0" borderId="19" xfId="0" applyFont="1" applyBorder="1" applyAlignment="1">
      <alignment horizontal="left" vertical="center"/>
    </xf>
    <xf numFmtId="164" fontId="83" fillId="0" borderId="19" xfId="0" applyNumberFormat="1" applyFont="1" applyBorder="1" applyAlignment="1">
      <alignment horizontal="centerContinuous" vertical="center"/>
    </xf>
    <xf numFmtId="164" fontId="82" fillId="0" borderId="19" xfId="0" applyNumberFormat="1" applyFont="1" applyBorder="1" applyAlignment="1">
      <alignment horizontal="center" vertical="center"/>
    </xf>
    <xf numFmtId="164" fontId="83" fillId="0" borderId="18" xfId="0" applyNumberFormat="1" applyFont="1" applyBorder="1" applyAlignment="1">
      <alignment horizontal="right" vertical="center"/>
    </xf>
    <xf numFmtId="0" fontId="95" fillId="0" borderId="12" xfId="0" applyFont="1" applyBorder="1" applyAlignment="1">
      <alignment vertical="center" wrapText="1"/>
    </xf>
    <xf numFmtId="9" fontId="92" fillId="0" borderId="17" xfId="0" applyNumberFormat="1" applyFont="1" applyBorder="1" applyAlignment="1">
      <alignment horizontal="centerContinuous" vertical="center"/>
    </xf>
    <xf numFmtId="9" fontId="92" fillId="0" borderId="19" xfId="0" applyNumberFormat="1" applyFont="1" applyBorder="1" applyAlignment="1">
      <alignment horizontal="centerContinuous" vertical="center"/>
    </xf>
    <xf numFmtId="9" fontId="92" fillId="0" borderId="18" xfId="0" applyNumberFormat="1" applyFont="1" applyBorder="1" applyAlignment="1">
      <alignment horizontal="centerContinuous" vertical="center"/>
    </xf>
    <xf numFmtId="0" fontId="95" fillId="0" borderId="12" xfId="0" applyFont="1" applyBorder="1" applyAlignment="1" applyProtection="1">
      <alignment vertical="center" wrapText="1"/>
      <protection locked="0"/>
    </xf>
    <xf numFmtId="3" fontId="89" fillId="10" borderId="130" xfId="10" applyNumberFormat="1" applyFont="1" applyFill="1" applyBorder="1" applyAlignment="1" applyProtection="1">
      <alignment horizontal="center" vertical="center"/>
    </xf>
    <xf numFmtId="0" fontId="18" fillId="0" borderId="116" xfId="0" applyFont="1" applyBorder="1" applyAlignment="1" applyProtection="1">
      <alignment horizontal="centerContinuous" vertical="center"/>
      <protection locked="0"/>
    </xf>
    <xf numFmtId="17" fontId="18" fillId="0" borderId="131" xfId="0" applyNumberFormat="1" applyFont="1" applyBorder="1" applyAlignment="1" applyProtection="1">
      <alignment horizontal="center" vertical="center"/>
      <protection locked="0"/>
    </xf>
    <xf numFmtId="17" fontId="18" fillId="0" borderId="132" xfId="0" applyNumberFormat="1" applyFont="1" applyBorder="1" applyAlignment="1" applyProtection="1">
      <alignment horizontal="center" vertical="center"/>
      <protection locked="0"/>
    </xf>
    <xf numFmtId="17" fontId="18" fillId="0" borderId="133" xfId="0" applyNumberFormat="1" applyFont="1" applyBorder="1" applyAlignment="1" applyProtection="1">
      <alignment horizontal="center" vertical="center"/>
      <protection locked="0"/>
    </xf>
    <xf numFmtId="0" fontId="18" fillId="0" borderId="76" xfId="0" applyFont="1" applyBorder="1" applyAlignment="1" applyProtection="1">
      <alignment horizontal="center" vertical="center"/>
      <protection locked="0"/>
    </xf>
    <xf numFmtId="0" fontId="87" fillId="0" borderId="12" xfId="0" applyFont="1" applyBorder="1" applyAlignment="1" applyProtection="1">
      <alignment horizontal="left" vertical="center"/>
      <protection locked="0" hidden="1"/>
    </xf>
    <xf numFmtId="164" fontId="87" fillId="0" borderId="110" xfId="0" applyNumberFormat="1" applyFont="1" applyBorder="1" applyAlignment="1" applyProtection="1">
      <alignment vertical="center"/>
      <protection locked="0" hidden="1"/>
    </xf>
    <xf numFmtId="164" fontId="87" fillId="0" borderId="110" xfId="14" applyNumberFormat="1" applyFont="1" applyFill="1" applyBorder="1" applyAlignment="1" applyProtection="1">
      <alignment vertical="center"/>
      <protection locked="0" hidden="1"/>
    </xf>
    <xf numFmtId="164" fontId="87" fillId="0" borderId="108" xfId="14" applyNumberFormat="1" applyFont="1" applyFill="1" applyBorder="1" applyAlignment="1" applyProtection="1">
      <alignment vertical="center"/>
      <protection locked="0" hidden="1"/>
    </xf>
    <xf numFmtId="164" fontId="87" fillId="0" borderId="109" xfId="0" applyNumberFormat="1" applyFont="1" applyBorder="1" applyAlignment="1" applyProtection="1">
      <alignment vertical="center"/>
      <protection locked="0" hidden="1"/>
    </xf>
    <xf numFmtId="3" fontId="87" fillId="0" borderId="12" xfId="14" applyNumberFormat="1" applyFont="1" applyFill="1" applyBorder="1" applyAlignment="1" applyProtection="1">
      <alignment horizontal="centerContinuous" vertical="center"/>
      <protection locked="0" hidden="1"/>
    </xf>
    <xf numFmtId="3" fontId="18" fillId="0" borderId="60" xfId="0" applyNumberFormat="1" applyFont="1" applyBorder="1" applyAlignment="1" applyProtection="1">
      <alignment horizontal="center" vertical="center"/>
      <protection locked="0" hidden="1"/>
    </xf>
    <xf numFmtId="3" fontId="18" fillId="0" borderId="0" xfId="0" applyNumberFormat="1" applyFont="1" applyAlignment="1">
      <alignment horizontal="left" vertical="center"/>
    </xf>
    <xf numFmtId="9" fontId="87" fillId="0" borderId="109" xfId="0" applyNumberFormat="1" applyFont="1" applyBorder="1" applyAlignment="1">
      <alignment horizontal="center" vertical="center"/>
    </xf>
    <xf numFmtId="9" fontId="87" fillId="0" borderId="110" xfId="0" applyNumberFormat="1" applyFont="1" applyBorder="1" applyAlignment="1">
      <alignment horizontal="center" vertical="center"/>
    </xf>
    <xf numFmtId="9" fontId="87" fillId="0" borderId="109" xfId="13" applyNumberFormat="1" applyFont="1" applyFill="1" applyBorder="1" applyAlignment="1" applyProtection="1">
      <alignment horizontal="center" vertical="center"/>
    </xf>
    <xf numFmtId="3" fontId="89" fillId="10" borderId="22" xfId="0" applyNumberFormat="1" applyFont="1" applyFill="1" applyBorder="1" applyAlignment="1">
      <alignment horizontal="left" vertical="center"/>
    </xf>
    <xf numFmtId="3" fontId="89" fillId="10" borderId="107" xfId="0" applyNumberFormat="1" applyFont="1" applyFill="1" applyBorder="1" applyAlignment="1">
      <alignment horizontal="left" vertical="center"/>
    </xf>
    <xf numFmtId="3" fontId="89" fillId="10" borderId="134" xfId="10" applyNumberFormat="1" applyFont="1" applyFill="1" applyBorder="1" applyAlignment="1" applyProtection="1">
      <alignment horizontal="center" vertical="center"/>
    </xf>
    <xf numFmtId="9" fontId="90" fillId="10" borderId="95" xfId="0" applyNumberFormat="1" applyFont="1" applyFill="1" applyBorder="1" applyAlignment="1">
      <alignment horizontal="center" vertical="center"/>
    </xf>
    <xf numFmtId="9" fontId="90" fillId="10" borderId="96" xfId="0" applyNumberFormat="1" applyFont="1" applyFill="1" applyBorder="1" applyAlignment="1">
      <alignment horizontal="center" vertical="center"/>
    </xf>
    <xf numFmtId="3" fontId="89" fillId="10" borderId="12" xfId="0" applyNumberFormat="1" applyFont="1" applyFill="1" applyBorder="1" applyAlignment="1">
      <alignment horizontal="left" vertical="center"/>
    </xf>
    <xf numFmtId="3" fontId="89" fillId="10" borderId="0" xfId="0" applyNumberFormat="1" applyFont="1" applyFill="1" applyAlignment="1">
      <alignment horizontal="left" vertical="center"/>
    </xf>
    <xf numFmtId="3" fontId="89" fillId="10" borderId="20" xfId="10" applyNumberFormat="1" applyFont="1" applyFill="1" applyBorder="1" applyAlignment="1" applyProtection="1">
      <alignment horizontal="center" vertical="center"/>
    </xf>
    <xf numFmtId="9" fontId="90" fillId="10" borderId="108" xfId="0" applyNumberFormat="1" applyFont="1" applyFill="1" applyBorder="1" applyAlignment="1">
      <alignment horizontal="center" vertical="center"/>
    </xf>
    <xf numFmtId="9" fontId="90" fillId="10" borderId="109" xfId="0" applyNumberFormat="1" applyFont="1" applyFill="1" applyBorder="1" applyAlignment="1">
      <alignment horizontal="center" vertical="center"/>
    </xf>
    <xf numFmtId="9" fontId="90" fillId="10" borderId="110" xfId="0" applyNumberFormat="1" applyFont="1" applyFill="1" applyBorder="1" applyAlignment="1">
      <alignment horizontal="center" vertical="center"/>
    </xf>
    <xf numFmtId="3" fontId="89" fillId="0" borderId="127" xfId="0" applyNumberFormat="1" applyFont="1" applyBorder="1" applyAlignment="1">
      <alignment horizontal="left" vertical="center"/>
    </xf>
    <xf numFmtId="3" fontId="74" fillId="0" borderId="128" xfId="0" applyNumberFormat="1" applyFont="1" applyBorder="1" applyAlignment="1">
      <alignment horizontal="left" vertical="center"/>
    </xf>
    <xf numFmtId="3" fontId="74" fillId="0" borderId="127" xfId="0" applyNumberFormat="1" applyFont="1" applyBorder="1" applyAlignment="1" applyProtection="1">
      <alignment horizontal="left" vertical="center"/>
      <protection locked="0"/>
    </xf>
    <xf numFmtId="3" fontId="74" fillId="0" borderId="128" xfId="0" applyNumberFormat="1" applyFont="1" applyBorder="1" applyAlignment="1" applyProtection="1">
      <alignment horizontal="left" vertical="center"/>
      <protection locked="0"/>
    </xf>
    <xf numFmtId="168" fontId="83" fillId="0" borderId="135" xfId="13" applyFont="1" applyFill="1" applyBorder="1" applyAlignment="1" applyProtection="1">
      <alignment horizontal="centerContinuous" vertical="center"/>
      <protection locked="0"/>
    </xf>
    <xf numFmtId="0" fontId="18" fillId="0" borderId="136" xfId="0" applyFont="1" applyBorder="1" applyAlignment="1" applyProtection="1">
      <alignment horizontal="centerContinuous" vertical="center"/>
      <protection locked="0"/>
    </xf>
    <xf numFmtId="3" fontId="85" fillId="0" borderId="12" xfId="13" applyNumberFormat="1" applyFont="1" applyFill="1" applyBorder="1" applyAlignment="1" applyProtection="1">
      <alignment horizontal="centerContinuous" vertical="center"/>
    </xf>
    <xf numFmtId="3" fontId="18" fillId="0" borderId="13" xfId="0" applyNumberFormat="1" applyFont="1" applyBorder="1" applyAlignment="1">
      <alignment horizontal="centerContinuous" vertical="center"/>
    </xf>
    <xf numFmtId="3" fontId="18" fillId="0" borderId="12" xfId="13" applyNumberFormat="1" applyFont="1" applyFill="1" applyBorder="1" applyAlignment="1" applyProtection="1">
      <alignment horizontal="center" vertical="center"/>
    </xf>
    <xf numFmtId="3" fontId="18" fillId="0" borderId="13" xfId="0" applyNumberFormat="1" applyFont="1" applyBorder="1" applyAlignment="1">
      <alignment horizontal="center" vertical="center"/>
    </xf>
    <xf numFmtId="0" fontId="95" fillId="0" borderId="12" xfId="0" applyFont="1" applyBorder="1" applyAlignment="1" applyProtection="1">
      <alignment vertical="center"/>
      <protection locked="0"/>
    </xf>
    <xf numFmtId="0" fontId="87" fillId="0" borderId="12" xfId="14" applyNumberFormat="1" applyFont="1" applyFill="1" applyBorder="1" applyAlignment="1" applyProtection="1">
      <alignment horizontal="centerContinuous" vertical="center"/>
      <protection locked="0" hidden="1"/>
    </xf>
    <xf numFmtId="0" fontId="18" fillId="0" borderId="60" xfId="0" applyFont="1" applyBorder="1" applyAlignment="1" applyProtection="1">
      <alignment horizontal="center" vertical="center"/>
      <protection locked="0" hidden="1"/>
    </xf>
    <xf numFmtId="0" fontId="18" fillId="0" borderId="17" xfId="0" applyFont="1" applyBorder="1" applyAlignment="1" applyProtection="1">
      <alignment vertical="center"/>
      <protection locked="0"/>
    </xf>
    <xf numFmtId="164" fontId="18" fillId="11" borderId="131" xfId="10" applyNumberFormat="1" applyFont="1" applyFill="1" applyBorder="1" applyAlignment="1" applyProtection="1">
      <alignment vertical="center"/>
      <protection locked="0"/>
    </xf>
    <xf numFmtId="164" fontId="18" fillId="11" borderId="132" xfId="10" applyNumberFormat="1" applyFont="1" applyFill="1" applyBorder="1" applyAlignment="1" applyProtection="1">
      <alignment vertical="center"/>
      <protection locked="0"/>
    </xf>
    <xf numFmtId="164" fontId="18" fillId="11" borderId="133" xfId="10" applyNumberFormat="1" applyFont="1" applyFill="1" applyBorder="1" applyAlignment="1" applyProtection="1">
      <alignment vertical="center"/>
      <protection locked="0"/>
    </xf>
    <xf numFmtId="0" fontId="87" fillId="0" borderId="17" xfId="0" applyFont="1" applyBorder="1" applyAlignment="1" applyProtection="1">
      <alignment vertical="center"/>
      <protection locked="0"/>
    </xf>
    <xf numFmtId="0" fontId="87" fillId="8" borderId="18" xfId="0" applyFont="1" applyFill="1" applyBorder="1" applyAlignment="1" applyProtection="1">
      <alignment vertical="center"/>
      <protection locked="0"/>
    </xf>
    <xf numFmtId="0" fontId="87" fillId="0" borderId="12" xfId="0" applyFont="1" applyBorder="1" applyAlignment="1" applyProtection="1">
      <alignment vertical="center"/>
      <protection locked="0"/>
    </xf>
    <xf numFmtId="3" fontId="89" fillId="10" borderId="99" xfId="0" applyNumberFormat="1" applyFont="1" applyFill="1" applyBorder="1" applyAlignment="1">
      <alignment horizontal="left" vertical="center"/>
    </xf>
    <xf numFmtId="3" fontId="89" fillId="10" borderId="100" xfId="0" applyNumberFormat="1" applyFont="1" applyFill="1" applyBorder="1" applyAlignment="1">
      <alignment horizontal="left" vertical="center"/>
    </xf>
    <xf numFmtId="9" fontId="90" fillId="10" borderId="105" xfId="0" applyNumberFormat="1" applyFont="1" applyFill="1" applyBorder="1" applyAlignment="1">
      <alignment horizontal="center" vertical="center"/>
    </xf>
    <xf numFmtId="9" fontId="90" fillId="10" borderId="106" xfId="0" applyNumberFormat="1" applyFont="1" applyFill="1" applyBorder="1" applyAlignment="1">
      <alignment horizontal="center" vertical="center"/>
    </xf>
    <xf numFmtId="3" fontId="74" fillId="0" borderId="17" xfId="0" applyNumberFormat="1" applyFont="1" applyBorder="1" applyAlignment="1" applyProtection="1">
      <alignment horizontal="left" vertical="center"/>
      <protection locked="0"/>
    </xf>
    <xf numFmtId="3" fontId="74" fillId="0" borderId="19" xfId="0" applyNumberFormat="1" applyFont="1" applyBorder="1" applyAlignment="1" applyProtection="1">
      <alignment horizontal="left" vertical="center"/>
      <protection locked="0"/>
    </xf>
    <xf numFmtId="3" fontId="96" fillId="0" borderId="19" xfId="0" applyNumberFormat="1" applyFont="1" applyBorder="1" applyAlignment="1" applyProtection="1">
      <alignment horizontal="right" vertical="center"/>
      <protection locked="0"/>
    </xf>
    <xf numFmtId="184" fontId="18" fillId="0" borderId="47" xfId="0" applyNumberFormat="1" applyFont="1" applyBorder="1" applyAlignment="1" applyProtection="1">
      <alignment horizontal="center" vertical="center"/>
      <protection locked="0"/>
    </xf>
    <xf numFmtId="3" fontId="89" fillId="10" borderId="12" xfId="10" applyNumberFormat="1" applyFont="1" applyFill="1" applyBorder="1" applyAlignment="1" applyProtection="1">
      <alignment horizontal="center" vertical="center"/>
    </xf>
    <xf numFmtId="3" fontId="89" fillId="10" borderId="0" xfId="10" applyNumberFormat="1" applyFont="1" applyFill="1" applyBorder="1" applyAlignment="1" applyProtection="1">
      <alignment horizontal="center" vertical="center"/>
    </xf>
    <xf numFmtId="3" fontId="89" fillId="10" borderId="97" xfId="10" applyNumberFormat="1" applyFont="1" applyFill="1" applyBorder="1" applyAlignment="1" applyProtection="1">
      <alignment horizontal="center" vertical="center"/>
    </xf>
    <xf numFmtId="0" fontId="18" fillId="10" borderId="99" xfId="0" applyFont="1" applyFill="1" applyBorder="1" applyAlignment="1">
      <alignment horizontal="centerContinuous" vertical="center"/>
    </xf>
    <xf numFmtId="0" fontId="18" fillId="10" borderId="100" xfId="0" applyFont="1" applyFill="1" applyBorder="1" applyAlignment="1">
      <alignment horizontal="centerContinuous" vertical="center"/>
    </xf>
    <xf numFmtId="0" fontId="18" fillId="10" borderId="125" xfId="0" applyFont="1" applyFill="1" applyBorder="1" applyAlignment="1">
      <alignment horizontal="centerContinuous" vertical="center"/>
    </xf>
    <xf numFmtId="0" fontId="18" fillId="0" borderId="12" xfId="0" applyFont="1" applyBorder="1" applyAlignment="1" applyProtection="1">
      <alignment vertical="center"/>
      <protection locked="0"/>
    </xf>
    <xf numFmtId="3" fontId="18" fillId="0" borderId="14" xfId="10" applyNumberFormat="1" applyFont="1" applyFill="1" applyBorder="1" applyAlignment="1" applyProtection="1">
      <alignment horizontal="center" vertical="center"/>
    </xf>
    <xf numFmtId="3" fontId="18" fillId="0" borderId="29" xfId="10" applyNumberFormat="1" applyFont="1" applyFill="1" applyBorder="1" applyAlignment="1" applyProtection="1">
      <alignment horizontal="center" vertical="center"/>
    </xf>
    <xf numFmtId="3" fontId="18" fillId="0" borderId="111" xfId="10" applyNumberFormat="1" applyFont="1" applyFill="1" applyBorder="1" applyAlignment="1" applyProtection="1">
      <alignment horizontal="center" vertical="center"/>
    </xf>
    <xf numFmtId="0" fontId="18" fillId="0" borderId="12" xfId="0" applyFont="1" applyBorder="1" applyAlignment="1">
      <alignment vertical="center"/>
    </xf>
    <xf numFmtId="9" fontId="87" fillId="0" borderId="0" xfId="5" applyFont="1" applyBorder="1" applyAlignment="1" applyProtection="1">
      <alignment vertical="center"/>
    </xf>
    <xf numFmtId="0" fontId="87" fillId="0" borderId="0" xfId="0" applyFont="1" applyAlignment="1">
      <alignment vertical="center"/>
    </xf>
    <xf numFmtId="9" fontId="87" fillId="0" borderId="13" xfId="0" applyNumberFormat="1" applyFont="1" applyBorder="1" applyAlignment="1">
      <alignment vertical="center"/>
    </xf>
    <xf numFmtId="3" fontId="74" fillId="0" borderId="86" xfId="0" applyNumberFormat="1" applyFont="1" applyBorder="1" applyAlignment="1" applyProtection="1">
      <alignment horizontal="left" vertical="center"/>
      <protection locked="0"/>
    </xf>
    <xf numFmtId="3" fontId="18" fillId="0" borderId="121" xfId="0" applyNumberFormat="1" applyFont="1" applyBorder="1" applyAlignment="1" applyProtection="1">
      <alignment horizontal="left" vertical="center"/>
      <protection locked="0"/>
    </xf>
    <xf numFmtId="181" fontId="18" fillId="0" borderId="121" xfId="10" quotePrefix="1" applyNumberFormat="1" applyFont="1" applyFill="1" applyBorder="1" applyAlignment="1" applyProtection="1">
      <alignment horizontal="center" vertical="center"/>
      <protection locked="0"/>
    </xf>
    <xf numFmtId="3" fontId="18" fillId="0" borderId="121" xfId="0" applyNumberFormat="1" applyFont="1" applyBorder="1" applyAlignment="1" applyProtection="1">
      <alignment horizontal="center" vertical="center"/>
      <protection locked="0"/>
    </xf>
    <xf numFmtId="9" fontId="18" fillId="0" borderId="121" xfId="0" applyNumberFormat="1" applyFont="1" applyBorder="1" applyAlignment="1" applyProtection="1">
      <alignment horizontal="center" vertical="center"/>
      <protection locked="0"/>
    </xf>
    <xf numFmtId="3" fontId="18" fillId="0" borderId="99" xfId="13" applyNumberFormat="1" applyFont="1" applyFill="1" applyBorder="1" applyAlignment="1" applyProtection="1">
      <alignment horizontal="center" vertical="center"/>
    </xf>
    <xf numFmtId="3" fontId="18" fillId="0" borderId="125" xfId="0" applyNumberFormat="1" applyFont="1" applyBorder="1" applyAlignment="1">
      <alignment horizontal="center" vertical="center"/>
    </xf>
    <xf numFmtId="0" fontId="18" fillId="0" borderId="14" xfId="0" applyFont="1" applyBorder="1" applyAlignment="1">
      <alignment vertical="center"/>
    </xf>
    <xf numFmtId="9" fontId="87" fillId="0" borderId="29" xfId="5" applyFont="1" applyBorder="1" applyAlignment="1" applyProtection="1">
      <alignment vertical="center"/>
    </xf>
    <xf numFmtId="0" fontId="87" fillId="0" borderId="29" xfId="0" applyFont="1" applyBorder="1" applyAlignment="1">
      <alignment vertical="center"/>
    </xf>
    <xf numFmtId="0" fontId="18" fillId="0" borderId="29" xfId="0" applyFont="1" applyBorder="1" applyAlignment="1">
      <alignment vertical="center"/>
    </xf>
    <xf numFmtId="3" fontId="74" fillId="0" borderId="0" xfId="0" applyNumberFormat="1" applyFont="1" applyAlignment="1" applyProtection="1">
      <alignment vertical="center"/>
      <protection locked="0"/>
    </xf>
    <xf numFmtId="3" fontId="89" fillId="10" borderId="14" xfId="0" applyNumberFormat="1" applyFont="1" applyFill="1" applyBorder="1" applyAlignment="1" applyProtection="1">
      <alignment horizontal="left" vertical="center"/>
      <protection locked="0"/>
    </xf>
    <xf numFmtId="3" fontId="74" fillId="10" borderId="29" xfId="0" applyNumberFormat="1" applyFont="1" applyFill="1" applyBorder="1" applyAlignment="1">
      <alignment horizontal="left" vertical="center"/>
    </xf>
    <xf numFmtId="3" fontId="74" fillId="10" borderId="29" xfId="0" applyNumberFormat="1" applyFont="1" applyFill="1" applyBorder="1" applyAlignment="1" applyProtection="1">
      <alignment horizontal="center" vertical="center"/>
      <protection locked="0"/>
    </xf>
    <xf numFmtId="3" fontId="74" fillId="10" borderId="15" xfId="0" applyNumberFormat="1" applyFont="1" applyFill="1" applyBorder="1" applyAlignment="1" applyProtection="1">
      <alignment horizontal="center" vertical="center"/>
      <protection locked="0"/>
    </xf>
    <xf numFmtId="3" fontId="89" fillId="10" borderId="137" xfId="10" applyNumberFormat="1" applyFont="1" applyFill="1" applyBorder="1" applyAlignment="1" applyProtection="1">
      <alignment horizontal="center" vertical="center"/>
    </xf>
    <xf numFmtId="3" fontId="89" fillId="10" borderId="31" xfId="0" applyNumberFormat="1" applyFont="1" applyFill="1" applyBorder="1" applyAlignment="1">
      <alignment horizontal="center" vertical="center"/>
    </xf>
    <xf numFmtId="9" fontId="87" fillId="0" borderId="0" xfId="5" applyFont="1" applyBorder="1" applyAlignment="1" applyProtection="1">
      <alignment vertical="center"/>
      <protection locked="0"/>
    </xf>
    <xf numFmtId="0" fontId="87" fillId="0" borderId="0" xfId="0" applyFont="1" applyAlignment="1" applyProtection="1">
      <alignment vertical="center"/>
      <protection locked="0"/>
    </xf>
    <xf numFmtId="9" fontId="87" fillId="0" borderId="16" xfId="0" applyNumberFormat="1" applyFont="1" applyBorder="1" applyAlignment="1" applyProtection="1">
      <alignment vertical="center"/>
      <protection locked="0"/>
    </xf>
    <xf numFmtId="3" fontId="74" fillId="0" borderId="16" xfId="0" applyNumberFormat="1" applyFont="1" applyBorder="1" applyAlignment="1">
      <alignment vertical="center"/>
    </xf>
    <xf numFmtId="0" fontId="74" fillId="0" borderId="16" xfId="0" applyFont="1" applyBorder="1" applyAlignment="1" applyProtection="1">
      <alignment horizontal="left" vertical="center"/>
      <protection locked="0"/>
    </xf>
    <xf numFmtId="0" fontId="74" fillId="0" borderId="0" xfId="0" applyFont="1" applyAlignment="1" applyProtection="1">
      <alignment horizontal="left" vertical="center"/>
      <protection locked="0"/>
    </xf>
    <xf numFmtId="0" fontId="83" fillId="0" borderId="16" xfId="0" applyFont="1" applyBorder="1" applyAlignment="1">
      <alignment horizontal="left" vertical="center"/>
    </xf>
    <xf numFmtId="37" fontId="83" fillId="0" borderId="16" xfId="0" applyNumberFormat="1" applyFont="1" applyBorder="1" applyAlignment="1">
      <alignment horizontal="center" vertical="center"/>
    </xf>
    <xf numFmtId="3" fontId="74" fillId="0" borderId="0" xfId="0" applyNumberFormat="1" applyFont="1" applyAlignment="1">
      <alignment vertical="center"/>
    </xf>
    <xf numFmtId="0" fontId="74" fillId="0" borderId="16" xfId="0" applyFont="1" applyBorder="1" applyAlignment="1">
      <alignment horizontal="left" vertical="center"/>
    </xf>
    <xf numFmtId="0" fontId="74" fillId="0" borderId="0" xfId="0" applyFont="1" applyAlignment="1">
      <alignment horizontal="left" vertical="center"/>
    </xf>
    <xf numFmtId="3" fontId="74" fillId="0" borderId="0" xfId="0" applyNumberFormat="1" applyFont="1" applyAlignment="1">
      <alignment horizontal="right" vertical="center"/>
    </xf>
    <xf numFmtId="3" fontId="74" fillId="0" borderId="0" xfId="0" quotePrefix="1" applyNumberFormat="1" applyFont="1" applyAlignment="1">
      <alignment horizontal="left" vertical="center"/>
    </xf>
    <xf numFmtId="9" fontId="74" fillId="0" borderId="0" xfId="0" applyNumberFormat="1" applyFont="1" applyAlignment="1">
      <alignment horizontal="right" vertical="center"/>
    </xf>
    <xf numFmtId="3" fontId="83" fillId="0" borderId="0" xfId="0" applyNumberFormat="1" applyFont="1" applyAlignment="1">
      <alignment horizontal="left" vertical="center"/>
    </xf>
    <xf numFmtId="3" fontId="74" fillId="0" borderId="0" xfId="13" applyNumberFormat="1" applyFont="1" applyFill="1" applyBorder="1" applyAlignment="1" applyProtection="1">
      <alignment horizontal="left" vertical="center"/>
      <protection locked="0"/>
    </xf>
    <xf numFmtId="3" fontId="74" fillId="2" borderId="0" xfId="0" applyNumberFormat="1" applyFont="1" applyFill="1" applyAlignment="1">
      <alignment horizontal="left" vertical="center"/>
    </xf>
    <xf numFmtId="3" fontId="74" fillId="0" borderId="0" xfId="0" applyNumberFormat="1" applyFont="1" applyAlignment="1">
      <alignment horizontal="center" vertical="center"/>
    </xf>
    <xf numFmtId="3" fontId="74" fillId="0" borderId="0" xfId="5" applyNumberFormat="1" applyFont="1" applyAlignment="1" applyProtection="1">
      <alignment horizontal="left" vertical="center"/>
    </xf>
    <xf numFmtId="3" fontId="74" fillId="0" borderId="0" xfId="12" applyNumberFormat="1" applyFont="1" applyBorder="1" applyAlignment="1" applyProtection="1">
      <alignment horizontal="left" vertical="center"/>
    </xf>
    <xf numFmtId="3" fontId="74" fillId="0" borderId="0" xfId="5" applyNumberFormat="1" applyFont="1" applyBorder="1" applyAlignment="1" applyProtection="1">
      <alignment horizontal="left" vertical="center"/>
    </xf>
    <xf numFmtId="3" fontId="83" fillId="0" borderId="0" xfId="0" applyNumberFormat="1" applyFont="1" applyAlignment="1" applyProtection="1">
      <alignment horizontal="center" vertical="center"/>
      <protection locked="0"/>
    </xf>
    <xf numFmtId="3" fontId="83" fillId="0" borderId="0" xfId="0" applyNumberFormat="1" applyFont="1" applyAlignment="1" applyProtection="1">
      <alignment horizontal="left" vertical="center"/>
      <protection locked="0"/>
    </xf>
    <xf numFmtId="3" fontId="74" fillId="0" borderId="0" xfId="15" applyNumberFormat="1" applyFont="1" applyAlignment="1">
      <alignment horizontal="left" vertical="center"/>
    </xf>
    <xf numFmtId="3" fontId="74" fillId="8" borderId="0" xfId="15" applyNumberFormat="1" applyFont="1" applyFill="1" applyAlignment="1">
      <alignment horizontal="left" vertical="center"/>
    </xf>
    <xf numFmtId="3" fontId="83" fillId="0" borderId="0" xfId="0" applyNumberFormat="1" applyFont="1" applyAlignment="1">
      <alignment horizontal="center" vertical="center"/>
    </xf>
    <xf numFmtId="167" fontId="74" fillId="0" borderId="0" xfId="0" applyNumberFormat="1" applyFont="1" applyAlignment="1">
      <alignment horizontal="center" vertical="center"/>
    </xf>
    <xf numFmtId="4" fontId="74" fillId="0" borderId="0" xfId="0" applyNumberFormat="1" applyFont="1" applyAlignment="1">
      <alignment horizontal="center" vertical="center"/>
    </xf>
    <xf numFmtId="3" fontId="87" fillId="0" borderId="29" xfId="0" applyNumberFormat="1" applyFont="1" applyBorder="1" applyAlignment="1">
      <alignment horizontal="center" vertical="center"/>
    </xf>
    <xf numFmtId="3" fontId="97" fillId="0" borderId="16" xfId="0" applyNumberFormat="1" applyFont="1" applyBorder="1" applyAlignment="1">
      <alignment horizontal="center" vertical="center"/>
    </xf>
    <xf numFmtId="0" fontId="86" fillId="2" borderId="17" xfId="0" applyFont="1" applyFill="1" applyBorder="1" applyAlignment="1">
      <alignment vertical="center"/>
    </xf>
    <xf numFmtId="3" fontId="74" fillId="0" borderId="19" xfId="0" applyNumberFormat="1" applyFont="1" applyBorder="1" applyAlignment="1">
      <alignment horizontal="left" vertical="center"/>
    </xf>
    <xf numFmtId="178" fontId="86" fillId="0" borderId="19" xfId="10" applyNumberFormat="1" applyFont="1" applyFill="1" applyBorder="1" applyAlignment="1" applyProtection="1">
      <alignment horizontal="right" vertical="center"/>
    </xf>
    <xf numFmtId="178" fontId="86" fillId="0" borderId="18" xfId="10" applyNumberFormat="1" applyFont="1" applyFill="1" applyBorder="1" applyAlignment="1" applyProtection="1">
      <alignment horizontal="right" vertical="center"/>
    </xf>
    <xf numFmtId="178" fontId="86" fillId="0" borderId="0" xfId="10" applyNumberFormat="1" applyFont="1" applyFill="1" applyBorder="1" applyAlignment="1" applyProtection="1">
      <alignment horizontal="right" vertical="center"/>
    </xf>
    <xf numFmtId="3" fontId="74" fillId="0" borderId="0" xfId="15" applyNumberFormat="1" applyFont="1" applyAlignment="1" applyProtection="1">
      <alignment horizontal="left" vertical="center"/>
      <protection locked="0"/>
    </xf>
    <xf numFmtId="3" fontId="74" fillId="8" borderId="0" xfId="15" applyNumberFormat="1" applyFont="1" applyFill="1" applyAlignment="1" applyProtection="1">
      <alignment horizontal="left" vertical="center"/>
      <protection locked="0"/>
    </xf>
    <xf numFmtId="1" fontId="74" fillId="0" borderId="0" xfId="0" applyNumberFormat="1" applyFont="1" applyAlignment="1" applyProtection="1">
      <alignment horizontal="left" vertical="center"/>
      <protection locked="0"/>
    </xf>
    <xf numFmtId="3" fontId="74" fillId="5" borderId="138" xfId="0" applyNumberFormat="1" applyFont="1" applyFill="1" applyBorder="1" applyAlignment="1" applyProtection="1">
      <alignment horizontal="center" vertical="center"/>
      <protection locked="0"/>
    </xf>
    <xf numFmtId="3" fontId="74" fillId="5" borderId="139" xfId="0" applyNumberFormat="1" applyFont="1" applyFill="1" applyBorder="1" applyAlignment="1" applyProtection="1">
      <alignment horizontal="center" vertical="center" wrapText="1"/>
      <protection locked="0"/>
    </xf>
    <xf numFmtId="3" fontId="74" fillId="5" borderId="140" xfId="15" applyNumberFormat="1" applyFont="1" applyFill="1" applyBorder="1" applyAlignment="1" applyProtection="1">
      <alignment horizontal="center" vertical="center" wrapText="1"/>
      <protection locked="0"/>
    </xf>
    <xf numFmtId="3" fontId="74" fillId="2" borderId="141" xfId="0" applyNumberFormat="1" applyFont="1" applyFill="1" applyBorder="1" applyAlignment="1" applyProtection="1">
      <alignment horizontal="center" vertical="center"/>
      <protection locked="0"/>
    </xf>
    <xf numFmtId="49" fontId="74" fillId="0" borderId="0" xfId="0" applyNumberFormat="1" applyFont="1" applyAlignment="1" applyProtection="1">
      <alignment horizontal="center" vertical="center"/>
      <protection locked="0"/>
    </xf>
    <xf numFmtId="49" fontId="74" fillId="8" borderId="142" xfId="15" applyNumberFormat="1" applyFont="1" applyFill="1" applyBorder="1" applyAlignment="1" applyProtection="1">
      <alignment horizontal="center" vertical="center"/>
      <protection locked="0"/>
    </xf>
    <xf numFmtId="49" fontId="74" fillId="0" borderId="142" xfId="0" applyNumberFormat="1" applyFont="1" applyBorder="1" applyAlignment="1" applyProtection="1">
      <alignment horizontal="center" vertical="center"/>
      <protection locked="0"/>
    </xf>
    <xf numFmtId="3" fontId="74" fillId="2" borderId="143" xfId="0" applyNumberFormat="1" applyFont="1" applyFill="1" applyBorder="1" applyAlignment="1" applyProtection="1">
      <alignment horizontal="center" vertical="center"/>
      <protection locked="0"/>
    </xf>
    <xf numFmtId="49" fontId="74" fillId="0" borderId="144" xfId="0" applyNumberFormat="1" applyFont="1" applyBorder="1" applyAlignment="1" applyProtection="1">
      <alignment horizontal="center" vertical="center"/>
      <protection locked="0"/>
    </xf>
    <xf numFmtId="49" fontId="74" fillId="8" borderId="145" xfId="15" applyNumberFormat="1" applyFont="1" applyFill="1" applyBorder="1" applyAlignment="1" applyProtection="1">
      <alignment horizontal="center" vertical="center"/>
      <protection locked="0"/>
    </xf>
    <xf numFmtId="49" fontId="74" fillId="0" borderId="145" xfId="0" applyNumberFormat="1" applyFont="1" applyBorder="1" applyAlignment="1" applyProtection="1">
      <alignment horizontal="center" vertical="center"/>
      <protection locked="0"/>
    </xf>
    <xf numFmtId="37" fontId="19" fillId="0" borderId="0" xfId="3" applyFont="1" applyAlignment="1" applyProtection="1">
      <alignment horizontal="center" vertical="center"/>
      <protection locked="0"/>
    </xf>
    <xf numFmtId="37" fontId="19" fillId="0" borderId="0" xfId="3" applyFont="1" applyAlignment="1" applyProtection="1">
      <alignment vertical="center"/>
      <protection locked="0"/>
    </xf>
    <xf numFmtId="0" fontId="28" fillId="0" borderId="0" xfId="15" applyProtection="1">
      <protection locked="0"/>
    </xf>
    <xf numFmtId="37" fontId="31" fillId="0" borderId="0" xfId="3" applyFont="1" applyAlignment="1" applyProtection="1">
      <alignment horizontal="left" vertical="center"/>
      <protection locked="0"/>
    </xf>
    <xf numFmtId="37" fontId="19" fillId="0" borderId="0" xfId="3" applyFont="1" applyAlignment="1" applyProtection="1">
      <alignment horizontal="left" vertical="center"/>
      <protection locked="0"/>
    </xf>
    <xf numFmtId="0" fontId="28" fillId="0" borderId="0" xfId="15" applyAlignment="1" applyProtection="1">
      <alignment vertical="center"/>
      <protection locked="0"/>
    </xf>
    <xf numFmtId="37" fontId="16" fillId="0" borderId="0" xfId="3" applyFont="1" applyAlignment="1" applyProtection="1">
      <alignment horizontal="left" vertical="center"/>
      <protection locked="0"/>
    </xf>
    <xf numFmtId="37" fontId="30" fillId="0" borderId="0" xfId="3" applyFont="1" applyAlignment="1" applyProtection="1">
      <alignment vertical="center"/>
      <protection locked="0"/>
    </xf>
    <xf numFmtId="167" fontId="19" fillId="0" borderId="0" xfId="2" applyNumberFormat="1" applyFont="1" applyAlignment="1" applyProtection="1">
      <alignment horizontal="center" vertical="center"/>
      <protection locked="0"/>
    </xf>
    <xf numFmtId="37" fontId="16" fillId="0" borderId="0" xfId="15" applyNumberFormat="1" applyFont="1" applyAlignment="1" applyProtection="1">
      <alignment horizontal="left"/>
      <protection locked="0"/>
    </xf>
    <xf numFmtId="37" fontId="19" fillId="0" borderId="59" xfId="3" applyFont="1" applyBorder="1" applyAlignment="1" applyProtection="1">
      <alignment horizontal="center" vertical="center"/>
      <protection locked="0"/>
    </xf>
    <xf numFmtId="37" fontId="30" fillId="0" borderId="47" xfId="3" applyFont="1" applyBorder="1" applyAlignment="1" applyProtection="1">
      <alignment horizontal="center" vertical="center"/>
      <protection locked="0"/>
    </xf>
    <xf numFmtId="37" fontId="31" fillId="0" borderId="0" xfId="3" applyFont="1" applyAlignment="1">
      <alignment horizontal="left" vertical="center"/>
    </xf>
    <xf numFmtId="37" fontId="30" fillId="7" borderId="47" xfId="3" applyFont="1" applyFill="1" applyBorder="1" applyAlignment="1">
      <alignment horizontal="left" vertical="center"/>
    </xf>
    <xf numFmtId="37" fontId="30" fillId="7" borderId="47" xfId="3" applyFont="1" applyFill="1" applyBorder="1" applyAlignment="1" applyProtection="1">
      <alignment horizontal="center" vertical="center"/>
      <protection locked="0"/>
    </xf>
    <xf numFmtId="37" fontId="30" fillId="7" borderId="60" xfId="3" applyFont="1" applyFill="1" applyBorder="1" applyAlignment="1" applyProtection="1">
      <alignment horizontal="center" vertical="center"/>
      <protection locked="0"/>
    </xf>
    <xf numFmtId="37" fontId="83" fillId="0" borderId="0" xfId="3" applyFont="1" applyAlignment="1" applyProtection="1">
      <alignment vertical="center"/>
      <protection locked="0"/>
    </xf>
    <xf numFmtId="37" fontId="30" fillId="7" borderId="61" xfId="3" applyFont="1" applyFill="1" applyBorder="1" applyAlignment="1" applyProtection="1">
      <alignment horizontal="center" vertical="center"/>
      <protection locked="0"/>
    </xf>
    <xf numFmtId="37" fontId="30" fillId="0" borderId="59" xfId="3" applyFont="1" applyBorder="1" applyAlignment="1">
      <alignment horizontal="left" vertical="center"/>
    </xf>
    <xf numFmtId="37" fontId="30" fillId="0" borderId="59" xfId="3" applyFont="1" applyBorder="1" applyAlignment="1" applyProtection="1">
      <alignment horizontal="center" vertical="center"/>
      <protection locked="0"/>
    </xf>
    <xf numFmtId="37" fontId="30" fillId="0" borderId="60" xfId="3" applyFont="1" applyBorder="1" applyAlignment="1" applyProtection="1">
      <alignment horizontal="center" vertical="center"/>
      <protection locked="0"/>
    </xf>
    <xf numFmtId="37" fontId="31" fillId="7" borderId="47" xfId="3" applyFont="1" applyFill="1" applyBorder="1" applyAlignment="1" applyProtection="1">
      <alignment horizontal="center" vertical="center"/>
      <protection locked="0"/>
    </xf>
    <xf numFmtId="37" fontId="20" fillId="0" borderId="0" xfId="3" applyFont="1" applyAlignment="1" applyProtection="1">
      <alignment horizontal="center" vertical="center"/>
      <protection locked="0"/>
    </xf>
    <xf numFmtId="1" fontId="30" fillId="0" borderId="146" xfId="3" applyNumberFormat="1" applyFont="1" applyBorder="1" applyAlignment="1">
      <alignment horizontal="left" vertical="center"/>
    </xf>
    <xf numFmtId="37" fontId="28" fillId="0" borderId="146" xfId="3" applyFont="1" applyBorder="1" applyAlignment="1">
      <alignment horizontal="left" vertical="center"/>
    </xf>
    <xf numFmtId="37" fontId="30" fillId="0" borderId="146" xfId="3" applyFont="1" applyBorder="1" applyAlignment="1">
      <alignment vertical="center"/>
    </xf>
    <xf numFmtId="9" fontId="28" fillId="0" borderId="0" xfId="5" applyFont="1" applyFill="1" applyBorder="1" applyAlignment="1" applyProtection="1">
      <alignment vertical="center"/>
    </xf>
    <xf numFmtId="37" fontId="30" fillId="0" borderId="146" xfId="3" applyFont="1" applyBorder="1" applyAlignment="1">
      <alignment horizontal="right" vertical="center"/>
    </xf>
    <xf numFmtId="1" fontId="30" fillId="0" borderId="74" xfId="3" quotePrefix="1" applyNumberFormat="1" applyFont="1" applyBorder="1" applyAlignment="1">
      <alignment horizontal="left" vertical="center"/>
    </xf>
    <xf numFmtId="37" fontId="28" fillId="0" borderId="74" xfId="3" applyFont="1" applyBorder="1" applyAlignment="1">
      <alignment horizontal="left" vertical="center"/>
    </xf>
    <xf numFmtId="37" fontId="30" fillId="0" borderId="74" xfId="3" applyFont="1" applyBorder="1" applyAlignment="1">
      <alignment horizontal="right" vertical="center"/>
    </xf>
    <xf numFmtId="1" fontId="30" fillId="0" borderId="74" xfId="3" applyNumberFormat="1" applyFont="1" applyBorder="1" applyAlignment="1">
      <alignment horizontal="left" vertical="center"/>
    </xf>
    <xf numFmtId="37" fontId="30" fillId="0" borderId="78" xfId="3" applyFont="1" applyBorder="1" applyAlignment="1">
      <alignment horizontal="right" vertical="center"/>
    </xf>
    <xf numFmtId="37" fontId="30" fillId="9" borderId="146" xfId="3" applyFont="1" applyFill="1" applyBorder="1" applyAlignment="1" applyProtection="1">
      <alignment horizontal="right" vertical="center"/>
      <protection locked="0"/>
    </xf>
    <xf numFmtId="1" fontId="30" fillId="0" borderId="76" xfId="3" quotePrefix="1" applyNumberFormat="1" applyFont="1" applyBorder="1" applyAlignment="1">
      <alignment horizontal="left" vertical="center"/>
    </xf>
    <xf numFmtId="37" fontId="28" fillId="0" borderId="78" xfId="3" applyFont="1" applyBorder="1" applyAlignment="1">
      <alignment horizontal="left" vertical="center"/>
    </xf>
    <xf numFmtId="37" fontId="30" fillId="9" borderId="78" xfId="3" applyFont="1" applyFill="1" applyBorder="1" applyAlignment="1" applyProtection="1">
      <alignment horizontal="right" vertical="center"/>
      <protection locked="0"/>
    </xf>
    <xf numFmtId="37" fontId="30" fillId="7" borderId="47" xfId="3" applyFont="1" applyFill="1" applyBorder="1" applyAlignment="1">
      <alignment vertical="center"/>
    </xf>
    <xf numFmtId="37" fontId="30" fillId="7" borderId="47" xfId="3" applyFont="1" applyFill="1" applyBorder="1" applyAlignment="1">
      <alignment horizontal="right" vertical="center"/>
    </xf>
    <xf numFmtId="37" fontId="28" fillId="0" borderId="73" xfId="3" applyFont="1" applyBorder="1" applyAlignment="1">
      <alignment horizontal="left" vertical="center"/>
    </xf>
    <xf numFmtId="37" fontId="30" fillId="0" borderId="73" xfId="3" applyFont="1" applyBorder="1" applyAlignment="1">
      <alignment horizontal="right" vertical="center"/>
    </xf>
    <xf numFmtId="37" fontId="30" fillId="9" borderId="61" xfId="3" applyFont="1" applyFill="1" applyBorder="1" applyAlignment="1" applyProtection="1">
      <alignment horizontal="right" vertical="center"/>
      <protection locked="0"/>
    </xf>
    <xf numFmtId="1" fontId="30" fillId="0" borderId="76" xfId="3" applyNumberFormat="1" applyFont="1" applyBorder="1" applyAlignment="1">
      <alignment horizontal="left" vertical="center"/>
    </xf>
    <xf numFmtId="37" fontId="30" fillId="10" borderId="47" xfId="3" applyFont="1" applyFill="1" applyBorder="1" applyAlignment="1">
      <alignment horizontal="left" vertical="center"/>
    </xf>
    <xf numFmtId="37" fontId="30" fillId="10" borderId="47" xfId="3" applyFont="1" applyFill="1" applyBorder="1" applyAlignment="1">
      <alignment vertical="center"/>
    </xf>
    <xf numFmtId="37" fontId="30" fillId="10" borderId="47" xfId="3" applyFont="1" applyFill="1" applyBorder="1" applyAlignment="1">
      <alignment horizontal="right" vertical="center"/>
    </xf>
    <xf numFmtId="37" fontId="30" fillId="0" borderId="73" xfId="3" applyFont="1" applyBorder="1" applyAlignment="1" applyProtection="1">
      <alignment horizontal="right" vertical="center"/>
      <protection locked="0"/>
    </xf>
    <xf numFmtId="37" fontId="30" fillId="9" borderId="47" xfId="3" applyFont="1" applyFill="1" applyBorder="1" applyAlignment="1" applyProtection="1">
      <alignment horizontal="right" vertical="center"/>
      <protection locked="0"/>
    </xf>
    <xf numFmtId="37" fontId="30" fillId="0" borderId="60" xfId="3" applyFont="1" applyBorder="1" applyAlignment="1">
      <alignment horizontal="right" vertical="center"/>
    </xf>
    <xf numFmtId="37" fontId="30" fillId="9" borderId="59" xfId="3" applyFont="1" applyFill="1" applyBorder="1" applyAlignment="1" applyProtection="1">
      <alignment horizontal="right" vertical="center"/>
      <protection locked="0"/>
    </xf>
    <xf numFmtId="1" fontId="30" fillId="0" borderId="146" xfId="3" quotePrefix="1" applyNumberFormat="1" applyFont="1" applyBorder="1" applyAlignment="1">
      <alignment horizontal="left" vertical="center"/>
    </xf>
    <xf numFmtId="37" fontId="30" fillId="9" borderId="74" xfId="3" applyFont="1" applyFill="1" applyBorder="1" applyAlignment="1" applyProtection="1">
      <alignment horizontal="right" vertical="center"/>
      <protection locked="0"/>
    </xf>
    <xf numFmtId="37" fontId="19" fillId="0" borderId="0" xfId="3" applyFont="1" applyAlignment="1" applyProtection="1">
      <alignment horizontal="centerContinuous" vertical="center"/>
      <protection locked="0"/>
    </xf>
    <xf numFmtId="37" fontId="28" fillId="0" borderId="78" xfId="3" quotePrefix="1" applyFont="1" applyBorder="1" applyAlignment="1">
      <alignment horizontal="left" vertical="center"/>
    </xf>
    <xf numFmtId="37" fontId="30" fillId="0" borderId="146" xfId="3" applyFont="1" applyBorder="1" applyAlignment="1" applyProtection="1">
      <alignment horizontal="right" vertical="center"/>
      <protection locked="0"/>
    </xf>
    <xf numFmtId="37" fontId="30" fillId="12" borderId="74" xfId="3" applyFont="1" applyFill="1" applyBorder="1" applyAlignment="1">
      <alignment horizontal="right" vertical="center"/>
    </xf>
    <xf numFmtId="37" fontId="30" fillId="0" borderId="76" xfId="3" applyFont="1" applyBorder="1" applyAlignment="1">
      <alignment horizontal="right" vertical="center"/>
    </xf>
    <xf numFmtId="37" fontId="30" fillId="7" borderId="73" xfId="3" applyFont="1" applyFill="1" applyBorder="1" applyAlignment="1">
      <alignment horizontal="left" vertical="center"/>
    </xf>
    <xf numFmtId="37" fontId="30" fillId="7" borderId="73" xfId="3" applyFont="1" applyFill="1" applyBorder="1" applyAlignment="1">
      <alignment vertical="center"/>
    </xf>
    <xf numFmtId="37" fontId="30" fillId="7" borderId="73" xfId="3" applyFont="1" applyFill="1" applyBorder="1" applyAlignment="1">
      <alignment horizontal="right" vertical="center"/>
    </xf>
    <xf numFmtId="37" fontId="30" fillId="7" borderId="78" xfId="3" applyFont="1" applyFill="1" applyBorder="1" applyAlignment="1">
      <alignment horizontal="left" vertical="center"/>
    </xf>
    <xf numFmtId="37" fontId="30" fillId="7" borderId="78" xfId="3" applyFont="1" applyFill="1" applyBorder="1" applyAlignment="1">
      <alignment vertical="center"/>
    </xf>
    <xf numFmtId="37" fontId="30" fillId="7" borderId="78" xfId="3" applyFont="1" applyFill="1" applyBorder="1" applyAlignment="1">
      <alignment horizontal="right" vertical="center"/>
    </xf>
    <xf numFmtId="37" fontId="34" fillId="0" borderId="47" xfId="3" applyFont="1" applyBorder="1" applyAlignment="1">
      <alignment horizontal="left" vertical="center"/>
    </xf>
    <xf numFmtId="37" fontId="34" fillId="0" borderId="47" xfId="3" applyFont="1" applyBorder="1" applyAlignment="1">
      <alignment vertical="center"/>
    </xf>
    <xf numFmtId="9" fontId="33" fillId="0" borderId="0" xfId="5" applyFont="1" applyFill="1" applyBorder="1" applyAlignment="1" applyProtection="1">
      <alignment vertical="center"/>
    </xf>
    <xf numFmtId="37" fontId="34" fillId="0" borderId="47" xfId="3" applyFont="1" applyBorder="1" applyAlignment="1">
      <alignment horizontal="right" vertical="center"/>
    </xf>
    <xf numFmtId="1" fontId="30" fillId="0" borderId="17" xfId="3" applyNumberFormat="1" applyFont="1" applyBorder="1" applyAlignment="1">
      <alignment horizontal="left" vertical="center"/>
    </xf>
    <xf numFmtId="37" fontId="28" fillId="0" borderId="60" xfId="3" applyFont="1" applyBorder="1" applyAlignment="1">
      <alignment horizontal="left" vertical="center"/>
    </xf>
    <xf numFmtId="1" fontId="30" fillId="13" borderId="146" xfId="3" applyNumberFormat="1" applyFont="1" applyFill="1" applyBorder="1" applyAlignment="1">
      <alignment horizontal="left" vertical="center"/>
    </xf>
    <xf numFmtId="37" fontId="28" fillId="13" borderId="73" xfId="3" applyFont="1" applyFill="1" applyBorder="1" applyAlignment="1">
      <alignment horizontal="left" vertical="center"/>
    </xf>
    <xf numFmtId="37" fontId="30" fillId="13" borderId="73" xfId="3" applyFont="1" applyFill="1" applyBorder="1" applyAlignment="1">
      <alignment horizontal="right" vertical="center"/>
    </xf>
    <xf numFmtId="37" fontId="30" fillId="13" borderId="60" xfId="3" applyFont="1" applyFill="1" applyBorder="1" applyAlignment="1">
      <alignment horizontal="right" vertical="center"/>
    </xf>
    <xf numFmtId="37" fontId="19" fillId="13" borderId="0" xfId="3" applyFont="1" applyFill="1" applyAlignment="1" applyProtection="1">
      <alignment vertical="center"/>
      <protection locked="0"/>
    </xf>
    <xf numFmtId="37" fontId="28" fillId="0" borderId="74" xfId="3" quotePrefix="1" applyFont="1" applyBorder="1" applyAlignment="1">
      <alignment horizontal="left" vertical="center"/>
    </xf>
    <xf numFmtId="37" fontId="30" fillId="9" borderId="76" xfId="3" applyFont="1" applyFill="1" applyBorder="1" applyAlignment="1" applyProtection="1">
      <alignment horizontal="right" vertical="center"/>
      <protection locked="0"/>
    </xf>
    <xf numFmtId="37" fontId="30" fillId="2" borderId="74" xfId="3" applyFont="1" applyFill="1" applyBorder="1" applyAlignment="1">
      <alignment vertical="center"/>
    </xf>
    <xf numFmtId="37" fontId="30" fillId="2" borderId="74" xfId="3" applyFont="1" applyFill="1" applyBorder="1" applyAlignment="1">
      <alignment horizontal="right" vertical="center"/>
    </xf>
    <xf numFmtId="1" fontId="30" fillId="13" borderId="76" xfId="3" quotePrefix="1" applyNumberFormat="1" applyFont="1" applyFill="1" applyBorder="1" applyAlignment="1">
      <alignment horizontal="left" vertical="center"/>
    </xf>
    <xf numFmtId="37" fontId="28" fillId="13" borderId="78" xfId="3" applyFont="1" applyFill="1" applyBorder="1" applyAlignment="1">
      <alignment horizontal="left" vertical="center"/>
    </xf>
    <xf numFmtId="37" fontId="30" fillId="13" borderId="78" xfId="3" applyFont="1" applyFill="1" applyBorder="1" applyAlignment="1">
      <alignment horizontal="right" vertical="center"/>
    </xf>
    <xf numFmtId="37" fontId="30" fillId="0" borderId="73" xfId="3" applyFont="1" applyBorder="1" applyAlignment="1" applyProtection="1">
      <alignment horizontal="right" vertical="center"/>
      <protection hidden="1"/>
    </xf>
    <xf numFmtId="9" fontId="28" fillId="0" borderId="0" xfId="5" applyFont="1" applyFill="1" applyBorder="1" applyAlignment="1" applyProtection="1">
      <alignment vertical="center"/>
      <protection hidden="1"/>
    </xf>
    <xf numFmtId="37" fontId="30" fillId="0" borderId="74" xfId="3" applyFont="1" applyBorder="1" applyAlignment="1" applyProtection="1">
      <alignment horizontal="right" vertical="center"/>
      <protection hidden="1"/>
    </xf>
    <xf numFmtId="37" fontId="30" fillId="0" borderId="78" xfId="3" applyFont="1" applyBorder="1" applyAlignment="1" applyProtection="1">
      <alignment horizontal="right" vertical="center"/>
      <protection hidden="1"/>
    </xf>
    <xf numFmtId="37" fontId="30" fillId="10" borderId="59" xfId="3" applyFont="1" applyFill="1" applyBorder="1" applyAlignment="1">
      <alignment horizontal="left" vertical="center"/>
    </xf>
    <xf numFmtId="37" fontId="30" fillId="10" borderId="59" xfId="3" applyFont="1" applyFill="1" applyBorder="1" applyAlignment="1">
      <alignment horizontal="right" vertical="center"/>
    </xf>
    <xf numFmtId="37" fontId="30" fillId="10" borderId="60" xfId="3" applyFont="1" applyFill="1" applyBorder="1" applyAlignment="1">
      <alignment horizontal="right" vertical="center"/>
    </xf>
    <xf numFmtId="1" fontId="30" fillId="0" borderId="0" xfId="3" applyNumberFormat="1" applyFont="1" applyAlignment="1">
      <alignment horizontal="left" vertical="center"/>
    </xf>
    <xf numFmtId="37" fontId="30" fillId="7" borderId="60" xfId="3" applyFont="1" applyFill="1" applyBorder="1" applyAlignment="1">
      <alignment horizontal="right" vertical="center"/>
    </xf>
    <xf numFmtId="37" fontId="30" fillId="7" borderId="61" xfId="3" applyFont="1" applyFill="1" applyBorder="1" applyAlignment="1">
      <alignment horizontal="right" vertical="center"/>
    </xf>
    <xf numFmtId="37" fontId="30" fillId="0" borderId="0" xfId="3" applyFont="1" applyAlignment="1">
      <alignment horizontal="left" vertical="center"/>
    </xf>
    <xf numFmtId="37" fontId="98" fillId="0" borderId="0" xfId="3" applyFont="1" applyAlignment="1" applyProtection="1">
      <alignment vertical="center"/>
      <protection locked="0"/>
    </xf>
    <xf numFmtId="37" fontId="19" fillId="0" borderId="12" xfId="3" applyFont="1" applyBorder="1" applyAlignment="1" applyProtection="1">
      <alignment vertical="center"/>
      <protection locked="0"/>
    </xf>
    <xf numFmtId="37" fontId="19" fillId="0" borderId="16" xfId="3" applyFont="1" applyBorder="1" applyAlignment="1" applyProtection="1">
      <alignment vertical="center"/>
      <protection locked="0"/>
    </xf>
    <xf numFmtId="37" fontId="28" fillId="0" borderId="47" xfId="3" applyFont="1" applyBorder="1" applyAlignment="1">
      <alignment horizontal="left" vertical="center"/>
    </xf>
    <xf numFmtId="37" fontId="30" fillId="9" borderId="47" xfId="3" applyFont="1" applyFill="1" applyBorder="1" applyAlignment="1" applyProtection="1">
      <alignment vertical="center"/>
      <protection locked="0"/>
    </xf>
    <xf numFmtId="37" fontId="30" fillId="9" borderId="0" xfId="3" applyFont="1" applyFill="1" applyAlignment="1" applyProtection="1">
      <alignment vertical="center"/>
      <protection locked="0"/>
    </xf>
    <xf numFmtId="9" fontId="28" fillId="0" borderId="0" xfId="3" applyNumberFormat="1" applyFont="1" applyAlignment="1">
      <alignment horizontal="center" vertical="center"/>
    </xf>
    <xf numFmtId="37" fontId="30" fillId="0" borderId="0" xfId="3" quotePrefix="1" applyFont="1" applyAlignment="1">
      <alignment horizontal="left" vertical="center"/>
    </xf>
    <xf numFmtId="37" fontId="19" fillId="0" borderId="147" xfId="3" applyFont="1" applyBorder="1" applyAlignment="1" applyProtection="1">
      <alignment vertical="center"/>
      <protection locked="0"/>
    </xf>
    <xf numFmtId="185" fontId="30" fillId="0" borderId="0" xfId="16" applyFont="1" applyFill="1" applyBorder="1" applyAlignment="1" applyProtection="1">
      <alignment vertical="center"/>
      <protection locked="0"/>
    </xf>
    <xf numFmtId="37" fontId="30" fillId="0" borderId="59" xfId="3" applyFont="1" applyBorder="1" applyAlignment="1" applyProtection="1">
      <alignment vertical="center"/>
      <protection locked="0"/>
    </xf>
    <xf numFmtId="37" fontId="30" fillId="0" borderId="17" xfId="3" applyFont="1" applyBorder="1" applyAlignment="1" applyProtection="1">
      <alignment horizontal="centerContinuous" vertical="center"/>
      <protection locked="0"/>
    </xf>
    <xf numFmtId="37" fontId="28" fillId="0" borderId="18" xfId="3" applyFont="1" applyBorder="1" applyAlignment="1" applyProtection="1">
      <alignment horizontal="centerContinuous" vertical="center"/>
      <protection locked="0"/>
    </xf>
    <xf numFmtId="37" fontId="28" fillId="0" borderId="0" xfId="3" applyFont="1" applyAlignment="1" applyProtection="1">
      <alignment horizontal="center" vertical="center"/>
      <protection locked="0"/>
    </xf>
    <xf numFmtId="37" fontId="30" fillId="0" borderId="60" xfId="3" applyFont="1" applyBorder="1" applyAlignment="1" applyProtection="1">
      <alignment vertical="center"/>
      <protection locked="0"/>
    </xf>
    <xf numFmtId="10" fontId="30" fillId="9" borderId="47" xfId="3" applyNumberFormat="1" applyFont="1" applyFill="1" applyBorder="1" applyAlignment="1" applyProtection="1">
      <alignment horizontal="right" vertical="center"/>
      <protection locked="0"/>
    </xf>
    <xf numFmtId="37" fontId="19" fillId="0" borderId="0" xfId="3" applyFont="1" applyAlignment="1">
      <alignment vertical="center"/>
    </xf>
    <xf numFmtId="37" fontId="19" fillId="0" borderId="60" xfId="3" applyFont="1" applyBorder="1" applyAlignment="1" applyProtection="1">
      <alignment vertical="center"/>
      <protection locked="0"/>
    </xf>
    <xf numFmtId="37" fontId="31" fillId="14" borderId="0" xfId="3" applyFont="1" applyFill="1" applyAlignment="1" applyProtection="1">
      <alignment horizontal="left" vertical="center"/>
      <protection locked="0"/>
    </xf>
    <xf numFmtId="37" fontId="20" fillId="14" borderId="47" xfId="3" applyFont="1" applyFill="1" applyBorder="1" applyAlignment="1">
      <alignment horizontal="left" vertical="center"/>
    </xf>
    <xf numFmtId="37" fontId="30" fillId="7" borderId="47" xfId="3" applyFont="1" applyFill="1" applyBorder="1" applyAlignment="1">
      <alignment horizontal="center" vertical="center"/>
    </xf>
    <xf numFmtId="37" fontId="30" fillId="7" borderId="60" xfId="3" applyFont="1" applyFill="1" applyBorder="1" applyAlignment="1">
      <alignment horizontal="center" vertical="center"/>
    </xf>
    <xf numFmtId="37" fontId="19" fillId="14" borderId="0" xfId="3" applyFont="1" applyFill="1" applyAlignment="1" applyProtection="1">
      <alignment vertical="center"/>
      <protection locked="0"/>
    </xf>
    <xf numFmtId="37" fontId="28" fillId="0" borderId="146" xfId="3" quotePrefix="1" applyFont="1" applyBorder="1" applyAlignment="1">
      <alignment horizontal="left" vertical="center"/>
    </xf>
    <xf numFmtId="37" fontId="30" fillId="0" borderId="60" xfId="3" applyFont="1" applyBorder="1" applyAlignment="1">
      <alignment vertical="center"/>
    </xf>
    <xf numFmtId="37" fontId="30" fillId="9" borderId="146" xfId="3" applyFont="1" applyFill="1" applyBorder="1" applyAlignment="1" applyProtection="1">
      <alignment vertical="center"/>
      <protection locked="0"/>
    </xf>
    <xf numFmtId="37" fontId="30" fillId="0" borderId="74" xfId="3" applyFont="1" applyBorder="1" applyAlignment="1">
      <alignment vertical="center"/>
    </xf>
    <xf numFmtId="37" fontId="30" fillId="9" borderId="74" xfId="3" applyFont="1" applyFill="1" applyBorder="1" applyAlignment="1" applyProtection="1">
      <alignment vertical="center"/>
      <protection locked="0"/>
    </xf>
    <xf numFmtId="37" fontId="28" fillId="0" borderId="76" xfId="3" applyFont="1" applyBorder="1" applyAlignment="1">
      <alignment horizontal="left" vertical="center"/>
    </xf>
    <xf numFmtId="37" fontId="30" fillId="0" borderId="76" xfId="3" applyFont="1" applyBorder="1" applyAlignment="1">
      <alignment vertical="center"/>
    </xf>
    <xf numFmtId="37" fontId="31" fillId="7" borderId="47" xfId="3" applyFont="1" applyFill="1" applyBorder="1" applyAlignment="1">
      <alignment vertical="center"/>
    </xf>
    <xf numFmtId="37" fontId="31" fillId="7" borderId="60" xfId="3" applyFont="1" applyFill="1" applyBorder="1" applyAlignment="1">
      <alignment vertical="center"/>
    </xf>
    <xf numFmtId="37" fontId="28" fillId="0" borderId="59" xfId="3" applyFont="1" applyBorder="1" applyAlignment="1">
      <alignment vertical="center"/>
    </xf>
    <xf numFmtId="37" fontId="28" fillId="0" borderId="60" xfId="3" applyFont="1" applyBorder="1" applyAlignment="1">
      <alignment vertical="center"/>
    </xf>
    <xf numFmtId="37" fontId="29" fillId="0" borderId="47" xfId="3" applyFont="1" applyBorder="1" applyAlignment="1">
      <alignment vertical="center"/>
    </xf>
    <xf numFmtId="37" fontId="29" fillId="0" borderId="47" xfId="3" applyFont="1" applyBorder="1" applyAlignment="1">
      <alignment horizontal="right" vertical="center"/>
    </xf>
    <xf numFmtId="37" fontId="29" fillId="0" borderId="61" xfId="3" applyFont="1" applyBorder="1" applyAlignment="1">
      <alignment horizontal="right" vertical="center"/>
    </xf>
    <xf numFmtId="0" fontId="28" fillId="0" borderId="12" xfId="15" applyBorder="1" applyAlignment="1" applyProtection="1">
      <alignment vertical="center"/>
      <protection locked="0"/>
    </xf>
    <xf numFmtId="37" fontId="31" fillId="0" borderId="0" xfId="3" applyFont="1" applyAlignment="1" applyProtection="1">
      <alignment vertical="center"/>
      <protection locked="0"/>
    </xf>
    <xf numFmtId="37" fontId="31" fillId="0" borderId="12" xfId="3" applyFont="1" applyBorder="1" applyAlignment="1" applyProtection="1">
      <alignment vertical="center"/>
      <protection locked="0"/>
    </xf>
    <xf numFmtId="37" fontId="31" fillId="0" borderId="0" xfId="3" applyFont="1" applyAlignment="1" applyProtection="1">
      <alignment horizontal="center" vertical="center"/>
      <protection locked="0"/>
    </xf>
    <xf numFmtId="37" fontId="20" fillId="0" borderId="0" xfId="15" applyNumberFormat="1" applyFont="1"/>
    <xf numFmtId="37" fontId="30" fillId="0" borderId="12" xfId="3" applyFont="1" applyBorder="1" applyAlignment="1" applyProtection="1">
      <alignment vertical="center"/>
      <protection locked="0"/>
    </xf>
    <xf numFmtId="37" fontId="19" fillId="0" borderId="29" xfId="3" applyFont="1" applyBorder="1" applyAlignment="1" applyProtection="1">
      <alignment vertical="center"/>
      <protection locked="0"/>
    </xf>
    <xf numFmtId="14" fontId="30" fillId="0" borderId="0" xfId="3" applyNumberFormat="1" applyFont="1" applyAlignment="1">
      <alignment horizontal="left" vertical="center"/>
    </xf>
    <xf numFmtId="37" fontId="99" fillId="0" borderId="0" xfId="3" applyFont="1" applyAlignment="1" applyProtection="1">
      <alignment vertical="center"/>
      <protection locked="0"/>
    </xf>
    <xf numFmtId="37" fontId="99" fillId="0" borderId="59" xfId="3" applyFont="1" applyBorder="1" applyAlignment="1" applyProtection="1">
      <alignment vertical="center"/>
      <protection locked="0"/>
    </xf>
    <xf numFmtId="37" fontId="30" fillId="0" borderId="47" xfId="3" applyFont="1" applyBorder="1" applyAlignment="1">
      <alignment horizontal="center" vertical="center"/>
    </xf>
    <xf numFmtId="37" fontId="20" fillId="15" borderId="17" xfId="3" applyFont="1" applyFill="1" applyBorder="1" applyAlignment="1">
      <alignment horizontal="left" vertical="center"/>
    </xf>
    <xf numFmtId="37" fontId="100" fillId="16" borderId="47" xfId="3" applyFont="1" applyFill="1" applyBorder="1" applyAlignment="1">
      <alignment horizontal="center" vertical="center"/>
    </xf>
    <xf numFmtId="37" fontId="100" fillId="16" borderId="60" xfId="3" applyFont="1" applyFill="1" applyBorder="1" applyAlignment="1">
      <alignment horizontal="center" vertical="center"/>
    </xf>
    <xf numFmtId="37" fontId="100" fillId="16" borderId="61" xfId="3" applyFont="1" applyFill="1" applyBorder="1" applyAlignment="1">
      <alignment horizontal="center" vertical="center"/>
    </xf>
    <xf numFmtId="37" fontId="20" fillId="15" borderId="14" xfId="3" applyFont="1" applyFill="1" applyBorder="1" applyAlignment="1">
      <alignment horizontal="left" vertical="center"/>
    </xf>
    <xf numFmtId="3" fontId="30" fillId="0" borderId="86" xfId="3" applyNumberFormat="1" applyFont="1" applyBorder="1" applyAlignment="1" applyProtection="1">
      <alignment horizontal="left" vertical="center"/>
      <protection locked="0"/>
    </xf>
    <xf numFmtId="37" fontId="99" fillId="0" borderId="86" xfId="3" applyFont="1" applyBorder="1" applyAlignment="1">
      <alignment horizontal="left" vertical="center"/>
    </xf>
    <xf numFmtId="37" fontId="99" fillId="0" borderId="146" xfId="3" applyFont="1" applyBorder="1" applyAlignment="1">
      <alignment vertical="center"/>
    </xf>
    <xf numFmtId="37" fontId="99" fillId="0" borderId="60" xfId="3" applyFont="1" applyBorder="1" applyAlignment="1">
      <alignment vertical="center"/>
    </xf>
    <xf numFmtId="37" fontId="99" fillId="0" borderId="146" xfId="3" applyFont="1" applyBorder="1" applyAlignment="1">
      <alignment horizontal="right" vertical="center"/>
    </xf>
    <xf numFmtId="3" fontId="30" fillId="0" borderId="116" xfId="3" applyNumberFormat="1" applyFont="1" applyBorder="1" applyAlignment="1" applyProtection="1">
      <alignment horizontal="left" vertical="center"/>
      <protection locked="0"/>
    </xf>
    <xf numFmtId="37" fontId="99" fillId="0" borderId="116" xfId="3" quotePrefix="1" applyFont="1" applyBorder="1" applyAlignment="1">
      <alignment horizontal="left" vertical="center"/>
    </xf>
    <xf numFmtId="37" fontId="99" fillId="0" borderId="76" xfId="3" applyFont="1" applyBorder="1" applyAlignment="1">
      <alignment vertical="center"/>
    </xf>
    <xf numFmtId="37" fontId="99" fillId="0" borderId="76" xfId="3" applyFont="1" applyBorder="1" applyAlignment="1">
      <alignment horizontal="right" vertical="center"/>
    </xf>
    <xf numFmtId="37" fontId="101" fillId="0" borderId="0" xfId="3" applyFont="1" applyAlignment="1" applyProtection="1">
      <alignment horizontal="left" vertical="center"/>
      <protection locked="0"/>
    </xf>
    <xf numFmtId="37" fontId="102" fillId="17" borderId="17" xfId="3" applyFont="1" applyFill="1" applyBorder="1" applyAlignment="1">
      <alignment horizontal="center" vertical="center"/>
    </xf>
    <xf numFmtId="37" fontId="102" fillId="17" borderId="47" xfId="3" applyFont="1" applyFill="1" applyBorder="1" applyAlignment="1">
      <alignment vertical="center"/>
    </xf>
    <xf numFmtId="37" fontId="102" fillId="17" borderId="60" xfId="3" applyFont="1" applyFill="1" applyBorder="1" applyAlignment="1">
      <alignment vertical="center"/>
    </xf>
    <xf numFmtId="0" fontId="103" fillId="0" borderId="0" xfId="15" applyFont="1" applyAlignment="1" applyProtection="1">
      <alignment vertical="center"/>
      <protection locked="0"/>
    </xf>
    <xf numFmtId="37" fontId="102" fillId="17" borderId="47" xfId="3" applyFont="1" applyFill="1" applyBorder="1" applyAlignment="1">
      <alignment horizontal="right" vertical="center"/>
    </xf>
    <xf numFmtId="37" fontId="101" fillId="0" borderId="0" xfId="3" applyFont="1" applyAlignment="1" applyProtection="1">
      <alignment vertical="center"/>
      <protection locked="0"/>
    </xf>
    <xf numFmtId="37" fontId="99" fillId="0" borderId="86" xfId="3" quotePrefix="1" applyFont="1" applyBorder="1" applyAlignment="1">
      <alignment horizontal="left" vertical="center"/>
    </xf>
    <xf numFmtId="37" fontId="99" fillId="0" borderId="60" xfId="3" applyFont="1" applyBorder="1" applyAlignment="1">
      <alignment horizontal="right" vertical="center"/>
    </xf>
    <xf numFmtId="37" fontId="99" fillId="0" borderId="116" xfId="3" applyFont="1" applyBorder="1" applyAlignment="1">
      <alignment horizontal="left" vertical="center"/>
    </xf>
    <xf numFmtId="37" fontId="99" fillId="0" borderId="0" xfId="15" applyNumberFormat="1" applyFont="1" applyAlignment="1" applyProtection="1">
      <alignment vertical="center"/>
      <protection locked="0"/>
    </xf>
    <xf numFmtId="37" fontId="100" fillId="0" borderId="0" xfId="3" applyFont="1" applyAlignment="1" applyProtection="1">
      <alignment horizontal="left" vertical="center"/>
      <protection locked="0"/>
    </xf>
    <xf numFmtId="37" fontId="100" fillId="16" borderId="17" xfId="3" applyFont="1" applyFill="1" applyBorder="1" applyAlignment="1">
      <alignment horizontal="left" vertical="center"/>
    </xf>
    <xf numFmtId="37" fontId="100" fillId="16" borderId="47" xfId="3" applyFont="1" applyFill="1" applyBorder="1" applyAlignment="1">
      <alignment horizontal="right" vertical="center"/>
    </xf>
    <xf numFmtId="37" fontId="100" fillId="16" borderId="60" xfId="3" applyFont="1" applyFill="1" applyBorder="1" applyAlignment="1">
      <alignment horizontal="right" vertical="center"/>
    </xf>
    <xf numFmtId="0" fontId="99" fillId="0" borderId="0" xfId="15" applyFont="1" applyAlignment="1" applyProtection="1">
      <alignment vertical="center"/>
      <protection locked="0"/>
    </xf>
    <xf numFmtId="3" fontId="30" fillId="0" borderId="89" xfId="3" applyNumberFormat="1" applyFont="1" applyBorder="1" applyAlignment="1" applyProtection="1">
      <alignment horizontal="left" vertical="center"/>
      <protection locked="0"/>
    </xf>
    <xf numFmtId="37" fontId="99" fillId="0" borderId="89" xfId="3" quotePrefix="1" applyFont="1" applyBorder="1" applyAlignment="1">
      <alignment horizontal="left" vertical="center"/>
    </xf>
    <xf numFmtId="37" fontId="99" fillId="0" borderId="74" xfId="3" applyFont="1" applyBorder="1" applyAlignment="1">
      <alignment vertical="center"/>
    </xf>
    <xf numFmtId="37" fontId="99" fillId="0" borderId="74" xfId="3" applyFont="1" applyBorder="1" applyAlignment="1">
      <alignment horizontal="right" vertical="center"/>
    </xf>
    <xf numFmtId="3" fontId="30" fillId="0" borderId="89" xfId="3" quotePrefix="1" applyNumberFormat="1" applyFont="1" applyBorder="1" applyAlignment="1" applyProtection="1">
      <alignment horizontal="left" vertical="center"/>
      <protection locked="0"/>
    </xf>
    <xf numFmtId="37" fontId="104" fillId="0" borderId="89" xfId="3" quotePrefix="1" applyFont="1" applyBorder="1" applyAlignment="1">
      <alignment horizontal="left" vertical="center"/>
    </xf>
    <xf numFmtId="37" fontId="104" fillId="0" borderId="74" xfId="3" applyFont="1" applyBorder="1" applyAlignment="1">
      <alignment vertical="center"/>
    </xf>
    <xf numFmtId="37" fontId="104" fillId="0" borderId="60" xfId="3" applyFont="1" applyBorder="1" applyAlignment="1">
      <alignment vertical="center"/>
    </xf>
    <xf numFmtId="37" fontId="105" fillId="0" borderId="0" xfId="15" applyNumberFormat="1" applyFont="1" applyAlignment="1" applyProtection="1">
      <alignment vertical="center"/>
      <protection locked="0"/>
    </xf>
    <xf numFmtId="37" fontId="104" fillId="0" borderId="74" xfId="3" applyFont="1" applyBorder="1" applyAlignment="1">
      <alignment horizontal="right" vertical="center"/>
    </xf>
    <xf numFmtId="37" fontId="106" fillId="0" borderId="0" xfId="3" applyFont="1" applyAlignment="1" applyProtection="1">
      <alignment vertical="center"/>
      <protection locked="0"/>
    </xf>
    <xf numFmtId="0" fontId="105" fillId="0" borderId="0" xfId="15" applyFont="1" applyAlignment="1" applyProtection="1">
      <alignment vertical="center"/>
      <protection locked="0"/>
    </xf>
    <xf numFmtId="37" fontId="107" fillId="0" borderId="116" xfId="3" quotePrefix="1" applyFont="1" applyBorder="1" applyAlignment="1">
      <alignment horizontal="left" vertical="center"/>
    </xf>
    <xf numFmtId="37" fontId="107" fillId="0" borderId="76" xfId="3" applyFont="1" applyBorder="1" applyAlignment="1">
      <alignment vertical="center"/>
    </xf>
    <xf numFmtId="37" fontId="107" fillId="0" borderId="60" xfId="3" applyFont="1" applyBorder="1" applyAlignment="1">
      <alignment vertical="center"/>
    </xf>
    <xf numFmtId="37" fontId="103" fillId="0" borderId="0" xfId="15" applyNumberFormat="1" applyFont="1" applyAlignment="1" applyProtection="1">
      <alignment vertical="center"/>
      <protection locked="0"/>
    </xf>
    <xf numFmtId="37" fontId="107" fillId="0" borderId="76" xfId="3" applyFont="1" applyBorder="1" applyAlignment="1">
      <alignment horizontal="right" vertical="center"/>
    </xf>
    <xf numFmtId="37" fontId="108" fillId="0" borderId="0" xfId="3" applyFont="1" applyAlignment="1" applyProtection="1">
      <alignment horizontal="left" vertical="center"/>
      <protection locked="0"/>
    </xf>
    <xf numFmtId="37" fontId="100" fillId="16" borderId="47" xfId="3" applyFont="1" applyFill="1" applyBorder="1" applyAlignment="1">
      <alignment vertical="center"/>
    </xf>
    <xf numFmtId="37" fontId="100" fillId="16" borderId="60" xfId="3" applyFont="1" applyFill="1" applyBorder="1" applyAlignment="1">
      <alignment vertical="center"/>
    </xf>
    <xf numFmtId="0" fontId="109" fillId="0" borderId="0" xfId="15" applyFont="1" applyAlignment="1" applyProtection="1">
      <alignment vertical="center"/>
      <protection locked="0"/>
    </xf>
    <xf numFmtId="37" fontId="108" fillId="0" borderId="0" xfId="3" applyFont="1" applyAlignment="1" applyProtection="1">
      <alignment vertical="center"/>
      <protection locked="0"/>
    </xf>
    <xf numFmtId="37" fontId="100" fillId="18" borderId="17" xfId="3" applyFont="1" applyFill="1" applyBorder="1" applyAlignment="1">
      <alignment horizontal="left" vertical="center"/>
    </xf>
    <xf numFmtId="37" fontId="100" fillId="18" borderId="47" xfId="3" applyFont="1" applyFill="1" applyBorder="1" applyAlignment="1">
      <alignment vertical="center"/>
    </xf>
    <xf numFmtId="37" fontId="100" fillId="18" borderId="60" xfId="3" applyFont="1" applyFill="1" applyBorder="1" applyAlignment="1">
      <alignment vertical="center"/>
    </xf>
    <xf numFmtId="37" fontId="100" fillId="18" borderId="47" xfId="3" applyFont="1" applyFill="1" applyBorder="1" applyAlignment="1">
      <alignment horizontal="right" vertical="center"/>
    </xf>
    <xf numFmtId="3" fontId="30" fillId="0" borderId="86" xfId="3" quotePrefix="1" applyNumberFormat="1" applyFont="1" applyBorder="1" applyAlignment="1" applyProtection="1">
      <alignment horizontal="left" vertical="center"/>
      <protection locked="0"/>
    </xf>
    <xf numFmtId="37" fontId="104" fillId="0" borderId="86" xfId="3" quotePrefix="1" applyFont="1" applyBorder="1" applyAlignment="1">
      <alignment vertical="center"/>
    </xf>
    <xf numFmtId="37" fontId="99" fillId="0" borderId="146" xfId="15" applyNumberFormat="1" applyFont="1" applyBorder="1" applyAlignment="1">
      <alignment horizontal="right" vertical="center"/>
    </xf>
    <xf numFmtId="37" fontId="104" fillId="0" borderId="89" xfId="3" quotePrefix="1" applyFont="1" applyBorder="1" applyAlignment="1">
      <alignment vertical="center"/>
    </xf>
    <xf numFmtId="37" fontId="99" fillId="0" borderId="74" xfId="15" applyNumberFormat="1" applyFont="1" applyBorder="1" applyAlignment="1">
      <alignment horizontal="right" vertical="center"/>
    </xf>
    <xf numFmtId="37" fontId="107" fillId="0" borderId="60" xfId="3" applyFont="1" applyBorder="1" applyAlignment="1">
      <alignment horizontal="right" vertical="center"/>
    </xf>
    <xf numFmtId="0" fontId="107" fillId="0" borderId="0" xfId="15" applyFont="1" applyAlignment="1" applyProtection="1">
      <alignment vertical="center"/>
      <protection locked="0"/>
    </xf>
    <xf numFmtId="37" fontId="107" fillId="0" borderId="0" xfId="3" applyFont="1" applyAlignment="1" applyProtection="1">
      <alignment vertical="center"/>
      <protection locked="0"/>
    </xf>
    <xf numFmtId="37" fontId="110" fillId="0" borderId="0" xfId="3" applyFont="1" applyAlignment="1" applyProtection="1">
      <alignment horizontal="left" vertical="center"/>
      <protection locked="0"/>
    </xf>
    <xf numFmtId="37" fontId="100" fillId="18" borderId="60" xfId="3" applyFont="1" applyFill="1" applyBorder="1" applyAlignment="1">
      <alignment horizontal="right" vertical="center"/>
    </xf>
    <xf numFmtId="0" fontId="110" fillId="0" borderId="0" xfId="15" applyFont="1" applyAlignment="1" applyProtection="1">
      <alignment vertical="center"/>
      <protection locked="0"/>
    </xf>
    <xf numFmtId="37" fontId="110" fillId="0" borderId="0" xfId="3" applyFont="1" applyAlignment="1" applyProtection="1">
      <alignment vertical="center"/>
      <protection locked="0"/>
    </xf>
    <xf numFmtId="37" fontId="104" fillId="0" borderId="89" xfId="3" applyFont="1" applyBorder="1" applyAlignment="1">
      <alignment horizontal="left" vertical="center"/>
    </xf>
    <xf numFmtId="37" fontId="107" fillId="0" borderId="74" xfId="3" applyFont="1" applyBorder="1" applyAlignment="1">
      <alignment horizontal="right" vertical="center"/>
    </xf>
    <xf numFmtId="37" fontId="107" fillId="0" borderId="89" xfId="3" quotePrefix="1" applyFont="1" applyBorder="1" applyAlignment="1">
      <alignment horizontal="left" vertical="center"/>
    </xf>
    <xf numFmtId="37" fontId="107" fillId="0" borderId="74" xfId="3" applyFont="1" applyBorder="1" applyAlignment="1">
      <alignment vertical="center"/>
    </xf>
    <xf numFmtId="49" fontId="104" fillId="0" borderId="89" xfId="3" applyNumberFormat="1" applyFont="1" applyBorder="1" applyAlignment="1">
      <alignment horizontal="left" vertical="center"/>
    </xf>
    <xf numFmtId="37" fontId="104" fillId="0" borderId="60" xfId="3" applyFont="1" applyBorder="1" applyAlignment="1">
      <alignment horizontal="right" vertical="center"/>
    </xf>
    <xf numFmtId="3" fontId="30" fillId="0" borderId="99" xfId="3" quotePrefix="1" applyNumberFormat="1" applyFont="1" applyBorder="1" applyAlignment="1" applyProtection="1">
      <alignment horizontal="left" vertical="center"/>
      <protection locked="0"/>
    </xf>
    <xf numFmtId="49" fontId="104" fillId="0" borderId="89" xfId="3" quotePrefix="1" applyNumberFormat="1" applyFont="1" applyBorder="1" applyAlignment="1">
      <alignment horizontal="left" vertical="center"/>
    </xf>
    <xf numFmtId="49" fontId="107" fillId="0" borderId="116" xfId="3" quotePrefix="1" applyNumberFormat="1" applyFont="1" applyBorder="1" applyAlignment="1">
      <alignment horizontal="left" vertical="center"/>
    </xf>
    <xf numFmtId="37" fontId="31" fillId="0" borderId="19" xfId="3" applyFont="1" applyBorder="1" applyAlignment="1" applyProtection="1">
      <alignment horizontal="left" vertical="center"/>
      <protection locked="0"/>
    </xf>
    <xf numFmtId="0" fontId="104" fillId="0" borderId="0" xfId="15" applyFont="1" applyAlignment="1" applyProtection="1">
      <alignment vertical="center"/>
      <protection locked="0"/>
    </xf>
    <xf numFmtId="37" fontId="104" fillId="0" borderId="0" xfId="3" applyFont="1" applyAlignment="1" applyProtection="1">
      <alignment vertical="center"/>
      <protection locked="0"/>
    </xf>
    <xf numFmtId="37" fontId="100" fillId="15" borderId="17" xfId="3" applyFont="1" applyFill="1" applyBorder="1" applyAlignment="1">
      <alignment horizontal="left" vertical="center"/>
    </xf>
    <xf numFmtId="37" fontId="100" fillId="15" borderId="47" xfId="3" applyFont="1" applyFill="1" applyBorder="1" applyAlignment="1">
      <alignment vertical="center"/>
    </xf>
    <xf numFmtId="37" fontId="100" fillId="15" borderId="60" xfId="3" applyFont="1" applyFill="1" applyBorder="1" applyAlignment="1">
      <alignment vertical="center"/>
    </xf>
    <xf numFmtId="37" fontId="100" fillId="15" borderId="47" xfId="3" applyFont="1" applyFill="1" applyBorder="1" applyAlignment="1">
      <alignment horizontal="right" vertical="center"/>
    </xf>
    <xf numFmtId="3" fontId="30" fillId="0" borderId="17" xfId="3" quotePrefix="1" applyNumberFormat="1" applyFont="1" applyBorder="1" applyAlignment="1" applyProtection="1">
      <alignment horizontal="left" vertical="center"/>
      <protection locked="0"/>
    </xf>
    <xf numFmtId="37" fontId="104" fillId="0" borderId="86" xfId="3" quotePrefix="1" applyFont="1" applyBorder="1" applyAlignment="1">
      <alignment horizontal="left" vertical="center"/>
    </xf>
    <xf numFmtId="37" fontId="104" fillId="0" borderId="146" xfId="3" applyFont="1" applyBorder="1" applyAlignment="1">
      <alignment horizontal="right" vertical="center"/>
    </xf>
    <xf numFmtId="49" fontId="100" fillId="16" borderId="17" xfId="3" applyNumberFormat="1" applyFont="1" applyFill="1" applyBorder="1" applyAlignment="1">
      <alignment horizontal="left" vertical="center"/>
    </xf>
    <xf numFmtId="37" fontId="29" fillId="0" borderId="17" xfId="3" applyFont="1" applyBorder="1" applyAlignment="1">
      <alignment horizontal="left" vertical="center"/>
    </xf>
    <xf numFmtId="37" fontId="29" fillId="0" borderId="61" xfId="3" applyFont="1" applyBorder="1" applyAlignment="1">
      <alignment vertical="center"/>
    </xf>
    <xf numFmtId="0" fontId="30" fillId="0" borderId="0" xfId="15" applyFont="1" applyAlignment="1" applyProtection="1">
      <alignment horizontal="left" vertical="center"/>
      <protection locked="0"/>
    </xf>
    <xf numFmtId="37" fontId="30" fillId="0" borderId="0" xfId="15" quotePrefix="1" applyNumberFormat="1" applyFont="1"/>
    <xf numFmtId="37" fontId="28" fillId="0" borderId="0" xfId="15" applyNumberFormat="1" applyAlignment="1" applyProtection="1">
      <alignment vertical="center"/>
      <protection locked="0"/>
    </xf>
    <xf numFmtId="0" fontId="28" fillId="0" borderId="0" xfId="15" applyAlignment="1" applyProtection="1">
      <alignment horizontal="center" vertical="center"/>
      <protection locked="0"/>
    </xf>
    <xf numFmtId="0" fontId="28" fillId="0" borderId="16" xfId="15" applyBorder="1" applyAlignment="1" applyProtection="1">
      <alignment vertical="center"/>
      <protection locked="0"/>
    </xf>
    <xf numFmtId="37" fontId="30" fillId="0" borderId="0" xfId="15" quotePrefix="1" applyNumberFormat="1" applyFont="1" applyAlignment="1">
      <alignment vertical="center"/>
    </xf>
    <xf numFmtId="37" fontId="30" fillId="0" borderId="0" xfId="15" applyNumberFormat="1" applyFont="1" applyAlignment="1">
      <alignment horizontal="center" vertical="center"/>
    </xf>
    <xf numFmtId="37" fontId="28" fillId="0" borderId="0" xfId="15" applyNumberFormat="1" applyAlignment="1">
      <alignment horizontal="center" vertical="center"/>
    </xf>
    <xf numFmtId="0" fontId="28" fillId="0" borderId="29" xfId="15" applyBorder="1" applyAlignment="1" applyProtection="1">
      <alignment vertical="center"/>
      <protection locked="0"/>
    </xf>
    <xf numFmtId="37" fontId="111" fillId="0" borderId="0" xfId="3" applyFont="1" applyAlignment="1" applyProtection="1">
      <alignment vertical="center"/>
      <protection locked="0"/>
    </xf>
    <xf numFmtId="37" fontId="111" fillId="0" borderId="59" xfId="3" applyFont="1" applyBorder="1" applyAlignment="1" applyProtection="1">
      <alignment vertical="center"/>
      <protection locked="0"/>
    </xf>
    <xf numFmtId="37" fontId="31" fillId="19" borderId="0" xfId="3" applyFont="1" applyFill="1" applyAlignment="1" applyProtection="1">
      <alignment horizontal="left" vertical="center"/>
      <protection locked="0"/>
    </xf>
    <xf numFmtId="37" fontId="16" fillId="16" borderId="59" xfId="3" applyFont="1" applyFill="1" applyBorder="1" applyAlignment="1">
      <alignment horizontal="left" vertical="center"/>
    </xf>
    <xf numFmtId="37" fontId="30" fillId="16" borderId="59" xfId="3" applyFont="1" applyFill="1" applyBorder="1" applyAlignment="1">
      <alignment horizontal="center" vertical="center"/>
    </xf>
    <xf numFmtId="37" fontId="30" fillId="16" borderId="60" xfId="3" applyFont="1" applyFill="1" applyBorder="1" applyAlignment="1">
      <alignment horizontal="center" vertical="center"/>
    </xf>
    <xf numFmtId="37" fontId="19" fillId="19" borderId="0" xfId="3" applyFont="1" applyFill="1" applyAlignment="1" applyProtection="1">
      <alignment vertical="center"/>
      <protection locked="0"/>
    </xf>
    <xf numFmtId="37" fontId="30" fillId="0" borderId="146" xfId="3" applyFont="1" applyBorder="1" applyAlignment="1">
      <alignment horizontal="left" vertical="center"/>
    </xf>
    <xf numFmtId="37" fontId="28" fillId="0" borderId="146" xfId="3" applyFont="1" applyBorder="1" applyAlignment="1">
      <alignment vertical="center"/>
    </xf>
    <xf numFmtId="37" fontId="28" fillId="0" borderId="146" xfId="3" applyFont="1" applyBorder="1" applyAlignment="1">
      <alignment horizontal="right" vertical="center"/>
    </xf>
    <xf numFmtId="37" fontId="30" fillId="0" borderId="76" xfId="3" applyFont="1" applyBorder="1" applyAlignment="1">
      <alignment horizontal="left" vertical="center"/>
    </xf>
    <xf numFmtId="37" fontId="28" fillId="0" borderId="76" xfId="3" applyFont="1" applyBorder="1" applyAlignment="1">
      <alignment vertical="center"/>
    </xf>
    <xf numFmtId="37" fontId="28" fillId="0" borderId="76" xfId="3" applyFont="1" applyBorder="1" applyAlignment="1">
      <alignment horizontal="right" vertical="center"/>
    </xf>
    <xf numFmtId="37" fontId="30" fillId="16" borderId="60" xfId="3" applyFont="1" applyFill="1" applyBorder="1" applyAlignment="1">
      <alignment horizontal="left" vertical="center"/>
    </xf>
    <xf numFmtId="37" fontId="28" fillId="16" borderId="60" xfId="3" applyFont="1" applyFill="1" applyBorder="1" applyAlignment="1">
      <alignment vertical="center"/>
    </xf>
    <xf numFmtId="37" fontId="28" fillId="16" borderId="60" xfId="3" applyFont="1" applyFill="1" applyBorder="1" applyAlignment="1">
      <alignment horizontal="right" vertical="center"/>
    </xf>
    <xf numFmtId="37" fontId="30" fillId="0" borderId="74" xfId="3" applyFont="1" applyBorder="1" applyAlignment="1">
      <alignment horizontal="left" vertical="center"/>
    </xf>
    <xf numFmtId="37" fontId="28" fillId="0" borderId="74" xfId="3" applyFont="1" applyBorder="1" applyAlignment="1">
      <alignment vertical="center"/>
    </xf>
    <xf numFmtId="37" fontId="28" fillId="0" borderId="74" xfId="3" applyFont="1" applyBorder="1" applyAlignment="1">
      <alignment horizontal="right" vertical="center"/>
    </xf>
    <xf numFmtId="37" fontId="30" fillId="0" borderId="78" xfId="3" applyFont="1" applyBorder="1" applyAlignment="1">
      <alignment horizontal="left" vertical="center"/>
    </xf>
    <xf numFmtId="37" fontId="28" fillId="0" borderId="78" xfId="3" applyFont="1" applyBorder="1" applyAlignment="1">
      <alignment vertical="center"/>
    </xf>
    <xf numFmtId="37" fontId="28" fillId="0" borderId="78" xfId="3" applyFont="1" applyBorder="1" applyAlignment="1">
      <alignment horizontal="right" vertical="center"/>
    </xf>
    <xf numFmtId="0" fontId="30" fillId="19" borderId="0" xfId="15" applyFont="1" applyFill="1" applyAlignment="1" applyProtection="1">
      <alignment horizontal="left" vertical="center"/>
      <protection locked="0"/>
    </xf>
    <xf numFmtId="37" fontId="28" fillId="0" borderId="60" xfId="3" applyFont="1" applyBorder="1" applyAlignment="1">
      <alignment horizontal="right" vertical="center"/>
    </xf>
    <xf numFmtId="0" fontId="28" fillId="19" borderId="0" xfId="15" applyFill="1" applyAlignment="1" applyProtection="1">
      <alignment vertical="center"/>
      <protection locked="0"/>
    </xf>
    <xf numFmtId="37" fontId="30" fillId="16" borderId="47" xfId="3" applyFont="1" applyFill="1" applyBorder="1" applyAlignment="1">
      <alignment horizontal="left" vertical="center"/>
    </xf>
    <xf numFmtId="37" fontId="28" fillId="16" borderId="47" xfId="15" applyNumberFormat="1" applyFill="1" applyBorder="1" applyAlignment="1">
      <alignment vertical="center"/>
    </xf>
    <xf numFmtId="37" fontId="28" fillId="16" borderId="60" xfId="15" applyNumberFormat="1" applyFill="1" applyBorder="1" applyAlignment="1">
      <alignment vertical="center"/>
    </xf>
    <xf numFmtId="37" fontId="28" fillId="16" borderId="47" xfId="15" applyNumberFormat="1" applyFill="1" applyBorder="1" applyAlignment="1">
      <alignment horizontal="right" vertical="center"/>
    </xf>
    <xf numFmtId="37" fontId="30" fillId="0" borderId="61" xfId="3" applyFont="1" applyBorder="1" applyAlignment="1">
      <alignment horizontal="left" vertical="center"/>
    </xf>
    <xf numFmtId="37" fontId="28" fillId="0" borderId="61" xfId="3" applyFont="1" applyBorder="1" applyAlignment="1">
      <alignment vertical="center"/>
    </xf>
    <xf numFmtId="37" fontId="28" fillId="0" borderId="61" xfId="3" applyFont="1" applyBorder="1" applyAlignment="1">
      <alignment horizontal="right" vertical="center"/>
    </xf>
    <xf numFmtId="37" fontId="30" fillId="16" borderId="148" xfId="3" applyFont="1" applyFill="1" applyBorder="1" applyAlignment="1">
      <alignment horizontal="left" vertical="center"/>
    </xf>
    <xf numFmtId="37" fontId="28" fillId="16" borderId="148" xfId="3" applyFont="1" applyFill="1" applyBorder="1" applyAlignment="1">
      <alignment vertical="center"/>
    </xf>
    <xf numFmtId="37" fontId="28" fillId="16" borderId="148" xfId="3" applyFont="1" applyFill="1" applyBorder="1" applyAlignment="1">
      <alignment horizontal="right" vertical="center"/>
    </xf>
    <xf numFmtId="37" fontId="28" fillId="12" borderId="74" xfId="3" applyFont="1" applyFill="1" applyBorder="1" applyAlignment="1">
      <alignment vertical="center"/>
    </xf>
    <xf numFmtId="37" fontId="28" fillId="12" borderId="60" xfId="3" applyFont="1" applyFill="1" applyBorder="1" applyAlignment="1">
      <alignment vertical="center"/>
    </xf>
    <xf numFmtId="37" fontId="31" fillId="0" borderId="149" xfId="3" applyFont="1" applyBorder="1" applyAlignment="1" applyProtection="1">
      <alignment horizontal="left" vertical="center"/>
      <protection locked="0"/>
    </xf>
    <xf numFmtId="37" fontId="19" fillId="0" borderId="149" xfId="3" applyFont="1" applyBorder="1" applyAlignment="1">
      <alignment vertical="center"/>
    </xf>
    <xf numFmtId="37" fontId="31" fillId="0" borderId="149" xfId="3" quotePrefix="1" applyFont="1" applyBorder="1" applyAlignment="1" applyProtection="1">
      <alignment vertical="center"/>
      <protection locked="0"/>
    </xf>
    <xf numFmtId="37" fontId="29" fillId="0" borderId="150" xfId="3" quotePrefix="1" applyFont="1" applyBorder="1" applyAlignment="1" applyProtection="1">
      <alignment vertical="center"/>
      <protection locked="0"/>
    </xf>
    <xf numFmtId="37" fontId="31" fillId="0" borderId="149" xfId="3" quotePrefix="1" applyFont="1" applyBorder="1" applyAlignment="1" applyProtection="1">
      <alignment horizontal="center" vertical="center"/>
      <protection locked="0"/>
    </xf>
    <xf numFmtId="37" fontId="19" fillId="0" borderId="149" xfId="3" applyFont="1" applyBorder="1" applyAlignment="1" applyProtection="1">
      <alignment vertical="center"/>
      <protection locked="0"/>
    </xf>
    <xf numFmtId="37" fontId="31" fillId="13" borderId="0" xfId="3" applyFont="1" applyFill="1" applyAlignment="1" applyProtection="1">
      <alignment horizontal="right" vertical="center"/>
      <protection locked="0"/>
    </xf>
    <xf numFmtId="37" fontId="19" fillId="0" borderId="151" xfId="3" applyFont="1" applyBorder="1" applyAlignment="1" applyProtection="1">
      <alignment vertical="center"/>
      <protection locked="0"/>
    </xf>
    <xf numFmtId="37" fontId="31" fillId="13" borderId="0" xfId="3" applyFont="1" applyFill="1" applyAlignment="1" applyProtection="1">
      <alignment horizontal="center" vertical="center"/>
      <protection locked="0"/>
    </xf>
    <xf numFmtId="37" fontId="19" fillId="13" borderId="0" xfId="3" applyFont="1" applyFill="1" applyAlignment="1" applyProtection="1">
      <alignment horizontal="center" vertical="center"/>
      <protection locked="0"/>
    </xf>
    <xf numFmtId="37" fontId="19" fillId="0" borderId="0" xfId="3" quotePrefix="1" applyFont="1" applyAlignment="1" applyProtection="1">
      <alignment vertical="center"/>
      <protection locked="0"/>
    </xf>
    <xf numFmtId="37" fontId="112" fillId="0" borderId="0" xfId="3" applyFont="1" applyAlignment="1" applyProtection="1">
      <alignment vertical="center"/>
      <protection locked="0"/>
    </xf>
    <xf numFmtId="14" fontId="30" fillId="0" borderId="0" xfId="3" applyNumberFormat="1" applyFont="1" applyAlignment="1" applyProtection="1">
      <alignment vertical="center"/>
      <protection locked="0"/>
    </xf>
    <xf numFmtId="37" fontId="113" fillId="0" borderId="47" xfId="3" applyFont="1" applyBorder="1" applyAlignment="1" applyProtection="1">
      <alignment horizontal="center" vertical="center"/>
      <protection locked="0"/>
    </xf>
    <xf numFmtId="37" fontId="20" fillId="0" borderId="19" xfId="3" applyFont="1" applyBorder="1" applyAlignment="1" applyProtection="1">
      <alignment horizontal="center" vertical="center"/>
      <protection locked="0"/>
    </xf>
    <xf numFmtId="37" fontId="20" fillId="0" borderId="152" xfId="3" applyFont="1" applyBorder="1" applyAlignment="1" applyProtection="1">
      <alignment horizontal="center" vertical="center"/>
      <protection locked="0"/>
    </xf>
    <xf numFmtId="37" fontId="20" fillId="0" borderId="153" xfId="3" applyFont="1" applyBorder="1" applyAlignment="1" applyProtection="1">
      <alignment horizontal="center" vertical="center"/>
      <protection locked="0"/>
    </xf>
    <xf numFmtId="37" fontId="30" fillId="0" borderId="146" xfId="3" applyFont="1" applyBorder="1" applyAlignment="1" applyProtection="1">
      <alignment vertical="center"/>
      <protection locked="0"/>
    </xf>
    <xf numFmtId="9" fontId="28" fillId="20" borderId="121" xfId="5" applyFont="1" applyFill="1" applyBorder="1" applyAlignment="1" applyProtection="1">
      <alignment vertical="center"/>
    </xf>
    <xf numFmtId="9" fontId="28" fillId="0" borderId="87" xfId="5" applyFont="1" applyBorder="1" applyAlignment="1" applyProtection="1">
      <alignment vertical="center"/>
    </xf>
    <xf numFmtId="9" fontId="28" fillId="20" borderId="88" xfId="5" applyFont="1" applyFill="1" applyBorder="1" applyAlignment="1" applyProtection="1">
      <alignment vertical="center"/>
    </xf>
    <xf numFmtId="9" fontId="28" fillId="0" borderId="88" xfId="5" applyFont="1" applyBorder="1" applyAlignment="1" applyProtection="1">
      <alignment vertical="center"/>
    </xf>
    <xf numFmtId="37" fontId="30" fillId="0" borderId="74" xfId="3" applyFont="1" applyBorder="1" applyAlignment="1" applyProtection="1">
      <alignment vertical="center"/>
      <protection locked="0"/>
    </xf>
    <xf numFmtId="9" fontId="28" fillId="0" borderId="90" xfId="5" applyFont="1" applyBorder="1" applyAlignment="1" applyProtection="1">
      <alignment vertical="center"/>
    </xf>
    <xf numFmtId="9" fontId="28" fillId="0" borderId="130" xfId="5" applyFont="1" applyBorder="1" applyAlignment="1" applyProtection="1">
      <alignment vertical="center"/>
    </xf>
    <xf numFmtId="9" fontId="28" fillId="0" borderId="154" xfId="5" applyFont="1" applyBorder="1" applyAlignment="1" applyProtection="1">
      <alignment vertical="center"/>
    </xf>
    <xf numFmtId="38" fontId="30" fillId="0" borderId="74" xfId="15" applyNumberFormat="1" applyFont="1" applyBorder="1" applyAlignment="1">
      <alignment vertical="center"/>
    </xf>
    <xf numFmtId="37" fontId="30" fillId="0" borderId="78" xfId="3" applyFont="1" applyBorder="1" applyAlignment="1" applyProtection="1">
      <alignment vertical="center"/>
      <protection locked="0"/>
    </xf>
    <xf numFmtId="9" fontId="28" fillId="0" borderId="107" xfId="5" applyFont="1" applyBorder="1" applyAlignment="1" applyProtection="1">
      <alignment vertical="center"/>
    </xf>
    <xf numFmtId="38" fontId="30" fillId="0" borderId="78" xfId="15" applyNumberFormat="1" applyFont="1" applyBorder="1" applyAlignment="1">
      <alignment vertical="center"/>
    </xf>
    <xf numFmtId="9" fontId="28" fillId="0" borderId="134" xfId="5" applyFont="1" applyBorder="1" applyAlignment="1" applyProtection="1">
      <alignment vertical="center"/>
    </xf>
    <xf numFmtId="9" fontId="28" fillId="0" borderId="155" xfId="5" applyFont="1" applyBorder="1" applyAlignment="1" applyProtection="1">
      <alignment vertical="center"/>
    </xf>
    <xf numFmtId="37" fontId="30" fillId="7" borderId="47" xfId="3" applyFont="1" applyFill="1" applyBorder="1" applyAlignment="1" applyProtection="1">
      <alignment vertical="center"/>
      <protection locked="0"/>
    </xf>
    <xf numFmtId="9" fontId="28" fillId="7" borderId="19" xfId="5" applyFont="1" applyFill="1" applyBorder="1" applyAlignment="1" applyProtection="1">
      <alignment vertical="center"/>
    </xf>
    <xf numFmtId="9" fontId="28" fillId="7" borderId="152" xfId="5" applyFont="1" applyFill="1" applyBorder="1" applyAlignment="1" applyProtection="1">
      <alignment vertical="center"/>
    </xf>
    <xf numFmtId="9" fontId="28" fillId="7" borderId="153" xfId="5" applyFont="1" applyFill="1" applyBorder="1" applyAlignment="1" applyProtection="1">
      <alignment vertical="center"/>
    </xf>
    <xf numFmtId="37" fontId="30" fillId="0" borderId="73" xfId="3" applyFont="1" applyBorder="1" applyAlignment="1" applyProtection="1">
      <alignment vertical="center"/>
      <protection locked="0"/>
    </xf>
    <xf numFmtId="9" fontId="28" fillId="0" borderId="100" xfId="5" applyFont="1" applyBorder="1" applyAlignment="1" applyProtection="1">
      <alignment vertical="center"/>
    </xf>
    <xf numFmtId="37" fontId="30" fillId="0" borderId="73" xfId="3" applyFont="1" applyBorder="1" applyAlignment="1">
      <alignment vertical="center"/>
    </xf>
    <xf numFmtId="9" fontId="28" fillId="0" borderId="20" xfId="5" applyFont="1" applyBorder="1" applyAlignment="1" applyProtection="1">
      <alignment vertical="center"/>
    </xf>
    <xf numFmtId="9" fontId="28" fillId="0" borderId="103" xfId="5" applyFont="1" applyBorder="1" applyAlignment="1" applyProtection="1">
      <alignment vertical="center"/>
    </xf>
    <xf numFmtId="37" fontId="30" fillId="0" borderId="78" xfId="3" applyFont="1" applyBorder="1" applyAlignment="1">
      <alignment vertical="center"/>
    </xf>
    <xf numFmtId="37" fontId="30" fillId="10" borderId="47" xfId="3" applyFont="1" applyFill="1" applyBorder="1" applyAlignment="1" applyProtection="1">
      <alignment vertical="center"/>
      <protection locked="0"/>
    </xf>
    <xf numFmtId="9" fontId="28" fillId="10" borderId="19" xfId="5" applyFont="1" applyFill="1" applyBorder="1" applyAlignment="1" applyProtection="1">
      <alignment vertical="center"/>
    </xf>
    <xf numFmtId="9" fontId="28" fillId="10" borderId="152" xfId="5" applyFont="1" applyFill="1" applyBorder="1" applyAlignment="1" applyProtection="1">
      <alignment vertical="center"/>
    </xf>
    <xf numFmtId="9" fontId="28" fillId="10" borderId="153" xfId="5" applyFont="1" applyFill="1" applyBorder="1" applyAlignment="1" applyProtection="1">
      <alignment vertical="center"/>
    </xf>
    <xf numFmtId="37" fontId="28" fillId="10" borderId="19" xfId="3" applyFont="1" applyFill="1" applyBorder="1" applyAlignment="1">
      <alignment vertical="center"/>
    </xf>
    <xf numFmtId="0" fontId="28" fillId="0" borderId="151" xfId="15" applyBorder="1" applyProtection="1">
      <protection locked="0"/>
    </xf>
    <xf numFmtId="37" fontId="30" fillId="7" borderId="73" xfId="3" applyFont="1" applyFill="1" applyBorder="1" applyAlignment="1" applyProtection="1">
      <alignment vertical="center"/>
      <protection locked="0"/>
    </xf>
    <xf numFmtId="9" fontId="28" fillId="7" borderId="100" xfId="5" applyFont="1" applyFill="1" applyBorder="1" applyAlignment="1" applyProtection="1">
      <alignment vertical="center"/>
    </xf>
    <xf numFmtId="9" fontId="28" fillId="7" borderId="20" xfId="5" applyFont="1" applyFill="1" applyBorder="1" applyAlignment="1" applyProtection="1">
      <alignment vertical="center"/>
    </xf>
    <xf numFmtId="9" fontId="28" fillId="7" borderId="103" xfId="5" applyFont="1" applyFill="1" applyBorder="1" applyAlignment="1" applyProtection="1">
      <alignment vertical="center"/>
    </xf>
    <xf numFmtId="37" fontId="30" fillId="7" borderId="78" xfId="3" applyFont="1" applyFill="1" applyBorder="1" applyAlignment="1" applyProtection="1">
      <alignment vertical="center"/>
      <protection locked="0"/>
    </xf>
    <xf numFmtId="9" fontId="28" fillId="7" borderId="107" xfId="5" applyFont="1" applyFill="1" applyBorder="1" applyAlignment="1" applyProtection="1">
      <alignment vertical="center"/>
    </xf>
    <xf numFmtId="9" fontId="28" fillId="7" borderId="134" xfId="5" applyFont="1" applyFill="1" applyBorder="1" applyAlignment="1" applyProtection="1">
      <alignment vertical="center"/>
    </xf>
    <xf numFmtId="9" fontId="28" fillId="7" borderId="155" xfId="5" applyFont="1" applyFill="1" applyBorder="1" applyAlignment="1" applyProtection="1">
      <alignment vertical="center"/>
    </xf>
    <xf numFmtId="37" fontId="34" fillId="0" borderId="47" xfId="3" applyFont="1" applyBorder="1" applyAlignment="1" applyProtection="1">
      <alignment vertical="center"/>
      <protection locked="0"/>
    </xf>
    <xf numFmtId="9" fontId="33" fillId="0" borderId="19" xfId="5" applyFont="1" applyFill="1" applyBorder="1" applyAlignment="1" applyProtection="1">
      <alignment vertical="center"/>
    </xf>
    <xf numFmtId="9" fontId="33" fillId="0" borderId="152" xfId="5" applyFont="1" applyFill="1" applyBorder="1" applyAlignment="1" applyProtection="1">
      <alignment vertical="center"/>
    </xf>
    <xf numFmtId="9" fontId="33" fillId="0" borderId="153" xfId="5" applyFont="1" applyFill="1" applyBorder="1" applyAlignment="1" applyProtection="1">
      <alignment vertical="center"/>
    </xf>
    <xf numFmtId="9" fontId="28" fillId="0" borderId="0" xfId="5" applyFont="1" applyBorder="1" applyAlignment="1" applyProtection="1">
      <alignment vertical="center"/>
    </xf>
    <xf numFmtId="9" fontId="28" fillId="0" borderId="97" xfId="5" applyFont="1" applyBorder="1" applyAlignment="1" applyProtection="1">
      <alignment vertical="center"/>
    </xf>
    <xf numFmtId="9" fontId="28" fillId="0" borderId="156" xfId="5" applyFont="1" applyBorder="1" applyAlignment="1" applyProtection="1">
      <alignment vertical="center"/>
    </xf>
    <xf numFmtId="37" fontId="30" fillId="13" borderId="73" xfId="3" applyFont="1" applyFill="1" applyBorder="1" applyAlignment="1" applyProtection="1">
      <alignment vertical="center"/>
      <protection locked="0"/>
    </xf>
    <xf numFmtId="9" fontId="28" fillId="13" borderId="100" xfId="5" applyFont="1" applyFill="1" applyBorder="1" applyAlignment="1" applyProtection="1">
      <alignment vertical="center"/>
    </xf>
    <xf numFmtId="37" fontId="30" fillId="13" borderId="73" xfId="3" applyFont="1" applyFill="1" applyBorder="1" applyAlignment="1">
      <alignment vertical="center"/>
    </xf>
    <xf numFmtId="9" fontId="28" fillId="13" borderId="20" xfId="5" applyFont="1" applyFill="1" applyBorder="1" applyAlignment="1" applyProtection="1">
      <alignment vertical="center"/>
    </xf>
    <xf numFmtId="9" fontId="28" fillId="13" borderId="103" xfId="5" applyFont="1" applyFill="1" applyBorder="1" applyAlignment="1" applyProtection="1">
      <alignment vertical="center"/>
    </xf>
    <xf numFmtId="0" fontId="28" fillId="13" borderId="151" xfId="15" applyFill="1" applyBorder="1" applyProtection="1">
      <protection locked="0"/>
    </xf>
    <xf numFmtId="0" fontId="28" fillId="13" borderId="0" xfId="15" applyFill="1" applyProtection="1">
      <protection locked="0"/>
    </xf>
    <xf numFmtId="9" fontId="28" fillId="0" borderId="130" xfId="5" applyFont="1" applyFill="1" applyBorder="1" applyAlignment="1" applyProtection="1">
      <alignment vertical="center"/>
    </xf>
    <xf numFmtId="9" fontId="28" fillId="0" borderId="154" xfId="5" applyFont="1" applyFill="1" applyBorder="1" applyAlignment="1" applyProtection="1">
      <alignment vertical="center"/>
    </xf>
    <xf numFmtId="9" fontId="28" fillId="0" borderId="90" xfId="5" applyFont="1" applyFill="1" applyBorder="1" applyAlignment="1" applyProtection="1">
      <alignment vertical="center"/>
    </xf>
    <xf numFmtId="37" fontId="30" fillId="13" borderId="78" xfId="3" applyFont="1" applyFill="1" applyBorder="1" applyAlignment="1" applyProtection="1">
      <alignment vertical="center"/>
      <protection locked="0"/>
    </xf>
    <xf numFmtId="9" fontId="28" fillId="13" borderId="107" xfId="5" applyFont="1" applyFill="1" applyBorder="1" applyAlignment="1" applyProtection="1">
      <alignment vertical="center"/>
    </xf>
    <xf numFmtId="9" fontId="28" fillId="13" borderId="134" xfId="5" applyFont="1" applyFill="1" applyBorder="1" applyAlignment="1" applyProtection="1">
      <alignment vertical="center"/>
    </xf>
    <xf numFmtId="9" fontId="28" fillId="13" borderId="155" xfId="5" applyFont="1" applyFill="1" applyBorder="1" applyAlignment="1" applyProtection="1">
      <alignment vertical="center"/>
    </xf>
    <xf numFmtId="37" fontId="30" fillId="0" borderId="47" xfId="3" applyFont="1" applyBorder="1" applyAlignment="1">
      <alignment vertical="center"/>
    </xf>
    <xf numFmtId="9" fontId="28" fillId="0" borderId="100" xfId="5" applyFont="1" applyBorder="1" applyAlignment="1" applyProtection="1">
      <alignment vertical="center"/>
      <protection locked="0"/>
    </xf>
    <xf numFmtId="9" fontId="28" fillId="0" borderId="20" xfId="5" applyFont="1" applyBorder="1" applyAlignment="1" applyProtection="1">
      <alignment vertical="center"/>
      <protection hidden="1"/>
    </xf>
    <xf numFmtId="9" fontId="28" fillId="0" borderId="103" xfId="5" applyFont="1" applyBorder="1" applyAlignment="1" applyProtection="1">
      <alignment vertical="center"/>
      <protection hidden="1"/>
    </xf>
    <xf numFmtId="37" fontId="30" fillId="0" borderId="73" xfId="3" applyFont="1" applyBorder="1" applyAlignment="1" applyProtection="1">
      <alignment vertical="center"/>
      <protection hidden="1"/>
    </xf>
    <xf numFmtId="9" fontId="28" fillId="0" borderId="90" xfId="5" applyFont="1" applyBorder="1" applyAlignment="1" applyProtection="1">
      <alignment vertical="center"/>
      <protection locked="0"/>
    </xf>
    <xf numFmtId="9" fontId="28" fillId="0" borderId="130" xfId="5" applyFont="1" applyBorder="1" applyAlignment="1" applyProtection="1">
      <alignment vertical="center"/>
      <protection hidden="1"/>
    </xf>
    <xf numFmtId="9" fontId="28" fillId="0" borderId="154" xfId="5" applyFont="1" applyBorder="1" applyAlignment="1" applyProtection="1">
      <alignment vertical="center"/>
      <protection hidden="1"/>
    </xf>
    <xf numFmtId="37" fontId="30" fillId="0" borderId="74" xfId="3" applyFont="1" applyBorder="1" applyAlignment="1" applyProtection="1">
      <alignment vertical="center"/>
      <protection hidden="1"/>
    </xf>
    <xf numFmtId="37" fontId="30" fillId="0" borderId="78" xfId="3" applyFont="1" applyBorder="1" applyAlignment="1" applyProtection="1">
      <alignment vertical="center"/>
      <protection hidden="1"/>
    </xf>
    <xf numFmtId="37" fontId="30" fillId="10" borderId="59" xfId="3" applyFont="1" applyFill="1" applyBorder="1" applyAlignment="1">
      <alignment vertical="center"/>
    </xf>
    <xf numFmtId="9" fontId="28" fillId="10" borderId="90" xfId="5" applyFont="1" applyFill="1" applyBorder="1" applyAlignment="1" applyProtection="1">
      <alignment vertical="center"/>
    </xf>
    <xf numFmtId="9" fontId="28" fillId="10" borderId="130" xfId="5" applyFont="1" applyFill="1" applyBorder="1" applyAlignment="1" applyProtection="1">
      <alignment vertical="center"/>
    </xf>
    <xf numFmtId="9" fontId="28" fillId="10" borderId="103" xfId="5" applyFont="1" applyFill="1" applyBorder="1" applyAlignment="1" applyProtection="1">
      <alignment vertical="center"/>
    </xf>
    <xf numFmtId="37" fontId="53" fillId="0" borderId="0" xfId="3" applyFont="1" applyAlignment="1" applyProtection="1">
      <alignment vertical="center"/>
      <protection locked="0"/>
    </xf>
    <xf numFmtId="37" fontId="53" fillId="0" borderId="0" xfId="3" applyFont="1" applyAlignment="1" applyProtection="1">
      <alignment horizontal="center" vertical="center"/>
      <protection locked="0"/>
    </xf>
    <xf numFmtId="0" fontId="114" fillId="0" borderId="0" xfId="15" applyFont="1" applyAlignment="1" applyProtection="1">
      <alignment vertical="center"/>
      <protection locked="0"/>
    </xf>
    <xf numFmtId="37" fontId="30" fillId="9" borderId="47" xfId="15" applyNumberFormat="1" applyFont="1" applyFill="1" applyBorder="1" applyAlignment="1" applyProtection="1">
      <alignment vertical="center"/>
      <protection locked="0"/>
    </xf>
    <xf numFmtId="9" fontId="28" fillId="0" borderId="90" xfId="5" applyFont="1" applyBorder="1" applyAlignment="1" applyProtection="1">
      <alignment horizontal="center" vertical="center"/>
    </xf>
    <xf numFmtId="9" fontId="28" fillId="0" borderId="130" xfId="5" applyFont="1" applyBorder="1" applyAlignment="1" applyProtection="1">
      <alignment horizontal="center" vertical="center"/>
    </xf>
    <xf numFmtId="9" fontId="28" fillId="0" borderId="154" xfId="3" applyNumberFormat="1" applyFont="1" applyBorder="1" applyAlignment="1">
      <alignment horizontal="center" vertical="center"/>
    </xf>
    <xf numFmtId="9" fontId="28" fillId="0" borderId="130" xfId="3" applyNumberFormat="1" applyFont="1" applyBorder="1" applyAlignment="1">
      <alignment horizontal="center" vertical="center"/>
    </xf>
    <xf numFmtId="37" fontId="30" fillId="0" borderId="156" xfId="3" applyFont="1" applyBorder="1" applyAlignment="1" applyProtection="1">
      <alignment vertical="center"/>
      <protection locked="0"/>
    </xf>
    <xf numFmtId="9" fontId="28" fillId="0" borderId="0" xfId="3" applyNumberFormat="1" applyFont="1" applyAlignment="1" applyProtection="1">
      <alignment horizontal="center" vertical="center"/>
      <protection locked="0"/>
    </xf>
    <xf numFmtId="37" fontId="19" fillId="0" borderId="156" xfId="3" applyFont="1" applyBorder="1" applyAlignment="1" applyProtection="1">
      <alignment vertical="center"/>
      <protection locked="0"/>
    </xf>
    <xf numFmtId="37" fontId="19" fillId="14" borderId="0" xfId="3" applyFont="1" applyFill="1" applyAlignment="1" applyProtection="1">
      <alignment horizontal="center" vertical="center"/>
      <protection locked="0"/>
    </xf>
    <xf numFmtId="0" fontId="28" fillId="14" borderId="0" xfId="15" applyFill="1" applyAlignment="1" applyProtection="1">
      <alignment vertical="center"/>
      <protection locked="0"/>
    </xf>
    <xf numFmtId="37" fontId="19" fillId="14" borderId="151" xfId="3" applyFont="1" applyFill="1" applyBorder="1" applyAlignment="1" applyProtection="1">
      <alignment vertical="center"/>
      <protection locked="0"/>
    </xf>
    <xf numFmtId="37" fontId="30" fillId="0" borderId="76" xfId="3" applyFont="1" applyBorder="1" applyAlignment="1" applyProtection="1">
      <alignment vertical="center"/>
      <protection locked="0"/>
    </xf>
    <xf numFmtId="37" fontId="31" fillId="7" borderId="47" xfId="3" applyFont="1" applyFill="1" applyBorder="1" applyAlignment="1" applyProtection="1">
      <alignment vertical="center"/>
      <protection locked="0"/>
    </xf>
    <xf numFmtId="37" fontId="28" fillId="0" borderId="59" xfId="3" applyFont="1" applyBorder="1" applyAlignment="1" applyProtection="1">
      <alignment vertical="center"/>
      <protection locked="0"/>
    </xf>
    <xf numFmtId="37" fontId="29" fillId="0" borderId="47" xfId="3" applyFont="1" applyBorder="1" applyAlignment="1" applyProtection="1">
      <alignment horizontal="right" vertical="center"/>
      <protection locked="0"/>
    </xf>
    <xf numFmtId="37" fontId="112" fillId="0" borderId="0" xfId="3" applyFont="1" applyAlignment="1" applyProtection="1">
      <alignment horizontal="center" vertical="center"/>
      <protection locked="0"/>
    </xf>
    <xf numFmtId="37" fontId="112" fillId="16" borderId="18" xfId="3" quotePrefix="1" applyFont="1" applyFill="1" applyBorder="1" applyAlignment="1" applyProtection="1">
      <alignment horizontal="center" vertical="center"/>
      <protection locked="0"/>
    </xf>
    <xf numFmtId="37" fontId="115" fillId="16" borderId="15" xfId="3" applyFont="1" applyFill="1" applyBorder="1" applyAlignment="1" applyProtection="1">
      <alignment vertical="center"/>
      <protection locked="0"/>
    </xf>
    <xf numFmtId="37" fontId="116" fillId="0" borderId="122" xfId="3" applyFont="1" applyBorder="1" applyAlignment="1" applyProtection="1">
      <alignment vertical="center"/>
      <protection locked="0"/>
    </xf>
    <xf numFmtId="37" fontId="116" fillId="0" borderId="75" xfId="3" applyFont="1" applyBorder="1" applyAlignment="1" applyProtection="1">
      <alignment vertical="center"/>
      <protection locked="0"/>
    </xf>
    <xf numFmtId="37" fontId="117" fillId="17" borderId="18" xfId="3" applyFont="1" applyFill="1" applyBorder="1" applyAlignment="1" applyProtection="1">
      <alignment vertical="center"/>
      <protection locked="0"/>
    </xf>
    <xf numFmtId="37" fontId="101" fillId="0" borderId="0" xfId="3" applyFont="1" applyAlignment="1" applyProtection="1">
      <alignment horizontal="center" vertical="center"/>
      <protection locked="0"/>
    </xf>
    <xf numFmtId="37" fontId="101" fillId="0" borderId="151" xfId="3" applyFont="1" applyBorder="1" applyAlignment="1" applyProtection="1">
      <alignment vertical="center"/>
      <protection locked="0"/>
    </xf>
    <xf numFmtId="37" fontId="99" fillId="0" borderId="122" xfId="3" applyFont="1" applyBorder="1" applyAlignment="1" applyProtection="1">
      <alignment vertical="center"/>
      <protection locked="0"/>
    </xf>
    <xf numFmtId="37" fontId="99" fillId="0" borderId="75" xfId="3" applyFont="1" applyBorder="1" applyAlignment="1" applyProtection="1">
      <alignment vertical="center"/>
      <protection locked="0"/>
    </xf>
    <xf numFmtId="37" fontId="99" fillId="0" borderId="0" xfId="3" applyFont="1" applyAlignment="1" applyProtection="1">
      <alignment horizontal="center" vertical="center"/>
      <protection locked="0"/>
    </xf>
    <xf numFmtId="37" fontId="99" fillId="0" borderId="151" xfId="3" applyFont="1" applyBorder="1" applyAlignment="1" applyProtection="1">
      <alignment vertical="center"/>
      <protection locked="0"/>
    </xf>
    <xf numFmtId="37" fontId="100" fillId="16" borderId="18" xfId="3" applyFont="1" applyFill="1" applyBorder="1" applyAlignment="1" applyProtection="1">
      <alignment vertical="center"/>
      <protection locked="0"/>
    </xf>
    <xf numFmtId="37" fontId="99" fillId="0" borderId="79" xfId="3" applyFont="1" applyBorder="1" applyAlignment="1" applyProtection="1">
      <alignment vertical="center"/>
      <protection locked="0"/>
    </xf>
    <xf numFmtId="37" fontId="104" fillId="0" borderId="79" xfId="3" applyFont="1" applyBorder="1" applyAlignment="1" applyProtection="1">
      <alignment vertical="center"/>
      <protection locked="0"/>
    </xf>
    <xf numFmtId="37" fontId="106" fillId="0" borderId="0" xfId="3" applyFont="1" applyAlignment="1" applyProtection="1">
      <alignment horizontal="center" vertical="center"/>
      <protection locked="0"/>
    </xf>
    <xf numFmtId="37" fontId="106" fillId="0" borderId="151" xfId="3" applyFont="1" applyBorder="1" applyAlignment="1" applyProtection="1">
      <alignment vertical="center"/>
      <protection locked="0"/>
    </xf>
    <xf numFmtId="37" fontId="107" fillId="0" borderId="79" xfId="3" applyFont="1" applyBorder="1" applyAlignment="1" applyProtection="1">
      <alignment vertical="center"/>
      <protection locked="0"/>
    </xf>
    <xf numFmtId="37" fontId="107" fillId="0" borderId="75" xfId="3" applyFont="1" applyBorder="1" applyAlignment="1" applyProtection="1">
      <alignment vertical="center"/>
      <protection locked="0"/>
    </xf>
    <xf numFmtId="37" fontId="107" fillId="0" borderId="76" xfId="1" applyNumberFormat="1" applyFont="1" applyFill="1" applyBorder="1" applyAlignment="1" applyProtection="1">
      <alignment vertical="center"/>
    </xf>
    <xf numFmtId="37" fontId="100" fillId="16" borderId="47" xfId="1" applyNumberFormat="1" applyFont="1" applyFill="1" applyBorder="1" applyAlignment="1" applyProtection="1">
      <alignment vertical="center"/>
    </xf>
    <xf numFmtId="37" fontId="108" fillId="0" borderId="0" xfId="3" applyFont="1" applyAlignment="1" applyProtection="1">
      <alignment horizontal="center" vertical="center"/>
      <protection locked="0"/>
    </xf>
    <xf numFmtId="37" fontId="108" fillId="0" borderId="151" xfId="3" applyFont="1" applyBorder="1" applyAlignment="1" applyProtection="1">
      <alignment vertical="center"/>
      <protection locked="0"/>
    </xf>
    <xf numFmtId="37" fontId="99" fillId="18" borderId="18" xfId="3" applyFont="1" applyFill="1" applyBorder="1" applyAlignment="1" applyProtection="1">
      <alignment vertical="center"/>
      <protection locked="0"/>
    </xf>
    <xf numFmtId="37" fontId="116" fillId="0" borderId="79" xfId="3" applyFont="1" applyBorder="1" applyAlignment="1" applyProtection="1">
      <alignment vertical="center"/>
      <protection locked="0"/>
    </xf>
    <xf numFmtId="37" fontId="107" fillId="0" borderId="0" xfId="3" applyFont="1" applyAlignment="1" applyProtection="1">
      <alignment horizontal="center" vertical="center"/>
      <protection locked="0"/>
    </xf>
    <xf numFmtId="37" fontId="107" fillId="0" borderId="151" xfId="3" applyFont="1" applyBorder="1" applyAlignment="1" applyProtection="1">
      <alignment vertical="center"/>
      <protection locked="0"/>
    </xf>
    <xf numFmtId="37" fontId="100" fillId="18" borderId="18" xfId="3" applyFont="1" applyFill="1" applyBorder="1" applyAlignment="1" applyProtection="1">
      <alignment vertical="center"/>
      <protection locked="0"/>
    </xf>
    <xf numFmtId="37" fontId="110" fillId="0" borderId="0" xfId="3" applyFont="1" applyAlignment="1" applyProtection="1">
      <alignment horizontal="center" vertical="center"/>
      <protection locked="0"/>
    </xf>
    <xf numFmtId="37" fontId="110" fillId="0" borderId="151" xfId="3" applyFont="1" applyBorder="1" applyAlignment="1" applyProtection="1">
      <alignment vertical="center"/>
      <protection locked="0"/>
    </xf>
    <xf numFmtId="37" fontId="104" fillId="21" borderId="74" xfId="3" applyFont="1" applyFill="1" applyBorder="1" applyAlignment="1">
      <alignment vertical="center"/>
    </xf>
    <xf numFmtId="37" fontId="118" fillId="0" borderId="79" xfId="3" applyFont="1" applyBorder="1" applyAlignment="1" applyProtection="1">
      <alignment vertical="center"/>
      <protection locked="0"/>
    </xf>
    <xf numFmtId="37" fontId="107" fillId="21" borderId="74" xfId="3" applyFont="1" applyFill="1" applyBorder="1" applyAlignment="1">
      <alignment vertical="center"/>
    </xf>
    <xf numFmtId="37" fontId="99" fillId="16" borderId="18" xfId="3" applyFont="1" applyFill="1" applyBorder="1" applyAlignment="1" applyProtection="1">
      <alignment vertical="center"/>
      <protection locked="0"/>
    </xf>
    <xf numFmtId="37" fontId="99" fillId="21" borderId="146" xfId="3" applyFont="1" applyFill="1" applyBorder="1" applyAlignment="1">
      <alignment vertical="center"/>
    </xf>
    <xf numFmtId="37" fontId="104" fillId="0" borderId="0" xfId="3" applyFont="1" applyAlignment="1" applyProtection="1">
      <alignment horizontal="center" vertical="center"/>
      <protection locked="0"/>
    </xf>
    <xf numFmtId="37" fontId="104" fillId="0" borderId="151" xfId="3" applyFont="1" applyBorder="1" applyAlignment="1" applyProtection="1">
      <alignment vertical="center"/>
      <protection locked="0"/>
    </xf>
    <xf numFmtId="37" fontId="107" fillId="21" borderId="76" xfId="3" applyFont="1" applyFill="1" applyBorder="1" applyAlignment="1">
      <alignment vertical="center"/>
    </xf>
    <xf numFmtId="37" fontId="100" fillId="15" borderId="18" xfId="3" applyFont="1" applyFill="1" applyBorder="1" applyAlignment="1" applyProtection="1">
      <alignment vertical="center"/>
      <protection locked="0"/>
    </xf>
    <xf numFmtId="37" fontId="104" fillId="0" borderId="122" xfId="3" applyFont="1" applyBorder="1" applyAlignment="1" applyProtection="1">
      <alignment vertical="center"/>
      <protection locked="0"/>
    </xf>
    <xf numFmtId="37" fontId="119" fillId="0" borderId="75" xfId="3" applyFont="1" applyBorder="1" applyAlignment="1" applyProtection="1">
      <alignment vertical="center"/>
      <protection locked="0"/>
    </xf>
    <xf numFmtId="37" fontId="32" fillId="16" borderId="18" xfId="3" applyFont="1" applyFill="1" applyBorder="1" applyAlignment="1" applyProtection="1">
      <alignment vertical="center"/>
      <protection locked="0"/>
    </xf>
    <xf numFmtId="37" fontId="100" fillId="22" borderId="47" xfId="3" applyFont="1" applyFill="1" applyBorder="1" applyAlignment="1">
      <alignment vertical="center"/>
    </xf>
    <xf numFmtId="37" fontId="26" fillId="0" borderId="18" xfId="3" applyFont="1" applyBorder="1" applyAlignment="1" applyProtection="1">
      <alignment vertical="center"/>
      <protection locked="0"/>
    </xf>
    <xf numFmtId="0" fontId="28" fillId="0" borderId="151" xfId="15" applyBorder="1" applyAlignment="1" applyProtection="1">
      <alignment vertical="center"/>
      <protection locked="0"/>
    </xf>
    <xf numFmtId="37" fontId="22" fillId="0" borderId="0" xfId="3" applyFont="1" applyAlignment="1" applyProtection="1">
      <alignment vertical="center"/>
      <protection locked="0"/>
    </xf>
    <xf numFmtId="37" fontId="30" fillId="16" borderId="59" xfId="3" applyFont="1" applyFill="1" applyBorder="1" applyAlignment="1" applyProtection="1">
      <alignment horizontal="center" vertical="center"/>
      <protection locked="0"/>
    </xf>
    <xf numFmtId="37" fontId="19" fillId="19" borderId="0" xfId="3" applyFont="1" applyFill="1" applyAlignment="1" applyProtection="1">
      <alignment horizontal="center" vertical="center"/>
      <protection locked="0"/>
    </xf>
    <xf numFmtId="37" fontId="19" fillId="19" borderId="151" xfId="3" applyFont="1" applyFill="1" applyBorder="1" applyAlignment="1" applyProtection="1">
      <alignment vertical="center"/>
      <protection locked="0"/>
    </xf>
    <xf numFmtId="37" fontId="28" fillId="0" borderId="146" xfId="3" applyFont="1" applyBorder="1" applyAlignment="1" applyProtection="1">
      <alignment vertical="center"/>
      <protection locked="0"/>
    </xf>
    <xf numFmtId="37" fontId="28" fillId="0" borderId="76" xfId="3" applyFont="1" applyBorder="1" applyAlignment="1" applyProtection="1">
      <alignment vertical="center"/>
      <protection locked="0"/>
    </xf>
    <xf numFmtId="37" fontId="28" fillId="16" borderId="60" xfId="3" applyFont="1" applyFill="1" applyBorder="1" applyAlignment="1" applyProtection="1">
      <alignment vertical="center"/>
      <protection locked="0"/>
    </xf>
    <xf numFmtId="37" fontId="28" fillId="0" borderId="74" xfId="3" applyFont="1" applyBorder="1" applyAlignment="1" applyProtection="1">
      <alignment vertical="center"/>
      <protection locked="0"/>
    </xf>
    <xf numFmtId="37" fontId="28" fillId="0" borderId="78" xfId="3" applyFont="1" applyBorder="1" applyAlignment="1" applyProtection="1">
      <alignment vertical="center"/>
      <protection locked="0"/>
    </xf>
    <xf numFmtId="0" fontId="28" fillId="19" borderId="151" xfId="15" applyFill="1" applyBorder="1" applyAlignment="1" applyProtection="1">
      <alignment vertical="center"/>
      <protection locked="0"/>
    </xf>
    <xf numFmtId="0" fontId="28" fillId="16" borderId="47" xfId="15" applyFill="1" applyBorder="1" applyAlignment="1" applyProtection="1">
      <alignment vertical="center"/>
      <protection locked="0"/>
    </xf>
    <xf numFmtId="37" fontId="28" fillId="19" borderId="0" xfId="15" applyNumberFormat="1" applyFill="1" applyAlignment="1" applyProtection="1">
      <alignment vertical="center"/>
      <protection locked="0"/>
    </xf>
    <xf numFmtId="37" fontId="28" fillId="0" borderId="61" xfId="3" applyFont="1" applyBorder="1" applyAlignment="1" applyProtection="1">
      <alignment vertical="center"/>
      <protection locked="0"/>
    </xf>
    <xf numFmtId="37" fontId="28" fillId="16" borderId="148" xfId="3" applyFont="1" applyFill="1" applyBorder="1" applyAlignment="1" applyProtection="1">
      <alignment vertical="center"/>
      <protection locked="0"/>
    </xf>
    <xf numFmtId="37" fontId="28" fillId="0" borderId="76" xfId="3" applyFont="1" applyBorder="1" applyAlignment="1" applyProtection="1">
      <alignment horizontal="right" vertical="center"/>
      <protection locked="0"/>
    </xf>
    <xf numFmtId="37" fontId="31" fillId="0" borderId="149" xfId="3" applyFont="1" applyBorder="1" applyAlignment="1" applyProtection="1">
      <alignment vertical="center"/>
      <protection locked="0"/>
    </xf>
    <xf numFmtId="37" fontId="19" fillId="0" borderId="149" xfId="3" applyFont="1" applyBorder="1" applyAlignment="1" applyProtection="1">
      <alignment horizontal="center" vertical="center"/>
      <protection locked="0"/>
    </xf>
    <xf numFmtId="0" fontId="28" fillId="0" borderId="149" xfId="15" applyBorder="1" applyAlignment="1" applyProtection="1">
      <alignment vertical="center"/>
      <protection locked="0"/>
    </xf>
    <xf numFmtId="37" fontId="29" fillId="0" borderId="149" xfId="3" quotePrefix="1" applyFont="1" applyBorder="1" applyAlignment="1" applyProtection="1">
      <alignment vertical="center"/>
      <protection locked="0"/>
    </xf>
    <xf numFmtId="37" fontId="18" fillId="0" borderId="0" xfId="3" applyFont="1" applyAlignment="1">
      <alignment vertical="center"/>
    </xf>
    <xf numFmtId="37" fontId="31" fillId="0" borderId="0" xfId="3" quotePrefix="1" applyFont="1" applyAlignment="1" applyProtection="1">
      <alignment vertical="center"/>
      <protection locked="0"/>
    </xf>
    <xf numFmtId="37" fontId="29" fillId="0" borderId="0" xfId="3" quotePrefix="1" applyFont="1" applyAlignment="1" applyProtection="1">
      <alignment vertical="center"/>
      <protection locked="0"/>
    </xf>
    <xf numFmtId="37" fontId="31" fillId="0" borderId="0" xfId="3" quotePrefix="1" applyFont="1" applyAlignment="1" applyProtection="1">
      <alignment horizontal="center" vertical="center"/>
      <protection locked="0"/>
    </xf>
    <xf numFmtId="37" fontId="19" fillId="0" borderId="157" xfId="3" applyFont="1" applyBorder="1" applyAlignment="1" applyProtection="1">
      <alignment vertical="center"/>
      <protection locked="0"/>
    </xf>
    <xf numFmtId="37" fontId="19" fillId="0" borderId="158" xfId="3" applyFont="1" applyBorder="1" applyAlignment="1" applyProtection="1">
      <alignment vertical="center"/>
      <protection locked="0"/>
    </xf>
    <xf numFmtId="37" fontId="31" fillId="7" borderId="47" xfId="3" applyFont="1" applyFill="1" applyBorder="1" applyAlignment="1">
      <alignment horizontal="left" vertical="center"/>
    </xf>
    <xf numFmtId="37" fontId="31" fillId="7" borderId="47" xfId="3" applyFont="1" applyFill="1" applyBorder="1" applyAlignment="1">
      <alignment horizontal="center" vertical="center"/>
    </xf>
    <xf numFmtId="37" fontId="29" fillId="0" borderId="0" xfId="3" applyFont="1" applyAlignment="1" applyProtection="1">
      <alignment horizontal="center" vertical="center"/>
      <protection locked="0"/>
    </xf>
    <xf numFmtId="9" fontId="31" fillId="9" borderId="47" xfId="3" applyNumberFormat="1" applyFont="1" applyFill="1" applyBorder="1" applyAlignment="1" applyProtection="1">
      <alignment vertical="center"/>
      <protection locked="0"/>
    </xf>
    <xf numFmtId="9" fontId="31" fillId="9" borderId="47" xfId="3" quotePrefix="1" applyNumberFormat="1" applyFont="1" applyFill="1" applyBorder="1" applyAlignment="1" applyProtection="1">
      <alignment vertical="center"/>
      <protection locked="0"/>
    </xf>
    <xf numFmtId="9" fontId="31" fillId="0" borderId="47" xfId="5" applyFont="1" applyFill="1" applyBorder="1" applyAlignment="1" applyProtection="1">
      <alignment vertical="center"/>
    </xf>
    <xf numFmtId="9" fontId="29" fillId="0" borderId="47" xfId="5" applyFont="1" applyFill="1" applyBorder="1" applyAlignment="1" applyProtection="1">
      <alignment vertical="center"/>
      <protection locked="0"/>
    </xf>
    <xf numFmtId="9" fontId="29" fillId="0" borderId="47" xfId="5" applyFont="1" applyFill="1" applyBorder="1" applyAlignment="1" applyProtection="1">
      <alignment vertical="center"/>
    </xf>
    <xf numFmtId="9" fontId="29" fillId="0" borderId="0" xfId="5" applyFont="1" applyFill="1" applyBorder="1" applyAlignment="1" applyProtection="1">
      <alignment horizontal="center" vertical="center"/>
      <protection locked="0"/>
    </xf>
    <xf numFmtId="9" fontId="29" fillId="10" borderId="47" xfId="5" applyFont="1" applyFill="1" applyBorder="1" applyAlignment="1" applyProtection="1">
      <alignment vertical="center"/>
    </xf>
    <xf numFmtId="37" fontId="30" fillId="0" borderId="10" xfId="3" applyFont="1" applyBorder="1" applyAlignment="1" applyProtection="1">
      <alignment vertical="center"/>
      <protection locked="0"/>
    </xf>
    <xf numFmtId="37" fontId="30" fillId="0" borderId="16" xfId="3" quotePrefix="1" applyFont="1" applyBorder="1" applyAlignment="1" applyProtection="1">
      <alignment vertical="center"/>
      <protection locked="0"/>
    </xf>
    <xf numFmtId="37" fontId="30" fillId="0" borderId="16" xfId="3" quotePrefix="1" applyFont="1" applyBorder="1" applyAlignment="1" applyProtection="1">
      <alignment horizontal="center" vertical="center"/>
      <protection locked="0"/>
    </xf>
    <xf numFmtId="37" fontId="30" fillId="0" borderId="11" xfId="3" quotePrefix="1" applyFont="1" applyBorder="1" applyAlignment="1" applyProtection="1">
      <alignment horizontal="center" vertical="center"/>
      <protection locked="0"/>
    </xf>
    <xf numFmtId="37" fontId="30" fillId="0" borderId="14" xfId="3" applyFont="1" applyBorder="1" applyAlignment="1" applyProtection="1">
      <alignment vertical="center"/>
      <protection locked="0"/>
    </xf>
    <xf numFmtId="37" fontId="30" fillId="0" borderId="29" xfId="3" quotePrefix="1" applyFont="1" applyBorder="1" applyAlignment="1" applyProtection="1">
      <alignment vertical="center"/>
      <protection locked="0"/>
    </xf>
    <xf numFmtId="37" fontId="30" fillId="0" borderId="29" xfId="3" quotePrefix="1" applyFont="1" applyBorder="1" applyAlignment="1" applyProtection="1">
      <alignment horizontal="center" vertical="center"/>
      <protection locked="0"/>
    </xf>
    <xf numFmtId="37" fontId="31" fillId="0" borderId="15" xfId="3" quotePrefix="1" applyFont="1" applyBorder="1" applyAlignment="1" applyProtection="1">
      <alignment horizontal="center" vertical="center"/>
      <protection locked="0"/>
    </xf>
    <xf numFmtId="37" fontId="120" fillId="0" borderId="159" xfId="3" applyFont="1" applyBorder="1" applyAlignment="1">
      <alignment vertical="center"/>
    </xf>
    <xf numFmtId="37" fontId="121" fillId="0" borderId="160" xfId="3" applyFont="1" applyBorder="1" applyAlignment="1" applyProtection="1">
      <alignment vertical="center"/>
      <protection locked="0"/>
    </xf>
    <xf numFmtId="37" fontId="19" fillId="0" borderId="161" xfId="3" applyFont="1" applyBorder="1" applyAlignment="1" applyProtection="1">
      <alignment vertical="center"/>
      <protection locked="0"/>
    </xf>
    <xf numFmtId="37" fontId="19" fillId="0" borderId="162" xfId="3" applyFont="1" applyBorder="1" applyAlignment="1">
      <alignment vertical="center"/>
    </xf>
    <xf numFmtId="37" fontId="19" fillId="9" borderId="163" xfId="3" applyFont="1" applyFill="1" applyBorder="1" applyAlignment="1" applyProtection="1">
      <alignment horizontal="center" vertical="center"/>
      <protection locked="0"/>
    </xf>
    <xf numFmtId="37" fontId="25" fillId="0" borderId="164" xfId="3" applyFont="1" applyBorder="1" applyAlignment="1" applyProtection="1">
      <alignment horizontal="center" vertical="center"/>
      <protection locked="0"/>
    </xf>
    <xf numFmtId="37" fontId="19" fillId="0" borderId="164" xfId="3" applyFont="1" applyBorder="1" applyAlignment="1" applyProtection="1">
      <alignment vertical="center"/>
      <protection locked="0"/>
    </xf>
    <xf numFmtId="37" fontId="19" fillId="0" borderId="164" xfId="3" applyFont="1" applyBorder="1" applyAlignment="1" applyProtection="1">
      <alignment horizontal="center" vertical="center"/>
      <protection locked="0"/>
    </xf>
    <xf numFmtId="0" fontId="28" fillId="0" borderId="164" xfId="15" applyBorder="1" applyAlignment="1" applyProtection="1">
      <alignment vertical="center"/>
      <protection locked="0"/>
    </xf>
    <xf numFmtId="37" fontId="19" fillId="0" borderId="165" xfId="3" applyFont="1" applyBorder="1" applyAlignment="1" applyProtection="1">
      <alignment vertical="center"/>
      <protection locked="0"/>
    </xf>
    <xf numFmtId="37" fontId="29" fillId="0" borderId="166" xfId="3" applyFont="1" applyBorder="1" applyAlignment="1">
      <alignment vertical="center"/>
    </xf>
    <xf numFmtId="37" fontId="19" fillId="9" borderId="167" xfId="3" applyFont="1" applyFill="1" applyBorder="1" applyAlignment="1" applyProtection="1">
      <alignment horizontal="center" vertical="center"/>
      <protection locked="0"/>
    </xf>
    <xf numFmtId="1" fontId="25" fillId="0" borderId="0" xfId="3" applyNumberFormat="1" applyFont="1" applyAlignment="1" applyProtection="1">
      <alignment horizontal="center" vertical="center"/>
      <protection locked="0"/>
    </xf>
    <xf numFmtId="37" fontId="30" fillId="0" borderId="0" xfId="3" applyFont="1" applyAlignment="1" applyProtection="1">
      <alignment horizontal="center" vertical="center"/>
      <protection locked="0"/>
    </xf>
    <xf numFmtId="37" fontId="30" fillId="0" borderId="168" xfId="3" applyFont="1" applyBorder="1" applyAlignment="1" applyProtection="1">
      <alignment horizontal="center" vertical="center"/>
      <protection locked="0"/>
    </xf>
    <xf numFmtId="37" fontId="30" fillId="0" borderId="169" xfId="3" applyFont="1" applyBorder="1" applyAlignment="1" applyProtection="1">
      <alignment horizontal="center" vertical="center"/>
      <protection locked="0"/>
    </xf>
    <xf numFmtId="37" fontId="25" fillId="0" borderId="0" xfId="3" applyFont="1" applyAlignment="1" applyProtection="1">
      <alignment horizontal="center" vertical="center"/>
      <protection locked="0"/>
    </xf>
    <xf numFmtId="37" fontId="30" fillId="0" borderId="167" xfId="3" applyFont="1" applyBorder="1" applyAlignment="1">
      <alignment horizontal="center" vertical="center"/>
    </xf>
    <xf numFmtId="37" fontId="30" fillId="0" borderId="170" xfId="3" applyFont="1" applyBorder="1" applyAlignment="1">
      <alignment horizontal="center" vertical="center"/>
    </xf>
    <xf numFmtId="37" fontId="31" fillId="0" borderId="166" xfId="3" applyFont="1" applyBorder="1" applyAlignment="1">
      <alignment vertical="center"/>
    </xf>
    <xf numFmtId="37" fontId="30" fillId="0" borderId="167" xfId="3" applyFont="1" applyBorder="1" applyAlignment="1" applyProtection="1">
      <alignment horizontal="center" vertical="center"/>
      <protection locked="0"/>
    </xf>
    <xf numFmtId="37" fontId="28" fillId="0" borderId="0" xfId="3" applyFont="1" applyAlignment="1" applyProtection="1">
      <alignment vertical="center"/>
      <protection locked="0"/>
    </xf>
    <xf numFmtId="37" fontId="19" fillId="0" borderId="171" xfId="3" applyFont="1" applyBorder="1" applyAlignment="1">
      <alignment vertical="center"/>
    </xf>
    <xf numFmtId="9" fontId="30" fillId="9" borderId="167" xfId="3" applyNumberFormat="1" applyFont="1" applyFill="1" applyBorder="1" applyAlignment="1" applyProtection="1">
      <alignment horizontal="right" vertical="center"/>
      <protection locked="0"/>
    </xf>
    <xf numFmtId="9" fontId="30" fillId="9" borderId="170" xfId="3" applyNumberFormat="1" applyFont="1" applyFill="1" applyBorder="1" applyAlignment="1" applyProtection="1">
      <alignment horizontal="right" vertical="center"/>
      <protection locked="0"/>
    </xf>
    <xf numFmtId="37" fontId="19" fillId="0" borderId="172" xfId="3" applyFont="1" applyBorder="1" applyAlignment="1">
      <alignment vertical="center"/>
    </xf>
    <xf numFmtId="37" fontId="28" fillId="0" borderId="173" xfId="3" applyFont="1" applyBorder="1" applyAlignment="1">
      <alignment horizontal="right" vertical="center"/>
    </xf>
    <xf numFmtId="37" fontId="28" fillId="0" borderId="174" xfId="3" applyFont="1" applyBorder="1" applyAlignment="1">
      <alignment horizontal="right" vertical="center"/>
    </xf>
    <xf numFmtId="37" fontId="19" fillId="0" borderId="175" xfId="3" applyFont="1" applyBorder="1" applyAlignment="1" applyProtection="1">
      <alignment vertical="center"/>
      <protection locked="0"/>
    </xf>
    <xf numFmtId="37" fontId="19" fillId="0" borderId="175" xfId="3" applyFont="1" applyBorder="1" applyAlignment="1">
      <alignment vertical="center"/>
    </xf>
    <xf numFmtId="37" fontId="28" fillId="0" borderId="176" xfId="3" applyFont="1" applyBorder="1" applyAlignment="1">
      <alignment horizontal="right" vertical="center"/>
    </xf>
    <xf numFmtId="37" fontId="28" fillId="0" borderId="177" xfId="3" applyFont="1" applyBorder="1" applyAlignment="1">
      <alignment horizontal="right" vertical="center"/>
    </xf>
    <xf numFmtId="37" fontId="19" fillId="0" borderId="176" xfId="3" applyFont="1" applyBorder="1" applyAlignment="1" applyProtection="1">
      <alignment vertical="center"/>
      <protection locked="0"/>
    </xf>
    <xf numFmtId="37" fontId="19" fillId="0" borderId="176" xfId="3" applyFont="1" applyBorder="1" applyAlignment="1">
      <alignment vertical="center"/>
    </xf>
    <xf numFmtId="37" fontId="28" fillId="0" borderId="178" xfId="3" applyFont="1" applyBorder="1" applyAlignment="1">
      <alignment horizontal="right" vertical="center"/>
    </xf>
    <xf numFmtId="37" fontId="28" fillId="0" borderId="179" xfId="3" applyFont="1" applyBorder="1" applyAlignment="1">
      <alignment horizontal="right" vertical="center"/>
    </xf>
    <xf numFmtId="167" fontId="31" fillId="0" borderId="0" xfId="5" applyNumberFormat="1" applyFont="1" applyBorder="1" applyAlignment="1" applyProtection="1">
      <alignment horizontal="left" vertical="center"/>
      <protection locked="0"/>
    </xf>
    <xf numFmtId="167" fontId="19" fillId="0" borderId="176" xfId="5" applyNumberFormat="1" applyFont="1" applyBorder="1" applyAlignment="1" applyProtection="1">
      <alignment vertical="center"/>
      <protection locked="0"/>
    </xf>
    <xf numFmtId="167" fontId="19" fillId="0" borderId="0" xfId="5" applyNumberFormat="1" applyFont="1" applyBorder="1" applyAlignment="1" applyProtection="1">
      <alignment vertical="center"/>
      <protection locked="0"/>
    </xf>
    <xf numFmtId="167" fontId="19" fillId="0" borderId="176" xfId="5" applyNumberFormat="1" applyFont="1" applyBorder="1" applyAlignment="1" applyProtection="1">
      <alignment vertical="center"/>
    </xf>
    <xf numFmtId="167" fontId="30" fillId="9" borderId="167" xfId="5" applyNumberFormat="1" applyFont="1" applyFill="1" applyBorder="1" applyAlignment="1" applyProtection="1">
      <alignment horizontal="right" vertical="center"/>
      <protection locked="0"/>
    </xf>
    <xf numFmtId="167" fontId="30" fillId="9" borderId="170" xfId="5" applyNumberFormat="1" applyFont="1" applyFill="1" applyBorder="1" applyAlignment="1" applyProtection="1">
      <alignment horizontal="right" vertical="center"/>
      <protection locked="0"/>
    </xf>
    <xf numFmtId="167" fontId="19" fillId="0" borderId="151" xfId="5" applyNumberFormat="1" applyFont="1" applyBorder="1" applyAlignment="1" applyProtection="1">
      <alignment vertical="center"/>
      <protection locked="0"/>
    </xf>
    <xf numFmtId="167" fontId="19" fillId="0" borderId="0" xfId="5" applyNumberFormat="1" applyFont="1" applyAlignment="1" applyProtection="1">
      <alignment vertical="center"/>
      <protection locked="0"/>
    </xf>
    <xf numFmtId="37" fontId="19" fillId="0" borderId="180" xfId="3" applyFont="1" applyBorder="1" applyAlignment="1">
      <alignment vertical="center"/>
    </xf>
    <xf numFmtId="37" fontId="19" fillId="0" borderId="181" xfId="3" applyFont="1" applyBorder="1" applyAlignment="1" applyProtection="1">
      <alignment vertical="center"/>
      <protection locked="0"/>
    </xf>
    <xf numFmtId="37" fontId="19" fillId="0" borderId="181" xfId="3" applyFont="1" applyBorder="1" applyAlignment="1">
      <alignment vertical="center"/>
    </xf>
    <xf numFmtId="37" fontId="19" fillId="0" borderId="161" xfId="3" applyFont="1" applyBorder="1" applyAlignment="1" applyProtection="1">
      <alignment horizontal="center" vertical="center"/>
      <protection locked="0"/>
    </xf>
    <xf numFmtId="0" fontId="28" fillId="0" borderId="161" xfId="15" applyBorder="1" applyAlignment="1" applyProtection="1">
      <alignment vertical="center"/>
      <protection locked="0"/>
    </xf>
    <xf numFmtId="37" fontId="28" fillId="0" borderId="182" xfId="3" applyFont="1" applyBorder="1" applyAlignment="1">
      <alignment horizontal="right" vertical="center"/>
    </xf>
    <xf numFmtId="37" fontId="28" fillId="0" borderId="183" xfId="3" applyFont="1" applyBorder="1" applyAlignment="1">
      <alignment horizontal="right" vertical="center"/>
    </xf>
    <xf numFmtId="37" fontId="30" fillId="0" borderId="0" xfId="3" quotePrefix="1" applyFont="1" applyAlignment="1" applyProtection="1">
      <alignment vertical="center"/>
      <protection locked="0"/>
    </xf>
    <xf numFmtId="37" fontId="30" fillId="0" borderId="0" xfId="3" quotePrefix="1" applyFont="1" applyAlignment="1" applyProtection="1">
      <alignment horizontal="center" vertical="center"/>
      <protection locked="0"/>
    </xf>
    <xf numFmtId="37" fontId="122" fillId="0" borderId="184" xfId="3" applyFont="1" applyBorder="1" applyAlignment="1">
      <alignment vertical="center"/>
    </xf>
    <xf numFmtId="37" fontId="121" fillId="0" borderId="185" xfId="3" applyFont="1" applyBorder="1" applyAlignment="1" applyProtection="1">
      <alignment vertical="center"/>
      <protection locked="0"/>
    </xf>
    <xf numFmtId="37" fontId="19" fillId="0" borderId="186" xfId="3" applyFont="1" applyBorder="1" applyAlignment="1" applyProtection="1">
      <alignment vertical="center"/>
      <protection locked="0"/>
    </xf>
    <xf numFmtId="37" fontId="19" fillId="0" borderId="187" xfId="3" applyFont="1" applyBorder="1" applyAlignment="1">
      <alignment vertical="center"/>
    </xf>
    <xf numFmtId="37" fontId="19" fillId="9" borderId="188" xfId="3" applyFont="1" applyFill="1" applyBorder="1" applyAlignment="1" applyProtection="1">
      <alignment horizontal="center" vertical="center"/>
      <protection locked="0"/>
    </xf>
    <xf numFmtId="37" fontId="25" fillId="0" borderId="189" xfId="3" applyFont="1" applyBorder="1" applyAlignment="1" applyProtection="1">
      <alignment horizontal="center" vertical="center"/>
      <protection locked="0"/>
    </xf>
    <xf numFmtId="37" fontId="19" fillId="0" borderId="189" xfId="3" applyFont="1" applyBorder="1" applyAlignment="1" applyProtection="1">
      <alignment vertical="center"/>
      <protection locked="0"/>
    </xf>
    <xf numFmtId="37" fontId="19" fillId="0" borderId="189" xfId="3" applyFont="1" applyBorder="1" applyAlignment="1" applyProtection="1">
      <alignment horizontal="center" vertical="center"/>
      <protection locked="0"/>
    </xf>
    <xf numFmtId="0" fontId="28" fillId="0" borderId="189" xfId="15" applyBorder="1" applyAlignment="1" applyProtection="1">
      <alignment vertical="center"/>
      <protection locked="0"/>
    </xf>
    <xf numFmtId="37" fontId="19" fillId="0" borderId="190" xfId="3" applyFont="1" applyBorder="1" applyAlignment="1" applyProtection="1">
      <alignment vertical="center"/>
      <protection locked="0"/>
    </xf>
    <xf numFmtId="37" fontId="29" fillId="0" borderId="191" xfId="3" applyFont="1" applyBorder="1" applyAlignment="1">
      <alignment vertical="center"/>
    </xf>
    <xf numFmtId="37" fontId="19" fillId="9" borderId="192" xfId="3" applyFont="1" applyFill="1" applyBorder="1" applyAlignment="1" applyProtection="1">
      <alignment horizontal="center" vertical="center"/>
      <protection locked="0"/>
    </xf>
    <xf numFmtId="37" fontId="30" fillId="0" borderId="193" xfId="3" applyFont="1" applyBorder="1" applyAlignment="1" applyProtection="1">
      <alignment horizontal="center" vertical="center"/>
      <protection locked="0"/>
    </xf>
    <xf numFmtId="37" fontId="30" fillId="0" borderId="194" xfId="3" applyFont="1" applyBorder="1" applyAlignment="1" applyProtection="1">
      <alignment horizontal="center" vertical="center"/>
      <protection locked="0"/>
    </xf>
    <xf numFmtId="37" fontId="29" fillId="0" borderId="195" xfId="3" applyFont="1" applyBorder="1" applyAlignment="1">
      <alignment vertical="center"/>
    </xf>
    <xf numFmtId="37" fontId="19" fillId="9" borderId="196" xfId="3" applyFont="1" applyFill="1" applyBorder="1" applyAlignment="1" applyProtection="1">
      <alignment horizontal="center" vertical="center"/>
      <protection locked="0"/>
    </xf>
    <xf numFmtId="37" fontId="30" fillId="0" borderId="192" xfId="3" applyFont="1" applyBorder="1" applyAlignment="1">
      <alignment horizontal="center" vertical="center"/>
    </xf>
    <xf numFmtId="37" fontId="30" fillId="0" borderId="197" xfId="3" applyFont="1" applyBorder="1" applyAlignment="1">
      <alignment horizontal="center" vertical="center"/>
    </xf>
    <xf numFmtId="37" fontId="31" fillId="0" borderId="195" xfId="3" applyFont="1" applyBorder="1" applyAlignment="1">
      <alignment vertical="center"/>
    </xf>
    <xf numFmtId="37" fontId="30" fillId="0" borderId="192" xfId="3" applyFont="1" applyBorder="1" applyAlignment="1" applyProtection="1">
      <alignment horizontal="center" vertical="center"/>
      <protection locked="0"/>
    </xf>
    <xf numFmtId="37" fontId="19" fillId="0" borderId="198" xfId="3" applyFont="1" applyBorder="1" applyAlignment="1">
      <alignment vertical="center"/>
    </xf>
    <xf numFmtId="9" fontId="30" fillId="9" borderId="192" xfId="3" applyNumberFormat="1" applyFont="1" applyFill="1" applyBorder="1" applyAlignment="1" applyProtection="1">
      <alignment horizontal="right" vertical="center"/>
      <protection locked="0"/>
    </xf>
    <xf numFmtId="9" fontId="30" fillId="9" borderId="197" xfId="3" applyNumberFormat="1" applyFont="1" applyFill="1" applyBorder="1" applyAlignment="1" applyProtection="1">
      <alignment horizontal="right" vertical="center"/>
      <protection locked="0"/>
    </xf>
    <xf numFmtId="37" fontId="19" fillId="0" borderId="199" xfId="3" applyFont="1" applyBorder="1" applyAlignment="1">
      <alignment vertical="center"/>
    </xf>
    <xf numFmtId="37" fontId="28" fillId="0" borderId="200" xfId="3" applyFont="1" applyBorder="1" applyAlignment="1">
      <alignment horizontal="right" vertical="center"/>
    </xf>
    <xf numFmtId="37" fontId="28" fillId="0" borderId="201" xfId="3" applyFont="1" applyBorder="1" applyAlignment="1">
      <alignment horizontal="right" vertical="center"/>
    </xf>
    <xf numFmtId="37" fontId="19" fillId="0" borderId="202" xfId="3" applyFont="1" applyBorder="1" applyAlignment="1" applyProtection="1">
      <alignment vertical="center"/>
      <protection locked="0"/>
    </xf>
    <xf numFmtId="37" fontId="19" fillId="0" borderId="202" xfId="3" applyFont="1" applyBorder="1" applyAlignment="1">
      <alignment vertical="center"/>
    </xf>
    <xf numFmtId="37" fontId="28" fillId="0" borderId="203" xfId="3" applyFont="1" applyBorder="1" applyAlignment="1">
      <alignment horizontal="right" vertical="center"/>
    </xf>
    <xf numFmtId="37" fontId="28" fillId="0" borderId="204" xfId="3" applyFont="1" applyBorder="1" applyAlignment="1">
      <alignment horizontal="right" vertical="center"/>
    </xf>
    <xf numFmtId="37" fontId="19" fillId="0" borderId="203" xfId="3" applyFont="1" applyBorder="1" applyAlignment="1" applyProtection="1">
      <alignment vertical="center"/>
      <protection locked="0"/>
    </xf>
    <xf numFmtId="37" fontId="19" fillId="0" borderId="203" xfId="3" applyFont="1" applyBorder="1" applyAlignment="1">
      <alignment vertical="center"/>
    </xf>
    <xf numFmtId="37" fontId="28" fillId="0" borderId="205" xfId="3" applyFont="1" applyBorder="1" applyAlignment="1">
      <alignment horizontal="right" vertical="center"/>
    </xf>
    <xf numFmtId="37" fontId="28" fillId="0" borderId="206" xfId="3" applyFont="1" applyBorder="1" applyAlignment="1">
      <alignment horizontal="right" vertical="center"/>
    </xf>
    <xf numFmtId="167" fontId="19" fillId="0" borderId="203" xfId="5" applyNumberFormat="1" applyFont="1" applyBorder="1" applyAlignment="1" applyProtection="1">
      <alignment vertical="center"/>
      <protection locked="0"/>
    </xf>
    <xf numFmtId="167" fontId="19" fillId="0" borderId="203" xfId="5" applyNumberFormat="1" applyFont="1" applyBorder="1" applyAlignment="1" applyProtection="1">
      <alignment vertical="center"/>
    </xf>
    <xf numFmtId="167" fontId="30" fillId="9" borderId="192" xfId="5" applyNumberFormat="1" applyFont="1" applyFill="1" applyBorder="1" applyAlignment="1" applyProtection="1">
      <alignment horizontal="right" vertical="center"/>
      <protection locked="0"/>
    </xf>
    <xf numFmtId="167" fontId="30" fillId="9" borderId="197" xfId="5" applyNumberFormat="1" applyFont="1" applyFill="1" applyBorder="1" applyAlignment="1" applyProtection="1">
      <alignment horizontal="right" vertical="center"/>
      <protection locked="0"/>
    </xf>
    <xf numFmtId="37" fontId="19" fillId="0" borderId="207" xfId="3" applyFont="1" applyBorder="1" applyAlignment="1">
      <alignment vertical="center"/>
    </xf>
    <xf numFmtId="37" fontId="19" fillId="0" borderId="208" xfId="3" applyFont="1" applyBorder="1" applyAlignment="1" applyProtection="1">
      <alignment vertical="center"/>
      <protection locked="0"/>
    </xf>
    <xf numFmtId="37" fontId="19" fillId="0" borderId="208" xfId="3" applyFont="1" applyBorder="1" applyAlignment="1">
      <alignment vertical="center"/>
    </xf>
    <xf numFmtId="37" fontId="19" fillId="0" borderId="186" xfId="3" applyFont="1" applyBorder="1" applyAlignment="1" applyProtection="1">
      <alignment horizontal="center" vertical="center"/>
      <protection locked="0"/>
    </xf>
    <xf numFmtId="0" fontId="28" fillId="0" borderId="186" xfId="15" applyBorder="1" applyAlignment="1" applyProtection="1">
      <alignment vertical="center"/>
      <protection locked="0"/>
    </xf>
    <xf numFmtId="37" fontId="28" fillId="0" borderId="209" xfId="3" applyFont="1" applyBorder="1" applyAlignment="1">
      <alignment horizontal="right" vertical="center"/>
    </xf>
    <xf numFmtId="37" fontId="28" fillId="0" borderId="210" xfId="3" applyFont="1" applyBorder="1" applyAlignment="1">
      <alignment horizontal="right" vertical="center"/>
    </xf>
    <xf numFmtId="37" fontId="19" fillId="0" borderId="0" xfId="5" applyNumberFormat="1" applyFont="1" applyBorder="1" applyAlignment="1" applyProtection="1">
      <alignment vertical="center"/>
      <protection locked="0"/>
    </xf>
    <xf numFmtId="37" fontId="28" fillId="0" borderId="0" xfId="5" applyNumberFormat="1" applyFont="1" applyFill="1" applyBorder="1" applyAlignment="1" applyProtection="1">
      <alignment horizontal="right" vertical="center"/>
      <protection locked="0"/>
    </xf>
    <xf numFmtId="167" fontId="19" fillId="0" borderId="189" xfId="5" applyNumberFormat="1" applyFont="1" applyBorder="1" applyAlignment="1" applyProtection="1">
      <alignment vertical="center"/>
      <protection locked="0"/>
    </xf>
    <xf numFmtId="37" fontId="123" fillId="0" borderId="211" xfId="3" applyFont="1" applyBorder="1" applyAlignment="1">
      <alignment vertical="center"/>
    </xf>
    <xf numFmtId="37" fontId="19" fillId="0" borderId="212" xfId="5" applyNumberFormat="1" applyFont="1" applyBorder="1" applyAlignment="1" applyProtection="1">
      <alignment vertical="center"/>
      <protection locked="0"/>
    </xf>
    <xf numFmtId="167" fontId="19" fillId="0" borderId="213" xfId="5" applyNumberFormat="1" applyFont="1" applyBorder="1" applyAlignment="1" applyProtection="1">
      <alignment vertical="center"/>
      <protection locked="0"/>
    </xf>
    <xf numFmtId="37" fontId="19" fillId="0" borderId="213" xfId="5" applyNumberFormat="1" applyFont="1" applyBorder="1" applyAlignment="1" applyProtection="1">
      <alignment vertical="center"/>
      <protection locked="0"/>
    </xf>
    <xf numFmtId="37" fontId="123" fillId="0" borderId="211" xfId="3" quotePrefix="1" applyFont="1" applyBorder="1" applyAlignment="1">
      <alignment vertical="center"/>
    </xf>
    <xf numFmtId="167" fontId="19" fillId="0" borderId="214" xfId="5" applyNumberFormat="1" applyFont="1" applyBorder="1" applyAlignment="1" applyProtection="1">
      <alignment vertical="center"/>
      <protection locked="0"/>
    </xf>
    <xf numFmtId="37" fontId="19" fillId="0" borderId="214" xfId="5" applyNumberFormat="1" applyFont="1" applyBorder="1" applyAlignment="1" applyProtection="1">
      <alignment vertical="center"/>
      <protection locked="0"/>
    </xf>
    <xf numFmtId="167" fontId="19" fillId="0" borderId="215" xfId="5" applyNumberFormat="1" applyFont="1" applyBorder="1" applyAlignment="1" applyProtection="1">
      <alignment vertical="center"/>
      <protection locked="0"/>
    </xf>
    <xf numFmtId="167" fontId="19" fillId="0" borderId="216" xfId="5" applyNumberFormat="1" applyFont="1" applyBorder="1" applyAlignment="1" applyProtection="1">
      <alignment vertical="center"/>
      <protection locked="0"/>
    </xf>
    <xf numFmtId="37" fontId="123" fillId="0" borderId="217" xfId="3" applyFont="1" applyBorder="1" applyAlignment="1">
      <alignment vertical="center"/>
    </xf>
    <xf numFmtId="37" fontId="19" fillId="0" borderId="218" xfId="5" applyNumberFormat="1" applyFont="1" applyBorder="1" applyAlignment="1" applyProtection="1">
      <alignment vertical="center"/>
      <protection locked="0"/>
    </xf>
    <xf numFmtId="167" fontId="19" fillId="0" borderId="218" xfId="5" applyNumberFormat="1" applyFont="1" applyBorder="1" applyAlignment="1" applyProtection="1">
      <alignment vertical="center"/>
      <protection locked="0"/>
    </xf>
    <xf numFmtId="167" fontId="30" fillId="0" borderId="219" xfId="5" applyNumberFormat="1" applyFont="1" applyBorder="1" applyAlignment="1" applyProtection="1">
      <alignment horizontal="center" vertical="center"/>
    </xf>
    <xf numFmtId="167" fontId="30" fillId="0" borderId="220" xfId="5" applyNumberFormat="1" applyFont="1" applyBorder="1" applyAlignment="1" applyProtection="1">
      <alignment horizontal="center" vertical="center"/>
    </xf>
    <xf numFmtId="37" fontId="19" fillId="0" borderId="221" xfId="3" applyFont="1" applyBorder="1" applyAlignment="1">
      <alignment vertical="center"/>
    </xf>
    <xf numFmtId="37" fontId="19" fillId="9" borderId="219" xfId="5" applyNumberFormat="1" applyFont="1" applyFill="1" applyBorder="1" applyAlignment="1" applyProtection="1">
      <alignment horizontal="center" vertical="center"/>
      <protection locked="0"/>
    </xf>
    <xf numFmtId="37" fontId="30" fillId="0" borderId="219" xfId="5" applyNumberFormat="1" applyFont="1" applyBorder="1" applyAlignment="1" applyProtection="1">
      <alignment horizontal="center" vertical="center"/>
    </xf>
    <xf numFmtId="37" fontId="30" fillId="0" borderId="220" xfId="5" applyNumberFormat="1" applyFont="1" applyBorder="1" applyAlignment="1" applyProtection="1">
      <alignment horizontal="center" vertical="center"/>
    </xf>
    <xf numFmtId="37" fontId="19" fillId="0" borderId="222" xfId="3" applyFont="1" applyBorder="1" applyAlignment="1">
      <alignment vertical="center"/>
    </xf>
    <xf numFmtId="167" fontId="19" fillId="0" borderId="219" xfId="5" applyNumberFormat="1" applyFont="1" applyBorder="1" applyAlignment="1" applyProtection="1">
      <alignment vertical="center"/>
    </xf>
    <xf numFmtId="167" fontId="30" fillId="9" borderId="219" xfId="5" applyNumberFormat="1" applyFont="1" applyFill="1" applyBorder="1" applyAlignment="1" applyProtection="1">
      <alignment vertical="center"/>
      <protection locked="0"/>
    </xf>
    <xf numFmtId="167" fontId="30" fillId="9" borderId="220" xfId="5" applyNumberFormat="1" applyFont="1" applyFill="1" applyBorder="1" applyAlignment="1" applyProtection="1">
      <alignment vertical="center"/>
      <protection locked="0"/>
    </xf>
    <xf numFmtId="3" fontId="28" fillId="0" borderId="223" xfId="5" applyNumberFormat="1" applyFont="1" applyBorder="1" applyAlignment="1" applyProtection="1">
      <alignment vertical="center"/>
    </xf>
    <xf numFmtId="3" fontId="28" fillId="0" borderId="224" xfId="5" applyNumberFormat="1" applyFont="1" applyBorder="1" applyAlignment="1" applyProtection="1">
      <alignment vertical="center"/>
    </xf>
    <xf numFmtId="37" fontId="19" fillId="0" borderId="222" xfId="3" quotePrefix="1" applyFont="1" applyBorder="1" applyAlignment="1">
      <alignment vertical="center"/>
    </xf>
    <xf numFmtId="3" fontId="28" fillId="0" borderId="225" xfId="5" applyNumberFormat="1" applyFont="1" applyBorder="1" applyAlignment="1" applyProtection="1">
      <alignment vertical="center"/>
    </xf>
    <xf numFmtId="3" fontId="28" fillId="0" borderId="226" xfId="5" applyNumberFormat="1" applyFont="1" applyBorder="1" applyAlignment="1" applyProtection="1">
      <alignment vertical="center"/>
    </xf>
    <xf numFmtId="3" fontId="28" fillId="0" borderId="227" xfId="5" applyNumberFormat="1" applyFont="1" applyBorder="1" applyAlignment="1" applyProtection="1">
      <alignment vertical="center"/>
    </xf>
    <xf numFmtId="3" fontId="28" fillId="0" borderId="228" xfId="5" applyNumberFormat="1" applyFont="1" applyBorder="1" applyAlignment="1" applyProtection="1">
      <alignment vertical="center"/>
    </xf>
    <xf numFmtId="167" fontId="28" fillId="0" borderId="0" xfId="5" applyNumberFormat="1" applyFont="1" applyFill="1" applyBorder="1" applyAlignment="1" applyProtection="1">
      <alignment vertical="center"/>
      <protection locked="0"/>
    </xf>
    <xf numFmtId="167" fontId="30" fillId="9" borderId="229" xfId="5" applyNumberFormat="1" applyFont="1" applyFill="1" applyBorder="1" applyAlignment="1" applyProtection="1">
      <alignment vertical="center"/>
      <protection locked="0"/>
    </xf>
    <xf numFmtId="167" fontId="30" fillId="9" borderId="230" xfId="5" applyNumberFormat="1" applyFont="1" applyFill="1" applyBorder="1" applyAlignment="1" applyProtection="1">
      <alignment vertical="center"/>
      <protection locked="0"/>
    </xf>
    <xf numFmtId="37" fontId="19" fillId="0" borderId="231" xfId="3" applyFont="1" applyBorder="1" applyAlignment="1">
      <alignment vertical="center"/>
    </xf>
    <xf numFmtId="3" fontId="28" fillId="0" borderId="219" xfId="5" applyNumberFormat="1" applyFont="1" applyBorder="1" applyAlignment="1" applyProtection="1">
      <alignment vertical="center"/>
    </xf>
    <xf numFmtId="3" fontId="28" fillId="0" borderId="220" xfId="5" applyNumberFormat="1" applyFont="1" applyBorder="1" applyAlignment="1" applyProtection="1">
      <alignment vertical="center"/>
    </xf>
    <xf numFmtId="37" fontId="31" fillId="0" borderId="232" xfId="3" applyFont="1" applyBorder="1" applyAlignment="1">
      <alignment vertical="center"/>
    </xf>
    <xf numFmtId="167" fontId="28" fillId="0" borderId="0" xfId="5" applyNumberFormat="1" applyFont="1" applyBorder="1" applyAlignment="1" applyProtection="1">
      <alignment vertical="center"/>
      <protection locked="0"/>
    </xf>
    <xf numFmtId="3" fontId="28" fillId="0" borderId="223" xfId="5" applyNumberFormat="1" applyFont="1" applyBorder="1" applyAlignment="1" applyProtection="1">
      <alignment horizontal="center" vertical="center"/>
      <protection locked="0"/>
    </xf>
    <xf numFmtId="3" fontId="28" fillId="0" borderId="223" xfId="5" applyNumberFormat="1" applyFont="1" applyBorder="1" applyAlignment="1" applyProtection="1">
      <alignment vertical="center"/>
      <protection locked="0"/>
    </xf>
    <xf numFmtId="3" fontId="28" fillId="0" borderId="224" xfId="5" applyNumberFormat="1" applyFont="1" applyBorder="1" applyAlignment="1" applyProtection="1">
      <alignment vertical="center"/>
      <protection locked="0"/>
    </xf>
    <xf numFmtId="3" fontId="28" fillId="0" borderId="233" xfId="5" applyNumberFormat="1" applyFont="1" applyBorder="1" applyAlignment="1" applyProtection="1">
      <alignment vertical="center"/>
      <protection locked="0"/>
    </xf>
    <xf numFmtId="3" fontId="28" fillId="0" borderId="234" xfId="5" applyNumberFormat="1" applyFont="1" applyBorder="1" applyAlignment="1" applyProtection="1">
      <alignment vertical="center"/>
      <protection locked="0"/>
    </xf>
    <xf numFmtId="3" fontId="28" fillId="0" borderId="225" xfId="5" applyNumberFormat="1" applyFont="1" applyBorder="1" applyAlignment="1" applyProtection="1">
      <alignment horizontal="center" vertical="center"/>
      <protection locked="0"/>
    </xf>
    <xf numFmtId="3" fontId="28" fillId="0" borderId="225" xfId="5" applyNumberFormat="1" applyFont="1" applyBorder="1" applyAlignment="1" applyProtection="1">
      <alignment vertical="center"/>
      <protection locked="0"/>
    </xf>
    <xf numFmtId="3" fontId="28" fillId="0" borderId="226" xfId="5" applyNumberFormat="1" applyFont="1" applyBorder="1" applyAlignment="1" applyProtection="1">
      <alignment vertical="center"/>
      <protection locked="0"/>
    </xf>
    <xf numFmtId="3" fontId="28" fillId="0" borderId="235" xfId="5" applyNumberFormat="1" applyFont="1" applyBorder="1" applyAlignment="1" applyProtection="1">
      <alignment vertical="center"/>
      <protection locked="0"/>
    </xf>
    <xf numFmtId="3" fontId="28" fillId="0" borderId="236" xfId="5" applyNumberFormat="1" applyFont="1" applyBorder="1" applyAlignment="1" applyProtection="1">
      <alignment vertical="center"/>
      <protection locked="0"/>
    </xf>
    <xf numFmtId="3" fontId="28" fillId="0" borderId="237" xfId="5" applyNumberFormat="1" applyFont="1" applyBorder="1" applyAlignment="1" applyProtection="1">
      <alignment vertical="center"/>
      <protection locked="0"/>
    </xf>
    <xf numFmtId="3" fontId="28" fillId="0" borderId="238" xfId="5" applyNumberFormat="1" applyFont="1" applyBorder="1" applyAlignment="1" applyProtection="1">
      <alignment vertical="center"/>
      <protection locked="0"/>
    </xf>
    <xf numFmtId="3" fontId="28" fillId="0" borderId="239" xfId="5" applyNumberFormat="1" applyFont="1" applyBorder="1" applyAlignment="1" applyProtection="1">
      <alignment vertical="center"/>
      <protection locked="0"/>
    </xf>
    <xf numFmtId="3" fontId="28" fillId="0" borderId="240" xfId="5" applyNumberFormat="1" applyFont="1" applyBorder="1" applyAlignment="1" applyProtection="1">
      <alignment vertical="center"/>
      <protection locked="0"/>
    </xf>
    <xf numFmtId="3" fontId="28" fillId="0" borderId="227" xfId="5" applyNumberFormat="1" applyFont="1" applyBorder="1" applyAlignment="1" applyProtection="1">
      <alignment horizontal="center" vertical="center"/>
      <protection locked="0"/>
    </xf>
    <xf numFmtId="3" fontId="28" fillId="0" borderId="227" xfId="5" applyNumberFormat="1" applyFont="1" applyBorder="1" applyAlignment="1" applyProtection="1">
      <alignment vertical="center"/>
      <protection locked="0"/>
    </xf>
    <xf numFmtId="3" fontId="28" fillId="0" borderId="228" xfId="5" applyNumberFormat="1" applyFont="1" applyBorder="1" applyAlignment="1" applyProtection="1">
      <alignment vertical="center"/>
      <protection locked="0"/>
    </xf>
    <xf numFmtId="3" fontId="28" fillId="0" borderId="241" xfId="5" applyNumberFormat="1" applyFont="1" applyBorder="1" applyAlignment="1" applyProtection="1">
      <alignment vertical="center"/>
      <protection locked="0"/>
    </xf>
    <xf numFmtId="3" fontId="28" fillId="0" borderId="242" xfId="5" applyNumberFormat="1" applyFont="1" applyBorder="1" applyAlignment="1" applyProtection="1">
      <alignment vertical="center"/>
      <protection locked="0"/>
    </xf>
    <xf numFmtId="3" fontId="28" fillId="0" borderId="0" xfId="5" applyNumberFormat="1" applyFont="1" applyBorder="1" applyAlignment="1" applyProtection="1">
      <alignment horizontal="center" vertical="center"/>
      <protection locked="0"/>
    </xf>
    <xf numFmtId="167" fontId="28" fillId="0" borderId="243" xfId="5" applyNumberFormat="1" applyFont="1" applyBorder="1" applyAlignment="1" applyProtection="1">
      <alignment vertical="center"/>
      <protection locked="0"/>
    </xf>
    <xf numFmtId="3" fontId="28" fillId="0" borderId="244" xfId="5" applyNumberFormat="1" applyFont="1" applyBorder="1" applyAlignment="1" applyProtection="1">
      <alignment horizontal="center" vertical="center"/>
      <protection locked="0"/>
    </xf>
    <xf numFmtId="3" fontId="28" fillId="0" borderId="219" xfId="5" applyNumberFormat="1" applyFont="1" applyBorder="1" applyAlignment="1" applyProtection="1">
      <alignment vertical="center"/>
      <protection locked="0"/>
    </xf>
    <xf numFmtId="3" fontId="28" fillId="0" borderId="220" xfId="5" applyNumberFormat="1" applyFont="1" applyBorder="1" applyAlignment="1" applyProtection="1">
      <alignment vertical="center"/>
      <protection locked="0"/>
    </xf>
    <xf numFmtId="3" fontId="28" fillId="0" borderId="245" xfId="5" applyNumberFormat="1" applyFont="1" applyBorder="1" applyAlignment="1" applyProtection="1">
      <alignment vertical="center"/>
      <protection locked="0"/>
    </xf>
    <xf numFmtId="3" fontId="28" fillId="0" borderId="246" xfId="5" applyNumberFormat="1" applyFont="1" applyBorder="1" applyAlignment="1" applyProtection="1">
      <alignment vertical="center"/>
      <protection locked="0"/>
    </xf>
    <xf numFmtId="3" fontId="19" fillId="0" borderId="0" xfId="5" applyNumberFormat="1" applyFont="1" applyBorder="1" applyAlignment="1" applyProtection="1">
      <alignment horizontal="center" vertical="center"/>
      <protection locked="0"/>
    </xf>
    <xf numFmtId="167" fontId="19" fillId="0" borderId="247" xfId="5" applyNumberFormat="1" applyFont="1" applyBorder="1" applyAlignment="1" applyProtection="1">
      <alignment vertical="center"/>
      <protection locked="0"/>
    </xf>
    <xf numFmtId="37" fontId="123" fillId="0" borderId="248" xfId="3" applyFont="1" applyBorder="1" applyAlignment="1">
      <alignment vertical="center"/>
    </xf>
    <xf numFmtId="37" fontId="19" fillId="0" borderId="249" xfId="5" applyNumberFormat="1" applyFont="1" applyBorder="1" applyAlignment="1" applyProtection="1">
      <alignment vertical="center"/>
      <protection locked="0"/>
    </xf>
    <xf numFmtId="167" fontId="19" fillId="0" borderId="249" xfId="5" applyNumberFormat="1" applyFont="1" applyBorder="1" applyAlignment="1" applyProtection="1">
      <alignment vertical="center"/>
      <protection locked="0"/>
    </xf>
    <xf numFmtId="167" fontId="19" fillId="0" borderId="250" xfId="5" applyNumberFormat="1" applyFont="1" applyBorder="1" applyAlignment="1" applyProtection="1">
      <alignment vertical="center"/>
      <protection locked="0"/>
    </xf>
    <xf numFmtId="37" fontId="19" fillId="0" borderId="243" xfId="5" applyNumberFormat="1" applyFont="1" applyBorder="1" applyAlignment="1" applyProtection="1">
      <alignment vertical="center"/>
      <protection locked="0"/>
    </xf>
    <xf numFmtId="167" fontId="19" fillId="0" borderId="243" xfId="5" applyNumberFormat="1" applyFont="1" applyBorder="1" applyAlignment="1" applyProtection="1">
      <alignment vertical="center"/>
      <protection locked="0"/>
    </xf>
    <xf numFmtId="37" fontId="19" fillId="0" borderId="251" xfId="5" applyNumberFormat="1" applyFont="1" applyBorder="1" applyAlignment="1" applyProtection="1">
      <alignment vertical="center"/>
      <protection locked="0"/>
    </xf>
    <xf numFmtId="167" fontId="19" fillId="0" borderId="252" xfId="5" applyNumberFormat="1" applyFont="1" applyBorder="1" applyAlignment="1" applyProtection="1">
      <alignment vertical="center"/>
      <protection locked="0"/>
    </xf>
    <xf numFmtId="167" fontId="19" fillId="0" borderId="253" xfId="5" applyNumberFormat="1" applyFont="1" applyBorder="1" applyAlignment="1" applyProtection="1">
      <alignment vertical="center"/>
      <protection locked="0"/>
    </xf>
    <xf numFmtId="37" fontId="19" fillId="0" borderId="253" xfId="5" applyNumberFormat="1" applyFont="1" applyBorder="1" applyAlignment="1" applyProtection="1">
      <alignment vertical="center"/>
      <protection locked="0"/>
    </xf>
    <xf numFmtId="3" fontId="19" fillId="0" borderId="253" xfId="5" applyNumberFormat="1" applyFont="1" applyBorder="1" applyAlignment="1" applyProtection="1">
      <alignment vertical="center"/>
      <protection locked="0"/>
    </xf>
    <xf numFmtId="167" fontId="19" fillId="0" borderId="254" xfId="5" applyNumberFormat="1" applyFont="1" applyBorder="1" applyAlignment="1" applyProtection="1">
      <alignment vertical="center"/>
      <protection locked="0"/>
    </xf>
    <xf numFmtId="37" fontId="19" fillId="0" borderId="255" xfId="3" applyFont="1" applyBorder="1" applyAlignment="1">
      <alignment vertical="center"/>
    </xf>
    <xf numFmtId="37" fontId="19" fillId="9" borderId="256" xfId="5" applyNumberFormat="1" applyFont="1" applyFill="1" applyBorder="1" applyAlignment="1" applyProtection="1">
      <alignment horizontal="center" vertical="center"/>
      <protection locked="0"/>
    </xf>
    <xf numFmtId="167" fontId="30" fillId="0" borderId="0" xfId="5" applyNumberFormat="1" applyFont="1" applyBorder="1" applyAlignment="1" applyProtection="1">
      <alignment horizontal="right" vertical="center"/>
      <protection locked="0"/>
    </xf>
    <xf numFmtId="37" fontId="30" fillId="0" borderId="229" xfId="3" applyFont="1" applyBorder="1" applyAlignment="1">
      <alignment horizontal="center" vertical="center"/>
    </xf>
    <xf numFmtId="37" fontId="30" fillId="0" borderId="230" xfId="3" applyFont="1" applyBorder="1" applyAlignment="1">
      <alignment horizontal="center" vertical="center"/>
    </xf>
    <xf numFmtId="37" fontId="30" fillId="0" borderId="257" xfId="3" applyFont="1" applyBorder="1" applyAlignment="1">
      <alignment horizontal="center" vertical="center"/>
    </xf>
    <xf numFmtId="37" fontId="19" fillId="9" borderId="225" xfId="5" applyNumberFormat="1" applyFont="1" applyFill="1" applyBorder="1" applyAlignment="1" applyProtection="1">
      <alignment horizontal="center" vertical="center"/>
      <protection locked="0"/>
    </xf>
    <xf numFmtId="37" fontId="19" fillId="0" borderId="244" xfId="3" applyFont="1" applyBorder="1" applyAlignment="1" applyProtection="1">
      <alignment horizontal="centerContinuous" vertical="center"/>
      <protection locked="0"/>
    </xf>
    <xf numFmtId="37" fontId="19" fillId="0" borderId="243" xfId="3" applyFont="1" applyBorder="1" applyAlignment="1" applyProtection="1">
      <alignment horizontal="centerContinuous" vertical="center"/>
      <protection locked="0"/>
    </xf>
    <xf numFmtId="0" fontId="28" fillId="0" borderId="243" xfId="15" applyBorder="1" applyAlignment="1" applyProtection="1">
      <alignment horizontal="centerContinuous" vertical="center"/>
      <protection locked="0"/>
    </xf>
    <xf numFmtId="9" fontId="30" fillId="9" borderId="219" xfId="5" applyFont="1" applyFill="1" applyBorder="1" applyAlignment="1" applyProtection="1">
      <alignment horizontal="right" vertical="center"/>
      <protection locked="0"/>
    </xf>
    <xf numFmtId="9" fontId="30" fillId="9" borderId="220" xfId="5" applyFont="1" applyFill="1" applyBorder="1" applyAlignment="1" applyProtection="1">
      <alignment horizontal="right" vertical="center"/>
      <protection locked="0"/>
    </xf>
    <xf numFmtId="37" fontId="19" fillId="0" borderId="258" xfId="3" applyFont="1" applyBorder="1" applyAlignment="1" applyProtection="1">
      <alignment horizontal="centerContinuous" vertical="center"/>
      <protection locked="0"/>
    </xf>
    <xf numFmtId="37" fontId="19" fillId="0" borderId="259" xfId="3" applyFont="1" applyBorder="1" applyAlignment="1" applyProtection="1">
      <alignment horizontal="centerContinuous" vertical="center"/>
      <protection locked="0"/>
    </xf>
    <xf numFmtId="0" fontId="28" fillId="0" borderId="259" xfId="15" applyBorder="1" applyAlignment="1" applyProtection="1">
      <alignment horizontal="centerContinuous" vertical="center"/>
      <protection locked="0"/>
    </xf>
    <xf numFmtId="37" fontId="28" fillId="0" borderId="256" xfId="5" applyNumberFormat="1" applyFont="1" applyFill="1" applyBorder="1" applyAlignment="1" applyProtection="1">
      <alignment horizontal="right" vertical="center"/>
    </xf>
    <xf numFmtId="37" fontId="28" fillId="0" borderId="260" xfId="5" applyNumberFormat="1" applyFont="1" applyFill="1" applyBorder="1" applyAlignment="1" applyProtection="1">
      <alignment horizontal="right" vertical="center"/>
    </xf>
    <xf numFmtId="37" fontId="19" fillId="0" borderId="261" xfId="3" applyFont="1" applyBorder="1" applyAlignment="1">
      <alignment vertical="center"/>
    </xf>
    <xf numFmtId="37" fontId="19" fillId="9" borderId="237" xfId="5" applyNumberFormat="1" applyFont="1" applyFill="1" applyBorder="1" applyAlignment="1" applyProtection="1">
      <alignment horizontal="center" vertical="center"/>
      <protection locked="0"/>
    </xf>
    <xf numFmtId="37" fontId="19" fillId="0" borderId="262" xfId="3" applyFont="1" applyBorder="1" applyAlignment="1" applyProtection="1">
      <alignment horizontal="centerContinuous" vertical="center"/>
      <protection locked="0"/>
    </xf>
    <xf numFmtId="37" fontId="19" fillId="0" borderId="263" xfId="3" applyFont="1" applyBorder="1" applyAlignment="1" applyProtection="1">
      <alignment horizontal="centerContinuous" vertical="center"/>
      <protection locked="0"/>
    </xf>
    <xf numFmtId="0" fontId="28" fillId="0" borderId="263" xfId="15" applyBorder="1" applyAlignment="1" applyProtection="1">
      <alignment horizontal="centerContinuous" vertical="center"/>
      <protection locked="0"/>
    </xf>
    <xf numFmtId="37" fontId="28" fillId="0" borderId="225" xfId="5" applyNumberFormat="1" applyFont="1" applyFill="1" applyBorder="1" applyAlignment="1" applyProtection="1">
      <alignment horizontal="right" vertical="center"/>
    </xf>
    <xf numFmtId="37" fontId="28" fillId="0" borderId="226" xfId="5" applyNumberFormat="1" applyFont="1" applyFill="1" applyBorder="1" applyAlignment="1" applyProtection="1">
      <alignment horizontal="right" vertical="center"/>
    </xf>
    <xf numFmtId="37" fontId="19" fillId="0" borderId="264" xfId="3" applyFont="1" applyBorder="1" applyAlignment="1" applyProtection="1">
      <alignment horizontal="centerContinuous" vertical="center"/>
      <protection locked="0"/>
    </xf>
    <xf numFmtId="37" fontId="19" fillId="0" borderId="265" xfId="3" applyFont="1" applyBorder="1" applyAlignment="1" applyProtection="1">
      <alignment horizontal="centerContinuous" vertical="center"/>
      <protection locked="0"/>
    </xf>
    <xf numFmtId="0" fontId="28" fillId="0" borderId="265" xfId="15" applyBorder="1" applyAlignment="1" applyProtection="1">
      <alignment horizontal="centerContinuous" vertical="center"/>
      <protection locked="0"/>
    </xf>
    <xf numFmtId="37" fontId="28" fillId="0" borderId="237" xfId="5" applyNumberFormat="1" applyFont="1" applyFill="1" applyBorder="1" applyAlignment="1" applyProtection="1">
      <alignment horizontal="right" vertical="center"/>
    </xf>
    <xf numFmtId="37" fontId="28" fillId="0" borderId="238" xfId="5" applyNumberFormat="1" applyFont="1" applyFill="1" applyBorder="1" applyAlignment="1" applyProtection="1">
      <alignment horizontal="right" vertical="center"/>
    </xf>
    <xf numFmtId="37" fontId="19" fillId="0" borderId="266" xfId="3" applyFont="1" applyBorder="1" applyAlignment="1">
      <alignment vertical="center"/>
    </xf>
    <xf numFmtId="37" fontId="19" fillId="9" borderId="267" xfId="3" applyFont="1" applyFill="1" applyBorder="1" applyAlignment="1" applyProtection="1">
      <alignment horizontal="center" vertical="center"/>
      <protection locked="0"/>
    </xf>
    <xf numFmtId="9" fontId="19" fillId="0" borderId="0" xfId="5" applyFont="1" applyBorder="1" applyAlignment="1" applyProtection="1">
      <alignment vertical="center"/>
      <protection locked="0"/>
    </xf>
    <xf numFmtId="167" fontId="30" fillId="9" borderId="219" xfId="3" applyNumberFormat="1" applyFont="1" applyFill="1" applyBorder="1" applyAlignment="1" applyProtection="1">
      <alignment vertical="center"/>
      <protection locked="0"/>
    </xf>
    <xf numFmtId="167" fontId="30" fillId="9" borderId="220" xfId="3" applyNumberFormat="1" applyFont="1" applyFill="1" applyBorder="1" applyAlignment="1" applyProtection="1">
      <alignment vertical="center"/>
      <protection locked="0"/>
    </xf>
    <xf numFmtId="37" fontId="19" fillId="0" borderId="232" xfId="3" quotePrefix="1" applyFont="1" applyBorder="1" applyAlignment="1">
      <alignment vertical="center"/>
    </xf>
    <xf numFmtId="37" fontId="19" fillId="0" borderId="252" xfId="3" applyFont="1" applyBorder="1" applyAlignment="1" applyProtection="1">
      <alignment horizontal="centerContinuous" vertical="center"/>
      <protection locked="0"/>
    </xf>
    <xf numFmtId="37" fontId="19" fillId="0" borderId="253" xfId="3" applyFont="1" applyBorder="1" applyAlignment="1" applyProtection="1">
      <alignment horizontal="centerContinuous" vertical="center"/>
      <protection locked="0"/>
    </xf>
    <xf numFmtId="0" fontId="28" fillId="0" borderId="253" xfId="15" applyBorder="1" applyAlignment="1" applyProtection="1">
      <alignment horizontal="centerContinuous" vertical="center"/>
      <protection locked="0"/>
    </xf>
    <xf numFmtId="37" fontId="28" fillId="0" borderId="229" xfId="5" applyNumberFormat="1" applyFont="1" applyBorder="1" applyAlignment="1" applyProtection="1">
      <alignment vertical="center"/>
    </xf>
    <xf numFmtId="37" fontId="28" fillId="0" borderId="252" xfId="5" applyNumberFormat="1" applyFont="1" applyBorder="1" applyAlignment="1" applyProtection="1">
      <alignment vertical="center"/>
    </xf>
    <xf numFmtId="37" fontId="28" fillId="0" borderId="219" xfId="5" applyNumberFormat="1" applyFont="1" applyBorder="1" applyAlignment="1" applyProtection="1">
      <alignment vertical="center"/>
    </xf>
    <xf numFmtId="3" fontId="28" fillId="0" borderId="0" xfId="5" applyNumberFormat="1" applyFont="1" applyFill="1" applyBorder="1" applyAlignment="1" applyProtection="1">
      <alignment horizontal="right" vertical="center"/>
      <protection locked="0"/>
    </xf>
    <xf numFmtId="3" fontId="28" fillId="0" borderId="0" xfId="5" quotePrefix="1" applyNumberFormat="1" applyFont="1" applyFill="1" applyBorder="1" applyAlignment="1" applyProtection="1">
      <alignment horizontal="right" vertical="center"/>
      <protection locked="0"/>
    </xf>
    <xf numFmtId="3" fontId="28" fillId="0" borderId="268" xfId="5" applyNumberFormat="1" applyFont="1" applyFill="1" applyBorder="1" applyAlignment="1" applyProtection="1">
      <alignment horizontal="right" vertical="center"/>
      <protection locked="0"/>
    </xf>
    <xf numFmtId="3" fontId="28" fillId="0" borderId="147" xfId="5" applyNumberFormat="1" applyFont="1" applyBorder="1" applyAlignment="1" applyProtection="1">
      <alignment vertical="center"/>
      <protection locked="0"/>
    </xf>
    <xf numFmtId="37" fontId="19" fillId="0" borderId="269" xfId="3" quotePrefix="1" applyFont="1" applyBorder="1" applyAlignment="1">
      <alignment vertical="center"/>
    </xf>
    <xf numFmtId="37" fontId="19" fillId="0" borderId="270" xfId="3" quotePrefix="1" applyFont="1" applyBorder="1" applyAlignment="1">
      <alignment vertical="center"/>
    </xf>
    <xf numFmtId="37" fontId="19" fillId="9" borderId="223" xfId="5" applyNumberFormat="1" applyFont="1" applyFill="1" applyBorder="1" applyAlignment="1" applyProtection="1">
      <alignment horizontal="center" vertical="center"/>
      <protection locked="0"/>
    </xf>
    <xf numFmtId="167" fontId="30" fillId="0" borderId="218" xfId="5" quotePrefix="1" applyNumberFormat="1" applyFont="1" applyBorder="1" applyAlignment="1" applyProtection="1">
      <alignment horizontal="right" vertical="center"/>
      <protection locked="0"/>
    </xf>
    <xf numFmtId="37" fontId="30" fillId="0" borderId="219" xfId="3" applyFont="1" applyBorder="1" applyAlignment="1">
      <alignment horizontal="center" vertical="center"/>
    </xf>
    <xf numFmtId="37" fontId="30" fillId="0" borderId="220" xfId="3" applyFont="1" applyBorder="1" applyAlignment="1">
      <alignment horizontal="center" vertical="center"/>
    </xf>
    <xf numFmtId="9" fontId="30" fillId="9" borderId="229" xfId="5" applyFont="1" applyFill="1" applyBorder="1" applyAlignment="1" applyProtection="1">
      <alignment horizontal="right" vertical="center"/>
      <protection locked="0"/>
    </xf>
    <xf numFmtId="9" fontId="30" fillId="9" borderId="230" xfId="5" applyFont="1" applyFill="1" applyBorder="1" applyAlignment="1" applyProtection="1">
      <alignment horizontal="right" vertical="center"/>
      <protection locked="0"/>
    </xf>
    <xf numFmtId="37" fontId="28" fillId="0" borderId="223" xfId="5" applyNumberFormat="1" applyFont="1" applyFill="1" applyBorder="1" applyAlignment="1" applyProtection="1">
      <alignment horizontal="right" vertical="center"/>
    </xf>
    <xf numFmtId="37" fontId="28" fillId="0" borderId="224" xfId="5" applyNumberFormat="1" applyFont="1" applyFill="1" applyBorder="1" applyAlignment="1" applyProtection="1">
      <alignment horizontal="right" vertical="center"/>
    </xf>
    <xf numFmtId="37" fontId="19" fillId="0" borderId="261" xfId="3" quotePrefix="1" applyFont="1" applyBorder="1" applyAlignment="1">
      <alignment vertical="center"/>
    </xf>
    <xf numFmtId="37" fontId="28" fillId="0" borderId="227" xfId="5" applyNumberFormat="1" applyFont="1" applyFill="1" applyBorder="1" applyAlignment="1" applyProtection="1">
      <alignment horizontal="right" vertical="center"/>
    </xf>
    <xf numFmtId="37" fontId="28" fillId="0" borderId="228" xfId="5" applyNumberFormat="1" applyFont="1" applyFill="1" applyBorder="1" applyAlignment="1" applyProtection="1">
      <alignment horizontal="right" vertical="center"/>
    </xf>
    <xf numFmtId="37" fontId="19" fillId="0" borderId="266" xfId="3" quotePrefix="1" applyFont="1" applyBorder="1" applyAlignment="1">
      <alignment vertical="center"/>
    </xf>
    <xf numFmtId="37" fontId="28" fillId="0" borderId="220" xfId="5" applyNumberFormat="1" applyFont="1" applyBorder="1" applyAlignment="1" applyProtection="1">
      <alignment vertical="center"/>
    </xf>
    <xf numFmtId="3" fontId="124" fillId="0" borderId="0" xfId="5" applyNumberFormat="1" applyFont="1" applyFill="1" applyBorder="1" applyAlignment="1" applyProtection="1">
      <alignment horizontal="right" vertical="center"/>
      <protection locked="0"/>
    </xf>
    <xf numFmtId="3" fontId="124" fillId="0" borderId="268" xfId="5" applyNumberFormat="1" applyFont="1" applyFill="1" applyBorder="1" applyAlignment="1" applyProtection="1">
      <alignment horizontal="right" vertical="center"/>
      <protection locked="0"/>
    </xf>
    <xf numFmtId="3" fontId="124" fillId="0" borderId="271" xfId="5" applyNumberFormat="1" applyFont="1" applyBorder="1" applyAlignment="1" applyProtection="1">
      <alignment vertical="center"/>
      <protection locked="0"/>
    </xf>
    <xf numFmtId="37" fontId="19" fillId="0" borderId="255" xfId="3" quotePrefix="1" applyFont="1" applyBorder="1" applyAlignment="1">
      <alignment vertical="center"/>
    </xf>
    <xf numFmtId="167" fontId="30" fillId="0" borderId="0" xfId="5" quotePrefix="1" applyNumberFormat="1" applyFont="1" applyBorder="1" applyAlignment="1" applyProtection="1">
      <alignment horizontal="right" vertical="center"/>
      <protection locked="0"/>
    </xf>
    <xf numFmtId="37" fontId="28" fillId="0" borderId="230" xfId="5" applyNumberFormat="1" applyFont="1" applyBorder="1" applyAlignment="1" applyProtection="1">
      <alignment vertical="center"/>
    </xf>
    <xf numFmtId="37" fontId="30" fillId="0" borderId="272" xfId="3" applyFont="1" applyBorder="1" applyAlignment="1">
      <alignment vertical="center"/>
    </xf>
    <xf numFmtId="37" fontId="30" fillId="0" borderId="243" xfId="5" applyNumberFormat="1" applyFont="1" applyBorder="1" applyAlignment="1" applyProtection="1">
      <alignment vertical="center"/>
      <protection locked="0"/>
    </xf>
    <xf numFmtId="167" fontId="30" fillId="0" borderId="243" xfId="5" applyNumberFormat="1" applyFont="1" applyBorder="1" applyAlignment="1" applyProtection="1">
      <alignment vertical="center"/>
      <protection locked="0"/>
    </xf>
    <xf numFmtId="37" fontId="30" fillId="0" borderId="219" xfId="5" applyNumberFormat="1" applyFont="1" applyFill="1" applyBorder="1" applyAlignment="1" applyProtection="1">
      <alignment horizontal="right" vertical="center"/>
      <protection locked="0"/>
    </xf>
    <xf numFmtId="37" fontId="30" fillId="0" borderId="220" xfId="5" applyNumberFormat="1" applyFont="1" applyFill="1" applyBorder="1" applyAlignment="1" applyProtection="1">
      <alignment horizontal="right" vertical="center"/>
      <protection locked="0"/>
    </xf>
    <xf numFmtId="37" fontId="30" fillId="0" borderId="219" xfId="5" applyNumberFormat="1" applyFont="1" applyFill="1" applyBorder="1" applyAlignment="1" applyProtection="1">
      <alignment horizontal="right" vertical="center"/>
    </xf>
    <xf numFmtId="37" fontId="30" fillId="0" borderId="220" xfId="5" applyNumberFormat="1" applyFont="1" applyFill="1" applyBorder="1" applyAlignment="1" applyProtection="1">
      <alignment horizontal="right" vertical="center"/>
    </xf>
    <xf numFmtId="167" fontId="30" fillId="0" borderId="0" xfId="5" applyNumberFormat="1" applyFont="1" applyBorder="1" applyAlignment="1" applyProtection="1">
      <alignment horizontal="left" vertical="center"/>
      <protection locked="0"/>
    </xf>
    <xf numFmtId="37" fontId="30" fillId="0" borderId="273" xfId="3" applyFont="1" applyBorder="1" applyAlignment="1">
      <alignment vertical="center"/>
    </xf>
    <xf numFmtId="37" fontId="30" fillId="0" borderId="274" xfId="5" applyNumberFormat="1" applyFont="1" applyBorder="1" applyAlignment="1" applyProtection="1">
      <alignment vertical="center"/>
      <protection locked="0"/>
    </xf>
    <xf numFmtId="167" fontId="30" fillId="0" borderId="274" xfId="5" applyNumberFormat="1" applyFont="1" applyBorder="1" applyAlignment="1" applyProtection="1">
      <alignment vertical="center"/>
      <protection locked="0"/>
    </xf>
    <xf numFmtId="37" fontId="30" fillId="0" borderId="275" xfId="5" applyNumberFormat="1" applyFont="1" applyFill="1" applyBorder="1" applyAlignment="1" applyProtection="1">
      <alignment horizontal="right" vertical="center"/>
    </xf>
    <xf numFmtId="37" fontId="30" fillId="0" borderId="276" xfId="5" applyNumberFormat="1" applyFont="1" applyFill="1" applyBorder="1" applyAlignment="1" applyProtection="1">
      <alignment horizontal="right" vertical="center"/>
    </xf>
    <xf numFmtId="167" fontId="30" fillId="0" borderId="151" xfId="5" applyNumberFormat="1" applyFont="1" applyBorder="1" applyAlignment="1" applyProtection="1">
      <alignment vertical="center"/>
      <protection locked="0"/>
    </xf>
    <xf numFmtId="167" fontId="30" fillId="0" borderId="0" xfId="5" applyNumberFormat="1" applyFont="1" applyAlignment="1" applyProtection="1">
      <alignment vertical="center"/>
      <protection locked="0"/>
    </xf>
    <xf numFmtId="167" fontId="30" fillId="0" borderId="0" xfId="5" applyNumberFormat="1" applyFont="1" applyAlignment="1" applyProtection="1">
      <alignment vertical="center"/>
    </xf>
    <xf numFmtId="167" fontId="30" fillId="0" borderId="0" xfId="5" applyNumberFormat="1" applyFont="1" applyBorder="1" applyAlignment="1" applyProtection="1">
      <alignment vertical="center"/>
      <protection locked="0"/>
    </xf>
    <xf numFmtId="1" fontId="30" fillId="0" borderId="0" xfId="5" applyNumberFormat="1" applyFont="1" applyBorder="1" applyAlignment="1" applyProtection="1">
      <alignment vertical="center"/>
      <protection locked="0"/>
    </xf>
    <xf numFmtId="167" fontId="30" fillId="0" borderId="277" xfId="5" applyNumberFormat="1" applyFont="1" applyBorder="1" applyAlignment="1" applyProtection="1">
      <alignment vertical="center"/>
      <protection locked="0"/>
    </xf>
    <xf numFmtId="37" fontId="31" fillId="0" borderId="278" xfId="3" applyFont="1" applyBorder="1" applyAlignment="1">
      <alignment vertical="center"/>
    </xf>
    <xf numFmtId="37" fontId="19" fillId="0" borderId="279" xfId="5" applyNumberFormat="1" applyFont="1" applyBorder="1" applyAlignment="1" applyProtection="1">
      <alignment vertical="center"/>
      <protection locked="0"/>
    </xf>
    <xf numFmtId="167" fontId="19" fillId="0" borderId="139" xfId="5" applyNumberFormat="1" applyFont="1" applyBorder="1" applyAlignment="1" applyProtection="1">
      <alignment vertical="center"/>
      <protection locked="0"/>
    </xf>
    <xf numFmtId="37" fontId="19" fillId="0" borderId="139" xfId="5" applyNumberFormat="1" applyFont="1" applyBorder="1" applyAlignment="1" applyProtection="1">
      <alignment vertical="center"/>
      <protection locked="0"/>
    </xf>
    <xf numFmtId="37" fontId="30" fillId="0" borderId="63" xfId="3" applyFont="1" applyBorder="1" applyAlignment="1">
      <alignment horizontal="center" vertical="center"/>
    </xf>
    <xf numFmtId="37" fontId="30" fillId="0" borderId="64" xfId="3" applyFont="1" applyBorder="1" applyAlignment="1">
      <alignment horizontal="center" vertical="center"/>
    </xf>
    <xf numFmtId="37" fontId="31" fillId="0" borderId="280" xfId="3" applyFont="1" applyBorder="1" applyAlignment="1">
      <alignment vertical="center"/>
    </xf>
    <xf numFmtId="37" fontId="30" fillId="0" borderId="281" xfId="3" applyFont="1" applyBorder="1" applyAlignment="1">
      <alignment horizontal="center" vertical="center"/>
    </xf>
    <xf numFmtId="37" fontId="19" fillId="0" borderId="282" xfId="3" applyFont="1" applyBorder="1" applyAlignment="1">
      <alignment vertical="center"/>
    </xf>
    <xf numFmtId="37" fontId="19" fillId="0" borderId="146" xfId="3" applyFont="1" applyBorder="1" applyAlignment="1" applyProtection="1">
      <alignment vertical="center"/>
      <protection locked="0"/>
    </xf>
    <xf numFmtId="9" fontId="19" fillId="0" borderId="146" xfId="5" applyFont="1" applyBorder="1" applyAlignment="1" applyProtection="1">
      <alignment vertical="center"/>
    </xf>
    <xf numFmtId="167" fontId="30" fillId="9" borderId="47" xfId="5" applyNumberFormat="1" applyFont="1" applyFill="1" applyBorder="1" applyAlignment="1" applyProtection="1">
      <alignment horizontal="right" vertical="center"/>
      <protection locked="0"/>
    </xf>
    <xf numFmtId="167" fontId="30" fillId="9" borderId="281" xfId="5" applyNumberFormat="1" applyFont="1" applyFill="1" applyBorder="1" applyAlignment="1" applyProtection="1">
      <alignment horizontal="right" vertical="center"/>
      <protection locked="0"/>
    </xf>
    <xf numFmtId="37" fontId="19" fillId="0" borderId="283" xfId="3" applyFont="1" applyBorder="1" applyAlignment="1">
      <alignment vertical="center"/>
    </xf>
    <xf numFmtId="37" fontId="19" fillId="0" borderId="284" xfId="5" applyNumberFormat="1" applyFont="1" applyBorder="1" applyAlignment="1" applyProtection="1">
      <alignment vertical="center"/>
      <protection locked="0"/>
    </xf>
    <xf numFmtId="167" fontId="19" fillId="0" borderId="144" xfId="5" applyNumberFormat="1" applyFont="1" applyBorder="1" applyAlignment="1" applyProtection="1">
      <alignment vertical="center"/>
      <protection locked="0"/>
    </xf>
    <xf numFmtId="37" fontId="19" fillId="0" borderId="284" xfId="5" applyNumberFormat="1" applyFont="1" applyBorder="1" applyAlignment="1" applyProtection="1">
      <alignment vertical="center"/>
    </xf>
    <xf numFmtId="37" fontId="28" fillId="0" borderId="285" xfId="5" applyNumberFormat="1" applyFont="1" applyFill="1" applyBorder="1" applyAlignment="1" applyProtection="1">
      <alignment horizontal="right" vertical="center"/>
    </xf>
    <xf numFmtId="37" fontId="28" fillId="0" borderId="286" xfId="5" applyNumberFormat="1" applyFont="1" applyFill="1" applyBorder="1" applyAlignment="1" applyProtection="1">
      <alignment horizontal="right" vertical="center"/>
    </xf>
    <xf numFmtId="37" fontId="19" fillId="0" borderId="139" xfId="3" applyFont="1" applyBorder="1" applyAlignment="1" applyProtection="1">
      <alignment vertical="center"/>
      <protection locked="0"/>
    </xf>
    <xf numFmtId="37" fontId="125" fillId="0" borderId="287" xfId="3" applyFont="1" applyBorder="1" applyAlignment="1">
      <alignment vertical="center"/>
    </xf>
    <xf numFmtId="37" fontId="19" fillId="0" borderId="288" xfId="3" applyFont="1" applyBorder="1" applyAlignment="1" applyProtection="1">
      <alignment vertical="center"/>
      <protection locked="0"/>
    </xf>
    <xf numFmtId="37" fontId="19" fillId="0" borderId="56" xfId="3" applyFont="1" applyBorder="1" applyAlignment="1" applyProtection="1">
      <alignment vertical="center"/>
      <protection locked="0"/>
    </xf>
    <xf numFmtId="167" fontId="19" fillId="0" borderId="48" xfId="5" applyNumberFormat="1" applyFont="1" applyBorder="1" applyAlignment="1" applyProtection="1">
      <alignment vertical="center"/>
      <protection locked="0"/>
    </xf>
    <xf numFmtId="37" fontId="19" fillId="0" borderId="289" xfId="3" applyFont="1" applyBorder="1" applyAlignment="1">
      <alignment vertical="center"/>
    </xf>
    <xf numFmtId="37" fontId="19" fillId="9" borderId="290" xfId="3" applyFont="1" applyFill="1" applyBorder="1" applyAlignment="1" applyProtection="1">
      <alignment horizontal="center" vertical="center"/>
      <protection locked="0"/>
    </xf>
    <xf numFmtId="37" fontId="19" fillId="0" borderId="57" xfId="3" applyFont="1" applyBorder="1" applyAlignment="1" applyProtection="1">
      <alignment vertical="center"/>
      <protection locked="0"/>
    </xf>
    <xf numFmtId="37" fontId="19" fillId="0" borderId="57" xfId="3" applyFont="1" applyBorder="1" applyAlignment="1" applyProtection="1">
      <alignment horizontal="center" vertical="center"/>
      <protection locked="0"/>
    </xf>
    <xf numFmtId="0" fontId="28" fillId="0" borderId="57" xfId="15" applyBorder="1" applyAlignment="1" applyProtection="1">
      <alignment vertical="center"/>
      <protection locked="0"/>
    </xf>
    <xf numFmtId="0" fontId="30" fillId="0" borderId="291" xfId="15" applyFont="1" applyBorder="1" applyAlignment="1" applyProtection="1">
      <alignment horizontal="right" vertical="center"/>
      <protection locked="0"/>
    </xf>
    <xf numFmtId="37" fontId="30" fillId="0" borderId="292" xfId="3" applyFont="1" applyBorder="1" applyAlignment="1">
      <alignment horizontal="center" vertical="center"/>
    </xf>
    <xf numFmtId="37" fontId="30" fillId="0" borderId="293" xfId="3" applyFont="1" applyBorder="1" applyAlignment="1">
      <alignment horizontal="center" vertical="center"/>
    </xf>
    <xf numFmtId="37" fontId="19" fillId="0" borderId="294" xfId="3" applyFont="1" applyBorder="1" applyAlignment="1">
      <alignment vertical="center"/>
    </xf>
    <xf numFmtId="37" fontId="19" fillId="9" borderId="295" xfId="3" applyFont="1" applyFill="1" applyBorder="1" applyAlignment="1" applyProtection="1">
      <alignment horizontal="center" vertical="center"/>
      <protection locked="0"/>
    </xf>
    <xf numFmtId="37" fontId="30" fillId="0" borderId="296" xfId="3" applyFont="1" applyBorder="1" applyAlignment="1">
      <alignment horizontal="center" vertical="center"/>
    </xf>
    <xf numFmtId="37" fontId="30" fillId="0" borderId="297" xfId="3" applyFont="1" applyBorder="1" applyAlignment="1">
      <alignment horizontal="center" vertical="center"/>
    </xf>
    <xf numFmtId="37" fontId="19" fillId="0" borderId="298" xfId="3" applyFont="1" applyBorder="1" applyAlignment="1" applyProtection="1">
      <alignment horizontal="centerContinuous" vertical="center"/>
      <protection locked="0"/>
    </xf>
    <xf numFmtId="37" fontId="19" fillId="0" borderId="299" xfId="3" applyFont="1" applyBorder="1" applyAlignment="1" applyProtection="1">
      <alignment horizontal="centerContinuous" vertical="center"/>
      <protection locked="0"/>
    </xf>
    <xf numFmtId="0" fontId="28" fillId="0" borderId="299" xfId="15" applyBorder="1" applyAlignment="1" applyProtection="1">
      <alignment horizontal="centerContinuous" vertical="center"/>
      <protection locked="0"/>
    </xf>
    <xf numFmtId="9" fontId="30" fillId="9" borderId="296" xfId="5" applyFont="1" applyFill="1" applyBorder="1" applyAlignment="1" applyProtection="1">
      <alignment horizontal="right" vertical="center"/>
      <protection locked="0"/>
    </xf>
    <xf numFmtId="9" fontId="30" fillId="9" borderId="297" xfId="5" applyFont="1" applyFill="1" applyBorder="1" applyAlignment="1" applyProtection="1">
      <alignment horizontal="right" vertical="center"/>
      <protection locked="0"/>
    </xf>
    <xf numFmtId="9" fontId="19" fillId="0" borderId="0" xfId="5" applyFont="1" applyFill="1" applyBorder="1" applyAlignment="1" applyProtection="1">
      <alignment vertical="center"/>
      <protection locked="0"/>
    </xf>
    <xf numFmtId="37" fontId="19" fillId="0" borderId="300" xfId="3" applyFont="1" applyBorder="1" applyAlignment="1" applyProtection="1">
      <alignment horizontal="centerContinuous" vertical="center"/>
      <protection locked="0"/>
    </xf>
    <xf numFmtId="37" fontId="19" fillId="0" borderId="301" xfId="3" applyFont="1" applyBorder="1" applyAlignment="1" applyProtection="1">
      <alignment horizontal="centerContinuous" vertical="center"/>
      <protection locked="0"/>
    </xf>
    <xf numFmtId="0" fontId="28" fillId="0" borderId="301" xfId="15" applyBorder="1" applyAlignment="1" applyProtection="1">
      <alignment horizontal="centerContinuous" vertical="center"/>
      <protection locked="0"/>
    </xf>
    <xf numFmtId="37" fontId="28" fillId="0" borderId="302" xfId="3" applyFont="1" applyBorder="1" applyAlignment="1">
      <alignment horizontal="right" vertical="center"/>
    </xf>
    <xf numFmtId="37" fontId="28" fillId="0" borderId="303" xfId="3" applyFont="1" applyBorder="1" applyAlignment="1">
      <alignment horizontal="right" vertical="center"/>
    </xf>
    <xf numFmtId="37" fontId="19" fillId="0" borderId="304" xfId="3" applyFont="1" applyBorder="1" applyAlignment="1" applyProtection="1">
      <alignment horizontal="centerContinuous" vertical="center"/>
      <protection locked="0"/>
    </xf>
    <xf numFmtId="37" fontId="19" fillId="0" borderId="54" xfId="3" applyFont="1" applyBorder="1" applyAlignment="1" applyProtection="1">
      <alignment horizontal="centerContinuous" vertical="center"/>
      <protection locked="0"/>
    </xf>
    <xf numFmtId="0" fontId="28" fillId="0" borderId="54" xfId="15" applyBorder="1" applyAlignment="1" applyProtection="1">
      <alignment horizontal="centerContinuous" vertical="center"/>
      <protection locked="0"/>
    </xf>
    <xf numFmtId="37" fontId="28" fillId="0" borderId="295" xfId="3" applyFont="1" applyBorder="1" applyAlignment="1">
      <alignment horizontal="right" vertical="center"/>
    </xf>
    <xf numFmtId="37" fontId="28" fillId="0" borderId="305" xfId="3" applyFont="1" applyBorder="1" applyAlignment="1">
      <alignment horizontal="right" vertical="center"/>
    </xf>
    <xf numFmtId="37" fontId="19" fillId="0" borderId="306" xfId="3" applyFont="1" applyBorder="1" applyAlignment="1" applyProtection="1">
      <alignment horizontal="centerContinuous" vertical="center"/>
      <protection locked="0"/>
    </xf>
    <xf numFmtId="37" fontId="19" fillId="0" borderId="58" xfId="3" applyFont="1" applyBorder="1" applyAlignment="1" applyProtection="1">
      <alignment horizontal="centerContinuous" vertical="center"/>
      <protection locked="0"/>
    </xf>
    <xf numFmtId="0" fontId="28" fillId="0" borderId="58" xfId="15" applyBorder="1" applyAlignment="1" applyProtection="1">
      <alignment horizontal="centerContinuous" vertical="center"/>
      <protection locked="0"/>
    </xf>
    <xf numFmtId="37" fontId="28" fillId="0" borderId="307" xfId="3" applyFont="1" applyBorder="1" applyAlignment="1">
      <alignment vertical="center"/>
    </xf>
    <xf numFmtId="37" fontId="28" fillId="0" borderId="308" xfId="3" applyFont="1" applyBorder="1" applyAlignment="1">
      <alignment vertical="center"/>
    </xf>
    <xf numFmtId="37" fontId="19" fillId="0" borderId="309" xfId="3" applyFont="1" applyBorder="1" applyAlignment="1">
      <alignment vertical="center"/>
    </xf>
    <xf numFmtId="37" fontId="19" fillId="9" borderId="307" xfId="3" applyFont="1" applyFill="1" applyBorder="1" applyAlignment="1" applyProtection="1">
      <alignment horizontal="center" vertical="center"/>
      <protection locked="0"/>
    </xf>
    <xf numFmtId="167" fontId="30" fillId="9" borderId="296" xfId="3" applyNumberFormat="1" applyFont="1" applyFill="1" applyBorder="1" applyAlignment="1" applyProtection="1">
      <alignment vertical="center"/>
      <protection locked="0"/>
    </xf>
    <xf numFmtId="167" fontId="30" fillId="9" borderId="297" xfId="3" applyNumberFormat="1" applyFont="1" applyFill="1" applyBorder="1" applyAlignment="1" applyProtection="1">
      <alignment vertical="center"/>
      <protection locked="0"/>
    </xf>
    <xf numFmtId="37" fontId="19" fillId="0" borderId="52" xfId="3" applyFont="1" applyBorder="1" applyAlignment="1">
      <alignment vertical="center"/>
    </xf>
    <xf numFmtId="37" fontId="28" fillId="0" borderId="296" xfId="3" applyFont="1" applyBorder="1" applyAlignment="1">
      <alignment horizontal="right" vertical="center"/>
    </xf>
    <xf numFmtId="37" fontId="28" fillId="0" borderId="297" xfId="3" applyFont="1" applyBorder="1" applyAlignment="1">
      <alignment horizontal="right" vertical="center"/>
    </xf>
    <xf numFmtId="3" fontId="124" fillId="0" borderId="53" xfId="5" applyNumberFormat="1" applyFont="1" applyFill="1" applyBorder="1" applyAlignment="1" applyProtection="1">
      <alignment horizontal="right" vertical="center"/>
      <protection locked="0"/>
    </xf>
    <xf numFmtId="3" fontId="124" fillId="0" borderId="147" xfId="5" applyNumberFormat="1" applyFont="1" applyBorder="1" applyAlignment="1" applyProtection="1">
      <alignment vertical="center"/>
      <protection locked="0"/>
    </xf>
    <xf numFmtId="37" fontId="19" fillId="0" borderId="310" xfId="3" applyFont="1" applyBorder="1" applyAlignment="1">
      <alignment vertical="center"/>
    </xf>
    <xf numFmtId="37" fontId="19" fillId="0" borderId="311" xfId="3" applyFont="1" applyBorder="1" applyAlignment="1" applyProtection="1">
      <alignment vertical="center"/>
      <protection locked="0"/>
    </xf>
    <xf numFmtId="37" fontId="19" fillId="0" borderId="311" xfId="3" applyFont="1" applyBorder="1" applyAlignment="1" applyProtection="1">
      <alignment horizontal="center" vertical="center"/>
      <protection locked="0"/>
    </xf>
    <xf numFmtId="0" fontId="28" fillId="0" borderId="311" xfId="15" applyBorder="1" applyAlignment="1" applyProtection="1">
      <alignment vertical="center"/>
      <protection locked="0"/>
    </xf>
    <xf numFmtId="37" fontId="28" fillId="0" borderId="311" xfId="3" applyFont="1" applyBorder="1" applyAlignment="1" applyProtection="1">
      <alignment vertical="center"/>
      <protection locked="0"/>
    </xf>
    <xf numFmtId="37" fontId="19" fillId="0" borderId="312" xfId="3" applyFont="1" applyBorder="1" applyAlignment="1" applyProtection="1">
      <alignment vertical="center"/>
      <protection locked="0"/>
    </xf>
    <xf numFmtId="37" fontId="19" fillId="0" borderId="313" xfId="3" applyFont="1" applyBorder="1" applyAlignment="1" applyProtection="1">
      <alignment vertical="center"/>
      <protection locked="0"/>
    </xf>
    <xf numFmtId="37" fontId="19" fillId="0" borderId="314" xfId="3" quotePrefix="1" applyFont="1" applyBorder="1" applyAlignment="1">
      <alignment vertical="center"/>
    </xf>
    <xf numFmtId="37" fontId="19" fillId="9" borderId="315" xfId="3" applyFont="1" applyFill="1" applyBorder="1" applyAlignment="1" applyProtection="1">
      <alignment horizontal="center" vertical="center"/>
      <protection locked="0"/>
    </xf>
    <xf numFmtId="0" fontId="30" fillId="0" borderId="0" xfId="15" quotePrefix="1" applyFont="1" applyAlignment="1" applyProtection="1">
      <alignment horizontal="right" vertical="center"/>
      <protection locked="0"/>
    </xf>
    <xf numFmtId="37" fontId="30" fillId="0" borderId="316" xfId="3" applyFont="1" applyBorder="1" applyAlignment="1">
      <alignment horizontal="center" vertical="center"/>
    </xf>
    <xf numFmtId="37" fontId="30" fillId="0" borderId="317" xfId="3" applyFont="1" applyBorder="1" applyAlignment="1">
      <alignment horizontal="center" vertical="center"/>
    </xf>
    <xf numFmtId="37" fontId="30" fillId="0" borderId="318" xfId="3" applyFont="1" applyBorder="1" applyAlignment="1">
      <alignment horizontal="center" vertical="center"/>
    </xf>
    <xf numFmtId="37" fontId="30" fillId="0" borderId="319" xfId="3" applyFont="1" applyBorder="1" applyAlignment="1">
      <alignment horizontal="center" vertical="center"/>
    </xf>
    <xf numFmtId="37" fontId="30" fillId="0" borderId="320" xfId="3" applyFont="1" applyBorder="1" applyAlignment="1">
      <alignment horizontal="center" vertical="center"/>
    </xf>
    <xf numFmtId="37" fontId="19" fillId="0" borderId="294" xfId="3" quotePrefix="1" applyFont="1" applyBorder="1" applyAlignment="1">
      <alignment vertical="center"/>
    </xf>
    <xf numFmtId="37" fontId="30" fillId="0" borderId="298" xfId="3" applyFont="1" applyBorder="1" applyAlignment="1">
      <alignment horizontal="center" vertical="center"/>
    </xf>
    <xf numFmtId="37" fontId="30" fillId="0" borderId="321" xfId="3" applyFont="1" applyBorder="1" applyAlignment="1">
      <alignment horizontal="center" vertical="center"/>
    </xf>
    <xf numFmtId="37" fontId="30" fillId="0" borderId="322" xfId="3" applyFont="1" applyBorder="1" applyAlignment="1">
      <alignment horizontal="center" vertical="center"/>
    </xf>
    <xf numFmtId="9" fontId="30" fillId="9" borderId="298" xfId="5" applyFont="1" applyFill="1" applyBorder="1" applyAlignment="1" applyProtection="1">
      <alignment horizontal="right" vertical="center"/>
      <protection locked="0"/>
    </xf>
    <xf numFmtId="9" fontId="30" fillId="9" borderId="321" xfId="5" applyFont="1" applyFill="1" applyBorder="1" applyAlignment="1" applyProtection="1">
      <alignment horizontal="right" vertical="center"/>
      <protection locked="0"/>
    </xf>
    <xf numFmtId="9" fontId="30" fillId="9" borderId="322" xfId="5" applyFont="1" applyFill="1" applyBorder="1" applyAlignment="1" applyProtection="1">
      <alignment horizontal="right" vertical="center"/>
      <protection locked="0"/>
    </xf>
    <xf numFmtId="37" fontId="28" fillId="0" borderId="300" xfId="3" applyFont="1" applyBorder="1" applyAlignment="1">
      <alignment horizontal="right" vertical="center"/>
    </xf>
    <xf numFmtId="37" fontId="28" fillId="0" borderId="323" xfId="3" applyFont="1" applyBorder="1" applyAlignment="1">
      <alignment horizontal="right" vertical="center"/>
    </xf>
    <xf numFmtId="37" fontId="28" fillId="0" borderId="324" xfId="3" applyFont="1" applyBorder="1" applyAlignment="1">
      <alignment horizontal="right" vertical="center"/>
    </xf>
    <xf numFmtId="37" fontId="28" fillId="0" borderId="304" xfId="3" applyFont="1" applyBorder="1" applyAlignment="1">
      <alignment horizontal="right" vertical="center"/>
    </xf>
    <xf numFmtId="37" fontId="28" fillId="0" borderId="325" xfId="3" applyFont="1" applyBorder="1" applyAlignment="1">
      <alignment horizontal="right" vertical="center"/>
    </xf>
    <xf numFmtId="37" fontId="28" fillId="0" borderId="326" xfId="3" applyFont="1" applyBorder="1" applyAlignment="1">
      <alignment horizontal="right" vertical="center"/>
    </xf>
    <xf numFmtId="37" fontId="28" fillId="0" borderId="306" xfId="3" applyFont="1" applyBorder="1" applyAlignment="1">
      <alignment vertical="center"/>
    </xf>
    <xf numFmtId="37" fontId="28" fillId="0" borderId="327" xfId="3" applyFont="1" applyBorder="1" applyAlignment="1">
      <alignment vertical="center"/>
    </xf>
    <xf numFmtId="37" fontId="28" fillId="0" borderId="328" xfId="3" applyFont="1" applyBorder="1" applyAlignment="1">
      <alignment vertical="center"/>
    </xf>
    <xf numFmtId="37" fontId="19" fillId="0" borderId="309" xfId="3" quotePrefix="1" applyFont="1" applyBorder="1" applyAlignment="1">
      <alignment vertical="center"/>
    </xf>
    <xf numFmtId="167" fontId="30" fillId="9" borderId="298" xfId="3" applyNumberFormat="1" applyFont="1" applyFill="1" applyBorder="1" applyAlignment="1" applyProtection="1">
      <alignment vertical="center"/>
      <protection locked="0"/>
    </xf>
    <xf numFmtId="167" fontId="30" fillId="9" borderId="321" xfId="3" applyNumberFormat="1" applyFont="1" applyFill="1" applyBorder="1" applyAlignment="1" applyProtection="1">
      <alignment vertical="center"/>
      <protection locked="0"/>
    </xf>
    <xf numFmtId="167" fontId="30" fillId="9" borderId="322" xfId="3" applyNumberFormat="1" applyFont="1" applyFill="1" applyBorder="1" applyAlignment="1" applyProtection="1">
      <alignment vertical="center"/>
      <protection locked="0"/>
    </xf>
    <xf numFmtId="37" fontId="28" fillId="0" borderId="298" xfId="3" applyFont="1" applyBorder="1" applyAlignment="1">
      <alignment horizontal="right" vertical="center"/>
    </xf>
    <xf numFmtId="37" fontId="28" fillId="0" borderId="321" xfId="3" applyFont="1" applyBorder="1" applyAlignment="1">
      <alignment horizontal="right" vertical="center"/>
    </xf>
    <xf numFmtId="37" fontId="28" fillId="0" borderId="322" xfId="3" applyFont="1" applyBorder="1" applyAlignment="1">
      <alignment horizontal="right" vertical="center"/>
    </xf>
    <xf numFmtId="3" fontId="124" fillId="0" borderId="0" xfId="5" applyNumberFormat="1" applyFont="1" applyBorder="1" applyAlignment="1" applyProtection="1">
      <alignment vertical="center"/>
      <protection locked="0"/>
    </xf>
    <xf numFmtId="37" fontId="19" fillId="0" borderId="314" xfId="3" applyFont="1" applyBorder="1" applyAlignment="1">
      <alignment vertical="center"/>
    </xf>
    <xf numFmtId="37" fontId="30" fillId="0" borderId="329" xfId="3" applyFont="1" applyBorder="1" applyAlignment="1">
      <alignment horizontal="center" vertical="center"/>
    </xf>
    <xf numFmtId="9" fontId="30" fillId="9" borderId="329" xfId="5" applyFont="1" applyFill="1" applyBorder="1" applyAlignment="1" applyProtection="1">
      <alignment horizontal="right" vertical="center"/>
      <protection locked="0"/>
    </xf>
    <xf numFmtId="37" fontId="28" fillId="0" borderId="330" xfId="3" applyFont="1" applyBorder="1" applyAlignment="1">
      <alignment horizontal="right" vertical="center"/>
    </xf>
    <xf numFmtId="37" fontId="28" fillId="0" borderId="55" xfId="3" applyFont="1" applyBorder="1" applyAlignment="1">
      <alignment horizontal="right" vertical="center"/>
    </xf>
    <xf numFmtId="37" fontId="28" fillId="0" borderId="331" xfId="3" applyFont="1" applyBorder="1" applyAlignment="1">
      <alignment vertical="center"/>
    </xf>
    <xf numFmtId="167" fontId="30" fillId="9" borderId="329" xfId="3" applyNumberFormat="1" applyFont="1" applyFill="1" applyBorder="1" applyAlignment="1" applyProtection="1">
      <alignment vertical="center"/>
      <protection locked="0"/>
    </xf>
    <xf numFmtId="37" fontId="28" fillId="0" borderId="329" xfId="3" applyFont="1" applyBorder="1" applyAlignment="1">
      <alignment horizontal="right" vertical="center"/>
    </xf>
    <xf numFmtId="37" fontId="30" fillId="0" borderId="332" xfId="3" applyFont="1" applyBorder="1" applyAlignment="1">
      <alignment vertical="center"/>
    </xf>
    <xf numFmtId="37" fontId="30" fillId="0" borderId="299" xfId="5" applyNumberFormat="1" applyFont="1" applyBorder="1" applyAlignment="1" applyProtection="1">
      <alignment vertical="center"/>
      <protection locked="0"/>
    </xf>
    <xf numFmtId="167" fontId="30" fillId="0" borderId="299" xfId="5" applyNumberFormat="1" applyFont="1" applyBorder="1" applyAlignment="1" applyProtection="1">
      <alignment vertical="center"/>
      <protection locked="0"/>
    </xf>
    <xf numFmtId="167" fontId="30" fillId="0" borderId="333" xfId="5" applyNumberFormat="1" applyFont="1" applyBorder="1" applyAlignment="1" applyProtection="1">
      <alignment vertical="center"/>
      <protection locked="0"/>
    </xf>
    <xf numFmtId="37" fontId="30" fillId="0" borderId="296" xfId="5" applyNumberFormat="1" applyFont="1" applyFill="1" applyBorder="1" applyAlignment="1" applyProtection="1">
      <alignment horizontal="right" vertical="center"/>
    </xf>
    <xf numFmtId="37" fontId="30" fillId="0" borderId="297" xfId="5" applyNumberFormat="1" applyFont="1" applyFill="1" applyBorder="1" applyAlignment="1" applyProtection="1">
      <alignment horizontal="right" vertical="center"/>
    </xf>
    <xf numFmtId="37" fontId="30" fillId="0" borderId="334" xfId="3" applyFont="1" applyBorder="1" applyAlignment="1">
      <alignment vertical="center"/>
    </xf>
    <xf numFmtId="37" fontId="30" fillId="0" borderId="335" xfId="5" applyNumberFormat="1" applyFont="1" applyBorder="1" applyAlignment="1" applyProtection="1">
      <alignment vertical="center"/>
      <protection locked="0"/>
    </xf>
    <xf numFmtId="167" fontId="30" fillId="0" borderId="335" xfId="5" applyNumberFormat="1" applyFont="1" applyBorder="1" applyAlignment="1" applyProtection="1">
      <alignment vertical="center"/>
      <protection locked="0"/>
    </xf>
    <xf numFmtId="167" fontId="30" fillId="0" borderId="336" xfId="5" applyNumberFormat="1" applyFont="1" applyBorder="1" applyAlignment="1" applyProtection="1">
      <alignment vertical="center"/>
      <protection locked="0"/>
    </xf>
    <xf numFmtId="37" fontId="30" fillId="0" borderId="337" xfId="5" applyNumberFormat="1" applyFont="1" applyFill="1" applyBorder="1" applyAlignment="1" applyProtection="1">
      <alignment horizontal="right" vertical="center"/>
    </xf>
    <xf numFmtId="37" fontId="30" fillId="0" borderId="338" xfId="5" applyNumberFormat="1" applyFont="1" applyFill="1" applyBorder="1" applyAlignment="1" applyProtection="1">
      <alignment horizontal="right" vertical="center"/>
    </xf>
    <xf numFmtId="37" fontId="19" fillId="0" borderId="339" xfId="3" applyFont="1" applyBorder="1" applyAlignment="1" applyProtection="1">
      <alignment vertical="center"/>
      <protection locked="0"/>
    </xf>
    <xf numFmtId="37" fontId="30" fillId="0" borderId="62" xfId="3" applyFont="1" applyBorder="1" applyAlignment="1">
      <alignment horizontal="center" vertical="center"/>
    </xf>
    <xf numFmtId="37" fontId="31" fillId="0" borderId="138" xfId="3" applyFont="1" applyBorder="1" applyAlignment="1">
      <alignment vertical="center"/>
    </xf>
    <xf numFmtId="37" fontId="30" fillId="0" borderId="139" xfId="3" applyFont="1" applyBorder="1" applyAlignment="1" applyProtection="1">
      <alignment horizontal="center" vertical="center"/>
      <protection locked="0"/>
    </xf>
    <xf numFmtId="37" fontId="19" fillId="0" borderId="139" xfId="3" applyFont="1" applyBorder="1" applyAlignment="1" applyProtection="1">
      <alignment horizontal="center" vertical="center"/>
      <protection locked="0"/>
    </xf>
    <xf numFmtId="0" fontId="28" fillId="0" borderId="139" xfId="15" applyBorder="1" applyAlignment="1" applyProtection="1">
      <alignment vertical="center"/>
      <protection locked="0"/>
    </xf>
    <xf numFmtId="37" fontId="30" fillId="23" borderId="47" xfId="3" applyFont="1" applyFill="1" applyBorder="1" applyAlignment="1">
      <alignment horizontal="center" vertical="center"/>
    </xf>
    <xf numFmtId="37" fontId="30" fillId="23" borderId="281" xfId="3" applyFont="1" applyFill="1" applyBorder="1" applyAlignment="1">
      <alignment horizontal="center" vertical="center"/>
    </xf>
    <xf numFmtId="167" fontId="28" fillId="0" borderId="282" xfId="5" applyNumberFormat="1" applyFont="1" applyFill="1" applyBorder="1" applyAlignment="1" applyProtection="1">
      <alignment horizontal="left" vertical="center"/>
    </xf>
    <xf numFmtId="167" fontId="30" fillId="0" borderId="0" xfId="5" applyNumberFormat="1" applyFont="1" applyFill="1" applyBorder="1" applyAlignment="1" applyProtection="1">
      <alignment horizontal="right" vertical="center"/>
      <protection locked="0"/>
    </xf>
    <xf numFmtId="167" fontId="30" fillId="0" borderId="0" xfId="5" applyNumberFormat="1" applyFont="1" applyFill="1" applyBorder="1" applyAlignment="1" applyProtection="1">
      <alignment vertical="center"/>
      <protection locked="0"/>
    </xf>
    <xf numFmtId="167" fontId="30" fillId="0" borderId="73" xfId="5" applyNumberFormat="1" applyFont="1" applyFill="1" applyBorder="1" applyAlignment="1" applyProtection="1">
      <alignment horizontal="right" vertical="center"/>
    </xf>
    <xf numFmtId="167" fontId="30" fillId="0" borderId="340" xfId="5" applyNumberFormat="1" applyFont="1" applyFill="1" applyBorder="1" applyAlignment="1" applyProtection="1">
      <alignment horizontal="right" vertical="center"/>
    </xf>
    <xf numFmtId="167" fontId="28" fillId="0" borderId="341" xfId="5" applyNumberFormat="1" applyFont="1" applyFill="1" applyBorder="1" applyAlignment="1" applyProtection="1">
      <alignment horizontal="left" vertical="center"/>
    </xf>
    <xf numFmtId="167" fontId="30" fillId="0" borderId="74" xfId="5" applyNumberFormat="1" applyFont="1" applyFill="1" applyBorder="1" applyAlignment="1" applyProtection="1">
      <alignment horizontal="right" vertical="center"/>
    </xf>
    <xf numFmtId="167" fontId="30" fillId="0" borderId="342" xfId="5" applyNumberFormat="1" applyFont="1" applyFill="1" applyBorder="1" applyAlignment="1" applyProtection="1">
      <alignment horizontal="right" vertical="center"/>
    </xf>
    <xf numFmtId="3" fontId="19" fillId="0" borderId="0" xfId="3" applyNumberFormat="1" applyFont="1" applyAlignment="1" applyProtection="1">
      <alignment vertical="center"/>
      <protection locked="0"/>
    </xf>
    <xf numFmtId="167" fontId="30" fillId="0" borderId="74" xfId="3" applyNumberFormat="1" applyFont="1" applyBorder="1" applyAlignment="1">
      <alignment horizontal="right" vertical="center"/>
    </xf>
    <xf numFmtId="167" fontId="30" fillId="0" borderId="342" xfId="3" applyNumberFormat="1" applyFont="1" applyBorder="1" applyAlignment="1">
      <alignment horizontal="right" vertical="center"/>
    </xf>
    <xf numFmtId="37" fontId="28" fillId="0" borderId="342" xfId="3" applyFont="1" applyBorder="1" applyAlignment="1">
      <alignment horizontal="right" vertical="center"/>
    </xf>
    <xf numFmtId="167" fontId="19" fillId="0" borderId="0" xfId="5" applyNumberFormat="1" applyFont="1" applyFill="1" applyBorder="1" applyAlignment="1" applyProtection="1">
      <alignment vertical="center"/>
      <protection locked="0"/>
    </xf>
    <xf numFmtId="167" fontId="28" fillId="0" borderId="343" xfId="5" applyNumberFormat="1" applyFont="1" applyFill="1" applyBorder="1" applyAlignment="1" applyProtection="1">
      <alignment horizontal="left" vertical="center"/>
    </xf>
    <xf numFmtId="167" fontId="30" fillId="0" borderId="76" xfId="5" applyNumberFormat="1" applyFont="1" applyFill="1" applyBorder="1" applyAlignment="1" applyProtection="1">
      <alignment horizontal="right" vertical="center"/>
    </xf>
    <xf numFmtId="167" fontId="30" fillId="0" borderId="344" xfId="5" applyNumberFormat="1" applyFont="1" applyFill="1" applyBorder="1" applyAlignment="1" applyProtection="1">
      <alignment horizontal="right" vertical="center"/>
    </xf>
    <xf numFmtId="167" fontId="31" fillId="0" borderId="0" xfId="5" applyNumberFormat="1" applyFont="1" applyFill="1" applyBorder="1" applyAlignment="1" applyProtection="1">
      <alignment horizontal="left" vertical="center"/>
      <protection locked="0"/>
    </xf>
    <xf numFmtId="167" fontId="28" fillId="0" borderId="141" xfId="5" applyNumberFormat="1" applyFont="1" applyFill="1" applyBorder="1" applyAlignment="1" applyProtection="1">
      <alignment horizontal="left" vertical="center"/>
    </xf>
    <xf numFmtId="167" fontId="19" fillId="0" borderId="16" xfId="5" applyNumberFormat="1" applyFont="1" applyFill="1" applyBorder="1" applyAlignment="1" applyProtection="1">
      <alignment vertical="center"/>
      <protection locked="0"/>
    </xf>
    <xf numFmtId="167" fontId="19" fillId="0" borderId="151" xfId="5" applyNumberFormat="1" applyFont="1" applyFill="1" applyBorder="1" applyAlignment="1" applyProtection="1">
      <alignment vertical="center"/>
      <protection locked="0"/>
    </xf>
    <xf numFmtId="167" fontId="19" fillId="0" borderId="0" xfId="5" applyNumberFormat="1" applyFont="1" applyFill="1" applyAlignment="1" applyProtection="1">
      <alignment vertical="center"/>
      <protection locked="0"/>
    </xf>
    <xf numFmtId="37" fontId="31" fillId="0" borderId="141" xfId="3" applyFont="1" applyBorder="1" applyAlignment="1">
      <alignment vertical="center"/>
    </xf>
    <xf numFmtId="186" fontId="30" fillId="0" borderId="146" xfId="16" applyNumberFormat="1" applyFont="1" applyFill="1" applyBorder="1" applyAlignment="1" applyProtection="1">
      <alignment horizontal="right" vertical="center"/>
    </xf>
    <xf numFmtId="186" fontId="30" fillId="0" borderId="345" xfId="16" applyNumberFormat="1" applyFont="1" applyFill="1" applyBorder="1" applyAlignment="1" applyProtection="1">
      <alignment horizontal="right" vertical="center"/>
    </xf>
    <xf numFmtId="186" fontId="31" fillId="0" borderId="0" xfId="16" applyNumberFormat="1" applyFont="1" applyBorder="1" applyAlignment="1" applyProtection="1">
      <alignment horizontal="left" vertical="center"/>
      <protection locked="0"/>
    </xf>
    <xf numFmtId="186" fontId="30" fillId="0" borderId="0" xfId="16" applyNumberFormat="1" applyFont="1" applyFill="1" applyBorder="1" applyAlignment="1" applyProtection="1">
      <alignment vertical="center"/>
      <protection locked="0"/>
    </xf>
    <xf numFmtId="186" fontId="19" fillId="0" borderId="0" xfId="16" applyNumberFormat="1" applyFont="1" applyFill="1" applyBorder="1" applyAlignment="1" applyProtection="1">
      <alignment vertical="center"/>
      <protection locked="0"/>
    </xf>
    <xf numFmtId="186" fontId="19" fillId="0" borderId="0" xfId="16" applyNumberFormat="1" applyFont="1" applyBorder="1" applyAlignment="1" applyProtection="1">
      <alignment vertical="center"/>
      <protection locked="0"/>
    </xf>
    <xf numFmtId="186" fontId="30" fillId="0" borderId="74" xfId="16" applyNumberFormat="1" applyFont="1" applyFill="1" applyBorder="1" applyAlignment="1" applyProtection="1">
      <alignment horizontal="right" vertical="center"/>
    </xf>
    <xf numFmtId="186" fontId="30" fillId="0" borderId="342" xfId="16" applyNumberFormat="1" applyFont="1" applyFill="1" applyBorder="1" applyAlignment="1" applyProtection="1">
      <alignment horizontal="right" vertical="center"/>
    </xf>
    <xf numFmtId="186" fontId="19" fillId="0" borderId="151" xfId="16" applyNumberFormat="1" applyFont="1" applyBorder="1" applyAlignment="1" applyProtection="1">
      <alignment vertical="center"/>
      <protection locked="0"/>
    </xf>
    <xf numFmtId="186" fontId="19" fillId="0" borderId="0" xfId="16" applyNumberFormat="1" applyFont="1" applyAlignment="1" applyProtection="1">
      <alignment vertical="center"/>
      <protection locked="0"/>
    </xf>
    <xf numFmtId="167" fontId="30" fillId="0" borderId="0" xfId="16" applyNumberFormat="1" applyFont="1" applyFill="1" applyBorder="1" applyAlignment="1" applyProtection="1">
      <alignment vertical="center"/>
      <protection locked="0"/>
    </xf>
    <xf numFmtId="167" fontId="30" fillId="0" borderId="74" xfId="16" applyNumberFormat="1" applyFont="1" applyFill="1" applyBorder="1" applyAlignment="1" applyProtection="1">
      <alignment horizontal="right" vertical="center"/>
    </xf>
    <xf numFmtId="167" fontId="30" fillId="0" borderId="342" xfId="16" applyNumberFormat="1" applyFont="1" applyFill="1" applyBorder="1" applyAlignment="1" applyProtection="1">
      <alignment horizontal="right" vertical="center"/>
    </xf>
    <xf numFmtId="9" fontId="30" fillId="0" borderId="0" xfId="5" applyFont="1" applyFill="1" applyBorder="1" applyAlignment="1" applyProtection="1">
      <alignment horizontal="right" vertical="center"/>
      <protection locked="0"/>
    </xf>
    <xf numFmtId="9" fontId="30" fillId="0" borderId="0" xfId="5" applyFont="1" applyFill="1" applyBorder="1" applyAlignment="1" applyProtection="1">
      <alignment vertical="center"/>
      <protection locked="0"/>
    </xf>
    <xf numFmtId="3" fontId="30" fillId="0" borderId="74" xfId="5" applyNumberFormat="1" applyFont="1" applyFill="1" applyBorder="1" applyAlignment="1" applyProtection="1">
      <alignment horizontal="right" vertical="center"/>
    </xf>
    <xf numFmtId="3" fontId="30" fillId="0" borderId="342" xfId="5" applyNumberFormat="1" applyFont="1" applyFill="1" applyBorder="1" applyAlignment="1" applyProtection="1">
      <alignment horizontal="right" vertical="center"/>
    </xf>
    <xf numFmtId="167" fontId="30" fillId="0" borderId="12" xfId="5" applyNumberFormat="1" applyFont="1" applyFill="1" applyBorder="1" applyAlignment="1" applyProtection="1">
      <alignment vertical="center"/>
      <protection locked="0"/>
    </xf>
    <xf numFmtId="167" fontId="19" fillId="0" borderId="13" xfId="5" applyNumberFormat="1" applyFont="1" applyBorder="1" applyAlignment="1" applyProtection="1">
      <alignment vertical="center"/>
      <protection locked="0"/>
    </xf>
    <xf numFmtId="167" fontId="28" fillId="0" borderId="346" xfId="5" applyNumberFormat="1" applyFont="1" applyFill="1" applyBorder="1" applyAlignment="1" applyProtection="1">
      <alignment horizontal="left" vertical="center"/>
    </xf>
    <xf numFmtId="167" fontId="30" fillId="0" borderId="144" xfId="5" applyNumberFormat="1" applyFont="1" applyFill="1" applyBorder="1" applyAlignment="1" applyProtection="1">
      <alignment vertical="center"/>
      <protection locked="0"/>
    </xf>
    <xf numFmtId="167" fontId="19" fillId="0" borderId="144" xfId="5" applyNumberFormat="1" applyFont="1" applyFill="1" applyBorder="1" applyAlignment="1" applyProtection="1">
      <alignment vertical="center"/>
      <protection locked="0"/>
    </xf>
    <xf numFmtId="167" fontId="30" fillId="0" borderId="347" xfId="5" applyNumberFormat="1" applyFont="1" applyFill="1" applyBorder="1" applyAlignment="1" applyProtection="1">
      <alignment horizontal="right" vertical="center"/>
    </xf>
    <xf numFmtId="167" fontId="30" fillId="0" borderId="348" xfId="5" applyNumberFormat="1" applyFont="1" applyFill="1" applyBorder="1" applyAlignment="1" applyProtection="1">
      <alignment horizontal="right" vertical="center"/>
    </xf>
    <xf numFmtId="37" fontId="19" fillId="0" borderId="349" xfId="3" applyFont="1" applyBorder="1" applyAlignment="1" applyProtection="1">
      <alignment vertical="center"/>
      <protection locked="0"/>
    </xf>
    <xf numFmtId="37" fontId="31" fillId="0" borderId="0" xfId="3" applyFont="1" applyAlignment="1">
      <alignment vertical="center"/>
    </xf>
    <xf numFmtId="0" fontId="30" fillId="0" borderId="62" xfId="15" applyFont="1" applyBorder="1" applyAlignment="1">
      <alignment horizontal="center" vertical="center"/>
    </xf>
    <xf numFmtId="37" fontId="30" fillId="10" borderId="63" xfId="3" applyFont="1" applyFill="1" applyBorder="1" applyAlignment="1" applyProtection="1">
      <alignment horizontal="center" vertical="center"/>
      <protection locked="0"/>
    </xf>
    <xf numFmtId="37" fontId="30" fillId="10" borderId="63" xfId="3" applyFont="1" applyFill="1" applyBorder="1" applyAlignment="1">
      <alignment horizontal="center" vertical="center"/>
    </xf>
    <xf numFmtId="37" fontId="30" fillId="10" borderId="47" xfId="15" applyNumberFormat="1" applyFont="1" applyFill="1" applyBorder="1" applyAlignment="1">
      <alignment horizontal="center" vertical="center"/>
    </xf>
    <xf numFmtId="37" fontId="30" fillId="10" borderId="18" xfId="3" applyFont="1" applyFill="1" applyBorder="1" applyAlignment="1">
      <alignment horizontal="center" vertical="center"/>
    </xf>
    <xf numFmtId="37" fontId="30" fillId="10" borderId="47" xfId="3" applyFont="1" applyFill="1" applyBorder="1" applyAlignment="1">
      <alignment horizontal="center" vertical="center"/>
    </xf>
    <xf numFmtId="37" fontId="30" fillId="10" borderId="281" xfId="3" applyFont="1" applyFill="1" applyBorder="1" applyAlignment="1">
      <alignment horizontal="center" vertical="center"/>
    </xf>
    <xf numFmtId="37" fontId="19" fillId="0" borderId="350" xfId="3" applyFont="1" applyBorder="1" applyAlignment="1">
      <alignment vertical="center"/>
    </xf>
    <xf numFmtId="37" fontId="30" fillId="9" borderId="146" xfId="15" applyNumberFormat="1" applyFont="1" applyFill="1" applyBorder="1" applyAlignment="1" applyProtection="1">
      <alignment horizontal="right" vertical="center"/>
      <protection locked="0"/>
    </xf>
    <xf numFmtId="37" fontId="30" fillId="9" borderId="122" xfId="3" applyFont="1" applyFill="1" applyBorder="1" applyAlignment="1" applyProtection="1">
      <alignment horizontal="right" vertical="center"/>
      <protection locked="0"/>
    </xf>
    <xf numFmtId="37" fontId="30" fillId="9" borderId="345" xfId="3" applyFont="1" applyFill="1" applyBorder="1" applyAlignment="1" applyProtection="1">
      <alignment horizontal="right" vertical="center"/>
      <protection locked="0"/>
    </xf>
    <xf numFmtId="37" fontId="19" fillId="0" borderId="351" xfId="3" applyFont="1" applyBorder="1" applyAlignment="1">
      <alignment vertical="center"/>
    </xf>
    <xf numFmtId="37" fontId="30" fillId="0" borderId="74" xfId="3" applyFont="1" applyBorder="1" applyAlignment="1" applyProtection="1">
      <alignment horizontal="right" vertical="center"/>
      <protection locked="0"/>
    </xf>
    <xf numFmtId="37" fontId="30" fillId="9" borderId="76" xfId="15" applyNumberFormat="1" applyFont="1" applyFill="1" applyBorder="1" applyAlignment="1" applyProtection="1">
      <alignment horizontal="right" vertical="center"/>
      <protection locked="0"/>
    </xf>
    <xf numFmtId="37" fontId="30" fillId="9" borderId="75" xfId="3" applyFont="1" applyFill="1" applyBorder="1" applyAlignment="1" applyProtection="1">
      <alignment horizontal="right" vertical="center"/>
      <protection locked="0"/>
    </xf>
    <xf numFmtId="37" fontId="30" fillId="9" borderId="344" xfId="3" applyFont="1" applyFill="1" applyBorder="1" applyAlignment="1" applyProtection="1">
      <alignment horizontal="right" vertical="center"/>
      <protection locked="0"/>
    </xf>
    <xf numFmtId="37" fontId="19" fillId="0" borderId="352" xfId="3" applyFont="1" applyBorder="1" applyAlignment="1">
      <alignment vertical="center"/>
    </xf>
    <xf numFmtId="37" fontId="30" fillId="0" borderId="284" xfId="3" applyFont="1" applyBorder="1" applyAlignment="1" applyProtection="1">
      <alignment horizontal="right" vertical="center"/>
      <protection locked="0"/>
    </xf>
    <xf numFmtId="37" fontId="19" fillId="0" borderId="144" xfId="3" applyFont="1" applyBorder="1" applyAlignment="1" applyProtection="1">
      <alignment vertical="center"/>
      <protection locked="0"/>
    </xf>
    <xf numFmtId="37" fontId="30" fillId="0" borderId="284" xfId="3" applyFont="1" applyBorder="1" applyAlignment="1">
      <alignment horizontal="right" vertical="center"/>
    </xf>
    <xf numFmtId="37" fontId="19" fillId="0" borderId="144" xfId="3" applyFont="1" applyBorder="1" applyAlignment="1" applyProtection="1">
      <alignment horizontal="center" vertical="center"/>
      <protection locked="0"/>
    </xf>
    <xf numFmtId="0" fontId="28" fillId="0" borderId="144" xfId="15" applyBorder="1" applyAlignment="1" applyProtection="1">
      <alignment vertical="center"/>
      <protection locked="0"/>
    </xf>
    <xf numFmtId="37" fontId="30" fillId="0" borderId="285" xfId="15" applyNumberFormat="1" applyFont="1" applyBorder="1" applyAlignment="1">
      <alignment horizontal="right" vertical="center"/>
    </xf>
    <xf numFmtId="37" fontId="30" fillId="0" borderId="353" xfId="3" applyFont="1" applyBorder="1" applyAlignment="1">
      <alignment horizontal="right" vertical="center"/>
    </xf>
    <xf numFmtId="37" fontId="30" fillId="0" borderId="285" xfId="3" applyFont="1" applyBorder="1" applyAlignment="1">
      <alignment horizontal="right" vertical="center"/>
    </xf>
    <xf numFmtId="37" fontId="30" fillId="0" borderId="286" xfId="3" applyFont="1" applyBorder="1" applyAlignment="1">
      <alignment horizontal="right" vertical="center"/>
    </xf>
    <xf numFmtId="37" fontId="30" fillId="0" borderId="0" xfId="3" applyFont="1" applyAlignment="1" applyProtection="1">
      <alignment horizontal="right" vertical="center"/>
      <protection locked="0"/>
    </xf>
    <xf numFmtId="37" fontId="31" fillId="0" borderId="0" xfId="3" applyFont="1" applyAlignment="1" applyProtection="1">
      <alignment horizontal="right" vertical="center"/>
      <protection locked="0"/>
    </xf>
    <xf numFmtId="37" fontId="30" fillId="0" borderId="0" xfId="15" applyNumberFormat="1" applyFont="1" applyAlignment="1" applyProtection="1">
      <alignment horizontal="right" vertical="center"/>
      <protection locked="0"/>
    </xf>
    <xf numFmtId="37" fontId="31" fillId="10" borderId="47" xfId="3" applyFont="1" applyFill="1" applyBorder="1" applyAlignment="1">
      <alignment horizontal="center" vertical="center"/>
    </xf>
    <xf numFmtId="37" fontId="31" fillId="10" borderId="281" xfId="3" applyFont="1" applyFill="1" applyBorder="1" applyAlignment="1">
      <alignment horizontal="center" vertical="center"/>
    </xf>
    <xf numFmtId="10" fontId="30" fillId="0" borderId="146" xfId="3" applyNumberFormat="1" applyFont="1" applyBorder="1" applyAlignment="1" applyProtection="1">
      <alignment horizontal="right" vertical="center"/>
      <protection locked="0"/>
    </xf>
    <xf numFmtId="10" fontId="30" fillId="0" borderId="146" xfId="3" applyNumberFormat="1" applyFont="1" applyBorder="1" applyAlignment="1">
      <alignment horizontal="right" vertical="center"/>
    </xf>
    <xf numFmtId="10" fontId="30" fillId="0" borderId="146" xfId="15" applyNumberFormat="1" applyFont="1" applyBorder="1" applyAlignment="1">
      <alignment horizontal="right" vertical="center"/>
    </xf>
    <xf numFmtId="10" fontId="30" fillId="0" borderId="345" xfId="3" applyNumberFormat="1" applyFont="1" applyBorder="1" applyAlignment="1">
      <alignment horizontal="right" vertical="center"/>
    </xf>
    <xf numFmtId="10" fontId="30" fillId="0" borderId="74" xfId="3" applyNumberFormat="1" applyFont="1" applyBorder="1" applyAlignment="1" applyProtection="1">
      <alignment horizontal="right" vertical="center"/>
      <protection locked="0"/>
    </xf>
    <xf numFmtId="10" fontId="30" fillId="0" borderId="74" xfId="3" applyNumberFormat="1" applyFont="1" applyBorder="1" applyAlignment="1">
      <alignment horizontal="right" vertical="center"/>
    </xf>
    <xf numFmtId="10" fontId="30" fillId="0" borderId="74" xfId="15" applyNumberFormat="1" applyFont="1" applyBorder="1" applyAlignment="1">
      <alignment horizontal="right" vertical="center"/>
    </xf>
    <xf numFmtId="10" fontId="30" fillId="0" borderId="342" xfId="3" applyNumberFormat="1" applyFont="1" applyBorder="1" applyAlignment="1">
      <alignment horizontal="right" vertical="center"/>
    </xf>
    <xf numFmtId="3" fontId="31" fillId="0" borderId="0" xfId="3" applyNumberFormat="1" applyFont="1" applyAlignment="1" applyProtection="1">
      <alignment horizontal="left" vertical="center"/>
      <protection locked="0"/>
    </xf>
    <xf numFmtId="3" fontId="31" fillId="0" borderId="352" xfId="3" applyNumberFormat="1" applyFont="1" applyBorder="1" applyAlignment="1">
      <alignment vertical="center"/>
    </xf>
    <xf numFmtId="3" fontId="30" fillId="0" borderId="284" xfId="3" applyNumberFormat="1" applyFont="1" applyBorder="1" applyAlignment="1" applyProtection="1">
      <alignment horizontal="right" vertical="center"/>
      <protection locked="0"/>
    </xf>
    <xf numFmtId="3" fontId="19" fillId="0" borderId="144" xfId="3" applyNumberFormat="1" applyFont="1" applyBorder="1" applyAlignment="1" applyProtection="1">
      <alignment vertical="center"/>
      <protection locked="0"/>
    </xf>
    <xf numFmtId="3" fontId="30" fillId="0" borderId="284" xfId="11" applyNumberFormat="1" applyFont="1" applyBorder="1" applyAlignment="1" applyProtection="1">
      <alignment horizontal="right" vertical="center"/>
    </xf>
    <xf numFmtId="3" fontId="19" fillId="0" borderId="144" xfId="3" applyNumberFormat="1" applyFont="1" applyBorder="1" applyAlignment="1" applyProtection="1">
      <alignment horizontal="center" vertical="center"/>
      <protection locked="0"/>
    </xf>
    <xf numFmtId="3" fontId="30" fillId="0" borderId="284" xfId="3" applyNumberFormat="1" applyFont="1" applyBorder="1" applyAlignment="1">
      <alignment horizontal="right" vertical="center"/>
    </xf>
    <xf numFmtId="3" fontId="28" fillId="0" borderId="144" xfId="15" applyNumberFormat="1" applyBorder="1" applyAlignment="1" applyProtection="1">
      <alignment vertical="center"/>
      <protection locked="0"/>
    </xf>
    <xf numFmtId="3" fontId="30" fillId="0" borderId="284" xfId="15" applyNumberFormat="1" applyFont="1" applyBorder="1" applyAlignment="1">
      <alignment horizontal="right" vertical="center"/>
    </xf>
    <xf numFmtId="3" fontId="30" fillId="0" borderId="354" xfId="3" applyNumberFormat="1" applyFont="1" applyBorder="1" applyAlignment="1">
      <alignment horizontal="right" vertical="center"/>
    </xf>
    <xf numFmtId="3" fontId="19" fillId="0" borderId="151" xfId="3" applyNumberFormat="1" applyFont="1" applyBorder="1" applyAlignment="1" applyProtection="1">
      <alignment vertical="center"/>
      <protection locked="0"/>
    </xf>
    <xf numFmtId="3" fontId="28" fillId="0" borderId="0" xfId="15" applyNumberFormat="1" applyProtection="1">
      <protection locked="0"/>
    </xf>
    <xf numFmtId="4" fontId="30" fillId="0" borderId="0" xfId="3" applyNumberFormat="1" applyFont="1" applyAlignment="1" applyProtection="1">
      <alignment horizontal="right" vertical="center"/>
      <protection locked="0"/>
    </xf>
    <xf numFmtId="4" fontId="30" fillId="0" borderId="0" xfId="15" applyNumberFormat="1" applyFont="1" applyAlignment="1" applyProtection="1">
      <alignment horizontal="left" vertical="center"/>
      <protection locked="0"/>
    </xf>
    <xf numFmtId="167" fontId="34" fillId="0" borderId="0" xfId="5" applyNumberFormat="1" applyFont="1" applyFill="1" applyBorder="1" applyAlignment="1" applyProtection="1">
      <alignment horizontal="justify" vertical="center" wrapText="1"/>
    </xf>
    <xf numFmtId="167" fontId="28" fillId="0" borderId="0" xfId="5" applyNumberFormat="1" applyFont="1" applyFill="1" applyBorder="1" applyAlignment="1" applyProtection="1">
      <alignment horizontal="justify" vertical="center" wrapText="1"/>
      <protection locked="0"/>
    </xf>
    <xf numFmtId="4" fontId="30" fillId="0" borderId="0" xfId="5" applyNumberFormat="1" applyFont="1" applyBorder="1" applyAlignment="1" applyProtection="1">
      <alignment vertical="center"/>
      <protection locked="0"/>
    </xf>
    <xf numFmtId="37" fontId="126" fillId="24" borderId="355" xfId="3" applyFont="1" applyFill="1" applyBorder="1" applyAlignment="1">
      <alignment vertical="center"/>
    </xf>
    <xf numFmtId="37" fontId="126" fillId="24" borderId="356" xfId="3" applyFont="1" applyFill="1" applyBorder="1" applyAlignment="1">
      <alignment vertical="center"/>
    </xf>
    <xf numFmtId="37" fontId="25" fillId="24" borderId="357" xfId="3" applyFont="1" applyFill="1" applyBorder="1" applyAlignment="1" applyProtection="1">
      <alignment vertical="center"/>
      <protection locked="0"/>
    </xf>
    <xf numFmtId="37" fontId="25" fillId="24" borderId="358" xfId="3" applyFont="1" applyFill="1" applyBorder="1" applyAlignment="1" applyProtection="1">
      <alignment vertical="center"/>
      <protection locked="0"/>
    </xf>
    <xf numFmtId="167" fontId="19" fillId="0" borderId="0" xfId="5" applyNumberFormat="1" applyFont="1" applyBorder="1" applyAlignment="1" applyProtection="1">
      <alignment vertical="center"/>
    </xf>
    <xf numFmtId="37" fontId="25" fillId="0" borderId="0" xfId="3" applyFont="1" applyAlignment="1" applyProtection="1">
      <alignment vertical="center"/>
      <protection locked="0"/>
    </xf>
    <xf numFmtId="167" fontId="127" fillId="0" borderId="0" xfId="5" applyNumberFormat="1" applyFont="1" applyFill="1" applyBorder="1" applyAlignment="1" applyProtection="1">
      <alignment horizontal="right" vertical="center"/>
      <protection locked="0"/>
    </xf>
    <xf numFmtId="167" fontId="19" fillId="0" borderId="359" xfId="5" applyNumberFormat="1" applyFont="1" applyBorder="1" applyAlignment="1" applyProtection="1">
      <alignment vertical="center"/>
      <protection locked="0"/>
    </xf>
    <xf numFmtId="167" fontId="28" fillId="0" borderId="0" xfId="5" applyNumberFormat="1" applyFont="1" applyFill="1" applyBorder="1" applyAlignment="1" applyProtection="1">
      <alignment horizontal="left" vertical="center"/>
    </xf>
    <xf numFmtId="37" fontId="127" fillId="0" borderId="360" xfId="3" applyFont="1" applyBorder="1" applyAlignment="1">
      <alignment horizontal="center" vertical="center"/>
    </xf>
    <xf numFmtId="37" fontId="127" fillId="0" borderId="361" xfId="3" applyFont="1" applyBorder="1" applyAlignment="1">
      <alignment horizontal="center" vertical="center"/>
    </xf>
    <xf numFmtId="37" fontId="127" fillId="0" borderId="362" xfId="3" applyFont="1" applyBorder="1" applyAlignment="1">
      <alignment horizontal="center" vertical="center"/>
    </xf>
    <xf numFmtId="37" fontId="31" fillId="0" borderId="360" xfId="3" applyFont="1" applyBorder="1" applyAlignment="1">
      <alignment vertical="center"/>
    </xf>
    <xf numFmtId="37" fontId="30" fillId="23" borderId="361" xfId="3" applyFont="1" applyFill="1" applyBorder="1" applyAlignment="1" applyProtection="1">
      <alignment horizontal="center" vertical="center"/>
      <protection locked="0"/>
    </xf>
    <xf numFmtId="37" fontId="19" fillId="0" borderId="363" xfId="3" applyFont="1" applyBorder="1" applyAlignment="1" applyProtection="1">
      <alignment vertical="center"/>
      <protection locked="0"/>
    </xf>
    <xf numFmtId="37" fontId="30" fillId="23" borderId="361" xfId="3" applyFont="1" applyFill="1" applyBorder="1" applyAlignment="1">
      <alignment horizontal="center" vertical="center"/>
    </xf>
    <xf numFmtId="37" fontId="19" fillId="0" borderId="363" xfId="3" applyFont="1" applyBorder="1" applyAlignment="1" applyProtection="1">
      <alignment horizontal="center" vertical="center"/>
      <protection locked="0"/>
    </xf>
    <xf numFmtId="167" fontId="19" fillId="0" borderId="363" xfId="5" applyNumberFormat="1" applyFont="1" applyBorder="1" applyAlignment="1" applyProtection="1">
      <alignment vertical="center"/>
      <protection locked="0"/>
    </xf>
    <xf numFmtId="37" fontId="127" fillId="23" borderId="364" xfId="3" applyFont="1" applyFill="1" applyBorder="1" applyAlignment="1">
      <alignment horizontal="center" vertical="center"/>
    </xf>
    <xf numFmtId="37" fontId="127" fillId="23" borderId="365" xfId="3" applyFont="1" applyFill="1" applyBorder="1" applyAlignment="1">
      <alignment horizontal="center" vertical="center"/>
    </xf>
    <xf numFmtId="167" fontId="28" fillId="0" borderId="366" xfId="5" applyNumberFormat="1" applyFont="1" applyFill="1" applyBorder="1" applyAlignment="1" applyProtection="1">
      <alignment horizontal="left" vertical="center"/>
    </xf>
    <xf numFmtId="167" fontId="30" fillId="0" borderId="367" xfId="5" applyNumberFormat="1" applyFont="1" applyBorder="1" applyAlignment="1" applyProtection="1">
      <alignment horizontal="right" vertical="center"/>
      <protection locked="0"/>
    </xf>
    <xf numFmtId="167" fontId="30" fillId="0" borderId="367" xfId="5" applyNumberFormat="1" applyFont="1" applyBorder="1" applyAlignment="1" applyProtection="1">
      <alignment vertical="center"/>
    </xf>
    <xf numFmtId="167" fontId="127" fillId="9" borderId="368" xfId="5" applyNumberFormat="1" applyFont="1" applyFill="1" applyBorder="1" applyAlignment="1" applyProtection="1">
      <alignment horizontal="right" vertical="center"/>
      <protection locked="0"/>
    </xf>
    <xf numFmtId="167" fontId="127" fillId="9" borderId="369" xfId="5" applyNumberFormat="1" applyFont="1" applyFill="1" applyBorder="1" applyAlignment="1" applyProtection="1">
      <alignment horizontal="right" vertical="center"/>
      <protection locked="0"/>
    </xf>
    <xf numFmtId="167" fontId="28" fillId="0" borderId="370" xfId="5" applyNumberFormat="1" applyFont="1" applyFill="1" applyBorder="1" applyAlignment="1" applyProtection="1">
      <alignment horizontal="left" vertical="center"/>
    </xf>
    <xf numFmtId="167" fontId="30" fillId="0" borderId="371" xfId="5" applyNumberFormat="1" applyFont="1" applyBorder="1" applyAlignment="1" applyProtection="1">
      <alignment vertical="center"/>
      <protection locked="0"/>
    </xf>
    <xf numFmtId="167" fontId="30" fillId="0" borderId="371" xfId="5" applyNumberFormat="1" applyFont="1" applyBorder="1" applyAlignment="1" applyProtection="1">
      <alignment vertical="center"/>
    </xf>
    <xf numFmtId="167" fontId="127" fillId="9" borderId="372" xfId="5" applyNumberFormat="1" applyFont="1" applyFill="1" applyBorder="1" applyAlignment="1" applyProtection="1">
      <alignment horizontal="right" vertical="center"/>
      <protection locked="0"/>
    </xf>
    <xf numFmtId="167" fontId="127" fillId="9" borderId="373" xfId="5" applyNumberFormat="1" applyFont="1" applyFill="1" applyBorder="1" applyAlignment="1" applyProtection="1">
      <alignment horizontal="right" vertical="center"/>
      <protection locked="0"/>
    </xf>
    <xf numFmtId="167" fontId="127" fillId="9" borderId="374" xfId="5" applyNumberFormat="1" applyFont="1" applyFill="1" applyBorder="1" applyAlignment="1" applyProtection="1">
      <alignment horizontal="right" vertical="center"/>
      <protection locked="0"/>
    </xf>
    <xf numFmtId="167" fontId="127" fillId="9" borderId="375" xfId="5"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vertical="center"/>
      <protection locked="0"/>
    </xf>
    <xf numFmtId="3" fontId="30" fillId="0" borderId="371" xfId="5" applyNumberFormat="1" applyFont="1" applyBorder="1" applyAlignment="1" applyProtection="1">
      <alignment vertical="center"/>
    </xf>
    <xf numFmtId="3" fontId="127" fillId="0" borderId="364" xfId="5" applyNumberFormat="1" applyFont="1" applyFill="1" applyBorder="1" applyAlignment="1" applyProtection="1">
      <alignment horizontal="right" vertical="center"/>
    </xf>
    <xf numFmtId="3" fontId="127" fillId="0" borderId="365" xfId="5" applyNumberFormat="1" applyFont="1" applyFill="1" applyBorder="1" applyAlignment="1" applyProtection="1">
      <alignment horizontal="right" vertical="center"/>
    </xf>
    <xf numFmtId="167" fontId="127" fillId="9" borderId="376" xfId="5" applyNumberFormat="1" applyFont="1" applyFill="1" applyBorder="1" applyAlignment="1" applyProtection="1">
      <alignment horizontal="right" vertical="center"/>
      <protection locked="0"/>
    </xf>
    <xf numFmtId="167" fontId="127" fillId="9" borderId="377" xfId="5" applyNumberFormat="1" applyFont="1" applyFill="1" applyBorder="1" applyAlignment="1" applyProtection="1">
      <alignment horizontal="right" vertical="center"/>
      <protection locked="0"/>
    </xf>
    <xf numFmtId="167" fontId="28" fillId="0" borderId="378" xfId="5" applyNumberFormat="1" applyFont="1" applyFill="1" applyBorder="1" applyAlignment="1" applyProtection="1">
      <alignment horizontal="left" vertical="center"/>
    </xf>
    <xf numFmtId="167" fontId="30" fillId="0" borderId="379" xfId="5" applyNumberFormat="1" applyFont="1" applyBorder="1" applyAlignment="1" applyProtection="1">
      <alignment vertical="center"/>
      <protection locked="0"/>
    </xf>
    <xf numFmtId="167" fontId="30" fillId="0" borderId="379" xfId="5" applyNumberFormat="1" applyFont="1" applyBorder="1" applyAlignment="1" applyProtection="1">
      <alignment vertical="center"/>
    </xf>
    <xf numFmtId="167" fontId="127" fillId="9" borderId="380" xfId="5" applyNumberFormat="1" applyFont="1" applyFill="1" applyBorder="1" applyAlignment="1" applyProtection="1">
      <alignment horizontal="right" vertical="center"/>
      <protection locked="0"/>
    </xf>
    <xf numFmtId="167" fontId="127" fillId="9" borderId="381" xfId="5" applyNumberFormat="1" applyFont="1" applyFill="1" applyBorder="1" applyAlignment="1" applyProtection="1">
      <alignment horizontal="right" vertical="center"/>
      <protection locked="0"/>
    </xf>
    <xf numFmtId="167" fontId="28" fillId="0" borderId="382" xfId="5" applyNumberFormat="1" applyFont="1" applyFill="1" applyBorder="1" applyAlignment="1" applyProtection="1">
      <alignment horizontal="left" vertical="center"/>
    </xf>
    <xf numFmtId="167" fontId="30" fillId="0" borderId="383" xfId="5" applyNumberFormat="1" applyFont="1" applyFill="1" applyBorder="1" applyAlignment="1" applyProtection="1">
      <alignment horizontal="right" vertical="center"/>
      <protection locked="0"/>
    </xf>
    <xf numFmtId="167" fontId="19" fillId="0" borderId="383" xfId="5" applyNumberFormat="1" applyFont="1" applyBorder="1" applyAlignment="1" applyProtection="1">
      <alignment vertical="center"/>
      <protection locked="0"/>
    </xf>
    <xf numFmtId="37" fontId="31" fillId="0" borderId="384" xfId="3" applyFont="1" applyBorder="1" applyAlignment="1">
      <alignment vertical="center"/>
    </xf>
    <xf numFmtId="167" fontId="30" fillId="0" borderId="385" xfId="5" applyNumberFormat="1" applyFont="1" applyFill="1" applyBorder="1" applyAlignment="1" applyProtection="1">
      <alignment horizontal="right" vertical="center"/>
      <protection locked="0"/>
    </xf>
    <xf numFmtId="167" fontId="19" fillId="0" borderId="385" xfId="5" applyNumberFormat="1" applyFont="1" applyBorder="1" applyAlignment="1" applyProtection="1">
      <alignment vertical="center"/>
      <protection locked="0"/>
    </xf>
    <xf numFmtId="186" fontId="30" fillId="0" borderId="367" xfId="16" applyNumberFormat="1" applyFont="1" applyBorder="1" applyAlignment="1" applyProtection="1">
      <alignment vertical="center"/>
      <protection locked="0"/>
    </xf>
    <xf numFmtId="186" fontId="30" fillId="0" borderId="367" xfId="16" applyNumberFormat="1" applyFont="1" applyBorder="1" applyAlignment="1" applyProtection="1">
      <alignment vertical="center"/>
    </xf>
    <xf numFmtId="186" fontId="127" fillId="9" borderId="368" xfId="16" applyNumberFormat="1" applyFont="1" applyFill="1" applyBorder="1" applyAlignment="1" applyProtection="1">
      <alignment horizontal="right" vertical="center"/>
      <protection locked="0"/>
    </xf>
    <xf numFmtId="186" fontId="127" fillId="9" borderId="369" xfId="16" applyNumberFormat="1" applyFont="1" applyFill="1" applyBorder="1" applyAlignment="1" applyProtection="1">
      <alignment horizontal="right" vertical="center"/>
      <protection locked="0"/>
    </xf>
    <xf numFmtId="186" fontId="30" fillId="0" borderId="371" xfId="16" applyNumberFormat="1" applyFont="1" applyBorder="1" applyAlignment="1" applyProtection="1">
      <alignment vertical="center"/>
      <protection locked="0"/>
    </xf>
    <xf numFmtId="186" fontId="30" fillId="0" borderId="371" xfId="16" applyNumberFormat="1" applyFont="1" applyBorder="1" applyAlignment="1" applyProtection="1">
      <alignment vertical="center"/>
    </xf>
    <xf numFmtId="186" fontId="127" fillId="9" borderId="372" xfId="16" applyNumberFormat="1" applyFont="1" applyFill="1" applyBorder="1" applyAlignment="1" applyProtection="1">
      <alignment horizontal="right" vertical="center"/>
      <protection locked="0"/>
    </xf>
    <xf numFmtId="186" fontId="127" fillId="9" borderId="373" xfId="16" applyNumberFormat="1" applyFont="1" applyFill="1" applyBorder="1" applyAlignment="1" applyProtection="1">
      <alignment horizontal="right" vertical="center"/>
      <protection locked="0"/>
    </xf>
    <xf numFmtId="167" fontId="30" fillId="0" borderId="371" xfId="16" applyNumberFormat="1" applyFont="1" applyBorder="1" applyAlignment="1" applyProtection="1">
      <alignment vertical="center"/>
      <protection locked="0"/>
    </xf>
    <xf numFmtId="167" fontId="30" fillId="0" borderId="371" xfId="16" applyNumberFormat="1" applyFont="1" applyBorder="1" applyAlignment="1" applyProtection="1">
      <alignment vertical="center"/>
    </xf>
    <xf numFmtId="167" fontId="127" fillId="9" borderId="372" xfId="16" applyNumberFormat="1" applyFont="1" applyFill="1" applyBorder="1" applyAlignment="1" applyProtection="1">
      <alignment horizontal="right" vertical="center"/>
      <protection locked="0"/>
    </xf>
    <xf numFmtId="167" fontId="127" fillId="9" borderId="386" xfId="16" applyNumberFormat="1" applyFont="1" applyFill="1" applyBorder="1" applyAlignment="1" applyProtection="1">
      <alignment horizontal="right" vertical="center"/>
      <protection locked="0"/>
    </xf>
    <xf numFmtId="186" fontId="127" fillId="9" borderId="386" xfId="16"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horizontal="right" vertical="center"/>
      <protection locked="0"/>
    </xf>
    <xf numFmtId="3" fontId="127" fillId="9" borderId="372" xfId="5" applyNumberFormat="1" applyFont="1" applyFill="1" applyBorder="1" applyAlignment="1" applyProtection="1">
      <alignment horizontal="right" vertical="center"/>
      <protection locked="0"/>
    </xf>
    <xf numFmtId="3" fontId="127" fillId="9" borderId="386" xfId="5" applyNumberFormat="1" applyFont="1" applyFill="1" applyBorder="1" applyAlignment="1" applyProtection="1">
      <alignment horizontal="right" vertical="center"/>
      <protection locked="0"/>
    </xf>
    <xf numFmtId="9" fontId="30" fillId="0" borderId="371" xfId="5" applyFont="1" applyBorder="1" applyAlignment="1" applyProtection="1">
      <alignment horizontal="right" vertical="center"/>
      <protection locked="0"/>
    </xf>
    <xf numFmtId="9" fontId="30" fillId="0" borderId="371" xfId="5" applyFont="1" applyBorder="1" applyAlignment="1" applyProtection="1">
      <alignment vertical="center"/>
    </xf>
    <xf numFmtId="167" fontId="127" fillId="9" borderId="386" xfId="5" applyNumberFormat="1" applyFont="1" applyFill="1" applyBorder="1" applyAlignment="1" applyProtection="1">
      <alignment horizontal="right" vertical="center"/>
      <protection locked="0"/>
    </xf>
    <xf numFmtId="167" fontId="30" fillId="0" borderId="371" xfId="5" applyNumberFormat="1" applyFont="1" applyBorder="1" applyAlignment="1" applyProtection="1">
      <alignment horizontal="right" vertical="center"/>
      <protection locked="0"/>
    </xf>
    <xf numFmtId="167" fontId="30" fillId="0" borderId="371" xfId="5" applyNumberFormat="1" applyFont="1" applyBorder="1" applyAlignment="1" applyProtection="1">
      <alignment horizontal="right" vertical="center"/>
    </xf>
    <xf numFmtId="167" fontId="30" fillId="0" borderId="379" xfId="5" applyNumberFormat="1" applyFont="1" applyBorder="1" applyAlignment="1" applyProtection="1">
      <alignment horizontal="right" vertical="center"/>
      <protection locked="0"/>
    </xf>
    <xf numFmtId="167" fontId="127" fillId="9" borderId="387" xfId="5" applyNumberFormat="1" applyFont="1" applyFill="1" applyBorder="1" applyAlignment="1" applyProtection="1">
      <alignment horizontal="right" vertical="center"/>
      <protection locked="0"/>
    </xf>
    <xf numFmtId="37" fontId="19" fillId="0" borderId="382" xfId="3" applyFont="1" applyBorder="1" applyAlignment="1">
      <alignment vertical="center"/>
    </xf>
    <xf numFmtId="37" fontId="19" fillId="0" borderId="388" xfId="3" applyFont="1" applyBorder="1" applyAlignment="1" applyProtection="1">
      <alignment vertical="center"/>
      <protection locked="0"/>
    </xf>
    <xf numFmtId="0" fontId="127" fillId="0" borderId="364" xfId="15" applyFont="1" applyBorder="1" applyAlignment="1">
      <alignment horizontal="center" vertical="center"/>
    </xf>
    <xf numFmtId="37" fontId="127" fillId="0" borderId="364" xfId="3" applyFont="1" applyBorder="1" applyAlignment="1">
      <alignment horizontal="center" vertical="center"/>
    </xf>
    <xf numFmtId="37" fontId="127" fillId="0" borderId="365" xfId="3" applyFont="1" applyBorder="1" applyAlignment="1">
      <alignment horizontal="center" vertical="center"/>
    </xf>
    <xf numFmtId="37" fontId="31" fillId="0" borderId="389" xfId="3" applyFont="1" applyBorder="1" applyAlignment="1">
      <alignment vertical="center"/>
    </xf>
    <xf numFmtId="37" fontId="30" fillId="10" borderId="390" xfId="3" applyFont="1" applyFill="1" applyBorder="1" applyAlignment="1" applyProtection="1">
      <alignment horizontal="center" vertical="center"/>
      <protection locked="0"/>
    </xf>
    <xf numFmtId="37" fontId="30" fillId="10" borderId="390" xfId="3" applyFont="1" applyFill="1" applyBorder="1" applyAlignment="1">
      <alignment horizontal="center" vertical="center"/>
    </xf>
    <xf numFmtId="37" fontId="127" fillId="10" borderId="364" xfId="15" applyNumberFormat="1" applyFont="1" applyFill="1" applyBorder="1" applyAlignment="1">
      <alignment horizontal="center" vertical="center"/>
    </xf>
    <xf numFmtId="37" fontId="127" fillId="10" borderId="364" xfId="3" applyFont="1" applyFill="1" applyBorder="1" applyAlignment="1">
      <alignment horizontal="center" vertical="center"/>
    </xf>
    <xf numFmtId="37" fontId="127" fillId="10" borderId="365" xfId="3" applyFont="1" applyFill="1" applyBorder="1" applyAlignment="1">
      <alignment horizontal="center" vertical="center"/>
    </xf>
    <xf numFmtId="37" fontId="19" fillId="0" borderId="391" xfId="3" applyFont="1" applyBorder="1" applyAlignment="1">
      <alignment vertical="center"/>
    </xf>
    <xf numFmtId="10" fontId="30" fillId="0" borderId="367" xfId="3" applyNumberFormat="1" applyFont="1" applyBorder="1" applyAlignment="1" applyProtection="1">
      <alignment horizontal="right" vertical="center"/>
      <protection locked="0"/>
    </xf>
    <xf numFmtId="10" fontId="30" fillId="0" borderId="367" xfId="3" applyNumberFormat="1" applyFont="1" applyBorder="1" applyAlignment="1">
      <alignment horizontal="right" vertical="center"/>
    </xf>
    <xf numFmtId="10" fontId="127" fillId="9" borderId="368" xfId="15" applyNumberFormat="1" applyFont="1" applyFill="1" applyBorder="1" applyAlignment="1" applyProtection="1">
      <alignment horizontal="right" vertical="center"/>
      <protection locked="0"/>
    </xf>
    <xf numFmtId="10" fontId="127" fillId="9" borderId="368" xfId="3" applyNumberFormat="1" applyFont="1" applyFill="1" applyBorder="1" applyAlignment="1" applyProtection="1">
      <alignment horizontal="right" vertical="center"/>
      <protection locked="0"/>
    </xf>
    <xf numFmtId="10" fontId="127" fillId="9" borderId="369" xfId="3" applyNumberFormat="1" applyFont="1" applyFill="1" applyBorder="1" applyAlignment="1" applyProtection="1">
      <alignment horizontal="right" vertical="center"/>
      <protection locked="0"/>
    </xf>
    <xf numFmtId="37" fontId="19" fillId="0" borderId="392" xfId="3" applyFont="1" applyBorder="1" applyAlignment="1">
      <alignment vertical="center"/>
    </xf>
    <xf numFmtId="10" fontId="30" fillId="0" borderId="371" xfId="3" applyNumberFormat="1" applyFont="1" applyBorder="1" applyAlignment="1" applyProtection="1">
      <alignment horizontal="right" vertical="center"/>
      <protection locked="0"/>
    </xf>
    <xf numFmtId="10" fontId="30" fillId="0" borderId="371" xfId="3" applyNumberFormat="1" applyFont="1" applyBorder="1" applyAlignment="1">
      <alignment horizontal="right" vertical="center"/>
    </xf>
    <xf numFmtId="10" fontId="127" fillId="9" borderId="380" xfId="15" applyNumberFormat="1" applyFont="1" applyFill="1" applyBorder="1" applyAlignment="1" applyProtection="1">
      <alignment horizontal="right" vertical="center"/>
      <protection locked="0"/>
    </xf>
    <xf numFmtId="10" fontId="127" fillId="9" borderId="380" xfId="3" applyNumberFormat="1" applyFont="1" applyFill="1" applyBorder="1" applyAlignment="1" applyProtection="1">
      <alignment horizontal="right" vertical="center"/>
      <protection locked="0"/>
    </xf>
    <xf numFmtId="10" fontId="127" fillId="9" borderId="372" xfId="3" applyNumberFormat="1" applyFont="1" applyFill="1" applyBorder="1" applyAlignment="1" applyProtection="1">
      <alignment horizontal="right" vertical="center"/>
      <protection locked="0"/>
    </xf>
    <xf numFmtId="10" fontId="127" fillId="9" borderId="373" xfId="3" applyNumberFormat="1" applyFont="1" applyFill="1" applyBorder="1" applyAlignment="1" applyProtection="1">
      <alignment horizontal="right" vertical="center"/>
      <protection locked="0"/>
    </xf>
    <xf numFmtId="10" fontId="127" fillId="0" borderId="364" xfId="15" applyNumberFormat="1" applyFont="1" applyBorder="1" applyAlignment="1">
      <alignment horizontal="right" vertical="center"/>
    </xf>
    <xf numFmtId="10" fontId="127" fillId="0" borderId="364" xfId="3" applyNumberFormat="1" applyFont="1" applyBorder="1" applyAlignment="1">
      <alignment horizontal="right" vertical="center"/>
    </xf>
    <xf numFmtId="10" fontId="127" fillId="9" borderId="381" xfId="3" applyNumberFormat="1" applyFont="1" applyFill="1" applyBorder="1" applyAlignment="1" applyProtection="1">
      <alignment horizontal="right" vertical="center"/>
      <protection locked="0"/>
    </xf>
    <xf numFmtId="37" fontId="19" fillId="0" borderId="393" xfId="3" applyFont="1" applyBorder="1" applyAlignment="1">
      <alignment vertical="center"/>
    </xf>
    <xf numFmtId="4" fontId="30" fillId="0" borderId="394" xfId="3" applyNumberFormat="1" applyFont="1" applyBorder="1" applyAlignment="1" applyProtection="1">
      <alignment horizontal="right" vertical="center"/>
      <protection locked="0"/>
    </xf>
    <xf numFmtId="37" fontId="19" fillId="0" borderId="359" xfId="3" applyFont="1" applyBorder="1" applyAlignment="1" applyProtection="1">
      <alignment vertical="center"/>
      <protection locked="0"/>
    </xf>
    <xf numFmtId="4" fontId="30" fillId="0" borderId="394" xfId="3" applyNumberFormat="1" applyFont="1" applyBorder="1" applyAlignment="1">
      <alignment horizontal="right" vertical="center"/>
    </xf>
    <xf numFmtId="37" fontId="19" fillId="0" borderId="359" xfId="3" applyFont="1" applyBorder="1" applyAlignment="1" applyProtection="1">
      <alignment horizontal="center" vertical="center"/>
      <protection locked="0"/>
    </xf>
    <xf numFmtId="0" fontId="28" fillId="0" borderId="359" xfId="15" applyBorder="1" applyAlignment="1" applyProtection="1">
      <alignment vertical="center"/>
      <protection locked="0"/>
    </xf>
    <xf numFmtId="4" fontId="127" fillId="9" borderId="395" xfId="15" applyNumberFormat="1" applyFont="1" applyFill="1" applyBorder="1" applyAlignment="1" applyProtection="1">
      <alignment horizontal="right" vertical="center"/>
      <protection locked="0"/>
    </xf>
    <xf numFmtId="4" fontId="127" fillId="9" borderId="395" xfId="3" applyNumberFormat="1" applyFont="1" applyFill="1" applyBorder="1" applyAlignment="1" applyProtection="1">
      <alignment horizontal="right" vertical="center"/>
      <protection locked="0"/>
    </xf>
    <xf numFmtId="4" fontId="127" fillId="0" borderId="395" xfId="3" applyNumberFormat="1" applyFont="1" applyBorder="1" applyAlignment="1">
      <alignment horizontal="right" vertical="center"/>
    </xf>
    <xf numFmtId="4" fontId="127" fillId="0" borderId="396" xfId="3" applyNumberFormat="1" applyFont="1" applyBorder="1" applyAlignment="1">
      <alignment horizontal="right" vertical="center"/>
    </xf>
    <xf numFmtId="49" fontId="127" fillId="0" borderId="0" xfId="15" applyNumberFormat="1" applyFont="1" applyAlignment="1" applyProtection="1">
      <alignment horizontal="left" vertical="center"/>
      <protection locked="0"/>
    </xf>
    <xf numFmtId="4" fontId="127" fillId="0" borderId="0" xfId="3" applyNumberFormat="1" applyFont="1" applyAlignment="1" applyProtection="1">
      <alignment horizontal="right" vertical="center"/>
      <protection locked="0"/>
    </xf>
    <xf numFmtId="37" fontId="126" fillId="25" borderId="397" xfId="3" applyFont="1" applyFill="1" applyBorder="1" applyAlignment="1">
      <alignment vertical="center"/>
    </xf>
    <xf numFmtId="37" fontId="126" fillId="25" borderId="398" xfId="3" applyFont="1" applyFill="1" applyBorder="1" applyAlignment="1">
      <alignment vertical="center"/>
    </xf>
    <xf numFmtId="37" fontId="25" fillId="25" borderId="399" xfId="3" applyFont="1" applyFill="1" applyBorder="1" applyAlignment="1" applyProtection="1">
      <alignment vertical="center"/>
      <protection locked="0"/>
    </xf>
    <xf numFmtId="37" fontId="25" fillId="25" borderId="400" xfId="3" applyFont="1" applyFill="1" applyBorder="1" applyAlignment="1" applyProtection="1">
      <alignment vertical="center"/>
      <protection locked="0"/>
    </xf>
    <xf numFmtId="37" fontId="19" fillId="0" borderId="401" xfId="3" applyFont="1" applyBorder="1" applyAlignment="1" applyProtection="1">
      <alignment vertical="center"/>
      <protection locked="0"/>
    </xf>
    <xf numFmtId="37" fontId="128" fillId="0" borderId="402" xfId="3" applyFont="1" applyBorder="1" applyAlignment="1">
      <alignment horizontal="center" vertical="center"/>
    </xf>
    <xf numFmtId="37" fontId="128" fillId="0" borderId="403" xfId="3" applyFont="1" applyBorder="1" applyAlignment="1">
      <alignment horizontal="center" vertical="center"/>
    </xf>
    <xf numFmtId="37" fontId="128" fillId="0" borderId="404" xfId="3" applyFont="1" applyBorder="1" applyAlignment="1">
      <alignment horizontal="center" vertical="center"/>
    </xf>
    <xf numFmtId="37" fontId="31" fillId="0" borderId="402" xfId="3" applyFont="1" applyBorder="1" applyAlignment="1">
      <alignment vertical="center"/>
    </xf>
    <xf numFmtId="37" fontId="30" fillId="23" borderId="403" xfId="3" applyFont="1" applyFill="1" applyBorder="1" applyAlignment="1" applyProtection="1">
      <alignment horizontal="center" vertical="center"/>
      <protection locked="0"/>
    </xf>
    <xf numFmtId="37" fontId="19" fillId="0" borderId="405" xfId="3" applyFont="1" applyBorder="1" applyAlignment="1" applyProtection="1">
      <alignment vertical="center"/>
      <protection locked="0"/>
    </xf>
    <xf numFmtId="37" fontId="30" fillId="23" borderId="403" xfId="3" applyFont="1" applyFill="1" applyBorder="1" applyAlignment="1">
      <alignment horizontal="center" vertical="center"/>
    </xf>
    <xf numFmtId="37" fontId="19" fillId="0" borderId="405" xfId="3" applyFont="1" applyBorder="1" applyAlignment="1" applyProtection="1">
      <alignment horizontal="center" vertical="center"/>
      <protection locked="0"/>
    </xf>
    <xf numFmtId="0" fontId="28" fillId="0" borderId="405" xfId="15" applyBorder="1" applyAlignment="1" applyProtection="1">
      <alignment vertical="center"/>
      <protection locked="0"/>
    </xf>
    <xf numFmtId="0" fontId="128" fillId="10" borderId="406" xfId="15" applyFont="1" applyFill="1" applyBorder="1" applyAlignment="1" applyProtection="1">
      <alignment horizontal="center" vertical="center"/>
      <protection locked="0"/>
    </xf>
    <xf numFmtId="37" fontId="128" fillId="23" borderId="407" xfId="3" applyFont="1" applyFill="1" applyBorder="1" applyAlignment="1">
      <alignment horizontal="center" vertical="center"/>
    </xf>
    <xf numFmtId="37" fontId="128" fillId="23" borderId="408" xfId="3" applyFont="1" applyFill="1" applyBorder="1" applyAlignment="1">
      <alignment horizontal="center" vertical="center"/>
    </xf>
    <xf numFmtId="167" fontId="28" fillId="0" borderId="409" xfId="5" applyNumberFormat="1" applyFont="1" applyFill="1" applyBorder="1" applyAlignment="1" applyProtection="1">
      <alignment horizontal="left" vertical="center"/>
    </xf>
    <xf numFmtId="167" fontId="30" fillId="0" borderId="410" xfId="5" applyNumberFormat="1" applyFont="1" applyBorder="1" applyAlignment="1" applyProtection="1">
      <alignment horizontal="right" vertical="center"/>
      <protection locked="0"/>
    </xf>
    <xf numFmtId="167" fontId="30" fillId="0" borderId="410" xfId="5" applyNumberFormat="1" applyFont="1" applyBorder="1" applyAlignment="1" applyProtection="1">
      <alignment vertical="center"/>
    </xf>
    <xf numFmtId="9" fontId="36" fillId="9" borderId="411" xfId="15" applyNumberFormat="1" applyFont="1" applyFill="1" applyBorder="1" applyAlignment="1" applyProtection="1">
      <alignment horizontal="center" vertical="center"/>
      <protection locked="0"/>
    </xf>
    <xf numFmtId="167" fontId="128" fillId="9" borderId="412" xfId="5" applyNumberFormat="1" applyFont="1" applyFill="1" applyBorder="1" applyAlignment="1" applyProtection="1">
      <alignment horizontal="right" vertical="center"/>
      <protection locked="0"/>
    </xf>
    <xf numFmtId="167" fontId="128" fillId="9" borderId="413" xfId="5" applyNumberFormat="1" applyFont="1" applyFill="1" applyBorder="1" applyAlignment="1" applyProtection="1">
      <alignment horizontal="right" vertical="center"/>
      <protection locked="0"/>
    </xf>
    <xf numFmtId="167" fontId="28" fillId="0" borderId="414" xfId="5" applyNumberFormat="1" applyFont="1" applyFill="1" applyBorder="1" applyAlignment="1" applyProtection="1">
      <alignment horizontal="left" vertical="center"/>
    </xf>
    <xf numFmtId="167" fontId="30" fillId="0" borderId="415" xfId="5" applyNumberFormat="1" applyFont="1" applyBorder="1" applyAlignment="1" applyProtection="1">
      <alignment vertical="center"/>
      <protection locked="0"/>
    </xf>
    <xf numFmtId="167" fontId="30" fillId="0" borderId="415" xfId="5" applyNumberFormat="1" applyFont="1" applyBorder="1" applyAlignment="1" applyProtection="1">
      <alignment vertical="center"/>
    </xf>
    <xf numFmtId="9" fontId="36" fillId="9" borderId="416" xfId="15" applyNumberFormat="1" applyFont="1" applyFill="1" applyBorder="1" applyAlignment="1" applyProtection="1">
      <alignment horizontal="center" vertical="center"/>
      <protection locked="0"/>
    </xf>
    <xf numFmtId="167" fontId="128" fillId="9" borderId="417" xfId="5" applyNumberFormat="1" applyFont="1" applyFill="1" applyBorder="1" applyAlignment="1" applyProtection="1">
      <alignment horizontal="right" vertical="center"/>
      <protection locked="0"/>
    </xf>
    <xf numFmtId="167" fontId="128" fillId="9" borderId="418" xfId="5" applyNumberFormat="1" applyFont="1" applyFill="1" applyBorder="1" applyAlignment="1" applyProtection="1">
      <alignment horizontal="right" vertical="center"/>
      <protection locked="0"/>
    </xf>
    <xf numFmtId="9" fontId="36" fillId="9" borderId="419" xfId="15" applyNumberFormat="1" applyFont="1" applyFill="1" applyBorder="1" applyAlignment="1" applyProtection="1">
      <alignment horizontal="center" vertical="center"/>
      <protection locked="0"/>
    </xf>
    <xf numFmtId="167" fontId="128" fillId="9" borderId="420" xfId="5" applyNumberFormat="1" applyFont="1" applyFill="1" applyBorder="1" applyAlignment="1" applyProtection="1">
      <alignment horizontal="right" vertical="center"/>
      <protection locked="0"/>
    </xf>
    <xf numFmtId="167" fontId="128" fillId="9" borderId="421" xfId="5" applyNumberFormat="1" applyFont="1" applyFill="1" applyBorder="1" applyAlignment="1" applyProtection="1">
      <alignment horizontal="right" vertical="center"/>
      <protection locked="0"/>
    </xf>
    <xf numFmtId="3" fontId="30" fillId="0" borderId="415" xfId="5" applyNumberFormat="1" applyFont="1" applyBorder="1" applyAlignment="1" applyProtection="1">
      <alignment vertical="center"/>
      <protection locked="0"/>
    </xf>
    <xf numFmtId="3" fontId="30" fillId="0" borderId="415" xfId="5" applyNumberFormat="1" applyFont="1" applyBorder="1" applyAlignment="1" applyProtection="1">
      <alignment vertical="center"/>
    </xf>
    <xf numFmtId="9" fontId="36" fillId="0" borderId="422" xfId="15" applyNumberFormat="1" applyFont="1" applyBorder="1" applyAlignment="1" applyProtection="1">
      <alignment horizontal="center" vertical="center"/>
      <protection locked="0"/>
    </xf>
    <xf numFmtId="3" fontId="128" fillId="0" borderId="407" xfId="5" applyNumberFormat="1" applyFont="1" applyFill="1" applyBorder="1" applyAlignment="1" applyProtection="1">
      <alignment horizontal="right" vertical="center"/>
    </xf>
    <xf numFmtId="3" fontId="128" fillId="0" borderId="423" xfId="5" applyNumberFormat="1" applyFont="1" applyFill="1" applyBorder="1" applyAlignment="1" applyProtection="1">
      <alignment horizontal="right" vertical="center"/>
    </xf>
    <xf numFmtId="9" fontId="36" fillId="9" borderId="424" xfId="15" applyNumberFormat="1" applyFont="1" applyFill="1" applyBorder="1" applyAlignment="1" applyProtection="1">
      <alignment horizontal="center" vertical="center"/>
      <protection locked="0"/>
    </xf>
    <xf numFmtId="167" fontId="128" fillId="9" borderId="425" xfId="5" applyNumberFormat="1" applyFont="1" applyFill="1" applyBorder="1" applyAlignment="1" applyProtection="1">
      <alignment horizontal="right" vertical="center"/>
      <protection locked="0"/>
    </xf>
    <xf numFmtId="167" fontId="128" fillId="9" borderId="426" xfId="5" applyNumberFormat="1" applyFont="1" applyFill="1" applyBorder="1" applyAlignment="1" applyProtection="1">
      <alignment horizontal="right" vertical="center"/>
      <protection locked="0"/>
    </xf>
    <xf numFmtId="167" fontId="28" fillId="0" borderId="427" xfId="5" applyNumberFormat="1" applyFont="1" applyFill="1" applyBorder="1" applyAlignment="1" applyProtection="1">
      <alignment horizontal="left" vertical="center"/>
    </xf>
    <xf numFmtId="167" fontId="30" fillId="0" borderId="428" xfId="5" applyNumberFormat="1" applyFont="1" applyBorder="1" applyAlignment="1" applyProtection="1">
      <alignment vertical="center"/>
      <protection locked="0"/>
    </xf>
    <xf numFmtId="167" fontId="30" fillId="0" borderId="428" xfId="5" applyNumberFormat="1" applyFont="1" applyBorder="1" applyAlignment="1" applyProtection="1">
      <alignment vertical="center"/>
    </xf>
    <xf numFmtId="9" fontId="36" fillId="9" borderId="429" xfId="15" applyNumberFormat="1" applyFont="1" applyFill="1" applyBorder="1" applyAlignment="1" applyProtection="1">
      <alignment horizontal="center" vertical="center"/>
      <protection locked="0"/>
    </xf>
    <xf numFmtId="167" fontId="128" fillId="9" borderId="430" xfId="5" applyNumberFormat="1" applyFont="1" applyFill="1" applyBorder="1" applyAlignment="1" applyProtection="1">
      <alignment horizontal="right" vertical="center"/>
      <protection locked="0"/>
    </xf>
    <xf numFmtId="167" fontId="128" fillId="9" borderId="431" xfId="5" applyNumberFormat="1" applyFont="1" applyFill="1" applyBorder="1" applyAlignment="1" applyProtection="1">
      <alignment horizontal="right" vertical="center"/>
      <protection locked="0"/>
    </xf>
    <xf numFmtId="167" fontId="28" fillId="0" borderId="432" xfId="5" applyNumberFormat="1" applyFont="1" applyFill="1" applyBorder="1" applyAlignment="1" applyProtection="1">
      <alignment horizontal="left" vertical="center"/>
    </xf>
    <xf numFmtId="37" fontId="19" fillId="0" borderId="433" xfId="3" applyFont="1" applyBorder="1" applyAlignment="1" applyProtection="1">
      <alignment vertical="center"/>
      <protection locked="0"/>
    </xf>
    <xf numFmtId="37" fontId="31" fillId="0" borderId="434" xfId="3" applyFont="1" applyBorder="1" applyAlignment="1">
      <alignment vertical="center"/>
    </xf>
    <xf numFmtId="37" fontId="19" fillId="0" borderId="435" xfId="3" applyFont="1" applyBorder="1" applyAlignment="1" applyProtection="1">
      <alignment vertical="center"/>
      <protection locked="0"/>
    </xf>
    <xf numFmtId="186" fontId="30" fillId="0" borderId="410" xfId="16" applyNumberFormat="1" applyFont="1" applyBorder="1" applyAlignment="1" applyProtection="1">
      <alignment vertical="center"/>
      <protection locked="0"/>
    </xf>
    <xf numFmtId="186" fontId="30" fillId="0" borderId="410" xfId="16" applyNumberFormat="1" applyFont="1" applyBorder="1" applyAlignment="1" applyProtection="1">
      <alignment vertical="center"/>
    </xf>
    <xf numFmtId="187" fontId="36" fillId="9" borderId="411" xfId="15" applyNumberFormat="1" applyFont="1" applyFill="1" applyBorder="1" applyAlignment="1" applyProtection="1">
      <alignment horizontal="center" vertical="center"/>
      <protection locked="0"/>
    </xf>
    <xf numFmtId="186" fontId="128" fillId="9" borderId="412" xfId="16" applyNumberFormat="1" applyFont="1" applyFill="1" applyBorder="1" applyAlignment="1" applyProtection="1">
      <alignment horizontal="right" vertical="center"/>
      <protection locked="0"/>
    </xf>
    <xf numFmtId="186" fontId="128" fillId="9" borderId="436" xfId="16" applyNumberFormat="1" applyFont="1" applyFill="1" applyBorder="1" applyAlignment="1" applyProtection="1">
      <alignment horizontal="right" vertical="center"/>
      <protection locked="0"/>
    </xf>
    <xf numFmtId="186" fontId="30" fillId="0" borderId="415" xfId="16" applyNumberFormat="1" applyFont="1" applyBorder="1" applyAlignment="1" applyProtection="1">
      <alignment vertical="center"/>
      <protection locked="0"/>
    </xf>
    <xf numFmtId="186" fontId="30" fillId="0" borderId="415" xfId="16" applyNumberFormat="1" applyFont="1" applyBorder="1" applyAlignment="1" applyProtection="1">
      <alignment vertical="center"/>
    </xf>
    <xf numFmtId="187" fontId="36" fillId="9" borderId="416" xfId="15" applyNumberFormat="1" applyFont="1" applyFill="1" applyBorder="1" applyAlignment="1" applyProtection="1">
      <alignment horizontal="center" vertical="center"/>
      <protection locked="0"/>
    </xf>
    <xf numFmtId="186" fontId="128" fillId="9" borderId="417" xfId="16" applyNumberFormat="1" applyFont="1" applyFill="1" applyBorder="1" applyAlignment="1" applyProtection="1">
      <alignment horizontal="right" vertical="center"/>
      <protection locked="0"/>
    </xf>
    <xf numFmtId="186" fontId="128" fillId="9" borderId="437" xfId="16" applyNumberFormat="1" applyFont="1" applyFill="1" applyBorder="1" applyAlignment="1" applyProtection="1">
      <alignment horizontal="right" vertical="center"/>
      <protection locked="0"/>
    </xf>
    <xf numFmtId="167" fontId="30" fillId="0" borderId="415" xfId="16" applyNumberFormat="1" applyFont="1" applyBorder="1" applyAlignment="1" applyProtection="1">
      <alignment vertical="center"/>
      <protection locked="0"/>
    </xf>
    <xf numFmtId="167" fontId="30" fillId="0" borderId="415" xfId="16" applyNumberFormat="1" applyFont="1" applyBorder="1" applyAlignment="1" applyProtection="1">
      <alignment vertical="center"/>
    </xf>
    <xf numFmtId="167" fontId="128" fillId="9" borderId="417" xfId="16" applyNumberFormat="1" applyFont="1" applyFill="1" applyBorder="1" applyAlignment="1" applyProtection="1">
      <alignment horizontal="right" vertical="center"/>
      <protection locked="0"/>
    </xf>
    <xf numFmtId="167" fontId="128" fillId="9" borderId="418" xfId="16" applyNumberFormat="1" applyFont="1" applyFill="1" applyBorder="1" applyAlignment="1" applyProtection="1">
      <alignment horizontal="right" vertical="center"/>
      <protection locked="0"/>
    </xf>
    <xf numFmtId="186" fontId="128" fillId="9" borderId="418" xfId="16" applyNumberFormat="1" applyFont="1" applyFill="1" applyBorder="1" applyAlignment="1" applyProtection="1">
      <alignment horizontal="right" vertical="center"/>
      <protection locked="0"/>
    </xf>
    <xf numFmtId="167" fontId="36" fillId="9" borderId="416" xfId="15" applyNumberFormat="1" applyFont="1" applyFill="1" applyBorder="1" applyAlignment="1" applyProtection="1">
      <alignment horizontal="center" vertical="center"/>
      <protection locked="0"/>
    </xf>
    <xf numFmtId="3" fontId="30" fillId="0" borderId="415" xfId="5" applyNumberFormat="1" applyFont="1" applyBorder="1" applyAlignment="1" applyProtection="1">
      <alignment horizontal="right" vertical="center"/>
      <protection locked="0"/>
    </xf>
    <xf numFmtId="188" fontId="36" fillId="9" borderId="416" xfId="15" applyNumberFormat="1" applyFont="1" applyFill="1" applyBorder="1" applyAlignment="1" applyProtection="1">
      <alignment horizontal="center" vertical="center"/>
      <protection locked="0"/>
    </xf>
    <xf numFmtId="3" fontId="128" fillId="9" borderId="417" xfId="5" applyNumberFormat="1" applyFont="1" applyFill="1" applyBorder="1" applyAlignment="1" applyProtection="1">
      <alignment horizontal="right" vertical="center"/>
      <protection locked="0"/>
    </xf>
    <xf numFmtId="3" fontId="128" fillId="9" borderId="418" xfId="5" applyNumberFormat="1" applyFont="1" applyFill="1" applyBorder="1" applyAlignment="1" applyProtection="1">
      <alignment horizontal="right" vertical="center"/>
      <protection locked="0"/>
    </xf>
    <xf numFmtId="9" fontId="30" fillId="0" borderId="415" xfId="5" applyFont="1" applyBorder="1" applyAlignment="1" applyProtection="1">
      <alignment horizontal="right" vertical="center"/>
      <protection locked="0"/>
    </xf>
    <xf numFmtId="9" fontId="30" fillId="0" borderId="415" xfId="5" applyFont="1" applyBorder="1" applyAlignment="1" applyProtection="1">
      <alignment vertical="center"/>
    </xf>
    <xf numFmtId="167" fontId="30" fillId="0" borderId="415" xfId="5" applyNumberFormat="1" applyFont="1" applyBorder="1" applyAlignment="1" applyProtection="1">
      <alignment horizontal="right" vertical="center"/>
      <protection locked="0"/>
    </xf>
    <xf numFmtId="167" fontId="30" fillId="0" borderId="415" xfId="5" applyNumberFormat="1" applyFont="1" applyBorder="1" applyAlignment="1" applyProtection="1">
      <alignment horizontal="right" vertical="center"/>
    </xf>
    <xf numFmtId="167" fontId="30" fillId="0" borderId="428" xfId="5" applyNumberFormat="1" applyFont="1" applyBorder="1" applyAlignment="1" applyProtection="1">
      <alignment horizontal="right" vertical="center"/>
      <protection locked="0"/>
    </xf>
    <xf numFmtId="37" fontId="19" fillId="0" borderId="432" xfId="3" applyFont="1" applyBorder="1" applyAlignment="1">
      <alignment vertical="center"/>
    </xf>
    <xf numFmtId="37" fontId="19" fillId="0" borderId="422" xfId="3" applyFont="1" applyBorder="1" applyAlignment="1" applyProtection="1">
      <alignment vertical="center"/>
      <protection locked="0"/>
    </xf>
    <xf numFmtId="0" fontId="128" fillId="0" borderId="407" xfId="15" applyFont="1" applyBorder="1" applyAlignment="1">
      <alignment horizontal="center" vertical="center"/>
    </xf>
    <xf numFmtId="37" fontId="128" fillId="0" borderId="407" xfId="3" applyFont="1" applyBorder="1" applyAlignment="1">
      <alignment horizontal="center" vertical="center"/>
    </xf>
    <xf numFmtId="37" fontId="128" fillId="0" borderId="423" xfId="3" applyFont="1" applyBorder="1" applyAlignment="1">
      <alignment horizontal="center" vertical="center"/>
    </xf>
    <xf numFmtId="37" fontId="31" fillId="0" borderId="438" xfId="3" applyFont="1" applyBorder="1" applyAlignment="1">
      <alignment vertical="center"/>
    </xf>
    <xf numFmtId="37" fontId="30" fillId="10" borderId="407" xfId="3" applyFont="1" applyFill="1" applyBorder="1" applyAlignment="1" applyProtection="1">
      <alignment horizontal="center" vertical="center"/>
      <protection locked="0"/>
    </xf>
    <xf numFmtId="37" fontId="30" fillId="10" borderId="407" xfId="3" applyFont="1" applyFill="1" applyBorder="1" applyAlignment="1">
      <alignment horizontal="center" vertical="center"/>
    </xf>
    <xf numFmtId="37" fontId="128" fillId="10" borderId="407" xfId="15" applyNumberFormat="1" applyFont="1" applyFill="1" applyBorder="1" applyAlignment="1">
      <alignment horizontal="center" vertical="center"/>
    </xf>
    <xf numFmtId="37" fontId="128" fillId="10" borderId="407" xfId="3" applyFont="1" applyFill="1" applyBorder="1" applyAlignment="1">
      <alignment horizontal="center" vertical="center"/>
    </xf>
    <xf numFmtId="37" fontId="128" fillId="10" borderId="423" xfId="3" applyFont="1" applyFill="1" applyBorder="1" applyAlignment="1">
      <alignment horizontal="center" vertical="center"/>
    </xf>
    <xf numFmtId="37" fontId="19" fillId="0" borderId="409" xfId="3" applyFont="1" applyBorder="1" applyAlignment="1">
      <alignment vertical="center"/>
    </xf>
    <xf numFmtId="10" fontId="30" fillId="0" borderId="410" xfId="3" applyNumberFormat="1" applyFont="1" applyBorder="1" applyAlignment="1" applyProtection="1">
      <alignment horizontal="right" vertical="center"/>
      <protection locked="0"/>
    </xf>
    <xf numFmtId="10" fontId="30" fillId="0" borderId="410" xfId="3" applyNumberFormat="1" applyFont="1" applyBorder="1" applyAlignment="1">
      <alignment horizontal="right" vertical="center"/>
    </xf>
    <xf numFmtId="10" fontId="128" fillId="9" borderId="412" xfId="15" applyNumberFormat="1" applyFont="1" applyFill="1" applyBorder="1" applyAlignment="1" applyProtection="1">
      <alignment horizontal="right" vertical="center"/>
      <protection locked="0"/>
    </xf>
    <xf numFmtId="10" fontId="128" fillId="9" borderId="412" xfId="3" applyNumberFormat="1" applyFont="1" applyFill="1" applyBorder="1" applyAlignment="1" applyProtection="1">
      <alignment horizontal="right" vertical="center"/>
      <protection locked="0"/>
    </xf>
    <xf numFmtId="10" fontId="128" fillId="9" borderId="413" xfId="3" applyNumberFormat="1" applyFont="1" applyFill="1" applyBorder="1" applyAlignment="1" applyProtection="1">
      <alignment horizontal="right" vertical="center"/>
      <protection locked="0"/>
    </xf>
    <xf numFmtId="37" fontId="19" fillId="0" borderId="414" xfId="3" applyFont="1" applyBorder="1" applyAlignment="1">
      <alignment vertical="center"/>
    </xf>
    <xf numFmtId="10" fontId="30" fillId="0" borderId="415" xfId="3" applyNumberFormat="1" applyFont="1" applyBorder="1" applyAlignment="1" applyProtection="1">
      <alignment horizontal="right" vertical="center"/>
      <protection locked="0"/>
    </xf>
    <xf numFmtId="10" fontId="30" fillId="0" borderId="415" xfId="3" applyNumberFormat="1" applyFont="1" applyBorder="1" applyAlignment="1">
      <alignment horizontal="right" vertical="center"/>
    </xf>
    <xf numFmtId="10" fontId="128" fillId="9" borderId="430" xfId="15" applyNumberFormat="1" applyFont="1" applyFill="1" applyBorder="1" applyAlignment="1" applyProtection="1">
      <alignment horizontal="right" vertical="center"/>
      <protection locked="0"/>
    </xf>
    <xf numFmtId="10" fontId="128" fillId="9" borderId="430" xfId="3" applyNumberFormat="1" applyFont="1" applyFill="1" applyBorder="1" applyAlignment="1" applyProtection="1">
      <alignment horizontal="right" vertical="center"/>
      <protection locked="0"/>
    </xf>
    <xf numFmtId="10" fontId="128" fillId="9" borderId="417" xfId="3" applyNumberFormat="1" applyFont="1" applyFill="1" applyBorder="1" applyAlignment="1" applyProtection="1">
      <alignment horizontal="right" vertical="center"/>
      <protection locked="0"/>
    </xf>
    <xf numFmtId="10" fontId="128" fillId="9" borderId="418" xfId="3" applyNumberFormat="1" applyFont="1" applyFill="1" applyBorder="1" applyAlignment="1" applyProtection="1">
      <alignment horizontal="right" vertical="center"/>
      <protection locked="0"/>
    </xf>
    <xf numFmtId="10" fontId="128" fillId="0" borderId="407" xfId="15" applyNumberFormat="1" applyFont="1" applyBorder="1" applyAlignment="1">
      <alignment horizontal="right" vertical="center"/>
    </xf>
    <xf numFmtId="10" fontId="128" fillId="0" borderId="407" xfId="3" applyNumberFormat="1" applyFont="1" applyBorder="1" applyAlignment="1">
      <alignment horizontal="right" vertical="center"/>
    </xf>
    <xf numFmtId="10" fontId="128" fillId="9" borderId="439" xfId="3" applyNumberFormat="1" applyFont="1" applyFill="1" applyBorder="1" applyAlignment="1" applyProtection="1">
      <alignment horizontal="right" vertical="center"/>
      <protection locked="0"/>
    </xf>
    <xf numFmtId="37" fontId="19" fillId="0" borderId="440" xfId="3" applyFont="1" applyBorder="1" applyAlignment="1">
      <alignment vertical="center"/>
    </xf>
    <xf numFmtId="4" fontId="30" fillId="0" borderId="441" xfId="3" applyNumberFormat="1" applyFont="1" applyBorder="1" applyAlignment="1" applyProtection="1">
      <alignment horizontal="right" vertical="center"/>
      <protection locked="0"/>
    </xf>
    <xf numFmtId="4" fontId="30" fillId="0" borderId="441" xfId="3" applyNumberFormat="1" applyFont="1" applyBorder="1" applyAlignment="1">
      <alignment horizontal="right" vertical="center"/>
    </xf>
    <xf numFmtId="37" fontId="19" fillId="0" borderId="401" xfId="3" applyFont="1" applyBorder="1" applyAlignment="1" applyProtection="1">
      <alignment horizontal="center" vertical="center"/>
      <protection locked="0"/>
    </xf>
    <xf numFmtId="0" fontId="28" fillId="0" borderId="401" xfId="15" applyBorder="1" applyAlignment="1" applyProtection="1">
      <alignment vertical="center"/>
      <protection locked="0"/>
    </xf>
    <xf numFmtId="0" fontId="28" fillId="0" borderId="442" xfId="15" applyBorder="1" applyAlignment="1" applyProtection="1">
      <alignment horizontal="center" vertical="center"/>
      <protection locked="0"/>
    </xf>
    <xf numFmtId="4" fontId="128" fillId="9" borderId="443" xfId="15" applyNumberFormat="1" applyFont="1" applyFill="1" applyBorder="1" applyAlignment="1" applyProtection="1">
      <alignment horizontal="right" vertical="center"/>
      <protection locked="0"/>
    </xf>
    <xf numFmtId="4" fontId="128" fillId="9" borderId="443" xfId="3" applyNumberFormat="1" applyFont="1" applyFill="1" applyBorder="1" applyAlignment="1" applyProtection="1">
      <alignment horizontal="right" vertical="center"/>
      <protection locked="0"/>
    </xf>
    <xf numFmtId="4" fontId="128" fillId="0" borderId="443" xfId="3" applyNumberFormat="1" applyFont="1" applyBorder="1" applyAlignment="1">
      <alignment horizontal="right" vertical="center"/>
    </xf>
    <xf numFmtId="4" fontId="128" fillId="0" borderId="444" xfId="3" applyNumberFormat="1" applyFont="1" applyBorder="1" applyAlignment="1">
      <alignment horizontal="right" vertical="center"/>
    </xf>
    <xf numFmtId="4" fontId="128" fillId="0" borderId="0" xfId="15" applyNumberFormat="1" applyFont="1" applyAlignment="1" applyProtection="1">
      <alignment horizontal="left" vertical="center"/>
      <protection locked="0"/>
    </xf>
    <xf numFmtId="4" fontId="129" fillId="0" borderId="0" xfId="3" applyNumberFormat="1" applyFont="1" applyAlignment="1" applyProtection="1">
      <alignment horizontal="right" vertical="center"/>
      <protection locked="0"/>
    </xf>
    <xf numFmtId="167" fontId="128" fillId="0" borderId="0" xfId="5" applyNumberFormat="1" applyFont="1" applyFill="1" applyBorder="1" applyAlignment="1" applyProtection="1">
      <alignment horizontal="right" vertical="center"/>
      <protection locked="0"/>
    </xf>
    <xf numFmtId="37" fontId="126" fillId="6" borderId="445" xfId="3" applyFont="1" applyFill="1" applyBorder="1" applyAlignment="1">
      <alignment vertical="center"/>
    </xf>
    <xf numFmtId="37" fontId="126" fillId="6" borderId="446" xfId="3" applyFont="1" applyFill="1" applyBorder="1" applyAlignment="1">
      <alignment vertical="center"/>
    </xf>
    <xf numFmtId="37" fontId="25" fillId="6" borderId="447" xfId="3" applyFont="1" applyFill="1" applyBorder="1" applyAlignment="1" applyProtection="1">
      <alignment vertical="center"/>
      <protection locked="0"/>
    </xf>
    <xf numFmtId="37" fontId="25" fillId="6" borderId="448" xfId="3" applyFont="1" applyFill="1" applyBorder="1" applyAlignment="1" applyProtection="1">
      <alignment vertical="center"/>
      <protection locked="0"/>
    </xf>
    <xf numFmtId="37" fontId="19" fillId="0" borderId="449" xfId="3" applyFont="1" applyBorder="1" applyAlignment="1" applyProtection="1">
      <alignment vertical="center"/>
      <protection locked="0"/>
    </xf>
    <xf numFmtId="37" fontId="34" fillId="0" borderId="450" xfId="3" applyFont="1" applyBorder="1" applyAlignment="1">
      <alignment horizontal="center" vertical="center"/>
    </xf>
    <xf numFmtId="37" fontId="34" fillId="0" borderId="451" xfId="3" applyFont="1" applyBorder="1" applyAlignment="1">
      <alignment horizontal="center" vertical="center"/>
    </xf>
    <xf numFmtId="37" fontId="34" fillId="0" borderId="452" xfId="3" applyFont="1" applyBorder="1" applyAlignment="1">
      <alignment horizontal="center" vertical="center"/>
    </xf>
    <xf numFmtId="37" fontId="31" fillId="0" borderId="450" xfId="3" applyFont="1" applyBorder="1" applyAlignment="1">
      <alignment vertical="center"/>
    </xf>
    <xf numFmtId="37" fontId="30" fillId="23" borderId="453" xfId="3" applyFont="1" applyFill="1" applyBorder="1" applyAlignment="1" applyProtection="1">
      <alignment horizontal="center" vertical="center"/>
      <protection locked="0"/>
    </xf>
    <xf numFmtId="37" fontId="19" fillId="0" borderId="454" xfId="3" applyFont="1" applyBorder="1" applyAlignment="1" applyProtection="1">
      <alignment vertical="center"/>
      <protection locked="0"/>
    </xf>
    <xf numFmtId="37" fontId="30" fillId="23" borderId="453" xfId="3" applyFont="1" applyFill="1" applyBorder="1" applyAlignment="1">
      <alignment horizontal="center" vertical="center"/>
    </xf>
    <xf numFmtId="37" fontId="19" fillId="0" borderId="454" xfId="3" applyFont="1" applyBorder="1" applyAlignment="1" applyProtection="1">
      <alignment horizontal="center" vertical="center"/>
      <protection locked="0"/>
    </xf>
    <xf numFmtId="0" fontId="28" fillId="0" borderId="454" xfId="15" applyBorder="1" applyAlignment="1" applyProtection="1">
      <alignment vertical="center"/>
      <protection locked="0"/>
    </xf>
    <xf numFmtId="0" fontId="34" fillId="10" borderId="455" xfId="15" applyFont="1" applyFill="1" applyBorder="1" applyAlignment="1" applyProtection="1">
      <alignment horizontal="center" vertical="center"/>
      <protection locked="0"/>
    </xf>
    <xf numFmtId="37" fontId="34" fillId="23" borderId="456" xfId="3" applyFont="1" applyFill="1" applyBorder="1" applyAlignment="1">
      <alignment horizontal="center" vertical="center"/>
    </xf>
    <xf numFmtId="37" fontId="34" fillId="23" borderId="457" xfId="3" applyFont="1" applyFill="1" applyBorder="1" applyAlignment="1">
      <alignment horizontal="center" vertical="center"/>
    </xf>
    <xf numFmtId="167" fontId="28" fillId="0" borderId="458" xfId="5" applyNumberFormat="1" applyFont="1" applyFill="1" applyBorder="1" applyAlignment="1" applyProtection="1">
      <alignment horizontal="left" vertical="center"/>
    </xf>
    <xf numFmtId="167" fontId="30" fillId="0" borderId="459" xfId="5" applyNumberFormat="1" applyFont="1" applyBorder="1" applyAlignment="1" applyProtection="1">
      <alignment horizontal="right" vertical="center"/>
      <protection locked="0"/>
    </xf>
    <xf numFmtId="167" fontId="30" fillId="0" borderId="459" xfId="5" applyNumberFormat="1" applyFont="1" applyBorder="1" applyAlignment="1" applyProtection="1">
      <alignment vertical="center"/>
    </xf>
    <xf numFmtId="9" fontId="33" fillId="9" borderId="460" xfId="15" applyNumberFormat="1" applyFont="1" applyFill="1" applyBorder="1" applyAlignment="1" applyProtection="1">
      <alignment horizontal="center" vertical="center"/>
      <protection locked="0"/>
    </xf>
    <xf numFmtId="167" fontId="34" fillId="9" borderId="460" xfId="5" applyNumberFormat="1" applyFont="1" applyFill="1" applyBorder="1" applyAlignment="1" applyProtection="1">
      <alignment horizontal="right" vertical="center"/>
      <protection locked="0"/>
    </xf>
    <xf numFmtId="167" fontId="34" fillId="9" borderId="461" xfId="5" applyNumberFormat="1" applyFont="1" applyFill="1" applyBorder="1" applyAlignment="1" applyProtection="1">
      <alignment horizontal="right" vertical="center"/>
      <protection locked="0"/>
    </xf>
    <xf numFmtId="167" fontId="28" fillId="0" borderId="462" xfId="5" applyNumberFormat="1" applyFont="1" applyFill="1" applyBorder="1" applyAlignment="1" applyProtection="1">
      <alignment horizontal="left" vertical="center"/>
    </xf>
    <xf numFmtId="167" fontId="30" fillId="0" borderId="463" xfId="5" applyNumberFormat="1" applyFont="1" applyBorder="1" applyAlignment="1" applyProtection="1">
      <alignment vertical="center"/>
      <protection locked="0"/>
    </xf>
    <xf numFmtId="167" fontId="30" fillId="0" borderId="463" xfId="5" applyNumberFormat="1" applyFont="1" applyBorder="1" applyAlignment="1" applyProtection="1">
      <alignment vertical="center"/>
    </xf>
    <xf numFmtId="9" fontId="33" fillId="9" borderId="464" xfId="15" applyNumberFormat="1" applyFont="1" applyFill="1" applyBorder="1" applyAlignment="1" applyProtection="1">
      <alignment horizontal="center" vertical="center"/>
      <protection locked="0"/>
    </xf>
    <xf numFmtId="167" fontId="34" fillId="9" borderId="464" xfId="5" applyNumberFormat="1" applyFont="1" applyFill="1" applyBorder="1" applyAlignment="1" applyProtection="1">
      <alignment horizontal="right" vertical="center"/>
      <protection locked="0"/>
    </xf>
    <xf numFmtId="167" fontId="34" fillId="9" borderId="465" xfId="5" applyNumberFormat="1" applyFont="1" applyFill="1" applyBorder="1" applyAlignment="1" applyProtection="1">
      <alignment horizontal="right" vertical="center"/>
      <protection locked="0"/>
    </xf>
    <xf numFmtId="9" fontId="33" fillId="9" borderId="466" xfId="15" applyNumberFormat="1" applyFont="1" applyFill="1" applyBorder="1" applyAlignment="1" applyProtection="1">
      <alignment horizontal="center" vertical="center"/>
      <protection locked="0"/>
    </xf>
    <xf numFmtId="167" fontId="34" fillId="9" borderId="466" xfId="5" applyNumberFormat="1" applyFont="1" applyFill="1" applyBorder="1" applyAlignment="1" applyProtection="1">
      <alignment horizontal="right" vertical="center"/>
      <protection locked="0"/>
    </xf>
    <xf numFmtId="167" fontId="34" fillId="9" borderId="467" xfId="5" applyNumberFormat="1" applyFont="1" applyFill="1" applyBorder="1" applyAlignment="1" applyProtection="1">
      <alignment horizontal="right" vertical="center"/>
      <protection locked="0"/>
    </xf>
    <xf numFmtId="3" fontId="30" fillId="0" borderId="463" xfId="5" applyNumberFormat="1" applyFont="1" applyBorder="1" applyAlignment="1" applyProtection="1">
      <alignment vertical="center"/>
      <protection locked="0"/>
    </xf>
    <xf numFmtId="3" fontId="30" fillId="0" borderId="463" xfId="5" applyNumberFormat="1" applyFont="1" applyBorder="1" applyAlignment="1" applyProtection="1">
      <alignment vertical="center"/>
    </xf>
    <xf numFmtId="9" fontId="33" fillId="0" borderId="468" xfId="15" applyNumberFormat="1" applyFont="1" applyBorder="1" applyAlignment="1" applyProtection="1">
      <alignment horizontal="center" vertical="center"/>
      <protection locked="0"/>
    </xf>
    <xf numFmtId="3" fontId="34" fillId="0" borderId="469" xfId="5" applyNumberFormat="1" applyFont="1" applyFill="1" applyBorder="1" applyAlignment="1" applyProtection="1">
      <alignment horizontal="right" vertical="center"/>
    </xf>
    <xf numFmtId="3" fontId="34" fillId="0" borderId="470" xfId="5" applyNumberFormat="1" applyFont="1" applyFill="1" applyBorder="1" applyAlignment="1" applyProtection="1">
      <alignment horizontal="right" vertical="center"/>
    </xf>
    <xf numFmtId="9" fontId="33" fillId="9" borderId="471" xfId="15" applyNumberFormat="1" applyFont="1" applyFill="1" applyBorder="1" applyAlignment="1" applyProtection="1">
      <alignment horizontal="center" vertical="center"/>
      <protection locked="0"/>
    </xf>
    <xf numFmtId="167" fontId="34" fillId="9" borderId="471" xfId="5" applyNumberFormat="1" applyFont="1" applyFill="1" applyBorder="1" applyAlignment="1" applyProtection="1">
      <alignment horizontal="right" vertical="center"/>
      <protection locked="0"/>
    </xf>
    <xf numFmtId="167" fontId="34" fillId="9" borderId="472" xfId="5" applyNumberFormat="1" applyFont="1" applyFill="1" applyBorder="1" applyAlignment="1" applyProtection="1">
      <alignment horizontal="right" vertical="center"/>
      <protection locked="0"/>
    </xf>
    <xf numFmtId="167" fontId="28" fillId="0" borderId="473" xfId="5" applyNumberFormat="1" applyFont="1" applyFill="1" applyBorder="1" applyAlignment="1" applyProtection="1">
      <alignment horizontal="left" vertical="center"/>
    </xf>
    <xf numFmtId="167" fontId="30" fillId="0" borderId="474" xfId="5" applyNumberFormat="1" applyFont="1" applyBorder="1" applyAlignment="1" applyProtection="1">
      <alignment vertical="center"/>
      <protection locked="0"/>
    </xf>
    <xf numFmtId="167" fontId="30" fillId="0" borderId="474" xfId="5" applyNumberFormat="1" applyFont="1" applyBorder="1" applyAlignment="1" applyProtection="1">
      <alignment vertical="center"/>
    </xf>
    <xf numFmtId="9" fontId="33" fillId="9" borderId="475" xfId="15" applyNumberFormat="1" applyFont="1" applyFill="1" applyBorder="1" applyAlignment="1" applyProtection="1">
      <alignment horizontal="center" vertical="center"/>
      <protection locked="0"/>
    </xf>
    <xf numFmtId="167" fontId="34" fillId="9" borderId="475" xfId="5" applyNumberFormat="1" applyFont="1" applyFill="1" applyBorder="1" applyAlignment="1" applyProtection="1">
      <alignment horizontal="right" vertical="center"/>
      <protection locked="0"/>
    </xf>
    <xf numFmtId="167" fontId="34" fillId="9" borderId="476" xfId="5" applyNumberFormat="1" applyFont="1" applyFill="1" applyBorder="1" applyAlignment="1" applyProtection="1">
      <alignment horizontal="right" vertical="center"/>
      <protection locked="0"/>
    </xf>
    <xf numFmtId="167" fontId="28" fillId="0" borderId="477" xfId="5" applyNumberFormat="1" applyFont="1" applyFill="1" applyBorder="1" applyAlignment="1" applyProtection="1">
      <alignment horizontal="left" vertical="center"/>
    </xf>
    <xf numFmtId="37" fontId="19" fillId="0" borderId="478" xfId="3" applyFont="1" applyBorder="1" applyAlignment="1" applyProtection="1">
      <alignment vertical="center"/>
      <protection locked="0"/>
    </xf>
    <xf numFmtId="37" fontId="31" fillId="0" borderId="479" xfId="3" applyFont="1" applyBorder="1" applyAlignment="1">
      <alignment vertical="center"/>
    </xf>
    <xf numFmtId="37" fontId="19" fillId="0" borderId="480" xfId="3" applyFont="1" applyBorder="1" applyAlignment="1" applyProtection="1">
      <alignment vertical="center"/>
      <protection locked="0"/>
    </xf>
    <xf numFmtId="186" fontId="30" fillId="0" borderId="459" xfId="16" applyNumberFormat="1" applyFont="1" applyBorder="1" applyAlignment="1" applyProtection="1">
      <alignment vertical="center"/>
      <protection locked="0"/>
    </xf>
    <xf numFmtId="186" fontId="30" fillId="0" borderId="459" xfId="16" applyNumberFormat="1" applyFont="1" applyBorder="1" applyAlignment="1" applyProtection="1">
      <alignment vertical="center"/>
    </xf>
    <xf numFmtId="187" fontId="33" fillId="9" borderId="460" xfId="15" applyNumberFormat="1" applyFont="1" applyFill="1" applyBorder="1" applyAlignment="1" applyProtection="1">
      <alignment horizontal="center" vertical="center"/>
      <protection locked="0"/>
    </xf>
    <xf numFmtId="186" fontId="34" fillId="9" borderId="460" xfId="16" applyNumberFormat="1" applyFont="1" applyFill="1" applyBorder="1" applyAlignment="1" applyProtection="1">
      <alignment horizontal="right" vertical="center"/>
      <protection locked="0"/>
    </xf>
    <xf numFmtId="186" fontId="34" fillId="9" borderId="461" xfId="16" applyNumberFormat="1" applyFont="1" applyFill="1" applyBorder="1" applyAlignment="1" applyProtection="1">
      <alignment horizontal="right" vertical="center"/>
      <protection locked="0"/>
    </xf>
    <xf numFmtId="186" fontId="30" fillId="0" borderId="463" xfId="16" applyNumberFormat="1" applyFont="1" applyBorder="1" applyAlignment="1" applyProtection="1">
      <alignment vertical="center"/>
      <protection locked="0"/>
    </xf>
    <xf numFmtId="186" fontId="30" fillId="0" borderId="463" xfId="16" applyNumberFormat="1" applyFont="1" applyBorder="1" applyAlignment="1" applyProtection="1">
      <alignment vertical="center"/>
    </xf>
    <xf numFmtId="187" fontId="33" fillId="9" borderId="464" xfId="15" applyNumberFormat="1" applyFont="1" applyFill="1" applyBorder="1" applyAlignment="1" applyProtection="1">
      <alignment horizontal="center" vertical="center"/>
      <protection locked="0"/>
    </xf>
    <xf numFmtId="186" fontId="34" fillId="9" borderId="464" xfId="16" applyNumberFormat="1" applyFont="1" applyFill="1" applyBorder="1" applyAlignment="1" applyProtection="1">
      <alignment horizontal="right" vertical="center"/>
      <protection locked="0"/>
    </xf>
    <xf numFmtId="186" fontId="34" fillId="9" borderId="465" xfId="16" applyNumberFormat="1" applyFont="1" applyFill="1" applyBorder="1" applyAlignment="1" applyProtection="1">
      <alignment horizontal="right" vertical="center"/>
      <protection locked="0"/>
    </xf>
    <xf numFmtId="167" fontId="30" fillId="0" borderId="463" xfId="16" applyNumberFormat="1" applyFont="1" applyBorder="1" applyAlignment="1" applyProtection="1">
      <alignment vertical="center"/>
      <protection locked="0"/>
    </xf>
    <xf numFmtId="167" fontId="30" fillId="0" borderId="463" xfId="16" applyNumberFormat="1" applyFont="1" applyBorder="1" applyAlignment="1" applyProtection="1">
      <alignment vertical="center"/>
    </xf>
    <xf numFmtId="167" fontId="34" fillId="9" borderId="464" xfId="16" applyNumberFormat="1" applyFont="1" applyFill="1" applyBorder="1" applyAlignment="1" applyProtection="1">
      <alignment horizontal="right" vertical="center"/>
      <protection locked="0"/>
    </xf>
    <xf numFmtId="167" fontId="34" fillId="9" borderId="465" xfId="16" applyNumberFormat="1" applyFont="1" applyFill="1" applyBorder="1" applyAlignment="1" applyProtection="1">
      <alignment horizontal="right" vertical="center"/>
      <protection locked="0"/>
    </xf>
    <xf numFmtId="167" fontId="33" fillId="9" borderId="464" xfId="15" applyNumberFormat="1" applyFont="1" applyFill="1" applyBorder="1" applyAlignment="1" applyProtection="1">
      <alignment horizontal="center" vertical="center"/>
      <protection locked="0"/>
    </xf>
    <xf numFmtId="3" fontId="30" fillId="0" borderId="463" xfId="5" applyNumberFormat="1" applyFont="1" applyBorder="1" applyAlignment="1" applyProtection="1">
      <alignment horizontal="right" vertical="center"/>
      <protection locked="0"/>
    </xf>
    <xf numFmtId="188" fontId="33" fillId="9" borderId="464" xfId="15" applyNumberFormat="1" applyFont="1" applyFill="1" applyBorder="1" applyAlignment="1" applyProtection="1">
      <alignment horizontal="center" vertical="center"/>
      <protection locked="0"/>
    </xf>
    <xf numFmtId="3" fontId="34" fillId="9" borderId="464" xfId="5" applyNumberFormat="1" applyFont="1" applyFill="1" applyBorder="1" applyAlignment="1" applyProtection="1">
      <alignment horizontal="right" vertical="center"/>
      <protection locked="0"/>
    </xf>
    <xf numFmtId="3" fontId="34" fillId="9" borderId="465" xfId="5" applyNumberFormat="1" applyFont="1" applyFill="1" applyBorder="1" applyAlignment="1" applyProtection="1">
      <alignment horizontal="right" vertical="center"/>
      <protection locked="0"/>
    </xf>
    <xf numFmtId="9" fontId="30" fillId="0" borderId="463" xfId="5" applyFont="1" applyBorder="1" applyAlignment="1" applyProtection="1">
      <alignment horizontal="right" vertical="center"/>
      <protection locked="0"/>
    </xf>
    <xf numFmtId="9" fontId="30" fillId="0" borderId="463" xfId="5" applyFont="1" applyBorder="1" applyAlignment="1" applyProtection="1">
      <alignment vertical="center"/>
    </xf>
    <xf numFmtId="167" fontId="30" fillId="0" borderId="463" xfId="5" applyNumberFormat="1" applyFont="1" applyBorder="1" applyAlignment="1" applyProtection="1">
      <alignment horizontal="right" vertical="center"/>
      <protection locked="0"/>
    </xf>
    <xf numFmtId="167" fontId="30" fillId="0" borderId="463" xfId="5" applyNumberFormat="1" applyFont="1" applyBorder="1" applyAlignment="1" applyProtection="1">
      <alignment horizontal="right" vertical="center"/>
    </xf>
    <xf numFmtId="167" fontId="30" fillId="0" borderId="474" xfId="5" applyNumberFormat="1" applyFont="1" applyBorder="1" applyAlignment="1" applyProtection="1">
      <alignment horizontal="right" vertical="center"/>
      <protection locked="0"/>
    </xf>
    <xf numFmtId="37" fontId="19" fillId="0" borderId="477" xfId="3" applyFont="1" applyBorder="1" applyAlignment="1">
      <alignment vertical="center"/>
    </xf>
    <xf numFmtId="37" fontId="19" fillId="0" borderId="481" xfId="3" applyFont="1" applyBorder="1" applyAlignment="1" applyProtection="1">
      <alignment vertical="center"/>
      <protection locked="0"/>
    </xf>
    <xf numFmtId="0" fontId="34" fillId="0" borderId="469" xfId="15" applyFont="1" applyBorder="1" applyAlignment="1" applyProtection="1">
      <alignment horizontal="center" vertical="center"/>
      <protection locked="0"/>
    </xf>
    <xf numFmtId="37" fontId="34" fillId="0" borderId="469" xfId="3" applyFont="1" applyBorder="1" applyAlignment="1" applyProtection="1">
      <alignment horizontal="center" vertical="center"/>
      <protection locked="0"/>
    </xf>
    <xf numFmtId="37" fontId="34" fillId="0" borderId="470" xfId="3" applyFont="1" applyBorder="1" applyAlignment="1" applyProtection="1">
      <alignment horizontal="center" vertical="center"/>
      <protection locked="0"/>
    </xf>
    <xf numFmtId="37" fontId="31" fillId="0" borderId="482" xfId="3" applyFont="1" applyBorder="1" applyAlignment="1">
      <alignment vertical="center"/>
    </xf>
    <xf numFmtId="37" fontId="30" fillId="10" borderId="469" xfId="3" applyFont="1" applyFill="1" applyBorder="1" applyAlignment="1" applyProtection="1">
      <alignment horizontal="center" vertical="center"/>
      <protection locked="0"/>
    </xf>
    <xf numFmtId="37" fontId="30" fillId="10" borderId="469" xfId="3" applyFont="1" applyFill="1" applyBorder="1" applyAlignment="1">
      <alignment horizontal="center" vertical="center"/>
    </xf>
    <xf numFmtId="37" fontId="34" fillId="10" borderId="469" xfId="15" applyNumberFormat="1" applyFont="1" applyFill="1" applyBorder="1" applyAlignment="1">
      <alignment horizontal="center" vertical="center"/>
    </xf>
    <xf numFmtId="37" fontId="34" fillId="10" borderId="469" xfId="3" applyFont="1" applyFill="1" applyBorder="1" applyAlignment="1">
      <alignment horizontal="center" vertical="center"/>
    </xf>
    <xf numFmtId="37" fontId="34" fillId="10" borderId="470" xfId="3" applyFont="1" applyFill="1" applyBorder="1" applyAlignment="1">
      <alignment horizontal="center" vertical="center"/>
    </xf>
    <xf numFmtId="37" fontId="19" fillId="0" borderId="483" xfId="3" applyFont="1" applyBorder="1" applyAlignment="1">
      <alignment vertical="center"/>
    </xf>
    <xf numFmtId="10" fontId="30" fillId="0" borderId="459" xfId="3" applyNumberFormat="1" applyFont="1" applyBorder="1" applyAlignment="1" applyProtection="1">
      <alignment horizontal="right" vertical="center"/>
      <protection locked="0"/>
    </xf>
    <xf numFmtId="10" fontId="30" fillId="0" borderId="459" xfId="3" applyNumberFormat="1" applyFont="1" applyBorder="1" applyAlignment="1">
      <alignment horizontal="right" vertical="center"/>
    </xf>
    <xf numFmtId="10" fontId="34" fillId="9" borderId="460" xfId="15" applyNumberFormat="1" applyFont="1" applyFill="1" applyBorder="1" applyAlignment="1" applyProtection="1">
      <alignment horizontal="right" vertical="center"/>
      <protection locked="0"/>
    </xf>
    <xf numFmtId="10" fontId="34" fillId="9" borderId="460" xfId="3" applyNumberFormat="1" applyFont="1" applyFill="1" applyBorder="1" applyAlignment="1" applyProtection="1">
      <alignment horizontal="right" vertical="center"/>
      <protection locked="0"/>
    </xf>
    <xf numFmtId="10" fontId="34" fillId="9" borderId="461" xfId="3" applyNumberFormat="1" applyFont="1" applyFill="1" applyBorder="1" applyAlignment="1" applyProtection="1">
      <alignment horizontal="right" vertical="center"/>
      <protection locked="0"/>
    </xf>
    <xf numFmtId="37" fontId="19" fillId="0" borderId="484" xfId="3" applyFont="1" applyBorder="1" applyAlignment="1">
      <alignment vertical="center"/>
    </xf>
    <xf numFmtId="10" fontId="30" fillId="0" borderId="463" xfId="3" applyNumberFormat="1" applyFont="1" applyBorder="1" applyAlignment="1" applyProtection="1">
      <alignment horizontal="right" vertical="center"/>
      <protection locked="0"/>
    </xf>
    <xf numFmtId="10" fontId="30" fillId="0" borderId="463" xfId="3" applyNumberFormat="1" applyFont="1" applyBorder="1" applyAlignment="1">
      <alignment horizontal="right" vertical="center"/>
    </xf>
    <xf numFmtId="10" fontId="34" fillId="9" borderId="475" xfId="15" applyNumberFormat="1" applyFont="1" applyFill="1" applyBorder="1" applyAlignment="1" applyProtection="1">
      <alignment horizontal="right" vertical="center"/>
      <protection locked="0"/>
    </xf>
    <xf numFmtId="10" fontId="34" fillId="9" borderId="475" xfId="3" applyNumberFormat="1" applyFont="1" applyFill="1" applyBorder="1" applyAlignment="1" applyProtection="1">
      <alignment horizontal="right" vertical="center"/>
      <protection locked="0"/>
    </xf>
    <xf numFmtId="10" fontId="34" fillId="9" borderId="464" xfId="3" applyNumberFormat="1" applyFont="1" applyFill="1" applyBorder="1" applyAlignment="1" applyProtection="1">
      <alignment horizontal="right" vertical="center"/>
      <protection locked="0"/>
    </xf>
    <xf numFmtId="10" fontId="34" fillId="9" borderId="465" xfId="3" applyNumberFormat="1" applyFont="1" applyFill="1" applyBorder="1" applyAlignment="1" applyProtection="1">
      <alignment horizontal="right" vertical="center"/>
      <protection locked="0"/>
    </xf>
    <xf numFmtId="10" fontId="34" fillId="0" borderId="485" xfId="15" applyNumberFormat="1" applyFont="1" applyBorder="1" applyAlignment="1">
      <alignment horizontal="right" vertical="center"/>
    </xf>
    <xf numFmtId="10" fontId="34" fillId="0" borderId="485" xfId="3" applyNumberFormat="1" applyFont="1" applyBorder="1" applyAlignment="1">
      <alignment horizontal="right" vertical="center"/>
    </xf>
    <xf numFmtId="10" fontId="34" fillId="9" borderId="476" xfId="3" applyNumberFormat="1" applyFont="1" applyFill="1" applyBorder="1" applyAlignment="1" applyProtection="1">
      <alignment horizontal="right" vertical="center"/>
      <protection locked="0"/>
    </xf>
    <xf numFmtId="37" fontId="19" fillId="0" borderId="486" xfId="3" applyFont="1" applyBorder="1" applyAlignment="1">
      <alignment vertical="center"/>
    </xf>
    <xf numFmtId="4" fontId="30" fillId="0" borderId="487" xfId="3" applyNumberFormat="1" applyFont="1" applyBorder="1" applyAlignment="1" applyProtection="1">
      <alignment horizontal="right" vertical="center"/>
      <protection locked="0"/>
    </xf>
    <xf numFmtId="4" fontId="30" fillId="0" borderId="487" xfId="3" applyNumberFormat="1" applyFont="1" applyBorder="1" applyAlignment="1">
      <alignment horizontal="right" vertical="center"/>
    </xf>
    <xf numFmtId="37" fontId="19" fillId="0" borderId="449" xfId="3" applyFont="1" applyBorder="1" applyAlignment="1" applyProtection="1">
      <alignment horizontal="center" vertical="center"/>
      <protection locked="0"/>
    </xf>
    <xf numFmtId="0" fontId="28" fillId="0" borderId="449" xfId="15" applyBorder="1" applyAlignment="1" applyProtection="1">
      <alignment vertical="center"/>
      <protection locked="0"/>
    </xf>
    <xf numFmtId="0" fontId="28" fillId="0" borderId="449" xfId="15" applyBorder="1" applyAlignment="1" applyProtection="1">
      <alignment horizontal="center" vertical="center"/>
      <protection locked="0"/>
    </xf>
    <xf numFmtId="4" fontId="34" fillId="9" borderId="488" xfId="15" applyNumberFormat="1" applyFont="1" applyFill="1" applyBorder="1" applyAlignment="1" applyProtection="1">
      <alignment horizontal="right" vertical="center"/>
      <protection locked="0"/>
    </xf>
    <xf numFmtId="4" fontId="34" fillId="9" borderId="488" xfId="3" applyNumberFormat="1" applyFont="1" applyFill="1" applyBorder="1" applyAlignment="1" applyProtection="1">
      <alignment horizontal="right" vertical="center"/>
      <protection locked="0"/>
    </xf>
    <xf numFmtId="4" fontId="34" fillId="0" borderId="488" xfId="3" applyNumberFormat="1" applyFont="1" applyBorder="1" applyAlignment="1">
      <alignment horizontal="right" vertical="center"/>
    </xf>
    <xf numFmtId="4" fontId="34" fillId="0" borderId="489" xfId="3" applyNumberFormat="1" applyFont="1" applyBorder="1" applyAlignment="1">
      <alignment horizontal="right" vertical="center"/>
    </xf>
    <xf numFmtId="37" fontId="31" fillId="0" borderId="490" xfId="3" applyFont="1" applyBorder="1" applyAlignment="1" applyProtection="1">
      <alignment horizontal="left" vertical="center"/>
      <protection locked="0"/>
    </xf>
    <xf numFmtId="37" fontId="19" fillId="0" borderId="490" xfId="3" applyFont="1" applyBorder="1" applyAlignment="1" applyProtection="1">
      <alignment vertical="center"/>
      <protection locked="0"/>
    </xf>
    <xf numFmtId="4" fontId="30" fillId="0" borderId="490" xfId="3" applyNumberFormat="1" applyFont="1" applyBorder="1" applyAlignment="1" applyProtection="1">
      <alignment horizontal="right" vertical="center"/>
      <protection locked="0"/>
    </xf>
    <xf numFmtId="37" fontId="19" fillId="0" borderId="490" xfId="3" applyFont="1" applyBorder="1" applyAlignment="1" applyProtection="1">
      <alignment horizontal="center" vertical="center"/>
      <protection locked="0"/>
    </xf>
    <xf numFmtId="0" fontId="28" fillId="0" borderId="490" xfId="15" applyBorder="1" applyAlignment="1" applyProtection="1">
      <alignment vertical="center"/>
      <protection locked="0"/>
    </xf>
    <xf numFmtId="4" fontId="34" fillId="0" borderId="490" xfId="3" applyNumberFormat="1" applyFont="1" applyBorder="1" applyAlignment="1" applyProtection="1">
      <alignment horizontal="right" vertical="center"/>
      <protection locked="0"/>
    </xf>
    <xf numFmtId="4" fontId="34" fillId="0" borderId="490" xfId="15" applyNumberFormat="1" applyFont="1" applyBorder="1" applyAlignment="1" applyProtection="1">
      <alignment horizontal="left" vertical="center"/>
      <protection locked="0"/>
    </xf>
    <xf numFmtId="37" fontId="19" fillId="0" borderId="491" xfId="3" applyFont="1" applyBorder="1" applyAlignment="1" applyProtection="1">
      <alignment vertical="center"/>
      <protection locked="0"/>
    </xf>
    <xf numFmtId="37" fontId="19" fillId="0" borderId="492" xfId="3" applyFont="1" applyBorder="1" applyAlignment="1" applyProtection="1">
      <alignment vertical="center"/>
      <protection locked="0"/>
    </xf>
    <xf numFmtId="4" fontId="34" fillId="0" borderId="0" xfId="3" applyNumberFormat="1" applyFont="1" applyAlignment="1" applyProtection="1">
      <alignment horizontal="right" vertical="center"/>
      <protection locked="0"/>
    </xf>
    <xf numFmtId="4" fontId="34" fillId="0" borderId="0" xfId="15" applyNumberFormat="1" applyFont="1" applyAlignment="1" applyProtection="1">
      <alignment horizontal="left" vertical="center"/>
      <protection locked="0"/>
    </xf>
    <xf numFmtId="0" fontId="28" fillId="0" borderId="149" xfId="15" applyBorder="1" applyProtection="1">
      <protection locked="0"/>
    </xf>
    <xf numFmtId="37" fontId="85" fillId="0" borderId="0" xfId="3" applyFont="1" applyAlignment="1" applyProtection="1">
      <alignment vertical="center"/>
      <protection locked="0"/>
    </xf>
    <xf numFmtId="37" fontId="19" fillId="0" borderId="493" xfId="3" applyFont="1" applyBorder="1" applyAlignment="1">
      <alignment vertical="center"/>
    </xf>
    <xf numFmtId="37" fontId="31" fillId="0" borderId="157" xfId="3" applyFont="1" applyBorder="1" applyAlignment="1">
      <alignment horizontal="left" vertical="center"/>
    </xf>
    <xf numFmtId="37" fontId="18" fillId="0" borderId="157" xfId="3" applyFont="1" applyBorder="1" applyAlignment="1">
      <alignment vertical="center"/>
    </xf>
    <xf numFmtId="4" fontId="30" fillId="0" borderId="157" xfId="3" applyNumberFormat="1" applyFont="1" applyBorder="1" applyAlignment="1" applyProtection="1">
      <alignment horizontal="right" vertical="center"/>
      <protection locked="0"/>
    </xf>
    <xf numFmtId="37" fontId="19" fillId="0" borderId="157" xfId="3" applyFont="1" applyBorder="1" applyAlignment="1" applyProtection="1">
      <alignment horizontal="center" vertical="center"/>
      <protection locked="0"/>
    </xf>
    <xf numFmtId="0" fontId="28" fillId="0" borderId="157" xfId="15" applyBorder="1" applyAlignment="1" applyProtection="1">
      <alignment vertical="center"/>
      <protection locked="0"/>
    </xf>
    <xf numFmtId="4" fontId="34" fillId="0" borderId="157" xfId="3" applyNumberFormat="1" applyFont="1" applyBorder="1" applyAlignment="1" applyProtection="1">
      <alignment horizontal="right" vertical="center"/>
      <protection locked="0"/>
    </xf>
    <xf numFmtId="4" fontId="34" fillId="0" borderId="157" xfId="15" applyNumberFormat="1" applyFont="1" applyBorder="1" applyAlignment="1" applyProtection="1">
      <alignment horizontal="left" vertical="center"/>
      <protection locked="0"/>
    </xf>
    <xf numFmtId="37" fontId="19" fillId="0" borderId="494" xfId="3" applyFont="1" applyBorder="1" applyAlignment="1" applyProtection="1">
      <alignment vertical="center"/>
      <protection locked="0"/>
    </xf>
    <xf numFmtId="37" fontId="27" fillId="0" borderId="495" xfId="3" applyFont="1" applyBorder="1" applyAlignment="1">
      <alignment vertical="center"/>
    </xf>
    <xf numFmtId="37" fontId="19" fillId="0" borderId="496" xfId="3" applyFont="1" applyBorder="1" applyAlignment="1">
      <alignment vertical="center"/>
    </xf>
    <xf numFmtId="9" fontId="19" fillId="0" borderId="0" xfId="5" applyFont="1" applyAlignment="1" applyProtection="1">
      <alignment vertical="center"/>
      <protection locked="0"/>
    </xf>
    <xf numFmtId="37" fontId="19" fillId="0" borderId="497" xfId="3" applyFont="1" applyBorder="1" applyAlignment="1" applyProtection="1">
      <alignment vertical="center"/>
      <protection locked="0"/>
    </xf>
    <xf numFmtId="37" fontId="20" fillId="0" borderId="0" xfId="3" applyFont="1" applyAlignment="1" applyProtection="1">
      <alignment vertical="center"/>
      <protection locked="0"/>
    </xf>
    <xf numFmtId="189" fontId="130" fillId="0" borderId="0" xfId="17" applyFont="1" applyAlignment="1" applyProtection="1">
      <alignment horizontal="left"/>
      <protection locked="0"/>
    </xf>
    <xf numFmtId="189" fontId="130" fillId="0" borderId="0" xfId="17" applyFont="1" applyAlignment="1" applyProtection="1">
      <alignment horizontal="center"/>
      <protection locked="0"/>
    </xf>
    <xf numFmtId="37" fontId="22" fillId="0" borderId="496" xfId="3" applyFont="1" applyBorder="1" applyAlignment="1">
      <alignment vertical="center"/>
    </xf>
    <xf numFmtId="37" fontId="20" fillId="0" borderId="0" xfId="3" applyFont="1" applyAlignment="1">
      <alignment horizontal="left" vertical="center"/>
    </xf>
    <xf numFmtId="14" fontId="30" fillId="0" borderId="0" xfId="3" applyNumberFormat="1" applyFont="1" applyAlignment="1" applyProtection="1">
      <alignment horizontal="center" vertical="center"/>
      <protection locked="0"/>
    </xf>
    <xf numFmtId="0" fontId="30" fillId="0" borderId="0" xfId="3" applyNumberFormat="1" applyFont="1" applyAlignment="1" applyProtection="1">
      <alignment horizontal="left" vertical="center"/>
      <protection locked="0"/>
    </xf>
    <xf numFmtId="37" fontId="22" fillId="0" borderId="0" xfId="3" applyFont="1" applyAlignment="1" applyProtection="1">
      <alignment horizontal="center" vertical="center"/>
      <protection locked="0"/>
    </xf>
    <xf numFmtId="189" fontId="130" fillId="0" borderId="0" xfId="17" applyFont="1" applyAlignment="1" applyProtection="1">
      <protection locked="0"/>
    </xf>
    <xf numFmtId="37" fontId="22" fillId="0" borderId="29" xfId="3" applyFont="1" applyBorder="1" applyAlignment="1" applyProtection="1">
      <alignment vertical="center"/>
      <protection locked="0"/>
    </xf>
    <xf numFmtId="37" fontId="22" fillId="0" borderId="497" xfId="3" applyFont="1" applyBorder="1" applyAlignment="1" applyProtection="1">
      <alignment vertical="center"/>
      <protection locked="0"/>
    </xf>
    <xf numFmtId="1" fontId="20" fillId="0" borderId="0" xfId="15" applyNumberFormat="1" applyFont="1"/>
    <xf numFmtId="37" fontId="22" fillId="0" borderId="0" xfId="3" applyFont="1" applyAlignment="1">
      <alignment vertical="center"/>
    </xf>
    <xf numFmtId="37" fontId="100" fillId="26" borderId="146" xfId="3" applyFont="1" applyFill="1" applyBorder="1" applyAlignment="1">
      <alignment horizontal="left" vertical="center"/>
    </xf>
    <xf numFmtId="37" fontId="100" fillId="26" borderId="146" xfId="3" applyFont="1" applyFill="1" applyBorder="1" applyAlignment="1" applyProtection="1">
      <alignment horizontal="center" vertical="center"/>
      <protection locked="0"/>
    </xf>
    <xf numFmtId="37" fontId="100" fillId="26" borderId="146" xfId="3" applyFont="1" applyFill="1" applyBorder="1" applyAlignment="1">
      <alignment horizontal="center" vertical="center"/>
    </xf>
    <xf numFmtId="37" fontId="16" fillId="0" borderId="499" xfId="3" applyFont="1" applyBorder="1" applyAlignment="1">
      <alignment horizontal="center" vertical="center"/>
    </xf>
    <xf numFmtId="37" fontId="16" fillId="0" borderId="500" xfId="3" applyFont="1" applyBorder="1" applyAlignment="1">
      <alignment horizontal="center" vertical="center"/>
    </xf>
    <xf numFmtId="0" fontId="16" fillId="0" borderId="500" xfId="15" applyFont="1" applyBorder="1" applyAlignment="1">
      <alignment horizontal="center" vertical="center"/>
    </xf>
    <xf numFmtId="37" fontId="100" fillId="7" borderId="76" xfId="3" applyFont="1" applyFill="1" applyBorder="1" applyAlignment="1">
      <alignment horizontal="left" vertical="center"/>
    </xf>
    <xf numFmtId="37" fontId="100" fillId="7" borderId="76" xfId="3" applyFont="1" applyFill="1" applyBorder="1" applyAlignment="1" applyProtection="1">
      <alignment horizontal="center" vertical="center"/>
      <protection locked="0"/>
    </xf>
    <xf numFmtId="37" fontId="100" fillId="7" borderId="76" xfId="3" applyFont="1" applyFill="1" applyBorder="1" applyAlignment="1">
      <alignment horizontal="center" vertical="center"/>
    </xf>
    <xf numFmtId="37" fontId="16" fillId="0" borderId="502" xfId="3" applyFont="1" applyBorder="1" applyAlignment="1">
      <alignment horizontal="center" vertical="center"/>
    </xf>
    <xf numFmtId="37" fontId="16" fillId="0" borderId="503" xfId="3" applyFont="1" applyBorder="1" applyAlignment="1">
      <alignment horizontal="center" vertical="center"/>
    </xf>
    <xf numFmtId="37" fontId="20" fillId="7" borderId="76" xfId="3" applyFont="1" applyFill="1" applyBorder="1" applyAlignment="1">
      <alignment horizontal="center" vertical="center"/>
    </xf>
    <xf numFmtId="0" fontId="16" fillId="0" borderId="503" xfId="15" applyFont="1" applyBorder="1" applyAlignment="1">
      <alignment horizontal="center" vertical="center"/>
    </xf>
    <xf numFmtId="37" fontId="16" fillId="0" borderId="0" xfId="3" applyFont="1" applyAlignment="1" applyProtection="1">
      <alignment horizontal="center" vertical="center"/>
      <protection locked="0"/>
    </xf>
    <xf numFmtId="0" fontId="16" fillId="0" borderId="0" xfId="15" applyFont="1" applyAlignment="1" applyProtection="1">
      <alignment horizontal="center" vertical="center"/>
      <protection locked="0"/>
    </xf>
    <xf numFmtId="190" fontId="130" fillId="0" borderId="0" xfId="16" applyNumberFormat="1" applyFont="1" applyFill="1" applyBorder="1" applyAlignment="1" applyProtection="1">
      <protection locked="0"/>
    </xf>
    <xf numFmtId="37" fontId="19" fillId="0" borderId="19" xfId="3" applyFont="1" applyBorder="1" applyAlignment="1" applyProtection="1">
      <alignment vertical="center"/>
      <protection locked="0"/>
    </xf>
    <xf numFmtId="1" fontId="100" fillId="0" borderId="146" xfId="3" applyNumberFormat="1" applyFont="1" applyBorder="1" applyAlignment="1">
      <alignment horizontal="left" vertical="center"/>
    </xf>
    <xf numFmtId="37" fontId="19" fillId="0" borderId="146" xfId="3" applyFont="1" applyBorder="1" applyAlignment="1">
      <alignment horizontal="left" vertical="center"/>
    </xf>
    <xf numFmtId="37" fontId="19" fillId="20" borderId="146" xfId="3" applyFont="1" applyFill="1" applyBorder="1" applyAlignment="1" applyProtection="1">
      <alignment vertical="center"/>
      <protection locked="0"/>
    </xf>
    <xf numFmtId="9" fontId="28" fillId="0" borderId="146" xfId="3" applyNumberFormat="1" applyFont="1" applyBorder="1" applyAlignment="1" applyProtection="1">
      <alignment horizontal="center" vertical="center"/>
      <protection locked="0"/>
    </xf>
    <xf numFmtId="37" fontId="19" fillId="0" borderId="146" xfId="3" applyFont="1" applyBorder="1" applyAlignment="1">
      <alignment vertical="center"/>
    </xf>
    <xf numFmtId="9" fontId="28" fillId="0" borderId="27" xfId="3" applyNumberFormat="1" applyFont="1" applyBorder="1" applyAlignment="1">
      <alignment horizontal="center" vertical="center"/>
    </xf>
    <xf numFmtId="9" fontId="28" fillId="0" borderId="28" xfId="3" applyNumberFormat="1" applyFont="1" applyBorder="1" applyAlignment="1">
      <alignment horizontal="center" vertical="center"/>
    </xf>
    <xf numFmtId="9" fontId="28" fillId="0" borderId="28" xfId="15" applyNumberFormat="1" applyBorder="1" applyAlignment="1">
      <alignment horizontal="center" vertical="center"/>
    </xf>
    <xf numFmtId="37" fontId="19" fillId="0" borderId="146" xfId="3" applyFont="1" applyBorder="1" applyAlignment="1">
      <alignment horizontal="right" vertical="center"/>
    </xf>
    <xf numFmtId="1" fontId="100" fillId="0" borderId="74" xfId="3" applyNumberFormat="1" applyFont="1" applyBorder="1" applyAlignment="1">
      <alignment horizontal="left" vertical="center"/>
    </xf>
    <xf numFmtId="37" fontId="131" fillId="0" borderId="74" xfId="3" applyFont="1" applyBorder="1" applyAlignment="1">
      <alignment horizontal="left" vertical="center"/>
    </xf>
    <xf numFmtId="37" fontId="131" fillId="0" borderId="74" xfId="3" applyFont="1" applyBorder="1" applyAlignment="1" applyProtection="1">
      <alignment vertical="center"/>
      <protection locked="0"/>
    </xf>
    <xf numFmtId="9" fontId="28" fillId="0" borderId="74" xfId="3" applyNumberFormat="1" applyFont="1" applyBorder="1" applyAlignment="1" applyProtection="1">
      <alignment horizontal="center" vertical="center"/>
      <protection locked="0"/>
    </xf>
    <xf numFmtId="37" fontId="131" fillId="0" borderId="74" xfId="3" applyFont="1" applyBorder="1" applyAlignment="1">
      <alignment vertical="center"/>
    </xf>
    <xf numFmtId="9" fontId="28" fillId="0" borderId="91" xfId="3" applyNumberFormat="1" applyFont="1" applyBorder="1" applyAlignment="1">
      <alignment horizontal="center" vertical="center"/>
    </xf>
    <xf numFmtId="9" fontId="28" fillId="0" borderId="93" xfId="3" applyNumberFormat="1" applyFont="1" applyBorder="1" applyAlignment="1">
      <alignment horizontal="center" vertical="center"/>
    </xf>
    <xf numFmtId="9" fontId="28" fillId="0" borderId="93" xfId="15" applyNumberFormat="1" applyBorder="1" applyAlignment="1">
      <alignment horizontal="center" vertical="center"/>
    </xf>
    <xf numFmtId="37" fontId="131" fillId="0" borderId="74" xfId="3" applyFont="1" applyBorder="1" applyAlignment="1">
      <alignment horizontal="right" vertical="center"/>
    </xf>
    <xf numFmtId="37" fontId="106" fillId="0" borderId="74" xfId="3" applyFont="1" applyBorder="1" applyAlignment="1">
      <alignment horizontal="left" vertical="center"/>
    </xf>
    <xf numFmtId="37" fontId="106" fillId="0" borderId="74" xfId="3" applyFont="1" applyBorder="1" applyAlignment="1" applyProtection="1">
      <alignment horizontal="right" vertical="center"/>
      <protection locked="0"/>
    </xf>
    <xf numFmtId="37" fontId="106" fillId="0" borderId="74" xfId="3" applyFont="1" applyBorder="1" applyAlignment="1">
      <alignment horizontal="right" vertical="center"/>
    </xf>
    <xf numFmtId="1" fontId="100" fillId="0" borderId="74" xfId="3" quotePrefix="1" applyNumberFormat="1" applyFont="1" applyBorder="1" applyAlignment="1">
      <alignment horizontal="left" vertical="center"/>
    </xf>
    <xf numFmtId="37" fontId="19" fillId="0" borderId="74" xfId="3" applyFont="1" applyBorder="1" applyAlignment="1">
      <alignment horizontal="left" vertical="center"/>
    </xf>
    <xf numFmtId="37" fontId="19" fillId="0" borderId="74" xfId="3" applyFont="1" applyBorder="1" applyAlignment="1" applyProtection="1">
      <alignment vertical="center"/>
      <protection locked="0"/>
    </xf>
    <xf numFmtId="37" fontId="19" fillId="0" borderId="74" xfId="3" applyFont="1" applyBorder="1" applyAlignment="1">
      <alignment vertical="center"/>
    </xf>
    <xf numFmtId="37" fontId="19" fillId="0" borderId="74" xfId="3" applyFont="1" applyBorder="1" applyAlignment="1">
      <alignment horizontal="right" vertical="center"/>
    </xf>
    <xf numFmtId="1" fontId="100" fillId="0" borderId="76" xfId="3" applyNumberFormat="1" applyFont="1" applyBorder="1" applyAlignment="1">
      <alignment horizontal="left" vertical="center"/>
    </xf>
    <xf numFmtId="37" fontId="31" fillId="0" borderId="18" xfId="3" applyFont="1" applyBorder="1" applyAlignment="1">
      <alignment horizontal="left" vertical="center"/>
    </xf>
    <xf numFmtId="37" fontId="100" fillId="7" borderId="74" xfId="3" applyFont="1" applyFill="1" applyBorder="1" applyAlignment="1">
      <alignment horizontal="left" vertical="center"/>
    </xf>
    <xf numFmtId="37" fontId="100" fillId="7" borderId="74" xfId="3" applyFont="1" applyFill="1" applyBorder="1" applyAlignment="1" applyProtection="1">
      <alignment vertical="center"/>
      <protection locked="0"/>
    </xf>
    <xf numFmtId="9" fontId="28" fillId="7" borderId="74" xfId="3" applyNumberFormat="1" applyFont="1" applyFill="1" applyBorder="1" applyAlignment="1" applyProtection="1">
      <alignment horizontal="center" vertical="center"/>
      <protection locked="0"/>
    </xf>
    <xf numFmtId="37" fontId="100" fillId="7" borderId="74" xfId="3" applyFont="1" applyFill="1" applyBorder="1" applyAlignment="1">
      <alignment vertical="center"/>
    </xf>
    <xf numFmtId="9" fontId="28" fillId="7" borderId="91" xfId="3" applyNumberFormat="1" applyFont="1" applyFill="1" applyBorder="1" applyAlignment="1">
      <alignment horizontal="center" vertical="center"/>
    </xf>
    <xf numFmtId="9" fontId="28" fillId="7" borderId="93" xfId="3" applyNumberFormat="1" applyFont="1" applyFill="1" applyBorder="1" applyAlignment="1">
      <alignment horizontal="center" vertical="center"/>
    </xf>
    <xf numFmtId="9" fontId="28" fillId="7" borderId="93" xfId="15" applyNumberFormat="1" applyFill="1" applyBorder="1" applyAlignment="1">
      <alignment horizontal="center" vertical="center"/>
    </xf>
    <xf numFmtId="37" fontId="100" fillId="7" borderId="74" xfId="3" applyFont="1" applyFill="1" applyBorder="1" applyAlignment="1">
      <alignment horizontal="right" vertical="center"/>
    </xf>
    <xf numFmtId="1" fontId="100" fillId="0" borderId="146" xfId="3" quotePrefix="1" applyNumberFormat="1" applyFont="1" applyBorder="1" applyAlignment="1">
      <alignment horizontal="left" vertical="center"/>
    </xf>
    <xf numFmtId="37" fontId="131" fillId="0" borderId="74" xfId="3" applyFont="1" applyBorder="1" applyAlignment="1" applyProtection="1">
      <alignment horizontal="right" vertical="center"/>
      <protection locked="0"/>
    </xf>
    <xf numFmtId="1" fontId="100" fillId="0" borderId="73" xfId="3" applyNumberFormat="1" applyFont="1" applyBorder="1" applyAlignment="1">
      <alignment horizontal="left" vertical="center"/>
    </xf>
    <xf numFmtId="37" fontId="100" fillId="10" borderId="74" xfId="3" applyFont="1" applyFill="1" applyBorder="1" applyAlignment="1">
      <alignment horizontal="left" vertical="center"/>
    </xf>
    <xf numFmtId="37" fontId="100" fillId="10" borderId="74" xfId="3" applyFont="1" applyFill="1" applyBorder="1" applyAlignment="1" applyProtection="1">
      <alignment vertical="center"/>
      <protection locked="0"/>
    </xf>
    <xf numFmtId="9" fontId="28" fillId="10" borderId="74" xfId="3" applyNumberFormat="1" applyFont="1" applyFill="1" applyBorder="1" applyAlignment="1" applyProtection="1">
      <alignment horizontal="center" vertical="center"/>
      <protection locked="0"/>
    </xf>
    <xf numFmtId="37" fontId="100" fillId="10" borderId="74" xfId="3" applyFont="1" applyFill="1" applyBorder="1" applyAlignment="1">
      <alignment vertical="center"/>
    </xf>
    <xf numFmtId="9" fontId="28" fillId="10" borderId="91" xfId="3" applyNumberFormat="1" applyFont="1" applyFill="1" applyBorder="1" applyAlignment="1">
      <alignment horizontal="center" vertical="center"/>
    </xf>
    <xf numFmtId="9" fontId="28" fillId="10" borderId="93" xfId="3" applyNumberFormat="1" applyFont="1" applyFill="1" applyBorder="1" applyAlignment="1">
      <alignment horizontal="center" vertical="center"/>
    </xf>
    <xf numFmtId="9" fontId="28" fillId="10" borderId="93" xfId="15" applyNumberFormat="1" applyFill="1" applyBorder="1" applyAlignment="1">
      <alignment horizontal="center" vertical="center"/>
    </xf>
    <xf numFmtId="37" fontId="100" fillId="10" borderId="74" xfId="3" applyFont="1" applyFill="1" applyBorder="1" applyAlignment="1">
      <alignment horizontal="right" vertical="center"/>
    </xf>
    <xf numFmtId="37" fontId="16" fillId="0" borderId="0" xfId="3" applyFont="1" applyAlignment="1" applyProtection="1">
      <alignment vertical="center"/>
      <protection locked="0"/>
    </xf>
    <xf numFmtId="37" fontId="100" fillId="10" borderId="76" xfId="3" applyFont="1" applyFill="1" applyBorder="1" applyAlignment="1">
      <alignment horizontal="left" vertical="center"/>
    </xf>
    <xf numFmtId="37" fontId="100" fillId="10" borderId="76" xfId="3" applyFont="1" applyFill="1" applyBorder="1" applyAlignment="1" applyProtection="1">
      <alignment vertical="center"/>
      <protection locked="0"/>
    </xf>
    <xf numFmtId="9" fontId="28" fillId="10" borderId="76" xfId="3" applyNumberFormat="1" applyFont="1" applyFill="1" applyBorder="1" applyAlignment="1" applyProtection="1">
      <alignment horizontal="center" vertical="center"/>
      <protection locked="0"/>
    </xf>
    <xf numFmtId="37" fontId="100" fillId="10" borderId="76" xfId="3" applyFont="1" applyFill="1" applyBorder="1" applyAlignment="1">
      <alignment vertical="center"/>
    </xf>
    <xf numFmtId="9" fontId="28" fillId="10" borderId="25" xfId="3" applyNumberFormat="1" applyFont="1" applyFill="1" applyBorder="1" applyAlignment="1">
      <alignment horizontal="center" vertical="center"/>
    </xf>
    <xf numFmtId="9" fontId="28" fillId="10" borderId="26" xfId="3" applyNumberFormat="1" applyFont="1" applyFill="1" applyBorder="1" applyAlignment="1">
      <alignment horizontal="center" vertical="center"/>
    </xf>
    <xf numFmtId="9" fontId="28" fillId="10" borderId="26" xfId="15" applyNumberFormat="1" applyFill="1" applyBorder="1" applyAlignment="1">
      <alignment horizontal="center" vertical="center"/>
    </xf>
    <xf numFmtId="37" fontId="100" fillId="10" borderId="76" xfId="3" applyFont="1" applyFill="1" applyBorder="1" applyAlignment="1">
      <alignment horizontal="right" vertical="center"/>
    </xf>
    <xf numFmtId="9" fontId="19" fillId="0" borderId="0" xfId="3" applyNumberFormat="1" applyFont="1" applyAlignment="1" applyProtection="1">
      <alignment horizontal="center" vertical="center"/>
      <protection locked="0"/>
    </xf>
    <xf numFmtId="37" fontId="28" fillId="0" borderId="0" xfId="17" applyNumberFormat="1" applyFont="1" applyAlignment="1" applyProtection="1">
      <protection locked="0"/>
    </xf>
    <xf numFmtId="0" fontId="16" fillId="0" borderId="0" xfId="15" applyFont="1" applyProtection="1">
      <protection locked="0"/>
    </xf>
    <xf numFmtId="0" fontId="15" fillId="0" borderId="0" xfId="15" applyFont="1" applyProtection="1">
      <protection locked="0"/>
    </xf>
    <xf numFmtId="37" fontId="19" fillId="0" borderId="73" xfId="3" applyFont="1" applyBorder="1" applyAlignment="1">
      <alignment horizontal="left" vertical="center"/>
    </xf>
    <xf numFmtId="37" fontId="19" fillId="0" borderId="73" xfId="3" applyFont="1" applyBorder="1" applyAlignment="1" applyProtection="1">
      <alignment vertical="center"/>
      <protection locked="0"/>
    </xf>
    <xf numFmtId="9" fontId="28" fillId="0" borderId="73" xfId="3" applyNumberFormat="1" applyFont="1" applyBorder="1" applyAlignment="1" applyProtection="1">
      <alignment horizontal="center" vertical="center"/>
      <protection locked="0"/>
    </xf>
    <xf numFmtId="37" fontId="19" fillId="0" borderId="73" xfId="3" applyFont="1" applyBorder="1" applyAlignment="1">
      <alignment vertical="center"/>
    </xf>
    <xf numFmtId="9" fontId="28" fillId="0" borderId="101" xfId="3" applyNumberFormat="1" applyFont="1" applyBorder="1" applyAlignment="1">
      <alignment horizontal="center" vertical="center"/>
    </xf>
    <xf numFmtId="9" fontId="28" fillId="0" borderId="21" xfId="3" applyNumberFormat="1" applyFont="1" applyBorder="1" applyAlignment="1">
      <alignment horizontal="center" vertical="center"/>
    </xf>
    <xf numFmtId="9" fontId="28" fillId="0" borderId="21" xfId="15" applyNumberFormat="1" applyBorder="1" applyAlignment="1">
      <alignment horizontal="center" vertical="center"/>
    </xf>
    <xf numFmtId="37" fontId="19" fillId="0" borderId="73" xfId="3" applyFont="1" applyBorder="1" applyAlignment="1">
      <alignment horizontal="right" vertical="center"/>
    </xf>
    <xf numFmtId="0" fontId="0" fillId="0" borderId="0" xfId="0" applyAlignment="1" applyProtection="1">
      <alignment vertical="center"/>
      <protection locked="0"/>
    </xf>
    <xf numFmtId="37" fontId="100" fillId="0" borderId="0" xfId="3" applyFont="1" applyAlignment="1">
      <alignment horizontal="left" vertical="center"/>
    </xf>
    <xf numFmtId="37" fontId="100" fillId="0" borderId="76" xfId="3" applyFont="1" applyBorder="1" applyAlignment="1">
      <alignment horizontal="left" vertical="center"/>
    </xf>
    <xf numFmtId="37" fontId="99" fillId="0" borderId="76" xfId="3" applyFont="1" applyBorder="1" applyAlignment="1" applyProtection="1">
      <alignment vertical="center"/>
      <protection locked="0"/>
    </xf>
    <xf numFmtId="9" fontId="28" fillId="0" borderId="76" xfId="3" applyNumberFormat="1" applyFont="1" applyBorder="1" applyAlignment="1" applyProtection="1">
      <alignment horizontal="center" vertical="center"/>
      <protection locked="0"/>
    </xf>
    <xf numFmtId="9" fontId="28" fillId="0" borderId="25" xfId="3" applyNumberFormat="1" applyFont="1" applyBorder="1" applyAlignment="1">
      <alignment horizontal="center" vertical="center"/>
    </xf>
    <xf numFmtId="9" fontId="28" fillId="0" borderId="26" xfId="3" applyNumberFormat="1" applyFont="1" applyBorder="1" applyAlignment="1">
      <alignment horizontal="center" vertical="center"/>
    </xf>
    <xf numFmtId="9" fontId="28" fillId="0" borderId="26" xfId="15" applyNumberFormat="1" applyBorder="1" applyAlignment="1">
      <alignment horizontal="center" vertical="center"/>
    </xf>
    <xf numFmtId="37" fontId="28" fillId="0" borderId="0" xfId="3" applyFont="1" applyAlignment="1" applyProtection="1">
      <alignment horizontal="right" vertical="center"/>
      <protection locked="0"/>
    </xf>
    <xf numFmtId="1" fontId="100" fillId="0" borderId="47" xfId="3" applyNumberFormat="1" applyFont="1" applyBorder="1" applyAlignment="1">
      <alignment horizontal="left" vertical="center"/>
    </xf>
    <xf numFmtId="37" fontId="131" fillId="0" borderId="74" xfId="3" quotePrefix="1" applyFont="1" applyBorder="1" applyAlignment="1">
      <alignment horizontal="left" vertical="center"/>
    </xf>
    <xf numFmtId="37" fontId="100" fillId="26" borderId="74" xfId="3" applyFont="1" applyFill="1" applyBorder="1" applyAlignment="1">
      <alignment horizontal="left" vertical="center"/>
    </xf>
    <xf numFmtId="1" fontId="100" fillId="0" borderId="78" xfId="3" applyNumberFormat="1" applyFont="1" applyBorder="1" applyAlignment="1">
      <alignment horizontal="left" vertical="center"/>
    </xf>
    <xf numFmtId="37" fontId="19" fillId="0" borderId="78" xfId="3" applyFont="1" applyBorder="1" applyAlignment="1">
      <alignment horizontal="left" vertical="center"/>
    </xf>
    <xf numFmtId="37" fontId="19" fillId="0" borderId="78" xfId="3" applyFont="1" applyBorder="1" applyAlignment="1" applyProtection="1">
      <alignment vertical="center"/>
      <protection locked="0"/>
    </xf>
    <xf numFmtId="9" fontId="28" fillId="0" borderId="78" xfId="3" applyNumberFormat="1" applyFont="1" applyBorder="1" applyAlignment="1" applyProtection="1">
      <alignment horizontal="center" vertical="center"/>
      <protection locked="0"/>
    </xf>
    <xf numFmtId="37" fontId="19" fillId="0" borderId="78" xfId="3" applyFont="1" applyBorder="1" applyAlignment="1">
      <alignment vertical="center"/>
    </xf>
    <xf numFmtId="9" fontId="28" fillId="0" borderId="504" xfId="3" applyNumberFormat="1" applyFont="1" applyBorder="1" applyAlignment="1">
      <alignment horizontal="center" vertical="center"/>
    </xf>
    <xf numFmtId="9" fontId="28" fillId="0" borderId="23" xfId="3" applyNumberFormat="1" applyFont="1" applyBorder="1" applyAlignment="1">
      <alignment horizontal="center" vertical="center"/>
    </xf>
    <xf numFmtId="9" fontId="28" fillId="0" borderId="23" xfId="15" applyNumberFormat="1" applyBorder="1" applyAlignment="1">
      <alignment horizontal="center" vertical="center"/>
    </xf>
    <xf numFmtId="37" fontId="19" fillId="0" borderId="78" xfId="3" applyFont="1" applyBorder="1" applyAlignment="1">
      <alignment horizontal="right" vertical="center"/>
    </xf>
    <xf numFmtId="37" fontId="30" fillId="26" borderId="47" xfId="3" applyFont="1" applyFill="1" applyBorder="1" applyAlignment="1">
      <alignment horizontal="left" vertical="center"/>
    </xf>
    <xf numFmtId="37" fontId="28" fillId="26" borderId="47" xfId="3" applyFont="1" applyFill="1" applyBorder="1" applyAlignment="1" applyProtection="1">
      <alignment vertical="center"/>
      <protection locked="0"/>
    </xf>
    <xf numFmtId="37" fontId="30" fillId="26" borderId="47" xfId="3" applyFont="1" applyFill="1" applyBorder="1" applyAlignment="1">
      <alignment vertical="center"/>
    </xf>
    <xf numFmtId="37" fontId="30" fillId="26" borderId="47" xfId="3" applyFont="1" applyFill="1" applyBorder="1" applyAlignment="1">
      <alignment horizontal="right" vertical="center"/>
    </xf>
    <xf numFmtId="37" fontId="30" fillId="0" borderId="0" xfId="3" applyFont="1"/>
    <xf numFmtId="37" fontId="30" fillId="0" borderId="0" xfId="3" quotePrefix="1" applyFont="1" applyAlignment="1" applyProtection="1">
      <alignment horizontal="right" vertical="center"/>
      <protection locked="0"/>
    </xf>
    <xf numFmtId="37" fontId="132" fillId="0" borderId="0" xfId="3" applyFont="1" applyAlignment="1">
      <alignment vertical="center"/>
    </xf>
    <xf numFmtId="37" fontId="30" fillId="0" borderId="0" xfId="3" applyFont="1" applyAlignment="1">
      <alignment vertical="center"/>
    </xf>
    <xf numFmtId="37" fontId="35" fillId="0" borderId="0" xfId="3" applyFont="1" applyAlignment="1" applyProtection="1">
      <alignment vertical="center"/>
      <protection locked="0"/>
    </xf>
    <xf numFmtId="37" fontId="35" fillId="0" borderId="0" xfId="3" applyFont="1" applyAlignment="1" applyProtection="1">
      <alignment horizontal="left" vertical="center"/>
      <protection locked="0"/>
    </xf>
    <xf numFmtId="37" fontId="100" fillId="0" borderId="59" xfId="3" applyFont="1" applyBorder="1" applyAlignment="1">
      <alignment horizontal="left" vertical="center"/>
    </xf>
    <xf numFmtId="37" fontId="100" fillId="0" borderId="59" xfId="3" applyFont="1" applyBorder="1" applyAlignment="1" applyProtection="1">
      <alignment horizontal="center" vertical="center"/>
      <protection locked="0"/>
    </xf>
    <xf numFmtId="37" fontId="100" fillId="0" borderId="59" xfId="3" applyFont="1" applyBorder="1" applyAlignment="1">
      <alignment horizontal="center" vertical="center"/>
    </xf>
    <xf numFmtId="37" fontId="20" fillId="0" borderId="59" xfId="3" applyFont="1" applyBorder="1" applyAlignment="1">
      <alignment horizontal="center" vertical="center"/>
    </xf>
    <xf numFmtId="37" fontId="100" fillId="0" borderId="146" xfId="3" applyFont="1" applyBorder="1" applyAlignment="1">
      <alignment horizontal="left" vertical="center"/>
    </xf>
    <xf numFmtId="37" fontId="99" fillId="0" borderId="146" xfId="3" applyFont="1" applyBorder="1" applyAlignment="1">
      <alignment horizontal="left" vertical="center"/>
    </xf>
    <xf numFmtId="37" fontId="99" fillId="0" borderId="146" xfId="3" applyFont="1" applyBorder="1" applyAlignment="1" applyProtection="1">
      <alignment horizontal="center" vertical="center"/>
      <protection locked="0"/>
    </xf>
    <xf numFmtId="37" fontId="99" fillId="0" borderId="146" xfId="3" applyFont="1" applyBorder="1" applyAlignment="1">
      <alignment horizontal="center" vertical="center"/>
    </xf>
    <xf numFmtId="37" fontId="100" fillId="0" borderId="74" xfId="3" applyFont="1" applyBorder="1" applyAlignment="1">
      <alignment horizontal="left" vertical="center"/>
    </xf>
    <xf numFmtId="37" fontId="99" fillId="0" borderId="74" xfId="3" applyFont="1" applyBorder="1" applyAlignment="1">
      <alignment horizontal="left" vertical="center"/>
    </xf>
    <xf numFmtId="37" fontId="99" fillId="0" borderId="74" xfId="3" applyFont="1" applyBorder="1" applyAlignment="1" applyProtection="1">
      <alignment horizontal="center" vertical="center"/>
      <protection locked="0"/>
    </xf>
    <xf numFmtId="37" fontId="99" fillId="0" borderId="74" xfId="3" applyFont="1" applyBorder="1" applyAlignment="1">
      <alignment horizontal="center" vertical="center"/>
    </xf>
    <xf numFmtId="167" fontId="99" fillId="0" borderId="74" xfId="3" applyNumberFormat="1" applyFont="1" applyBorder="1" applyAlignment="1" applyProtection="1">
      <alignment horizontal="center" vertical="center"/>
      <protection locked="0"/>
    </xf>
    <xf numFmtId="167" fontId="99" fillId="0" borderId="74" xfId="3" applyNumberFormat="1" applyFont="1" applyBorder="1" applyAlignment="1">
      <alignment horizontal="center" vertical="center"/>
    </xf>
    <xf numFmtId="37" fontId="99" fillId="0" borderId="76" xfId="3" applyFont="1" applyBorder="1" applyAlignment="1">
      <alignment horizontal="left" vertical="center"/>
    </xf>
    <xf numFmtId="37" fontId="99" fillId="0" borderId="76" xfId="3" applyFont="1" applyBorder="1" applyAlignment="1" applyProtection="1">
      <alignment horizontal="center" vertical="center"/>
      <protection locked="0"/>
    </xf>
    <xf numFmtId="37" fontId="99" fillId="0" borderId="76" xfId="3" applyFont="1" applyBorder="1" applyAlignment="1">
      <alignment horizontal="center" vertical="center"/>
    </xf>
    <xf numFmtId="37" fontId="28" fillId="0" borderId="0" xfId="3" applyFont="1" applyAlignment="1">
      <alignment horizontal="left" vertical="center"/>
    </xf>
    <xf numFmtId="37" fontId="100" fillId="0" borderId="47" xfId="3" applyFont="1" applyBorder="1" applyAlignment="1">
      <alignment horizontal="left" vertical="center"/>
    </xf>
    <xf numFmtId="167" fontId="99" fillId="0" borderId="74" xfId="5" applyNumberFormat="1" applyFont="1" applyBorder="1" applyAlignment="1" applyProtection="1">
      <alignment horizontal="center" vertical="center"/>
      <protection locked="0"/>
    </xf>
    <xf numFmtId="167" fontId="99" fillId="0" borderId="74" xfId="5" applyNumberFormat="1" applyFont="1" applyBorder="1" applyAlignment="1" applyProtection="1">
      <alignment horizontal="center" vertical="center"/>
    </xf>
    <xf numFmtId="167" fontId="19" fillId="0" borderId="496" xfId="5" applyNumberFormat="1" applyFont="1" applyFill="1" applyBorder="1" applyAlignment="1" applyProtection="1">
      <alignment vertical="center"/>
    </xf>
    <xf numFmtId="167" fontId="99" fillId="0" borderId="74" xfId="5" applyNumberFormat="1" applyFont="1" applyBorder="1" applyAlignment="1" applyProtection="1">
      <alignment horizontal="left" vertical="center"/>
    </xf>
    <xf numFmtId="167" fontId="19" fillId="0" borderId="497" xfId="5" applyNumberFormat="1" applyFont="1" applyFill="1" applyBorder="1" applyAlignment="1" applyProtection="1">
      <alignment vertical="center"/>
      <protection locked="0"/>
    </xf>
    <xf numFmtId="167" fontId="99" fillId="0" borderId="76" xfId="5" applyNumberFormat="1" applyFont="1" applyBorder="1" applyAlignment="1" applyProtection="1">
      <alignment horizontal="left" vertical="center"/>
    </xf>
    <xf numFmtId="167" fontId="99" fillId="0" borderId="76" xfId="5" applyNumberFormat="1" applyFont="1" applyBorder="1" applyAlignment="1" applyProtection="1">
      <alignment horizontal="center" vertical="center"/>
      <protection locked="0"/>
    </xf>
    <xf numFmtId="167" fontId="99" fillId="0" borderId="76" xfId="5" applyNumberFormat="1" applyFont="1" applyBorder="1" applyAlignment="1" applyProtection="1">
      <alignment horizontal="center" vertical="center"/>
    </xf>
    <xf numFmtId="37" fontId="28" fillId="0" borderId="0" xfId="3" applyFont="1" applyAlignment="1">
      <alignment vertical="center"/>
    </xf>
    <xf numFmtId="37" fontId="31" fillId="0" borderId="29" xfId="3" applyFont="1" applyBorder="1" applyAlignment="1">
      <alignment horizontal="left" vertical="center"/>
    </xf>
    <xf numFmtId="37" fontId="28" fillId="0" borderId="29" xfId="3"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protection locked="0"/>
    </xf>
    <xf numFmtId="191" fontId="99" fillId="0" borderId="74" xfId="3" applyNumberFormat="1" applyFont="1" applyBorder="1" applyAlignment="1">
      <alignment horizontal="center" vertical="center"/>
    </xf>
    <xf numFmtId="37" fontId="100" fillId="0" borderId="78" xfId="3" applyFont="1" applyBorder="1" applyAlignment="1">
      <alignment horizontal="left" vertical="center"/>
    </xf>
    <xf numFmtId="37" fontId="99" fillId="0" borderId="78" xfId="3" applyFont="1" applyBorder="1" applyAlignment="1">
      <alignment horizontal="left" vertical="center"/>
    </xf>
    <xf numFmtId="191" fontId="99" fillId="0" borderId="78" xfId="3" applyNumberFormat="1" applyFont="1" applyBorder="1" applyAlignment="1" applyProtection="1">
      <alignment horizontal="center" vertical="center"/>
      <protection locked="0"/>
    </xf>
    <xf numFmtId="191" fontId="99" fillId="0" borderId="78" xfId="3" applyNumberFormat="1" applyFont="1" applyBorder="1" applyAlignment="1">
      <alignment horizontal="center" vertical="center"/>
    </xf>
    <xf numFmtId="4" fontId="99" fillId="0" borderId="74" xfId="3" applyNumberFormat="1" applyFont="1" applyBorder="1" applyAlignment="1" applyProtection="1">
      <alignment horizontal="center" vertical="center"/>
      <protection locked="0"/>
    </xf>
    <xf numFmtId="4" fontId="99" fillId="0" borderId="74" xfId="3" applyNumberFormat="1" applyFont="1" applyBorder="1" applyAlignment="1">
      <alignment horizontal="center" vertical="center"/>
    </xf>
    <xf numFmtId="9" fontId="99" fillId="0" borderId="76" xfId="3" applyNumberFormat="1" applyFont="1" applyBorder="1" applyAlignment="1" applyProtection="1">
      <alignment horizontal="center" vertical="center"/>
      <protection locked="0"/>
    </xf>
    <xf numFmtId="9" fontId="99" fillId="0" borderId="0" xfId="3" applyNumberFormat="1" applyFont="1" applyAlignment="1" applyProtection="1">
      <alignment horizontal="center" vertical="center"/>
      <protection locked="0"/>
    </xf>
    <xf numFmtId="192" fontId="19" fillId="0" borderId="0" xfId="3" applyNumberFormat="1" applyFont="1" applyAlignment="1" applyProtection="1">
      <alignment horizontal="center" vertical="center"/>
      <protection locked="0"/>
    </xf>
    <xf numFmtId="37" fontId="100" fillId="2" borderId="47" xfId="3" applyFont="1" applyFill="1" applyBorder="1" applyAlignment="1">
      <alignment horizontal="left" vertical="center"/>
    </xf>
    <xf numFmtId="167" fontId="99" fillId="2" borderId="146" xfId="3" applyNumberFormat="1" applyFont="1" applyFill="1" applyBorder="1" applyAlignment="1" applyProtection="1">
      <alignment horizontal="center" vertical="center"/>
      <protection locked="0"/>
    </xf>
    <xf numFmtId="167" fontId="99" fillId="0" borderId="0" xfId="3" applyNumberFormat="1" applyFont="1" applyAlignment="1" applyProtection="1">
      <alignment horizontal="center" vertical="center"/>
      <protection locked="0"/>
    </xf>
    <xf numFmtId="167" fontId="99" fillId="2" borderId="146" xfId="3" applyNumberFormat="1" applyFont="1" applyFill="1" applyBorder="1" applyAlignment="1">
      <alignment horizontal="center" vertical="center"/>
    </xf>
    <xf numFmtId="167" fontId="99" fillId="2" borderId="122" xfId="3" applyNumberFormat="1" applyFont="1" applyFill="1" applyBorder="1" applyAlignment="1">
      <alignment horizontal="center" vertical="center"/>
    </xf>
    <xf numFmtId="37" fontId="99" fillId="0" borderId="89" xfId="3" applyFont="1" applyBorder="1" applyAlignment="1">
      <alignment horizontal="left" vertical="center"/>
    </xf>
    <xf numFmtId="193" fontId="99" fillId="2" borderId="74" xfId="3" applyNumberFormat="1" applyFont="1" applyFill="1" applyBorder="1" applyAlignment="1" applyProtection="1">
      <alignment horizontal="center" vertical="center"/>
      <protection locked="0"/>
    </xf>
    <xf numFmtId="193" fontId="99" fillId="0" borderId="0" xfId="3" applyNumberFormat="1" applyFont="1" applyAlignment="1" applyProtection="1">
      <alignment horizontal="center" vertical="center"/>
      <protection locked="0"/>
    </xf>
    <xf numFmtId="193" fontId="99" fillId="2" borderId="74" xfId="3" applyNumberFormat="1" applyFont="1" applyFill="1" applyBorder="1" applyAlignment="1">
      <alignment horizontal="center" vertical="center"/>
    </xf>
    <xf numFmtId="193" fontId="99" fillId="0" borderId="99" xfId="3" applyNumberFormat="1" applyFont="1" applyBorder="1" applyAlignment="1" applyProtection="1">
      <alignment horizontal="center" vertical="center"/>
      <protection locked="0"/>
    </xf>
    <xf numFmtId="193" fontId="99" fillId="2" borderId="79" xfId="3" applyNumberFormat="1" applyFont="1" applyFill="1" applyBorder="1" applyAlignment="1">
      <alignment horizontal="center" vertical="center"/>
    </xf>
    <xf numFmtId="3" fontId="99" fillId="0" borderId="91" xfId="3" applyNumberFormat="1" applyFont="1" applyBorder="1" applyAlignment="1">
      <alignment horizontal="center" vertical="center"/>
    </xf>
    <xf numFmtId="193" fontId="99" fillId="0" borderId="74" xfId="3" applyNumberFormat="1" applyFont="1" applyBorder="1" applyAlignment="1" applyProtection="1">
      <alignment horizontal="center" vertical="center"/>
      <protection locked="0"/>
    </xf>
    <xf numFmtId="3" fontId="99" fillId="0" borderId="0" xfId="3" applyNumberFormat="1" applyFont="1" applyAlignment="1">
      <alignment horizontal="center" vertical="center"/>
    </xf>
    <xf numFmtId="193" fontId="99" fillId="0" borderId="74" xfId="3" applyNumberFormat="1" applyFont="1" applyBorder="1" applyAlignment="1">
      <alignment horizontal="center" vertical="center"/>
    </xf>
    <xf numFmtId="37" fontId="99" fillId="2" borderId="89" xfId="3" applyFont="1" applyFill="1" applyBorder="1" applyAlignment="1">
      <alignment horizontal="left" vertical="center"/>
    </xf>
    <xf numFmtId="9" fontId="99" fillId="2" borderId="74" xfId="3" applyNumberFormat="1" applyFont="1" applyFill="1" applyBorder="1" applyAlignment="1" applyProtection="1">
      <alignment horizontal="center" vertical="center"/>
      <protection locked="0"/>
    </xf>
    <xf numFmtId="9" fontId="99" fillId="2" borderId="74" xfId="3" applyNumberFormat="1" applyFont="1" applyFill="1" applyBorder="1" applyAlignment="1">
      <alignment horizontal="center" vertical="center"/>
    </xf>
    <xf numFmtId="9" fontId="99" fillId="2" borderId="79" xfId="3" applyNumberFormat="1" applyFont="1" applyFill="1" applyBorder="1" applyAlignment="1">
      <alignment horizontal="center" vertical="center"/>
    </xf>
    <xf numFmtId="2" fontId="99" fillId="0" borderId="76" xfId="3" applyNumberFormat="1" applyFont="1" applyBorder="1" applyAlignment="1">
      <alignment horizontal="center" vertical="center"/>
    </xf>
    <xf numFmtId="9" fontId="99" fillId="0" borderId="76" xfId="3" applyNumberFormat="1" applyFont="1" applyBorder="1" applyAlignment="1">
      <alignment horizontal="center" vertical="center"/>
    </xf>
    <xf numFmtId="167" fontId="99" fillId="0" borderId="146" xfId="3" applyNumberFormat="1" applyFont="1" applyBorder="1" applyAlignment="1" applyProtection="1">
      <alignment horizontal="center" vertical="center"/>
      <protection locked="0"/>
    </xf>
    <xf numFmtId="9" fontId="99" fillId="0" borderId="146" xfId="5" applyFont="1" applyBorder="1" applyAlignment="1" applyProtection="1">
      <alignment horizontal="center" vertical="center"/>
    </xf>
    <xf numFmtId="9" fontId="99" fillId="0" borderId="74" xfId="5" applyFont="1" applyBorder="1" applyAlignment="1" applyProtection="1">
      <alignment horizontal="center" vertical="center"/>
    </xf>
    <xf numFmtId="193" fontId="99" fillId="0" borderId="79" xfId="3" applyNumberFormat="1" applyFont="1" applyBorder="1" applyAlignment="1">
      <alignment horizontal="center" vertical="center"/>
    </xf>
    <xf numFmtId="37" fontId="112" fillId="0" borderId="0" xfId="3" quotePrefix="1" applyFont="1" applyAlignment="1" applyProtection="1">
      <alignment horizontal="center" vertical="center"/>
      <protection locked="0"/>
    </xf>
    <xf numFmtId="37" fontId="115" fillId="16" borderId="18" xfId="3" applyFont="1" applyFill="1" applyBorder="1" applyAlignment="1" applyProtection="1">
      <alignment vertical="center"/>
      <protection locked="0"/>
    </xf>
    <xf numFmtId="37" fontId="20" fillId="16" borderId="47" xfId="3" applyFont="1" applyFill="1" applyBorder="1" applyAlignment="1">
      <alignment horizontal="center" vertical="center"/>
    </xf>
    <xf numFmtId="3" fontId="30" fillId="0" borderId="146" xfId="3" applyNumberFormat="1" applyFont="1" applyBorder="1" applyAlignment="1">
      <alignment horizontal="left" vertical="center"/>
    </xf>
    <xf numFmtId="37" fontId="99" fillId="0" borderId="99" xfId="3" applyFont="1" applyBorder="1" applyAlignment="1">
      <alignment horizontal="left" vertical="center"/>
    </xf>
    <xf numFmtId="37" fontId="116" fillId="0" borderId="125" xfId="3" applyFont="1" applyBorder="1" applyAlignment="1" applyProtection="1">
      <alignment vertical="center"/>
      <protection locked="0"/>
    </xf>
    <xf numFmtId="37" fontId="99" fillId="0" borderId="73" xfId="3" applyFont="1" applyBorder="1" applyAlignment="1">
      <alignment vertical="center"/>
    </xf>
    <xf numFmtId="37" fontId="99" fillId="0" borderId="73" xfId="3" applyFont="1" applyBorder="1" applyAlignment="1">
      <alignment horizontal="right" vertical="center"/>
    </xf>
    <xf numFmtId="3" fontId="30" fillId="0" borderId="76" xfId="3" applyNumberFormat="1" applyFont="1" applyBorder="1" applyAlignment="1">
      <alignment horizontal="left" vertical="center"/>
    </xf>
    <xf numFmtId="37" fontId="101" fillId="0" borderId="496" xfId="3" applyFont="1" applyBorder="1" applyAlignment="1">
      <alignment vertical="center"/>
    </xf>
    <xf numFmtId="37" fontId="101" fillId="0" borderId="0" xfId="3" applyFont="1" applyAlignment="1">
      <alignment horizontal="left" vertical="center"/>
    </xf>
    <xf numFmtId="37" fontId="102" fillId="17" borderId="22" xfId="3" applyFont="1" applyFill="1" applyBorder="1" applyAlignment="1">
      <alignment horizontal="center" vertical="center"/>
    </xf>
    <xf numFmtId="37" fontId="117" fillId="17" borderId="77" xfId="3" applyFont="1" applyFill="1" applyBorder="1" applyAlignment="1" applyProtection="1">
      <alignment vertical="center"/>
      <protection locked="0"/>
    </xf>
    <xf numFmtId="37" fontId="102" fillId="17" borderId="78" xfId="3" applyFont="1" applyFill="1" applyBorder="1" applyAlignment="1">
      <alignment vertical="center"/>
    </xf>
    <xf numFmtId="37" fontId="102" fillId="17" borderId="78" xfId="3" applyFont="1" applyFill="1" applyBorder="1" applyAlignment="1">
      <alignment horizontal="right" vertical="center"/>
    </xf>
    <xf numFmtId="37" fontId="101" fillId="0" borderId="497" xfId="3" applyFont="1" applyBorder="1" applyAlignment="1" applyProtection="1">
      <alignment vertical="center"/>
      <protection locked="0"/>
    </xf>
    <xf numFmtId="37" fontId="99" fillId="0" borderId="496" xfId="3" applyFont="1" applyBorder="1" applyAlignment="1">
      <alignment vertical="center"/>
    </xf>
    <xf numFmtId="37" fontId="99" fillId="0" borderId="497" xfId="3" applyFont="1" applyBorder="1" applyAlignment="1" applyProtection="1">
      <alignment vertical="center"/>
      <protection locked="0"/>
    </xf>
    <xf numFmtId="37" fontId="100" fillId="16" borderId="89" xfId="3" applyFont="1" applyFill="1" applyBorder="1" applyAlignment="1">
      <alignment horizontal="left" vertical="center"/>
    </xf>
    <xf numFmtId="37" fontId="100" fillId="16" borderId="79" xfId="3" applyFont="1" applyFill="1" applyBorder="1" applyAlignment="1" applyProtection="1">
      <alignment vertical="center"/>
      <protection locked="0"/>
    </xf>
    <xf numFmtId="37" fontId="100" fillId="16" borderId="74" xfId="3" applyFont="1" applyFill="1" applyBorder="1" applyAlignment="1">
      <alignment horizontal="right" vertical="center"/>
    </xf>
    <xf numFmtId="3" fontId="30" fillId="0" borderId="74" xfId="3" applyNumberFormat="1" applyFont="1" applyBorder="1" applyAlignment="1">
      <alignment horizontal="left" vertical="center"/>
    </xf>
    <xf numFmtId="37" fontId="106" fillId="0" borderId="496" xfId="3" applyFont="1" applyBorder="1" applyAlignment="1">
      <alignment vertical="center"/>
    </xf>
    <xf numFmtId="3" fontId="30" fillId="0" borderId="74" xfId="3" quotePrefix="1" applyNumberFormat="1" applyFont="1" applyBorder="1" applyAlignment="1">
      <alignment horizontal="left" vertical="center"/>
    </xf>
    <xf numFmtId="37" fontId="106" fillId="0" borderId="497" xfId="3" applyFont="1" applyBorder="1" applyAlignment="1" applyProtection="1">
      <alignment vertical="center"/>
      <protection locked="0"/>
    </xf>
    <xf numFmtId="37" fontId="107" fillId="0" borderId="74" xfId="1" applyNumberFormat="1" applyFont="1" applyFill="1" applyBorder="1" applyAlignment="1" applyProtection="1">
      <alignment vertical="center"/>
    </xf>
    <xf numFmtId="37" fontId="108" fillId="0" borderId="0" xfId="3" applyFont="1" applyAlignment="1">
      <alignment horizontal="left" vertical="center"/>
    </xf>
    <xf numFmtId="37" fontId="100" fillId="16" borderId="74" xfId="1" applyNumberFormat="1" applyFont="1" applyFill="1" applyBorder="1" applyAlignment="1" applyProtection="1">
      <alignment vertical="center"/>
    </xf>
    <xf numFmtId="37" fontId="100" fillId="16" borderId="74" xfId="3" applyFont="1" applyFill="1" applyBorder="1" applyAlignment="1">
      <alignment vertical="center"/>
    </xf>
    <xf numFmtId="37" fontId="100" fillId="18" borderId="89" xfId="3" applyFont="1" applyFill="1" applyBorder="1" applyAlignment="1">
      <alignment horizontal="left" vertical="center"/>
    </xf>
    <xf numFmtId="37" fontId="99" fillId="18" borderId="79" xfId="3" applyFont="1" applyFill="1" applyBorder="1" applyAlignment="1" applyProtection="1">
      <alignment vertical="center"/>
      <protection locked="0"/>
    </xf>
    <xf numFmtId="37" fontId="100" fillId="18" borderId="74" xfId="3" applyFont="1" applyFill="1" applyBorder="1" applyAlignment="1">
      <alignment vertical="center"/>
    </xf>
    <xf numFmtId="37" fontId="100" fillId="18" borderId="74" xfId="3" applyFont="1" applyFill="1" applyBorder="1" applyAlignment="1">
      <alignment horizontal="right" vertical="center"/>
    </xf>
    <xf numFmtId="3" fontId="30" fillId="0" borderId="146" xfId="3" quotePrefix="1" applyNumberFormat="1" applyFont="1" applyBorder="1" applyAlignment="1">
      <alignment horizontal="left" vertical="center"/>
    </xf>
    <xf numFmtId="37" fontId="104" fillId="0" borderId="74" xfId="15" applyNumberFormat="1" applyFont="1" applyBorder="1" applyAlignment="1">
      <alignment horizontal="right" vertical="center"/>
    </xf>
    <xf numFmtId="37" fontId="107" fillId="0" borderId="496" xfId="3" applyFont="1" applyBorder="1" applyAlignment="1">
      <alignment vertical="center"/>
    </xf>
    <xf numFmtId="37" fontId="107" fillId="0" borderId="497" xfId="3" applyFont="1" applyBorder="1" applyAlignment="1" applyProtection="1">
      <alignment vertical="center"/>
      <protection locked="0"/>
    </xf>
    <xf numFmtId="37" fontId="110" fillId="0" borderId="0" xfId="3" applyFont="1" applyAlignment="1">
      <alignment horizontal="left" vertical="center"/>
    </xf>
    <xf numFmtId="37" fontId="100" fillId="18" borderId="79" xfId="3" applyFont="1" applyFill="1" applyBorder="1" applyAlignment="1" applyProtection="1">
      <alignment vertical="center"/>
      <protection locked="0"/>
    </xf>
    <xf numFmtId="3" fontId="30" fillId="0" borderId="73" xfId="3" quotePrefix="1" applyNumberFormat="1" applyFont="1" applyBorder="1" applyAlignment="1">
      <alignment horizontal="left" vertical="center"/>
    </xf>
    <xf numFmtId="49" fontId="107" fillId="0" borderId="89" xfId="3" quotePrefix="1" applyNumberFormat="1" applyFont="1" applyBorder="1" applyAlignment="1">
      <alignment horizontal="left" vertical="center"/>
    </xf>
    <xf numFmtId="37" fontId="31" fillId="0" borderId="19" xfId="3" applyFont="1" applyBorder="1" applyAlignment="1">
      <alignment horizontal="left" vertical="center"/>
    </xf>
    <xf numFmtId="37" fontId="99" fillId="16" borderId="79" xfId="3" applyFont="1" applyFill="1" applyBorder="1" applyAlignment="1" applyProtection="1">
      <alignment vertical="center"/>
      <protection locked="0"/>
    </xf>
    <xf numFmtId="37" fontId="99" fillId="21" borderId="74" xfId="3" applyFont="1" applyFill="1" applyBorder="1" applyAlignment="1">
      <alignment vertical="center"/>
    </xf>
    <xf numFmtId="37" fontId="104" fillId="0" borderId="496" xfId="3" applyFont="1" applyBorder="1" applyAlignment="1">
      <alignment vertical="center"/>
    </xf>
    <xf numFmtId="37" fontId="104" fillId="0" borderId="497" xfId="3" applyFont="1" applyBorder="1" applyAlignment="1" applyProtection="1">
      <alignment vertical="center"/>
      <protection locked="0"/>
    </xf>
    <xf numFmtId="37" fontId="106" fillId="13" borderId="0" xfId="3" applyFont="1" applyFill="1" applyAlignment="1" applyProtection="1">
      <alignment vertical="center"/>
      <protection locked="0"/>
    </xf>
    <xf numFmtId="37" fontId="100" fillId="15" borderId="89" xfId="3" applyFont="1" applyFill="1" applyBorder="1" applyAlignment="1">
      <alignment horizontal="left" vertical="center"/>
    </xf>
    <xf numFmtId="37" fontId="100" fillId="15" borderId="79" xfId="3" applyFont="1" applyFill="1" applyBorder="1" applyAlignment="1" applyProtection="1">
      <alignment vertical="center"/>
      <protection locked="0"/>
    </xf>
    <xf numFmtId="37" fontId="100" fillId="15" borderId="74" xfId="3" applyFont="1" applyFill="1" applyBorder="1" applyAlignment="1">
      <alignment vertical="center"/>
    </xf>
    <xf numFmtId="37" fontId="100" fillId="15" borderId="74" xfId="3" applyFont="1" applyFill="1" applyBorder="1" applyAlignment="1">
      <alignment horizontal="right" vertical="center"/>
    </xf>
    <xf numFmtId="37" fontId="106" fillId="13" borderId="496" xfId="3" applyFont="1" applyFill="1" applyBorder="1" applyAlignment="1">
      <alignment vertical="center"/>
    </xf>
    <xf numFmtId="3" fontId="30" fillId="13" borderId="74" xfId="3" quotePrefix="1" applyNumberFormat="1" applyFont="1" applyFill="1" applyBorder="1" applyAlignment="1">
      <alignment horizontal="left" vertical="center"/>
    </xf>
    <xf numFmtId="49" fontId="104" fillId="13" borderId="89" xfId="3" quotePrefix="1" applyNumberFormat="1" applyFont="1" applyFill="1" applyBorder="1" applyAlignment="1">
      <alignment horizontal="left" vertical="center"/>
    </xf>
    <xf numFmtId="37" fontId="118" fillId="13" borderId="79" xfId="3" applyFont="1" applyFill="1" applyBorder="1" applyAlignment="1" applyProtection="1">
      <alignment vertical="center"/>
      <protection locked="0"/>
    </xf>
    <xf numFmtId="37" fontId="104" fillId="13" borderId="74" xfId="3" applyFont="1" applyFill="1" applyBorder="1" applyAlignment="1">
      <alignment vertical="center"/>
    </xf>
    <xf numFmtId="37" fontId="106" fillId="13" borderId="0" xfId="3" applyFont="1" applyFill="1" applyAlignment="1" applyProtection="1">
      <alignment horizontal="center" vertical="center"/>
      <protection locked="0"/>
    </xf>
    <xf numFmtId="0" fontId="105" fillId="13" borderId="0" xfId="15" applyFont="1" applyFill="1" applyAlignment="1" applyProtection="1">
      <alignment vertical="center"/>
      <protection locked="0"/>
    </xf>
    <xf numFmtId="37" fontId="104" fillId="13" borderId="74" xfId="3" applyFont="1" applyFill="1" applyBorder="1" applyAlignment="1">
      <alignment horizontal="right" vertical="center"/>
    </xf>
    <xf numFmtId="37" fontId="106" fillId="13" borderId="497" xfId="3" applyFont="1" applyFill="1" applyBorder="1" applyAlignment="1" applyProtection="1">
      <alignment vertical="center"/>
      <protection locked="0"/>
    </xf>
    <xf numFmtId="0" fontId="16" fillId="2" borderId="0" xfId="15" applyFont="1" applyFill="1" applyProtection="1">
      <protection locked="0"/>
    </xf>
    <xf numFmtId="0" fontId="15" fillId="2" borderId="0" xfId="15" applyFont="1" applyFill="1" applyProtection="1">
      <protection locked="0"/>
    </xf>
    <xf numFmtId="37" fontId="119" fillId="0" borderId="79" xfId="3" applyFont="1" applyBorder="1" applyAlignment="1" applyProtection="1">
      <alignment vertical="center"/>
      <protection locked="0"/>
    </xf>
    <xf numFmtId="49" fontId="100" fillId="16" borderId="89" xfId="3" applyNumberFormat="1" applyFont="1" applyFill="1" applyBorder="1" applyAlignment="1">
      <alignment horizontal="left" vertical="center"/>
    </xf>
    <xf numFmtId="37" fontId="32" fillId="16" borderId="79" xfId="3" applyFont="1" applyFill="1" applyBorder="1" applyAlignment="1" applyProtection="1">
      <alignment vertical="center"/>
      <protection locked="0"/>
    </xf>
    <xf numFmtId="37" fontId="29" fillId="0" borderId="116" xfId="3" applyFont="1" applyBorder="1" applyAlignment="1">
      <alignment horizontal="left" vertical="center"/>
    </xf>
    <xf numFmtId="37" fontId="26" fillId="0" borderId="75" xfId="3" applyFont="1" applyBorder="1" applyAlignment="1" applyProtection="1">
      <alignment vertical="center"/>
      <protection locked="0"/>
    </xf>
    <xf numFmtId="37" fontId="29" fillId="0" borderId="76" xfId="3" applyFont="1" applyBorder="1" applyAlignment="1">
      <alignment vertical="center"/>
    </xf>
    <xf numFmtId="37" fontId="29" fillId="0" borderId="76" xfId="3" applyFont="1" applyBorder="1" applyAlignment="1">
      <alignment horizontal="right" vertical="center"/>
    </xf>
    <xf numFmtId="0" fontId="28" fillId="0" borderId="496" xfId="15" applyBorder="1" applyAlignment="1">
      <alignment vertical="center"/>
    </xf>
    <xf numFmtId="0" fontId="30" fillId="0" borderId="0" xfId="15" applyFont="1" applyAlignment="1">
      <alignment horizontal="left" vertical="center"/>
    </xf>
    <xf numFmtId="0" fontId="28" fillId="0" borderId="497" xfId="15" applyBorder="1" applyAlignment="1" applyProtection="1">
      <alignment vertical="center"/>
      <protection locked="0"/>
    </xf>
    <xf numFmtId="37" fontId="19" fillId="0" borderId="505" xfId="3" applyFont="1" applyBorder="1" applyAlignment="1">
      <alignment vertical="center"/>
    </xf>
    <xf numFmtId="37" fontId="19" fillId="0" borderId="506" xfId="3" applyFont="1" applyBorder="1" applyAlignment="1">
      <alignment vertical="center"/>
    </xf>
    <xf numFmtId="37" fontId="19" fillId="0" borderId="507" xfId="3" applyFont="1" applyBorder="1" applyAlignment="1">
      <alignment vertical="center"/>
    </xf>
    <xf numFmtId="37" fontId="19" fillId="0" borderId="508" xfId="3" applyFont="1" applyBorder="1" applyAlignment="1">
      <alignment vertical="center"/>
    </xf>
    <xf numFmtId="37" fontId="16" fillId="2" borderId="0" xfId="3" applyFont="1" applyFill="1" applyAlignment="1">
      <alignment horizontal="right" vertical="center"/>
    </xf>
    <xf numFmtId="37" fontId="20" fillId="2" borderId="0" xfId="3" applyFont="1" applyFill="1" applyAlignment="1">
      <alignment vertical="center"/>
    </xf>
    <xf numFmtId="37" fontId="19" fillId="2" borderId="0" xfId="3" applyFont="1" applyFill="1" applyAlignment="1">
      <alignment vertical="center"/>
    </xf>
    <xf numFmtId="37" fontId="19" fillId="0" borderId="509" xfId="3" applyFont="1" applyBorder="1" applyAlignment="1">
      <alignment vertical="center"/>
    </xf>
    <xf numFmtId="0" fontId="133" fillId="2" borderId="0" xfId="17" applyNumberFormat="1" applyFont="1" applyFill="1" applyAlignment="1">
      <alignment horizontal="centerContinuous" vertical="center" wrapText="1"/>
    </xf>
    <xf numFmtId="189" fontId="133" fillId="0" borderId="0" xfId="17" applyFont="1" applyAlignment="1">
      <alignment horizontal="centerContinuous" vertical="center" wrapText="1"/>
    </xf>
    <xf numFmtId="37" fontId="17" fillId="0" borderId="0" xfId="3" applyFont="1" applyAlignment="1">
      <alignment horizontal="centerContinuous" vertical="center" wrapText="1"/>
    </xf>
    <xf numFmtId="37" fontId="19" fillId="0" borderId="311" xfId="3" applyFont="1" applyBorder="1" applyAlignment="1">
      <alignment vertical="center"/>
    </xf>
    <xf numFmtId="37" fontId="19" fillId="0" borderId="510" xfId="3" applyFont="1" applyBorder="1" applyAlignment="1">
      <alignment vertical="center"/>
    </xf>
    <xf numFmtId="37" fontId="31" fillId="0" borderId="149" xfId="3" applyFont="1" applyBorder="1" applyAlignment="1">
      <alignment horizontal="left" vertical="center"/>
    </xf>
    <xf numFmtId="37" fontId="22" fillId="0" borderId="149" xfId="3" applyFont="1" applyBorder="1" applyAlignment="1" applyProtection="1">
      <alignment vertical="center"/>
      <protection locked="0"/>
    </xf>
    <xf numFmtId="37" fontId="111" fillId="0" borderId="149" xfId="3" applyFont="1" applyBorder="1" applyAlignment="1" applyProtection="1">
      <alignment vertical="center"/>
      <protection locked="0"/>
    </xf>
    <xf numFmtId="37" fontId="30" fillId="0" borderId="149" xfId="3" applyFont="1" applyBorder="1" applyAlignment="1" applyProtection="1">
      <alignment horizontal="center" vertical="center"/>
      <protection locked="0"/>
    </xf>
    <xf numFmtId="37" fontId="19" fillId="0" borderId="511" xfId="3" applyFont="1" applyBorder="1" applyAlignment="1" applyProtection="1">
      <alignment vertical="center"/>
      <protection locked="0"/>
    </xf>
    <xf numFmtId="189" fontId="133" fillId="0" borderId="512" xfId="17" applyFont="1" applyBorder="1" applyAlignment="1">
      <alignment horizontal="center" vertical="center"/>
    </xf>
    <xf numFmtId="3" fontId="133" fillId="0" borderId="512" xfId="16" applyNumberFormat="1" applyFont="1" applyFill="1" applyBorder="1" applyAlignment="1" applyProtection="1">
      <alignment horizontal="centerContinuous" vertical="center"/>
    </xf>
    <xf numFmtId="0" fontId="134" fillId="0" borderId="512" xfId="0" applyFont="1" applyBorder="1" applyAlignment="1">
      <alignment horizontal="centerContinuous" vertical="center"/>
    </xf>
    <xf numFmtId="3" fontId="133" fillId="0" borderId="513" xfId="16" applyNumberFormat="1" applyFont="1" applyFill="1" applyBorder="1" applyAlignment="1" applyProtection="1">
      <alignment horizontal="centerContinuous" vertical="center"/>
    </xf>
    <xf numFmtId="189" fontId="133" fillId="0" borderId="514" xfId="17" applyFont="1" applyBorder="1" applyAlignment="1">
      <alignment vertical="center"/>
    </xf>
    <xf numFmtId="3" fontId="133" fillId="2" borderId="515" xfId="16" applyNumberFormat="1" applyFont="1" applyFill="1" applyBorder="1" applyAlignment="1" applyProtection="1">
      <alignment horizontal="center" vertical="center"/>
    </xf>
    <xf numFmtId="3" fontId="133" fillId="0" borderId="516" xfId="16" applyNumberFormat="1" applyFont="1" applyFill="1" applyBorder="1" applyAlignment="1" applyProtection="1">
      <alignment horizontal="center" vertical="center"/>
    </xf>
    <xf numFmtId="3" fontId="133" fillId="0" borderId="515" xfId="16" applyNumberFormat="1" applyFont="1" applyFill="1" applyBorder="1" applyAlignment="1" applyProtection="1">
      <alignment horizontal="center" vertical="center"/>
    </xf>
    <xf numFmtId="3" fontId="133" fillId="0" borderId="0" xfId="16" applyNumberFormat="1" applyFont="1" applyFill="1" applyBorder="1" applyAlignment="1" applyProtection="1">
      <alignment horizontal="center" vertical="center"/>
    </xf>
    <xf numFmtId="49" fontId="72" fillId="10" borderId="514" xfId="3" applyNumberFormat="1" applyFont="1" applyFill="1" applyBorder="1" applyAlignment="1">
      <alignment vertical="center"/>
    </xf>
    <xf numFmtId="3" fontId="133" fillId="10" borderId="515" xfId="3" applyNumberFormat="1" applyFont="1" applyFill="1" applyBorder="1" applyAlignment="1">
      <alignment horizontal="center" vertical="center"/>
    </xf>
    <xf numFmtId="9" fontId="14" fillId="10" borderId="516" xfId="3" applyNumberFormat="1" applyFont="1" applyFill="1" applyBorder="1" applyAlignment="1">
      <alignment horizontal="center" vertical="center"/>
    </xf>
    <xf numFmtId="9" fontId="14" fillId="10" borderId="0" xfId="3" applyNumberFormat="1" applyFont="1" applyFill="1" applyAlignment="1">
      <alignment horizontal="center" vertical="center"/>
    </xf>
    <xf numFmtId="3" fontId="133" fillId="10" borderId="0" xfId="3" applyNumberFormat="1" applyFont="1" applyFill="1" applyAlignment="1">
      <alignment horizontal="center" vertical="center"/>
    </xf>
    <xf numFmtId="49" fontId="135" fillId="0" borderId="514" xfId="3" applyNumberFormat="1" applyFont="1" applyBorder="1" applyAlignment="1">
      <alignment vertical="center"/>
    </xf>
    <xf numFmtId="3" fontId="134" fillId="0" borderId="515" xfId="3" applyNumberFormat="1" applyFont="1" applyBorder="1" applyAlignment="1">
      <alignment horizontal="center" vertical="center"/>
    </xf>
    <xf numFmtId="9" fontId="136" fillId="0" borderId="516" xfId="3" applyNumberFormat="1" applyFont="1" applyBorder="1" applyAlignment="1">
      <alignment horizontal="center" vertical="center"/>
    </xf>
    <xf numFmtId="9" fontId="136" fillId="0" borderId="0" xfId="3" applyNumberFormat="1" applyFont="1" applyAlignment="1">
      <alignment horizontal="center" vertical="center"/>
    </xf>
    <xf numFmtId="9" fontId="14" fillId="0" borderId="516" xfId="3" applyNumberFormat="1" applyFont="1" applyBorder="1" applyAlignment="1">
      <alignment horizontal="center" vertical="center"/>
    </xf>
    <xf numFmtId="3" fontId="134" fillId="0" borderId="0" xfId="3" applyNumberFormat="1" applyFont="1" applyAlignment="1">
      <alignment horizontal="center" vertical="center"/>
    </xf>
    <xf numFmtId="0" fontId="31" fillId="0" borderId="0" xfId="0" applyFont="1" applyProtection="1">
      <protection locked="0"/>
    </xf>
    <xf numFmtId="37" fontId="31" fillId="0" borderId="47" xfId="0" applyNumberFormat="1" applyFont="1" applyBorder="1" applyAlignment="1" applyProtection="1">
      <alignment horizontal="center"/>
      <protection locked="0"/>
    </xf>
    <xf numFmtId="37" fontId="19" fillId="0" borderId="47" xfId="0" applyNumberFormat="1" applyFont="1" applyBorder="1" applyProtection="1">
      <protection locked="0"/>
    </xf>
    <xf numFmtId="37" fontId="19" fillId="0" borderId="18" xfId="3" applyFont="1" applyBorder="1" applyAlignment="1" applyProtection="1">
      <alignment vertical="center"/>
      <protection locked="0"/>
    </xf>
    <xf numFmtId="37" fontId="0" fillId="0" borderId="47" xfId="0" applyNumberFormat="1" applyBorder="1" applyProtection="1">
      <protection locked="0"/>
    </xf>
    <xf numFmtId="49" fontId="19" fillId="0" borderId="47" xfId="0" applyNumberFormat="1" applyFont="1" applyBorder="1" applyProtection="1">
      <protection locked="0"/>
    </xf>
    <xf numFmtId="37" fontId="0" fillId="0" borderId="18" xfId="0" applyNumberFormat="1" applyBorder="1" applyProtection="1">
      <protection locked="0"/>
    </xf>
    <xf numFmtId="49" fontId="137" fillId="0" borderId="316" xfId="3" applyNumberFormat="1" applyFont="1" applyBorder="1" applyAlignment="1">
      <alignment vertical="center"/>
    </xf>
    <xf numFmtId="3" fontId="138" fillId="0" borderId="317" xfId="3" applyNumberFormat="1" applyFont="1" applyBorder="1" applyAlignment="1">
      <alignment horizontal="center" vertical="center"/>
    </xf>
    <xf numFmtId="9" fontId="139" fillId="0" borderId="517" xfId="3" applyNumberFormat="1" applyFont="1" applyBorder="1" applyAlignment="1">
      <alignment horizontal="center" vertical="center"/>
    </xf>
    <xf numFmtId="9" fontId="139" fillId="0" borderId="311" xfId="3" applyNumberFormat="1" applyFont="1" applyBorder="1" applyAlignment="1">
      <alignment horizontal="center" vertical="center"/>
    </xf>
    <xf numFmtId="3" fontId="138" fillId="0" borderId="311" xfId="3" applyNumberFormat="1" applyFont="1" applyBorder="1" applyAlignment="1">
      <alignment horizontal="center" vertical="center"/>
    </xf>
    <xf numFmtId="49" fontId="19" fillId="0" borderId="59" xfId="0" applyNumberFormat="1" applyFont="1" applyBorder="1" applyProtection="1">
      <protection locked="0"/>
    </xf>
    <xf numFmtId="37" fontId="19" fillId="0" borderId="11" xfId="3" applyFont="1" applyBorder="1" applyAlignment="1" applyProtection="1">
      <alignment vertical="center"/>
      <protection locked="0"/>
    </xf>
    <xf numFmtId="9" fontId="14" fillId="0" borderId="513" xfId="3" applyNumberFormat="1" applyFont="1" applyBorder="1" applyAlignment="1">
      <alignment horizontal="center" vertical="center"/>
    </xf>
    <xf numFmtId="37" fontId="19" fillId="0" borderId="17" xfId="0" applyNumberFormat="1" applyFont="1" applyBorder="1" applyProtection="1">
      <protection locked="0"/>
    </xf>
    <xf numFmtId="37" fontId="19" fillId="0" borderId="61" xfId="0" applyNumberFormat="1" applyFont="1" applyBorder="1" applyProtection="1">
      <protection locked="0"/>
    </xf>
    <xf numFmtId="37" fontId="19" fillId="0" borderId="15" xfId="3" applyFont="1" applyBorder="1" applyAlignment="1" applyProtection="1">
      <alignment vertical="center"/>
      <protection locked="0"/>
    </xf>
    <xf numFmtId="37" fontId="19" fillId="0" borderId="59" xfId="0" applyNumberFormat="1" applyFont="1" applyBorder="1" applyProtection="1">
      <protection locked="0"/>
    </xf>
    <xf numFmtId="0" fontId="140" fillId="5" borderId="17" xfId="0" applyFont="1" applyFill="1" applyBorder="1" applyAlignment="1" applyProtection="1">
      <alignment horizontal="center" vertical="center"/>
      <protection locked="0"/>
    </xf>
    <xf numFmtId="37" fontId="19" fillId="5" borderId="19" xfId="3" applyFont="1" applyFill="1" applyBorder="1" applyAlignment="1" applyProtection="1">
      <alignment vertical="center"/>
      <protection locked="0"/>
    </xf>
    <xf numFmtId="37" fontId="19" fillId="5" borderId="18" xfId="3" applyFont="1" applyFill="1" applyBorder="1" applyAlignment="1" applyProtection="1">
      <alignment vertical="center"/>
      <protection locked="0"/>
    </xf>
    <xf numFmtId="37" fontId="140" fillId="5" borderId="18" xfId="0" applyNumberFormat="1" applyFont="1" applyFill="1" applyBorder="1" applyAlignment="1" applyProtection="1">
      <alignment horizontal="center" vertical="center"/>
      <protection locked="0"/>
    </xf>
    <xf numFmtId="37" fontId="140" fillId="5" borderId="47" xfId="0" applyNumberFormat="1" applyFont="1" applyFill="1" applyBorder="1" applyAlignment="1" applyProtection="1">
      <alignment horizontal="center" vertical="center"/>
      <protection locked="0"/>
    </xf>
    <xf numFmtId="49" fontId="72" fillId="10" borderId="316" xfId="3" applyNumberFormat="1" applyFont="1" applyFill="1" applyBorder="1" applyAlignment="1">
      <alignment vertical="center"/>
    </xf>
    <xf numFmtId="3" fontId="133" fillId="10" borderId="317" xfId="3" applyNumberFormat="1" applyFont="1" applyFill="1" applyBorder="1" applyAlignment="1">
      <alignment horizontal="center" vertical="center"/>
    </xf>
    <xf numFmtId="9" fontId="14" fillId="10" borderId="517" xfId="3" applyNumberFormat="1" applyFont="1" applyFill="1" applyBorder="1" applyAlignment="1">
      <alignment horizontal="center" vertical="center"/>
    </xf>
    <xf numFmtId="9" fontId="14" fillId="10" borderId="311" xfId="3" applyNumberFormat="1" applyFont="1" applyFill="1" applyBorder="1" applyAlignment="1">
      <alignment horizontal="center" vertical="center"/>
    </xf>
    <xf numFmtId="3" fontId="133" fillId="10" borderId="311" xfId="3" applyNumberFormat="1" applyFont="1" applyFill="1" applyBorder="1" applyAlignment="1">
      <alignment horizontal="center" vertical="center"/>
    </xf>
    <xf numFmtId="49" fontId="136" fillId="0" borderId="0" xfId="3" applyNumberFormat="1" applyFont="1" applyAlignment="1">
      <alignment vertical="center"/>
    </xf>
    <xf numFmtId="37" fontId="134" fillId="0" borderId="0" xfId="3" applyFont="1" applyAlignment="1">
      <alignment vertical="center"/>
    </xf>
    <xf numFmtId="37" fontId="134" fillId="0" borderId="518" xfId="3" applyFont="1" applyBorder="1" applyAlignment="1">
      <alignment vertical="center"/>
    </xf>
    <xf numFmtId="37" fontId="134" fillId="0" borderId="516" xfId="3" applyFont="1" applyBorder="1" applyAlignment="1">
      <alignment vertical="center"/>
    </xf>
    <xf numFmtId="37" fontId="134" fillId="0" borderId="0" xfId="3" applyFont="1" applyAlignment="1">
      <alignment horizontal="centerContinuous" vertical="center" wrapText="1"/>
    </xf>
    <xf numFmtId="37" fontId="134" fillId="0" borderId="516" xfId="3" applyFont="1" applyBorder="1" applyAlignment="1">
      <alignment horizontal="centerContinuous" vertical="center" wrapText="1"/>
    </xf>
    <xf numFmtId="189" fontId="14" fillId="0" borderId="512" xfId="17" applyFont="1" applyBorder="1" applyAlignment="1">
      <alignment horizontal="center" vertical="center"/>
    </xf>
    <xf numFmtId="0" fontId="31" fillId="0" borderId="29" xfId="0" applyFont="1" applyBorder="1" applyProtection="1">
      <protection locked="0"/>
    </xf>
    <xf numFmtId="0" fontId="0" fillId="0" borderId="29" xfId="0" applyBorder="1"/>
    <xf numFmtId="189" fontId="14" fillId="0" borderId="514" xfId="17" applyFont="1" applyBorder="1" applyAlignment="1">
      <alignment vertical="center"/>
    </xf>
    <xf numFmtId="37" fontId="0" fillId="0" borderId="61" xfId="0" applyNumberFormat="1" applyBorder="1" applyProtection="1">
      <protection locked="0"/>
    </xf>
    <xf numFmtId="37" fontId="31" fillId="13" borderId="0" xfId="3" applyFont="1" applyFill="1" applyAlignment="1" applyProtection="1">
      <alignment horizontal="left" vertical="center"/>
      <protection locked="0"/>
    </xf>
    <xf numFmtId="37" fontId="19" fillId="13" borderId="508" xfId="3" applyFont="1" applyFill="1" applyBorder="1" applyAlignment="1">
      <alignment vertical="center"/>
    </xf>
    <xf numFmtId="37" fontId="19" fillId="13" borderId="0" xfId="3" applyFont="1" applyFill="1" applyAlignment="1">
      <alignment vertical="center"/>
    </xf>
    <xf numFmtId="49" fontId="135" fillId="13" borderId="514" xfId="3" applyNumberFormat="1" applyFont="1" applyFill="1" applyBorder="1" applyAlignment="1">
      <alignment vertical="center"/>
    </xf>
    <xf numFmtId="3" fontId="134" fillId="13" borderId="515" xfId="3" applyNumberFormat="1" applyFont="1" applyFill="1" applyBorder="1" applyAlignment="1">
      <alignment horizontal="center" vertical="center"/>
    </xf>
    <xf numFmtId="9" fontId="136" fillId="13" borderId="516" xfId="3" applyNumberFormat="1" applyFont="1" applyFill="1" applyBorder="1" applyAlignment="1">
      <alignment horizontal="center" vertical="center"/>
    </xf>
    <xf numFmtId="3" fontId="134" fillId="13" borderId="0" xfId="3" applyNumberFormat="1" applyFont="1" applyFill="1" applyAlignment="1">
      <alignment horizontal="center" vertical="center"/>
    </xf>
    <xf numFmtId="9" fontId="136" fillId="13" borderId="0" xfId="3" applyNumberFormat="1" applyFont="1" applyFill="1" applyAlignment="1">
      <alignment horizontal="center" vertical="center"/>
    </xf>
    <xf numFmtId="9" fontId="14" fillId="13" borderId="516" xfId="3" applyNumberFormat="1" applyFont="1" applyFill="1" applyBorder="1" applyAlignment="1">
      <alignment horizontal="center" vertical="center"/>
    </xf>
    <xf numFmtId="37" fontId="19" fillId="13" borderId="509" xfId="3" applyFont="1" applyFill="1" applyBorder="1" applyAlignment="1">
      <alignment vertical="center"/>
    </xf>
    <xf numFmtId="0" fontId="28" fillId="13" borderId="0" xfId="15" applyFill="1" applyAlignment="1" applyProtection="1">
      <alignment vertical="center"/>
      <protection locked="0"/>
    </xf>
    <xf numFmtId="49" fontId="135" fillId="13" borderId="519" xfId="3" applyNumberFormat="1" applyFont="1" applyFill="1" applyBorder="1" applyAlignment="1">
      <alignment vertical="center"/>
    </xf>
    <xf numFmtId="3" fontId="134" fillId="13" borderId="520" xfId="3" applyNumberFormat="1" applyFont="1" applyFill="1" applyBorder="1" applyAlignment="1">
      <alignment horizontal="center" vertical="center"/>
    </xf>
    <xf numFmtId="9" fontId="136" fillId="13" borderId="521" xfId="3" applyNumberFormat="1" applyFont="1" applyFill="1" applyBorder="1" applyAlignment="1">
      <alignment horizontal="center" vertical="center"/>
    </xf>
    <xf numFmtId="3" fontId="134" fillId="13" borderId="522" xfId="3" applyNumberFormat="1" applyFont="1" applyFill="1" applyBorder="1" applyAlignment="1">
      <alignment horizontal="center" vertical="center"/>
    </xf>
    <xf numFmtId="9" fontId="136" fillId="13" borderId="522" xfId="3" applyNumberFormat="1" applyFont="1" applyFill="1" applyBorder="1" applyAlignment="1">
      <alignment horizontal="center" vertical="center"/>
    </xf>
    <xf numFmtId="9" fontId="14" fillId="0" borderId="523" xfId="3" applyNumberFormat="1" applyFont="1" applyBorder="1" applyAlignment="1">
      <alignment horizontal="center" vertical="center"/>
    </xf>
    <xf numFmtId="3" fontId="133" fillId="0" borderId="524" xfId="16" applyNumberFormat="1" applyFont="1" applyFill="1" applyBorder="1" applyAlignment="1" applyProtection="1">
      <alignment horizontal="centerContinuous" vertical="center"/>
    </xf>
    <xf numFmtId="0" fontId="134" fillId="0" borderId="513" xfId="0" applyFont="1" applyBorder="1" applyAlignment="1">
      <alignment horizontal="centerContinuous" vertical="center"/>
    </xf>
    <xf numFmtId="0" fontId="134" fillId="0" borderId="525" xfId="0" applyFont="1" applyBorder="1" applyAlignment="1">
      <alignment horizontal="centerContinuous" vertical="center"/>
    </xf>
    <xf numFmtId="3" fontId="133" fillId="0" borderId="518" xfId="16" applyNumberFormat="1" applyFont="1" applyFill="1" applyBorder="1" applyAlignment="1" applyProtection="1">
      <alignment horizontal="centerContinuous" vertical="center"/>
    </xf>
    <xf numFmtId="193" fontId="133" fillId="0" borderId="515" xfId="16" applyNumberFormat="1" applyFont="1" applyFill="1" applyBorder="1" applyAlignment="1" applyProtection="1">
      <alignment horizontal="centerContinuous" vertical="center"/>
    </xf>
    <xf numFmtId="193" fontId="133" fillId="0" borderId="516" xfId="16" applyNumberFormat="1" applyFont="1" applyFill="1" applyBorder="1" applyAlignment="1" applyProtection="1">
      <alignment horizontal="centerContinuous" vertical="center"/>
    </xf>
    <xf numFmtId="193" fontId="133" fillId="0" borderId="0" xfId="16" applyNumberFormat="1" applyFont="1" applyFill="1" applyBorder="1" applyAlignment="1" applyProtection="1">
      <alignment horizontal="centerContinuous" vertical="center"/>
    </xf>
    <xf numFmtId="167" fontId="133" fillId="0" borderId="515" xfId="16" applyNumberFormat="1" applyFont="1" applyFill="1" applyBorder="1" applyAlignment="1" applyProtection="1">
      <alignment horizontal="centerContinuous" vertical="center"/>
    </xf>
    <xf numFmtId="167" fontId="133" fillId="0" borderId="516" xfId="16" applyNumberFormat="1" applyFont="1" applyFill="1" applyBorder="1" applyAlignment="1" applyProtection="1">
      <alignment horizontal="centerContinuous" vertical="center"/>
    </xf>
    <xf numFmtId="167" fontId="133" fillId="0" borderId="0" xfId="16" applyNumberFormat="1" applyFont="1" applyFill="1" applyBorder="1" applyAlignment="1" applyProtection="1">
      <alignment horizontal="centerContinuous" vertical="center"/>
    </xf>
    <xf numFmtId="3" fontId="133" fillId="0" borderId="515" xfId="16" applyNumberFormat="1" applyFont="1" applyFill="1" applyBorder="1" applyAlignment="1" applyProtection="1">
      <alignment horizontal="centerContinuous" vertical="center"/>
    </xf>
    <xf numFmtId="3" fontId="133" fillId="0" borderId="516" xfId="16" applyNumberFormat="1" applyFont="1" applyFill="1" applyBorder="1" applyAlignment="1" applyProtection="1">
      <alignment horizontal="centerContinuous" vertical="center"/>
    </xf>
    <xf numFmtId="3" fontId="133" fillId="0" borderId="0" xfId="16" applyNumberFormat="1" applyFont="1" applyFill="1" applyBorder="1" applyAlignment="1" applyProtection="1">
      <alignment horizontal="centerContinuous" vertical="center"/>
    </xf>
    <xf numFmtId="49" fontId="135" fillId="0" borderId="316" xfId="3" applyNumberFormat="1" applyFont="1" applyBorder="1" applyAlignment="1">
      <alignment vertical="center"/>
    </xf>
    <xf numFmtId="3" fontId="133" fillId="0" borderId="317" xfId="16" applyNumberFormat="1" applyFont="1" applyFill="1" applyBorder="1" applyAlignment="1" applyProtection="1">
      <alignment horizontal="centerContinuous" vertical="center"/>
    </xf>
    <xf numFmtId="3" fontId="133" fillId="0" borderId="517" xfId="16" applyNumberFormat="1" applyFont="1" applyFill="1" applyBorder="1" applyAlignment="1" applyProtection="1">
      <alignment horizontal="centerContinuous" vertical="center"/>
    </xf>
    <xf numFmtId="3" fontId="133" fillId="0" borderId="311" xfId="16" applyNumberFormat="1" applyFont="1" applyFill="1" applyBorder="1" applyAlignment="1" applyProtection="1">
      <alignment horizontal="centerContinuous" vertical="center"/>
    </xf>
    <xf numFmtId="37" fontId="19" fillId="0" borderId="526" xfId="3" applyFont="1" applyBorder="1" applyAlignment="1">
      <alignment vertical="center"/>
    </xf>
    <xf numFmtId="49" fontId="19" fillId="0" borderId="527" xfId="3" applyNumberFormat="1" applyFont="1" applyBorder="1" applyAlignment="1">
      <alignment vertical="center"/>
    </xf>
    <xf numFmtId="37" fontId="19" fillId="0" borderId="527" xfId="3" applyFont="1" applyBorder="1" applyAlignment="1">
      <alignment vertical="center"/>
    </xf>
    <xf numFmtId="37" fontId="19" fillId="0" borderId="528" xfId="3" applyFont="1" applyBorder="1" applyAlignment="1">
      <alignment vertical="center"/>
    </xf>
    <xf numFmtId="37" fontId="19" fillId="0" borderId="529" xfId="3" applyFont="1" applyBorder="1" applyAlignment="1">
      <alignment vertical="center"/>
    </xf>
    <xf numFmtId="37" fontId="19" fillId="0" borderId="530" xfId="3" applyFont="1" applyBorder="1" applyAlignment="1">
      <alignment vertical="center"/>
    </xf>
    <xf numFmtId="37" fontId="19" fillId="0" borderId="0" xfId="3" applyFont="1" applyAlignment="1">
      <alignment horizontal="center" vertical="center"/>
    </xf>
    <xf numFmtId="0" fontId="28" fillId="0" borderId="0" xfId="15" applyAlignment="1">
      <alignment vertical="center"/>
    </xf>
    <xf numFmtId="0" fontId="28" fillId="0" borderId="0" xfId="15"/>
    <xf numFmtId="9" fontId="29" fillId="0" borderId="0" xfId="3" applyNumberFormat="1" applyFont="1" applyAlignment="1">
      <alignment horizontal="right" vertical="center"/>
    </xf>
    <xf numFmtId="0" fontId="30" fillId="0" borderId="0" xfId="15" applyFont="1"/>
    <xf numFmtId="37" fontId="28" fillId="0" borderId="0" xfId="3" applyFont="1" applyAlignment="1">
      <alignment horizontal="center" vertical="center"/>
    </xf>
    <xf numFmtId="37" fontId="28" fillId="2" borderId="0" xfId="3" applyFont="1" applyFill="1" applyAlignment="1">
      <alignment horizontal="center" vertical="center"/>
    </xf>
    <xf numFmtId="194" fontId="28" fillId="0" borderId="0" xfId="3" applyNumberFormat="1" applyFont="1" applyAlignment="1">
      <alignment horizontal="left" vertical="center"/>
    </xf>
    <xf numFmtId="37" fontId="30" fillId="0" borderId="0" xfId="3" applyFont="1" applyAlignment="1">
      <alignment horizontal="center" vertical="center"/>
    </xf>
    <xf numFmtId="37" fontId="28" fillId="0" borderId="0" xfId="15" applyNumberFormat="1" applyAlignment="1">
      <alignment horizontal="left" vertical="center"/>
    </xf>
    <xf numFmtId="37" fontId="28" fillId="20" borderId="0" xfId="3" applyFont="1" applyFill="1" applyAlignment="1">
      <alignment vertical="center"/>
    </xf>
    <xf numFmtId="37" fontId="28" fillId="0" borderId="92" xfId="3" applyFont="1" applyBorder="1" applyAlignment="1">
      <alignment vertical="center"/>
    </xf>
    <xf numFmtId="37" fontId="28" fillId="0" borderId="92" xfId="3" applyFont="1" applyBorder="1" applyAlignment="1">
      <alignment horizontal="center" vertical="center"/>
    </xf>
    <xf numFmtId="37" fontId="28" fillId="2" borderId="0" xfId="3" quotePrefix="1" applyFont="1" applyFill="1" applyAlignment="1">
      <alignment vertical="center"/>
    </xf>
    <xf numFmtId="3" fontId="28" fillId="0" borderId="0" xfId="15" applyNumberFormat="1" applyAlignment="1">
      <alignment horizontal="center" vertical="center"/>
    </xf>
    <xf numFmtId="37" fontId="28" fillId="0" borderId="0" xfId="15" applyNumberFormat="1" applyAlignment="1">
      <alignment vertical="center"/>
    </xf>
    <xf numFmtId="3" fontId="28" fillId="0" borderId="0" xfId="3" applyNumberFormat="1" applyFont="1" applyAlignment="1">
      <alignment horizontal="left" vertical="center"/>
    </xf>
    <xf numFmtId="37" fontId="28" fillId="0" borderId="47" xfId="3" applyFont="1" applyBorder="1" applyAlignment="1">
      <alignment vertical="center"/>
    </xf>
    <xf numFmtId="37" fontId="28" fillId="0" borderId="0" xfId="3" quotePrefix="1" applyFont="1" applyAlignment="1">
      <alignment vertical="center"/>
    </xf>
    <xf numFmtId="0" fontId="30" fillId="0" borderId="0" xfId="15" applyFont="1" applyAlignment="1">
      <alignment vertical="center"/>
    </xf>
    <xf numFmtId="195" fontId="28" fillId="0" borderId="0" xfId="3" applyNumberFormat="1" applyFont="1" applyAlignment="1">
      <alignment vertical="center"/>
    </xf>
    <xf numFmtId="196" fontId="28" fillId="0" borderId="0" xfId="3" applyNumberFormat="1" applyFont="1" applyAlignment="1">
      <alignment vertical="center"/>
    </xf>
    <xf numFmtId="197" fontId="28" fillId="0" borderId="0" xfId="3" applyNumberFormat="1" applyFont="1" applyAlignment="1">
      <alignment vertical="center"/>
    </xf>
    <xf numFmtId="37" fontId="141" fillId="0" borderId="47" xfId="3" applyFont="1" applyBorder="1" applyAlignment="1">
      <alignment horizontal="center" vertical="center"/>
    </xf>
    <xf numFmtId="39" fontId="141" fillId="0" borderId="18" xfId="3" applyNumberFormat="1" applyFont="1" applyBorder="1" applyAlignment="1">
      <alignment horizontal="center" vertical="center"/>
    </xf>
    <xf numFmtId="3" fontId="142" fillId="0" borderId="47" xfId="3" applyNumberFormat="1" applyFont="1" applyBorder="1" applyAlignment="1">
      <alignment horizontal="center" vertical="center"/>
    </xf>
    <xf numFmtId="9" fontId="142" fillId="0" borderId="47" xfId="5" applyFont="1" applyBorder="1" applyAlignment="1" applyProtection="1">
      <alignment horizontal="center" vertical="center"/>
    </xf>
    <xf numFmtId="3" fontId="143" fillId="0" borderId="47" xfId="5" applyNumberFormat="1" applyFont="1" applyBorder="1" applyAlignment="1" applyProtection="1">
      <alignment horizontal="center" vertical="center"/>
    </xf>
    <xf numFmtId="37" fontId="144" fillId="0" borderId="17" xfId="3" applyFont="1" applyBorder="1" applyAlignment="1">
      <alignment horizontal="center" vertical="center"/>
    </xf>
    <xf numFmtId="37" fontId="144" fillId="0" borderId="47" xfId="3" applyFont="1" applyBorder="1" applyAlignment="1">
      <alignment horizontal="center" vertical="center"/>
    </xf>
    <xf numFmtId="9" fontId="145" fillId="0" borderId="47" xfId="5" applyFont="1" applyBorder="1" applyAlignment="1" applyProtection="1">
      <alignment horizontal="center" vertical="center"/>
    </xf>
    <xf numFmtId="3" fontId="30" fillId="0" borderId="0" xfId="3" applyNumberFormat="1" applyFont="1" applyAlignment="1">
      <alignment horizontal="left" vertical="center"/>
    </xf>
    <xf numFmtId="174" fontId="28" fillId="0" borderId="0" xfId="3" applyNumberFormat="1" applyFont="1" applyAlignment="1">
      <alignment horizontal="left" vertical="center"/>
    </xf>
    <xf numFmtId="0" fontId="28" fillId="0" borderId="0" xfId="15" applyAlignment="1">
      <alignment horizontal="left" vertical="center"/>
    </xf>
    <xf numFmtId="37" fontId="30" fillId="0" borderId="0" xfId="15" applyNumberFormat="1" applyFont="1" applyAlignment="1">
      <alignment vertical="center"/>
    </xf>
    <xf numFmtId="37" fontId="30" fillId="0" borderId="0" xfId="15" applyNumberFormat="1" applyFont="1" applyAlignment="1">
      <alignment horizontal="left" vertical="center"/>
    </xf>
    <xf numFmtId="39" fontId="28" fillId="0" borderId="0" xfId="3" applyNumberFormat="1" applyFont="1" applyAlignment="1">
      <alignment vertical="center"/>
    </xf>
    <xf numFmtId="0" fontId="28" fillId="0" borderId="0" xfId="15" applyAlignment="1">
      <alignment horizontal="left"/>
    </xf>
    <xf numFmtId="37" fontId="28" fillId="0" borderId="0" xfId="3" applyFont="1" applyAlignment="1">
      <alignment horizontal="centerContinuous" vertical="center"/>
    </xf>
    <xf numFmtId="37" fontId="99" fillId="13" borderId="0" xfId="15" applyNumberFormat="1" applyFont="1" applyFill="1" applyAlignment="1" applyProtection="1">
      <alignment vertical="center"/>
      <protection locked="0"/>
    </xf>
    <xf numFmtId="37" fontId="82" fillId="13" borderId="0" xfId="15" applyNumberFormat="1" applyFont="1" applyFill="1" applyAlignment="1" applyProtection="1">
      <alignment vertical="center"/>
      <protection locked="0"/>
    </xf>
    <xf numFmtId="37" fontId="18" fillId="13" borderId="0" xfId="15" applyNumberFormat="1" applyFont="1" applyFill="1" applyAlignment="1" applyProtection="1">
      <alignment vertical="center"/>
      <protection locked="0"/>
    </xf>
    <xf numFmtId="37" fontId="16" fillId="13" borderId="0" xfId="15" applyNumberFormat="1" applyFont="1" applyFill="1" applyAlignment="1" applyProtection="1">
      <alignment vertical="center"/>
      <protection locked="0"/>
    </xf>
    <xf numFmtId="37" fontId="73" fillId="0" borderId="0" xfId="15" applyNumberFormat="1" applyFont="1" applyAlignment="1" applyProtection="1">
      <alignment vertical="center"/>
      <protection locked="0"/>
    </xf>
    <xf numFmtId="37" fontId="146" fillId="13" borderId="0" xfId="15" applyNumberFormat="1" applyFont="1" applyFill="1" applyAlignment="1" applyProtection="1">
      <alignment vertical="center"/>
      <protection locked="0"/>
    </xf>
    <xf numFmtId="37" fontId="76" fillId="13" borderId="0" xfId="15" applyNumberFormat="1" applyFont="1" applyFill="1" applyAlignment="1" applyProtection="1">
      <alignment vertical="center"/>
      <protection hidden="1"/>
    </xf>
    <xf numFmtId="37" fontId="147" fillId="13" borderId="0" xfId="15" applyNumberFormat="1" applyFont="1" applyFill="1" applyAlignment="1" applyProtection="1">
      <alignment vertical="center"/>
      <protection locked="0"/>
    </xf>
    <xf numFmtId="37" fontId="86" fillId="13" borderId="0" xfId="15" applyNumberFormat="1" applyFont="1" applyFill="1" applyAlignment="1" applyProtection="1">
      <alignment vertical="center"/>
      <protection locked="0"/>
    </xf>
    <xf numFmtId="0" fontId="150" fillId="13" borderId="0" xfId="6" applyFont="1" applyFill="1" applyAlignment="1" applyProtection="1">
      <alignment vertical="center"/>
      <protection locked="0"/>
    </xf>
    <xf numFmtId="1" fontId="151" fillId="13" borderId="0" xfId="6" applyNumberFormat="1" applyFont="1" applyFill="1" applyAlignment="1" applyProtection="1">
      <alignment horizontal="right"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148" fillId="4" borderId="10" xfId="6" applyFont="1" applyFill="1" applyBorder="1" applyAlignment="1" applyProtection="1">
      <alignment vertical="center"/>
      <protection locked="0"/>
    </xf>
    <xf numFmtId="17" fontId="148" fillId="4" borderId="16" xfId="6" applyNumberFormat="1" applyFont="1" applyFill="1" applyBorder="1" applyAlignment="1" applyProtection="1">
      <alignment horizontal="center" vertical="center"/>
      <protection locked="0"/>
    </xf>
    <xf numFmtId="0" fontId="152" fillId="13" borderId="17" xfId="6" applyFont="1" applyFill="1" applyBorder="1" applyAlignment="1" applyProtection="1">
      <alignment horizontal="center" vertical="center"/>
      <protection locked="0"/>
    </xf>
    <xf numFmtId="0" fontId="150" fillId="13" borderId="12" xfId="6" applyFont="1" applyFill="1" applyBorder="1" applyAlignment="1" applyProtection="1">
      <alignment vertical="center"/>
      <protection locked="0"/>
    </xf>
    <xf numFmtId="198" fontId="150" fillId="13" borderId="0" xfId="11" applyNumberFormat="1" applyFont="1" applyFill="1" applyBorder="1" applyAlignment="1" applyProtection="1">
      <alignment vertical="center"/>
      <protection locked="0"/>
    </xf>
    <xf numFmtId="198" fontId="150" fillId="13" borderId="13" xfId="11" applyNumberFormat="1" applyFont="1" applyFill="1" applyBorder="1" applyAlignment="1" applyProtection="1">
      <alignment vertical="center"/>
      <protection locked="0"/>
    </xf>
    <xf numFmtId="0" fontId="149" fillId="0" borderId="0" xfId="6" applyFont="1" applyAlignment="1" applyProtection="1">
      <alignment vertical="center"/>
      <protection locked="0"/>
    </xf>
    <xf numFmtId="0" fontId="149" fillId="13" borderId="10" xfId="6" applyFont="1" applyFill="1" applyBorder="1" applyAlignment="1" applyProtection="1">
      <alignment horizontal="center" vertical="center"/>
      <protection locked="0"/>
    </xf>
    <xf numFmtId="199" fontId="150" fillId="13" borderId="16" xfId="11" applyNumberFormat="1" applyFont="1" applyFill="1" applyBorder="1" applyAlignment="1" applyProtection="1">
      <alignment vertical="center"/>
      <protection locked="0"/>
    </xf>
    <xf numFmtId="199" fontId="150" fillId="13" borderId="11" xfId="11" applyNumberFormat="1"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37" fontId="148" fillId="4" borderId="47" xfId="6" applyNumberFormat="1" applyFont="1" applyFill="1" applyBorder="1" applyAlignment="1" applyProtection="1">
      <alignment horizontal="center" vertical="center"/>
      <protection locked="0"/>
    </xf>
    <xf numFmtId="0" fontId="148" fillId="4" borderId="47" xfId="6" applyFont="1" applyFill="1" applyBorder="1" applyAlignment="1" applyProtection="1">
      <alignment horizontal="center" vertical="center"/>
      <protection locked="0"/>
    </xf>
    <xf numFmtId="3" fontId="150" fillId="13" borderId="0" xfId="11" applyNumberFormat="1" applyFont="1" applyFill="1" applyBorder="1" applyAlignment="1" applyProtection="1">
      <alignment vertical="center"/>
      <protection locked="0"/>
    </xf>
    <xf numFmtId="3" fontId="150" fillId="13" borderId="13" xfId="11" applyNumberFormat="1" applyFont="1" applyFill="1" applyBorder="1" applyAlignment="1" applyProtection="1">
      <alignment vertical="center"/>
      <protection locked="0"/>
    </xf>
    <xf numFmtId="0" fontId="149" fillId="13" borderId="12" xfId="6" applyFont="1" applyFill="1" applyBorder="1" applyAlignment="1" applyProtection="1">
      <alignment vertical="center"/>
      <protection locked="0"/>
    </xf>
    <xf numFmtId="198" fontId="149" fillId="13" borderId="0" xfId="11" applyNumberFormat="1" applyFont="1" applyFill="1" applyBorder="1" applyAlignment="1" applyProtection="1">
      <alignment vertical="center"/>
      <protection locked="0"/>
    </xf>
    <xf numFmtId="198" fontId="149" fillId="13" borderId="13" xfId="11" applyNumberFormat="1" applyFont="1" applyFill="1" applyBorder="1" applyAlignment="1" applyProtection="1">
      <alignment vertical="center"/>
      <protection locked="0"/>
    </xf>
    <xf numFmtId="0" fontId="150" fillId="13" borderId="101" xfId="6" applyFont="1" applyFill="1" applyBorder="1" applyAlignment="1" applyProtection="1">
      <alignment vertical="center"/>
      <protection locked="0"/>
    </xf>
    <xf numFmtId="3" fontId="150" fillId="13" borderId="102" xfId="11" applyNumberFormat="1" applyFont="1" applyFill="1" applyBorder="1" applyAlignment="1" applyProtection="1">
      <alignment vertical="center"/>
      <protection locked="0"/>
    </xf>
    <xf numFmtId="37" fontId="74" fillId="13" borderId="47" xfId="15" applyNumberFormat="1" applyFont="1" applyFill="1" applyBorder="1" applyAlignment="1" applyProtection="1">
      <alignment vertical="center"/>
      <protection locked="0"/>
    </xf>
    <xf numFmtId="37" fontId="99" fillId="13" borderId="47" xfId="15" applyNumberFormat="1" applyFont="1" applyFill="1" applyBorder="1" applyAlignment="1" applyProtection="1">
      <alignment vertical="center"/>
      <protection locked="0"/>
    </xf>
    <xf numFmtId="0" fontId="153" fillId="13" borderId="91" xfId="6" applyFont="1" applyFill="1" applyBorder="1" applyAlignment="1" applyProtection="1">
      <alignment horizontal="right" vertical="center"/>
      <protection locked="0"/>
    </xf>
    <xf numFmtId="167" fontId="153" fillId="13" borderId="102" xfId="5" applyNumberFormat="1" applyFont="1" applyFill="1" applyBorder="1" applyAlignment="1" applyProtection="1">
      <alignment horizontal="center" vertical="center"/>
      <protection locked="0"/>
    </xf>
    <xf numFmtId="0" fontId="150" fillId="13" borderId="91" xfId="6" applyFont="1" applyFill="1" applyBorder="1" applyAlignment="1" applyProtection="1">
      <alignment vertical="center"/>
      <protection locked="0"/>
    </xf>
    <xf numFmtId="0" fontId="150" fillId="13" borderId="12" xfId="6" applyFont="1" applyFill="1" applyBorder="1" applyAlignment="1" applyProtection="1">
      <alignment horizontal="left" vertical="center"/>
      <protection locked="0"/>
    </xf>
    <xf numFmtId="198" fontId="150" fillId="13" borderId="0" xfId="6" applyNumberFormat="1" applyFont="1" applyFill="1" applyAlignment="1" applyProtection="1">
      <alignment vertical="center"/>
      <protection locked="0"/>
    </xf>
    <xf numFmtId="198" fontId="150" fillId="13" borderId="13" xfId="6" applyNumberFormat="1" applyFont="1" applyFill="1" applyBorder="1" applyAlignment="1" applyProtection="1">
      <alignment vertical="center"/>
      <protection locked="0"/>
    </xf>
    <xf numFmtId="37" fontId="15" fillId="13" borderId="0" xfId="15" applyNumberFormat="1" applyFont="1" applyFill="1" applyAlignment="1" applyProtection="1">
      <alignment vertical="center"/>
      <protection locked="0"/>
    </xf>
    <xf numFmtId="3" fontId="149" fillId="13" borderId="0" xfId="11" applyNumberFormat="1" applyFont="1" applyFill="1" applyBorder="1" applyAlignment="1" applyProtection="1">
      <alignment vertical="center"/>
      <protection locked="0"/>
    </xf>
    <xf numFmtId="3" fontId="149" fillId="13" borderId="13" xfId="11" applyNumberFormat="1" applyFont="1" applyFill="1" applyBorder="1" applyAlignment="1" applyProtection="1">
      <alignment vertical="center"/>
      <protection locked="0"/>
    </xf>
    <xf numFmtId="0" fontId="149" fillId="13" borderId="14" xfId="6" applyFont="1" applyFill="1" applyBorder="1" applyAlignment="1" applyProtection="1">
      <alignment vertical="center"/>
      <protection locked="0"/>
    </xf>
    <xf numFmtId="198" fontId="149" fillId="13" borderId="29" xfId="11" applyNumberFormat="1" applyFont="1" applyFill="1" applyBorder="1" applyAlignment="1" applyProtection="1">
      <alignment vertical="center"/>
      <protection locked="0"/>
    </xf>
    <xf numFmtId="198" fontId="149" fillId="13" borderId="15" xfId="11" applyNumberFormat="1" applyFont="1" applyFill="1" applyBorder="1" applyAlignment="1" applyProtection="1">
      <alignment vertical="center"/>
      <protection locked="0"/>
    </xf>
    <xf numFmtId="37" fontId="148" fillId="4" borderId="47" xfId="6" quotePrefix="1" applyNumberFormat="1"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91" xfId="6" applyFont="1" applyFill="1" applyBorder="1" applyAlignment="1" applyProtection="1">
      <alignment vertical="center"/>
      <protection locked="0"/>
    </xf>
    <xf numFmtId="3" fontId="148" fillId="4" borderId="102" xfId="11" applyNumberFormat="1" applyFont="1" applyFill="1" applyBorder="1" applyAlignment="1" applyProtection="1">
      <alignment vertical="center"/>
      <protection locked="0"/>
    </xf>
    <xf numFmtId="0" fontId="149" fillId="13" borderId="12" xfId="6" applyFont="1" applyFill="1" applyBorder="1" applyAlignment="1" applyProtection="1">
      <alignment horizontal="center" vertical="center"/>
      <protection locked="0"/>
    </xf>
    <xf numFmtId="0" fontId="150" fillId="13" borderId="13" xfId="6" applyFont="1" applyFill="1" applyBorder="1" applyAlignment="1" applyProtection="1">
      <alignment vertical="center"/>
      <protection locked="0"/>
    </xf>
    <xf numFmtId="167" fontId="150" fillId="13" borderId="0" xfId="5" applyNumberFormat="1" applyFont="1" applyFill="1" applyBorder="1" applyAlignment="1" applyProtection="1">
      <alignment horizontal="center" vertical="center"/>
      <protection locked="0"/>
    </xf>
    <xf numFmtId="167" fontId="150" fillId="13" borderId="13" xfId="5" applyNumberFormat="1" applyFont="1" applyFill="1" applyBorder="1" applyAlignment="1" applyProtection="1">
      <alignment horizontal="center" vertical="center"/>
      <protection locked="0"/>
    </xf>
    <xf numFmtId="0" fontId="148" fillId="4" borderId="12" xfId="6" applyFont="1" applyFill="1" applyBorder="1" applyAlignment="1" applyProtection="1">
      <alignment horizontal="center" vertical="center"/>
      <protection locked="0"/>
    </xf>
    <xf numFmtId="3" fontId="148" fillId="4" borderId="0" xfId="11" applyNumberFormat="1" applyFont="1" applyFill="1" applyBorder="1" applyAlignment="1" applyProtection="1">
      <alignment vertical="center"/>
      <protection locked="0"/>
    </xf>
    <xf numFmtId="3" fontId="148" fillId="4" borderId="13" xfId="11" applyNumberFormat="1" applyFont="1" applyFill="1" applyBorder="1" applyAlignment="1" applyProtection="1">
      <alignment vertical="center"/>
      <protection locked="0"/>
    </xf>
    <xf numFmtId="199" fontId="150" fillId="13" borderId="0" xfId="11" applyNumberFormat="1" applyFont="1" applyFill="1" applyBorder="1" applyAlignment="1" applyProtection="1">
      <alignment vertical="center"/>
      <protection locked="0"/>
    </xf>
    <xf numFmtId="199" fontId="150" fillId="13" borderId="13" xfId="11" applyNumberFormat="1" applyFont="1" applyFill="1" applyBorder="1" applyAlignment="1" applyProtection="1">
      <alignment vertical="center"/>
      <protection locked="0"/>
    </xf>
    <xf numFmtId="1" fontId="150" fillId="13" borderId="0" xfId="6" applyNumberFormat="1" applyFont="1" applyFill="1" applyAlignment="1" applyProtection="1">
      <alignment horizontal="center" vertical="center"/>
      <protection locked="0"/>
    </xf>
    <xf numFmtId="1" fontId="150" fillId="13" borderId="13" xfId="6" applyNumberFormat="1" applyFont="1" applyFill="1" applyBorder="1" applyAlignment="1" applyProtection="1">
      <alignment horizontal="center" vertical="center"/>
      <protection locked="0"/>
    </xf>
    <xf numFmtId="37" fontId="99" fillId="13" borderId="141" xfId="15" applyNumberFormat="1" applyFont="1" applyFill="1" applyBorder="1" applyAlignment="1" applyProtection="1">
      <alignment vertical="center"/>
      <protection locked="0"/>
    </xf>
    <xf numFmtId="37" fontId="99" fillId="13" borderId="142" xfId="15" applyNumberFormat="1" applyFont="1" applyFill="1" applyBorder="1" applyAlignment="1" applyProtection="1">
      <alignment vertical="center"/>
      <protection locked="0"/>
    </xf>
    <xf numFmtId="0" fontId="23" fillId="4" borderId="495" xfId="0" applyFont="1" applyFill="1" applyBorder="1" applyAlignment="1" applyProtection="1">
      <alignment horizontal="center" vertical="center"/>
      <protection locked="0"/>
    </xf>
    <xf numFmtId="2" fontId="155" fillId="13" borderId="531" xfId="0" applyNumberFormat="1" applyFont="1" applyFill="1" applyBorder="1" applyAlignment="1">
      <alignment horizontal="center" vertical="center"/>
    </xf>
    <xf numFmtId="37" fontId="156" fillId="13" borderId="0" xfId="15" applyNumberFormat="1" applyFont="1" applyFill="1" applyAlignment="1" applyProtection="1">
      <alignment vertical="center"/>
      <protection locked="0"/>
    </xf>
    <xf numFmtId="37" fontId="155" fillId="13" borderId="531" xfId="0" applyNumberFormat="1" applyFont="1" applyFill="1" applyBorder="1" applyAlignment="1">
      <alignment horizontal="center" vertical="center"/>
    </xf>
    <xf numFmtId="37" fontId="157" fillId="13" borderId="0" xfId="15" applyNumberFormat="1" applyFont="1" applyFill="1" applyAlignment="1" applyProtection="1">
      <alignment vertical="center"/>
      <protection locked="0"/>
    </xf>
    <xf numFmtId="37" fontId="74" fillId="13" borderId="495" xfId="15" applyNumberFormat="1" applyFont="1" applyFill="1" applyBorder="1" applyAlignment="1" applyProtection="1">
      <alignment vertical="center"/>
      <protection locked="0"/>
    </xf>
    <xf numFmtId="2" fontId="150" fillId="13" borderId="102" xfId="11" applyNumberFormat="1" applyFont="1" applyFill="1" applyBorder="1" applyAlignment="1" applyProtection="1">
      <alignment horizontal="center" vertical="center"/>
      <protection locked="0"/>
    </xf>
    <xf numFmtId="0" fontId="0" fillId="0" borderId="141" xfId="0" applyBorder="1" applyProtection="1">
      <protection locked="0"/>
    </xf>
    <xf numFmtId="0" fontId="0" fillId="0" borderId="0" xfId="0" applyAlignment="1" applyProtection="1">
      <alignment vertical="top" wrapText="1"/>
      <protection locked="0"/>
    </xf>
    <xf numFmtId="0" fontId="158" fillId="0" borderId="0" xfId="0" applyFont="1" applyAlignment="1" applyProtection="1">
      <alignment horizontal="center" vertical="center"/>
      <protection locked="0"/>
    </xf>
    <xf numFmtId="0" fontId="15" fillId="0" borderId="0" xfId="0" applyFont="1" applyAlignment="1" applyProtection="1">
      <alignment horizontal="center" vertical="center"/>
      <protection locked="0"/>
    </xf>
    <xf numFmtId="0" fontId="0" fillId="0" borderId="142" xfId="0" applyBorder="1" applyProtection="1">
      <protection locked="0"/>
    </xf>
    <xf numFmtId="0" fontId="150" fillId="0" borderId="12" xfId="6" applyFont="1" applyBorder="1" applyAlignment="1" applyProtection="1">
      <alignment vertical="center"/>
      <protection locked="0"/>
    </xf>
    <xf numFmtId="3" fontId="150" fillId="0" borderId="0" xfId="11" applyNumberFormat="1" applyFont="1" applyFill="1" applyBorder="1" applyAlignment="1" applyProtection="1">
      <alignment vertical="center"/>
      <protection locked="0"/>
    </xf>
    <xf numFmtId="3" fontId="150" fillId="0" borderId="13" xfId="11" applyNumberFormat="1" applyFont="1" applyFill="1" applyBorder="1" applyAlignment="1" applyProtection="1">
      <alignment vertical="center"/>
      <protection locked="0"/>
    </xf>
    <xf numFmtId="0" fontId="150" fillId="0" borderId="0" xfId="6" applyFont="1" applyAlignment="1" applyProtection="1">
      <alignment vertical="center"/>
      <protection locked="0"/>
    </xf>
    <xf numFmtId="167" fontId="150" fillId="0" borderId="0" xfId="5" applyNumberFormat="1" applyFont="1" applyFill="1" applyBorder="1" applyAlignment="1" applyProtection="1">
      <alignment horizontal="center" vertical="center"/>
      <protection locked="0"/>
    </xf>
    <xf numFmtId="167" fontId="150" fillId="0" borderId="13" xfId="5" applyNumberFormat="1" applyFont="1" applyFill="1" applyBorder="1" applyAlignment="1" applyProtection="1">
      <alignment horizontal="center" vertical="center"/>
      <protection locked="0"/>
    </xf>
    <xf numFmtId="0" fontId="3" fillId="2" borderId="495" xfId="0" applyFont="1" applyFill="1" applyBorder="1" applyAlignment="1" applyProtection="1">
      <alignment horizontal="center"/>
      <protection locked="0"/>
    </xf>
    <xf numFmtId="0" fontId="159" fillId="29" borderId="495" xfId="0" applyFont="1" applyFill="1" applyBorder="1" applyProtection="1">
      <protection locked="0"/>
    </xf>
    <xf numFmtId="0" fontId="159" fillId="29" borderId="495" xfId="0" applyFont="1" applyFill="1" applyBorder="1" applyAlignment="1">
      <alignment horizontal="center"/>
    </xf>
    <xf numFmtId="9" fontId="23" fillId="4" borderId="495" xfId="0" applyNumberFormat="1" applyFont="1" applyFill="1" applyBorder="1" applyAlignment="1">
      <alignment horizontal="center" vertical="center"/>
    </xf>
    <xf numFmtId="9" fontId="23" fillId="4" borderId="495" xfId="0" applyNumberFormat="1" applyFont="1" applyFill="1" applyBorder="1" applyProtection="1">
      <protection locked="0"/>
    </xf>
    <xf numFmtId="0" fontId="160" fillId="4" borderId="138" xfId="0" applyFont="1" applyFill="1" applyBorder="1" applyAlignment="1">
      <alignment horizontal="center"/>
    </xf>
    <xf numFmtId="0" fontId="160" fillId="4" borderId="139" xfId="0" applyFont="1" applyFill="1" applyBorder="1" applyAlignment="1">
      <alignment horizontal="center"/>
    </xf>
    <xf numFmtId="0" fontId="160" fillId="4" borderId="140" xfId="0" applyFont="1" applyFill="1" applyBorder="1" applyAlignment="1">
      <alignment horizontal="center"/>
    </xf>
    <xf numFmtId="0" fontId="23" fillId="4" borderId="138" xfId="0" applyFont="1" applyFill="1" applyBorder="1" applyProtection="1">
      <protection locked="0"/>
    </xf>
    <xf numFmtId="2" fontId="23" fillId="4" borderId="495" xfId="0" applyNumberFormat="1" applyFont="1" applyFill="1" applyBorder="1"/>
    <xf numFmtId="37" fontId="99" fillId="0" borderId="138" xfId="15" applyNumberFormat="1" applyFont="1" applyBorder="1" applyAlignment="1" applyProtection="1">
      <alignment vertical="center"/>
      <protection locked="0"/>
    </xf>
    <xf numFmtId="37" fontId="99" fillId="0" borderId="139" xfId="15" applyNumberFormat="1" applyFont="1" applyBorder="1" applyAlignment="1" applyProtection="1">
      <alignment vertical="center"/>
      <protection locked="0"/>
    </xf>
    <xf numFmtId="200" fontId="3" fillId="0" borderId="139" xfId="0" applyNumberFormat="1" applyFont="1" applyBorder="1" applyAlignment="1">
      <alignment horizontal="center" vertical="center" wrapText="1"/>
    </xf>
    <xf numFmtId="200" fontId="3" fillId="0" borderId="140" xfId="0" applyNumberFormat="1" applyFont="1" applyBorder="1" applyAlignment="1">
      <alignment horizontal="center" vertical="center" wrapText="1"/>
    </xf>
    <xf numFmtId="169" fontId="150" fillId="13" borderId="0" xfId="6" applyNumberFormat="1" applyFont="1" applyFill="1" applyAlignment="1" applyProtection="1">
      <alignment horizontal="center" vertical="center"/>
      <protection locked="0"/>
    </xf>
    <xf numFmtId="169" fontId="150" fillId="13" borderId="13" xfId="6" applyNumberFormat="1" applyFont="1" applyFill="1" applyBorder="1" applyAlignment="1" applyProtection="1">
      <alignment horizontal="center" vertical="center"/>
      <protection locked="0"/>
    </xf>
    <xf numFmtId="0" fontId="150" fillId="0" borderId="25" xfId="6" applyFont="1" applyBorder="1" applyAlignment="1" applyProtection="1">
      <alignment vertical="center"/>
      <protection locked="0"/>
    </xf>
    <xf numFmtId="2" fontId="150" fillId="0" borderId="39" xfId="11" applyNumberFormat="1" applyFont="1" applyFill="1" applyBorder="1" applyAlignment="1" applyProtection="1">
      <alignment horizontal="center" vertical="center"/>
      <protection locked="0"/>
    </xf>
    <xf numFmtId="0" fontId="161" fillId="0" borderId="138" xfId="0" applyFont="1" applyBorder="1" applyProtection="1">
      <protection locked="0"/>
    </xf>
    <xf numFmtId="9" fontId="162" fillId="5" borderId="80" xfId="5" applyFont="1" applyFill="1" applyBorder="1" applyProtection="1"/>
    <xf numFmtId="9" fontId="0" fillId="0" borderId="139" xfId="5" applyFont="1" applyBorder="1" applyProtection="1">
      <protection locked="0"/>
    </xf>
    <xf numFmtId="0" fontId="19" fillId="13" borderId="138" xfId="0" applyFont="1" applyFill="1" applyBorder="1" applyAlignment="1" applyProtection="1">
      <alignment horizontal="center"/>
      <protection locked="0"/>
    </xf>
    <xf numFmtId="0" fontId="19" fillId="13" borderId="139" xfId="0" applyFont="1" applyFill="1" applyBorder="1" applyAlignment="1" applyProtection="1">
      <alignment horizontal="center"/>
      <protection locked="0"/>
    </xf>
    <xf numFmtId="0" fontId="0" fillId="30" borderId="80" xfId="0" applyFill="1" applyBorder="1" applyProtection="1">
      <protection locked="0"/>
    </xf>
    <xf numFmtId="2" fontId="162" fillId="0" borderId="142" xfId="0" applyNumberFormat="1" applyFont="1" applyBorder="1"/>
    <xf numFmtId="172" fontId="23" fillId="4" borderId="495" xfId="7" applyNumberFormat="1" applyFont="1" applyFill="1" applyBorder="1" applyAlignment="1" applyProtection="1">
      <alignment horizontal="center"/>
      <protection locked="0"/>
    </xf>
    <xf numFmtId="172" fontId="163" fillId="4" borderId="495" xfId="7" applyNumberFormat="1" applyFont="1" applyFill="1" applyBorder="1" applyAlignment="1" applyProtection="1">
      <alignment horizontal="center"/>
      <protection locked="0"/>
    </xf>
    <xf numFmtId="17" fontId="23" fillId="4" borderId="495" xfId="0" applyNumberFormat="1" applyFont="1" applyFill="1" applyBorder="1" applyAlignment="1" applyProtection="1">
      <alignment horizontal="center"/>
      <protection locked="0"/>
    </xf>
    <xf numFmtId="17" fontId="23" fillId="4" borderId="532" xfId="0" applyNumberFormat="1" applyFont="1" applyFill="1" applyBorder="1" applyAlignment="1" applyProtection="1">
      <alignment horizontal="center"/>
      <protection locked="0"/>
    </xf>
    <xf numFmtId="200" fontId="3" fillId="0" borderId="141" xfId="0" applyNumberFormat="1" applyFont="1" applyBorder="1" applyAlignment="1">
      <alignment horizontal="center" wrapText="1"/>
    </xf>
    <xf numFmtId="200" fontId="3" fillId="0" borderId="0" xfId="0" applyNumberFormat="1" applyFont="1" applyAlignment="1">
      <alignment horizontal="center" wrapText="1"/>
    </xf>
    <xf numFmtId="201" fontId="3" fillId="0" borderId="0" xfId="0" applyNumberFormat="1" applyFont="1" applyAlignment="1">
      <alignment horizontal="center" wrapText="1"/>
    </xf>
    <xf numFmtId="200" fontId="3" fillId="0" borderId="142" xfId="0" applyNumberFormat="1" applyFont="1" applyBorder="1" applyAlignment="1">
      <alignment horizontal="center" wrapText="1"/>
    </xf>
    <xf numFmtId="0" fontId="3" fillId="0" borderId="0" xfId="0" applyFont="1" applyAlignment="1">
      <alignment horizontal="center"/>
    </xf>
    <xf numFmtId="2" fontId="150" fillId="0" borderId="0" xfId="11" applyNumberFormat="1" applyFont="1" applyFill="1" applyBorder="1" applyAlignment="1" applyProtection="1">
      <alignment horizontal="center" vertical="center"/>
      <protection locked="0"/>
    </xf>
    <xf numFmtId="0" fontId="161" fillId="0" borderId="141" xfId="0" applyFont="1" applyBorder="1" applyProtection="1">
      <protection locked="0"/>
    </xf>
    <xf numFmtId="9" fontId="162" fillId="5" borderId="533" xfId="5" applyFont="1" applyFill="1" applyBorder="1" applyProtection="1"/>
    <xf numFmtId="9" fontId="0" fillId="0" borderId="0" xfId="5" applyFont="1" applyBorder="1" applyProtection="1">
      <protection locked="0"/>
    </xf>
    <xf numFmtId="0" fontId="19" fillId="13" borderId="141" xfId="0" applyFont="1" applyFill="1" applyBorder="1" applyAlignment="1" applyProtection="1">
      <alignment horizontal="center"/>
      <protection locked="0"/>
    </xf>
    <xf numFmtId="0" fontId="19" fillId="13" borderId="0" xfId="0" applyFont="1" applyFill="1" applyAlignment="1" applyProtection="1">
      <alignment horizontal="center"/>
      <protection locked="0"/>
    </xf>
    <xf numFmtId="0" fontId="0" fillId="30" borderId="533" xfId="0" applyFill="1" applyBorder="1" applyProtection="1">
      <protection locked="0"/>
    </xf>
    <xf numFmtId="0" fontId="155" fillId="0" borderId="0" xfId="0" applyFont="1" applyAlignment="1">
      <alignment horizontal="right"/>
    </xf>
    <xf numFmtId="0" fontId="15" fillId="0" borderId="0" xfId="0" applyFont="1"/>
    <xf numFmtId="37" fontId="15" fillId="0" borderId="0" xfId="15" applyNumberFormat="1" applyFont="1" applyAlignment="1" applyProtection="1">
      <alignment vertical="center"/>
      <protection locked="0"/>
    </xf>
    <xf numFmtId="0" fontId="15" fillId="0" borderId="141" xfId="0" applyFont="1" applyBorder="1"/>
    <xf numFmtId="37" fontId="15" fillId="0" borderId="142" xfId="15" applyNumberFormat="1" applyFont="1" applyBorder="1" applyAlignment="1" applyProtection="1">
      <alignment vertical="center"/>
      <protection locked="0"/>
    </xf>
    <xf numFmtId="0" fontId="161" fillId="0" borderId="80" xfId="0" applyFont="1" applyBorder="1" applyProtection="1">
      <protection locked="0"/>
    </xf>
    <xf numFmtId="0" fontId="15" fillId="0" borderId="0" xfId="0" applyFont="1" applyAlignment="1">
      <alignment horizontal="right"/>
    </xf>
    <xf numFmtId="37" fontId="99" fillId="13" borderId="12" xfId="15" applyNumberFormat="1" applyFont="1" applyFill="1" applyBorder="1" applyAlignment="1" applyProtection="1">
      <alignment vertical="center"/>
      <protection locked="0"/>
    </xf>
    <xf numFmtId="37" fontId="99" fillId="13" borderId="13" xfId="15" applyNumberFormat="1" applyFont="1" applyFill="1" applyBorder="1" applyAlignment="1" applyProtection="1">
      <alignment vertical="center"/>
      <protection locked="0"/>
    </xf>
    <xf numFmtId="0" fontId="161" fillId="0" borderId="533" xfId="0" applyFont="1" applyBorder="1" applyProtection="1">
      <protection locked="0"/>
    </xf>
    <xf numFmtId="0" fontId="15" fillId="0" borderId="0" xfId="0" applyFont="1" applyAlignment="1">
      <alignment horizontal="center"/>
    </xf>
    <xf numFmtId="9" fontId="15" fillId="0" borderId="0" xfId="0" applyNumberFormat="1" applyFont="1" applyAlignment="1">
      <alignment horizontal="center"/>
    </xf>
    <xf numFmtId="199" fontId="15" fillId="0" borderId="0" xfId="11" applyNumberFormat="1" applyFont="1"/>
    <xf numFmtId="199" fontId="15" fillId="0" borderId="141" xfId="0" applyNumberFormat="1" applyFont="1" applyBorder="1"/>
    <xf numFmtId="199" fontId="15" fillId="0" borderId="0" xfId="11" applyNumberFormat="1" applyFont="1" applyBorder="1"/>
    <xf numFmtId="199" fontId="15" fillId="0" borderId="142" xfId="11" applyNumberFormat="1" applyFont="1" applyBorder="1"/>
    <xf numFmtId="0" fontId="148" fillId="4" borderId="14" xfId="6" applyFont="1" applyFill="1" applyBorder="1" applyAlignment="1" applyProtection="1">
      <alignment horizontal="center" vertical="center"/>
      <protection locked="0"/>
    </xf>
    <xf numFmtId="0" fontId="93" fillId="13" borderId="0" xfId="6" applyFont="1" applyFill="1" applyAlignment="1" applyProtection="1">
      <alignment vertical="center"/>
      <protection locked="0"/>
    </xf>
    <xf numFmtId="0" fontId="150" fillId="13" borderId="14" xfId="6" applyFont="1" applyFill="1" applyBorder="1" applyAlignment="1" applyProtection="1">
      <alignment vertical="center"/>
      <protection locked="0"/>
    </xf>
    <xf numFmtId="169" fontId="150" fillId="13" borderId="29" xfId="6" applyNumberFormat="1" applyFont="1" applyFill="1" applyBorder="1" applyAlignment="1" applyProtection="1">
      <alignment horizontal="center" vertical="center"/>
      <protection locked="0"/>
    </xf>
    <xf numFmtId="169" fontId="150" fillId="13" borderId="15" xfId="6" applyNumberFormat="1" applyFont="1" applyFill="1" applyBorder="1" applyAlignment="1" applyProtection="1">
      <alignment horizontal="center" vertical="center"/>
      <protection locked="0"/>
    </xf>
    <xf numFmtId="0" fontId="161" fillId="0" borderId="143" xfId="0" applyFont="1" applyBorder="1" applyProtection="1">
      <protection locked="0"/>
    </xf>
    <xf numFmtId="9" fontId="162" fillId="5" borderId="81" xfId="5" applyFont="1" applyFill="1" applyBorder="1" applyProtection="1"/>
    <xf numFmtId="9" fontId="0" fillId="0" borderId="145" xfId="5" applyFont="1" applyBorder="1" applyProtection="1">
      <protection locked="0"/>
    </xf>
    <xf numFmtId="0" fontId="19" fillId="13" borderId="143" xfId="0" applyFont="1" applyFill="1" applyBorder="1" applyAlignment="1" applyProtection="1">
      <alignment horizontal="center"/>
      <protection locked="0"/>
    </xf>
    <xf numFmtId="0" fontId="19" fillId="13" borderId="144" xfId="0" applyFont="1" applyFill="1" applyBorder="1" applyAlignment="1" applyProtection="1">
      <alignment horizontal="center"/>
      <protection locked="0"/>
    </xf>
    <xf numFmtId="0" fontId="0" fillId="30" borderId="81" xfId="0" applyFill="1" applyBorder="1" applyProtection="1">
      <protection locked="0"/>
    </xf>
    <xf numFmtId="2" fontId="162" fillId="0" borderId="145" xfId="0" applyNumberFormat="1" applyFont="1" applyBorder="1"/>
    <xf numFmtId="0" fontId="161" fillId="0" borderId="81" xfId="0" applyFont="1" applyBorder="1" applyProtection="1">
      <protection locked="0"/>
    </xf>
    <xf numFmtId="0" fontId="164" fillId="13" borderId="0" xfId="6" applyFont="1" applyFill="1" applyAlignment="1" applyProtection="1">
      <alignment vertical="center"/>
      <protection locked="0"/>
    </xf>
    <xf numFmtId="167" fontId="93" fillId="13" borderId="0" xfId="5" applyNumberFormat="1" applyFont="1" applyFill="1" applyAlignment="1" applyProtection="1">
      <alignment horizontal="center" vertical="center"/>
      <protection locked="0"/>
    </xf>
    <xf numFmtId="9" fontId="1" fillId="13" borderId="0" xfId="5" applyFont="1" applyFill="1" applyBorder="1" applyProtection="1">
      <protection locked="0"/>
    </xf>
    <xf numFmtId="9" fontId="0" fillId="13" borderId="0" xfId="5" applyFont="1" applyFill="1" applyBorder="1" applyProtection="1">
      <protection locked="0"/>
    </xf>
    <xf numFmtId="0" fontId="0" fillId="13" borderId="0" xfId="0" applyFill="1" applyAlignment="1" applyProtection="1">
      <alignment horizontal="center"/>
      <protection locked="0"/>
    </xf>
    <xf numFmtId="37" fontId="99" fillId="28" borderId="495" xfId="15" applyNumberFormat="1" applyFont="1" applyFill="1" applyBorder="1" applyAlignment="1" applyProtection="1">
      <alignment vertical="center"/>
      <protection locked="0"/>
    </xf>
    <xf numFmtId="0" fontId="165" fillId="13" borderId="0" xfId="6" applyFont="1" applyFill="1" applyAlignment="1" applyProtection="1">
      <alignment horizontal="center" vertical="center" wrapText="1"/>
      <protection locked="0"/>
    </xf>
    <xf numFmtId="0" fontId="165" fillId="13" borderId="0" xfId="6" applyFont="1" applyFill="1" applyAlignment="1" applyProtection="1">
      <alignment horizontal="center" vertical="center"/>
      <protection locked="0"/>
    </xf>
    <xf numFmtId="0" fontId="3" fillId="13" borderId="141" xfId="0" applyFont="1" applyFill="1" applyBorder="1" applyAlignment="1" applyProtection="1">
      <alignment horizontal="center"/>
      <protection locked="0"/>
    </xf>
    <xf numFmtId="0" fontId="165" fillId="4" borderId="17" xfId="6" applyFont="1" applyFill="1" applyBorder="1" applyAlignment="1" applyProtection="1">
      <alignment vertical="center" wrapText="1"/>
      <protection locked="0"/>
    </xf>
    <xf numFmtId="0" fontId="165" fillId="4" borderId="18" xfId="6" applyFont="1" applyFill="1" applyBorder="1" applyAlignment="1" applyProtection="1">
      <alignment vertical="center" wrapText="1"/>
      <protection locked="0"/>
    </xf>
    <xf numFmtId="0" fontId="160" fillId="4" borderId="495" xfId="0" applyFont="1" applyFill="1" applyBorder="1" applyAlignment="1" applyProtection="1">
      <alignment horizontal="center" vertical="center"/>
      <protection locked="0"/>
    </xf>
    <xf numFmtId="203" fontId="23" fillId="4" borderId="532" xfId="7" applyNumberFormat="1" applyFont="1" applyFill="1" applyBorder="1" applyAlignment="1" applyProtection="1">
      <alignment horizontal="center" vertical="center" wrapText="1"/>
    </xf>
    <xf numFmtId="2" fontId="23" fillId="4" borderId="140" xfId="0" applyNumberFormat="1" applyFont="1" applyFill="1" applyBorder="1"/>
    <xf numFmtId="0" fontId="162" fillId="0" borderId="138" xfId="0" applyFont="1" applyBorder="1" applyProtection="1">
      <protection locked="0"/>
    </xf>
    <xf numFmtId="2" fontId="162" fillId="0" borderId="138" xfId="0" applyNumberFormat="1" applyFont="1" applyBorder="1" applyAlignment="1">
      <alignment horizontal="center" vertical="center"/>
    </xf>
    <xf numFmtId="2" fontId="162" fillId="0" borderId="140" xfId="0" applyNumberFormat="1" applyFont="1" applyBorder="1" applyAlignment="1">
      <alignment horizontal="center" vertical="center"/>
    </xf>
    <xf numFmtId="9" fontId="162" fillId="13" borderId="80" xfId="5" applyFont="1" applyFill="1" applyBorder="1" applyProtection="1">
      <protection locked="0"/>
    </xf>
    <xf numFmtId="9" fontId="162" fillId="0" borderId="139" xfId="5" applyFont="1" applyFill="1" applyBorder="1" applyProtection="1">
      <protection locked="0"/>
    </xf>
    <xf numFmtId="0" fontId="162" fillId="13" borderId="0" xfId="0" applyFont="1" applyFill="1" applyAlignment="1">
      <alignment horizontal="center"/>
    </xf>
    <xf numFmtId="0" fontId="162" fillId="13" borderId="142" xfId="0" applyFont="1" applyFill="1" applyBorder="1" applyAlignment="1">
      <alignment horizontal="center"/>
    </xf>
    <xf numFmtId="2" fontId="162" fillId="0" borderId="140" xfId="0" applyNumberFormat="1" applyFont="1" applyBorder="1"/>
    <xf numFmtId="17" fontId="148" fillId="4" borderId="16" xfId="6" quotePrefix="1" applyNumberFormat="1" applyFont="1" applyFill="1" applyBorder="1" applyAlignment="1" applyProtection="1">
      <alignment horizontal="center" vertical="center"/>
      <protection locked="0"/>
    </xf>
    <xf numFmtId="0" fontId="165" fillId="4" borderId="59" xfId="6" applyFont="1" applyFill="1" applyBorder="1" applyAlignment="1" applyProtection="1">
      <alignment horizontal="center" vertical="center"/>
      <protection locked="0"/>
    </xf>
    <xf numFmtId="0" fontId="165" fillId="4" borderId="11" xfId="6" applyFont="1" applyFill="1" applyBorder="1" applyAlignment="1" applyProtection="1">
      <alignment horizontal="center" vertical="center"/>
      <protection locked="0"/>
    </xf>
    <xf numFmtId="0" fontId="162" fillId="13" borderId="533" xfId="0" applyFont="1" applyFill="1" applyBorder="1" applyProtection="1">
      <protection locked="0"/>
    </xf>
    <xf numFmtId="39" fontId="162" fillId="0" borderId="141" xfId="0" applyNumberFormat="1" applyFont="1" applyBorder="1" applyAlignment="1">
      <alignment horizontal="center"/>
    </xf>
    <xf numFmtId="39" fontId="162" fillId="0" borderId="142" xfId="0" applyNumberFormat="1" applyFont="1" applyBorder="1" applyAlignment="1">
      <alignment horizontal="center"/>
    </xf>
    <xf numFmtId="9" fontId="162" fillId="13" borderId="533" xfId="5" applyFont="1" applyFill="1" applyBorder="1" applyProtection="1">
      <protection locked="0"/>
    </xf>
    <xf numFmtId="9" fontId="162" fillId="0" borderId="0" xfId="5" applyFont="1" applyFill="1" applyBorder="1" applyProtection="1">
      <protection locked="0"/>
    </xf>
    <xf numFmtId="2" fontId="162" fillId="0" borderId="533" xfId="0" applyNumberFormat="1" applyFont="1" applyBorder="1"/>
    <xf numFmtId="0" fontId="167" fillId="0" borderId="0" xfId="0" applyFont="1" applyAlignment="1">
      <alignment horizontal="right" vertical="top"/>
    </xf>
    <xf numFmtId="0" fontId="167" fillId="0" borderId="0" xfId="0" applyFont="1" applyAlignment="1">
      <alignment horizontal="center" vertical="top"/>
    </xf>
    <xf numFmtId="180" fontId="107" fillId="13" borderId="0" xfId="11" applyNumberFormat="1" applyFont="1" applyFill="1" applyBorder="1" applyAlignment="1" applyProtection="1">
      <alignment vertical="top"/>
      <protection locked="0"/>
    </xf>
    <xf numFmtId="180" fontId="167" fillId="0" borderId="0" xfId="11" applyNumberFormat="1" applyFont="1" applyAlignment="1">
      <alignment vertical="top"/>
    </xf>
    <xf numFmtId="0" fontId="150" fillId="13" borderId="29" xfId="6" applyFont="1" applyFill="1" applyBorder="1" applyAlignment="1" applyProtection="1">
      <alignment horizontal="center" vertical="center"/>
      <protection locked="0"/>
    </xf>
    <xf numFmtId="0" fontId="150" fillId="13" borderId="19" xfId="6" applyFont="1" applyFill="1" applyBorder="1" applyAlignment="1" applyProtection="1">
      <alignment horizontal="center" vertical="center"/>
      <protection locked="0"/>
    </xf>
    <xf numFmtId="3" fontId="150" fillId="13" borderId="18" xfId="6" applyNumberFormat="1" applyFont="1" applyFill="1" applyBorder="1" applyAlignment="1" applyProtection="1">
      <alignment horizontal="center" vertical="center"/>
      <protection locked="0"/>
    </xf>
    <xf numFmtId="199" fontId="93" fillId="0" borderId="60" xfId="11" applyNumberFormat="1" applyFont="1" applyFill="1" applyBorder="1" applyAlignment="1" applyProtection="1">
      <alignment horizontal="left" vertical="center"/>
      <protection locked="0"/>
    </xf>
    <xf numFmtId="199" fontId="93" fillId="0" borderId="60" xfId="11" applyNumberFormat="1" applyFont="1" applyFill="1" applyBorder="1" applyAlignment="1" applyProtection="1">
      <alignment horizontal="center" vertical="center"/>
      <protection locked="0"/>
    </xf>
    <xf numFmtId="0" fontId="158" fillId="0" borderId="143" xfId="0" applyFont="1" applyBorder="1" applyProtection="1">
      <protection locked="0"/>
    </xf>
    <xf numFmtId="0" fontId="158" fillId="0" borderId="145" xfId="0" applyFont="1" applyBorder="1" applyProtection="1">
      <protection locked="0"/>
    </xf>
    <xf numFmtId="9" fontId="162" fillId="13" borderId="81" xfId="5" applyFont="1" applyFill="1" applyBorder="1" applyProtection="1">
      <protection locked="0"/>
    </xf>
    <xf numFmtId="9" fontId="162" fillId="0" borderId="144" xfId="5" applyFont="1" applyFill="1" applyBorder="1" applyProtection="1">
      <protection locked="0"/>
    </xf>
    <xf numFmtId="0" fontId="162" fillId="13" borderId="143" xfId="0" applyFont="1" applyFill="1" applyBorder="1" applyAlignment="1">
      <alignment horizontal="center"/>
    </xf>
    <xf numFmtId="0" fontId="162" fillId="13"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protection locked="0"/>
    </xf>
    <xf numFmtId="2" fontId="162" fillId="0" borderId="81" xfId="0" applyNumberFormat="1" applyFont="1" applyBorder="1"/>
    <xf numFmtId="0" fontId="3" fillId="0" borderId="0" xfId="0" applyFont="1" applyProtection="1">
      <protection locked="0"/>
    </xf>
    <xf numFmtId="0" fontId="0" fillId="0" borderId="0" xfId="0" applyAlignment="1" applyProtection="1">
      <alignment horizontal="center"/>
      <protection locked="0"/>
    </xf>
    <xf numFmtId="204" fontId="0" fillId="0" borderId="0" xfId="7" applyNumberFormat="1" applyFont="1" applyFill="1" applyBorder="1" applyAlignment="1" applyProtection="1">
      <alignment horizontal="center"/>
      <protection locked="0"/>
    </xf>
    <xf numFmtId="205" fontId="0" fillId="0" borderId="0" xfId="7" applyNumberFormat="1" applyFont="1" applyFill="1" applyBorder="1" applyProtection="1">
      <protection locked="0"/>
    </xf>
    <xf numFmtId="9" fontId="0" fillId="0" borderId="0" xfId="5" applyFont="1" applyFill="1" applyBorder="1" applyProtection="1">
      <protection locked="0"/>
    </xf>
    <xf numFmtId="2" fontId="0" fillId="0" borderId="142" xfId="0" applyNumberFormat="1" applyBorder="1" applyProtection="1">
      <protection locked="0"/>
    </xf>
    <xf numFmtId="180" fontId="107" fillId="0" borderId="0" xfId="11" applyNumberFormat="1" applyFont="1" applyFill="1" applyBorder="1" applyAlignment="1" applyProtection="1">
      <alignment vertical="top"/>
      <protection locked="0"/>
    </xf>
    <xf numFmtId="172" fontId="23" fillId="4" borderId="495" xfId="7" applyNumberFormat="1" applyFont="1" applyFill="1" applyBorder="1" applyAlignment="1" applyProtection="1">
      <alignment horizontal="center"/>
    </xf>
    <xf numFmtId="17" fontId="23" fillId="4" borderId="495" xfId="0" applyNumberFormat="1" applyFont="1" applyFill="1" applyBorder="1" applyAlignment="1">
      <alignment horizontal="center"/>
    </xf>
    <xf numFmtId="17" fontId="23" fillId="4" borderId="531" xfId="0" applyNumberFormat="1" applyFont="1" applyFill="1" applyBorder="1" applyAlignment="1">
      <alignment horizontal="center"/>
    </xf>
    <xf numFmtId="9" fontId="23" fillId="4" borderId="495" xfId="5" applyFont="1" applyFill="1" applyBorder="1" applyAlignment="1" applyProtection="1">
      <alignment horizontal="center"/>
    </xf>
    <xf numFmtId="9" fontId="160" fillId="4" borderId="531" xfId="5" applyFont="1" applyFill="1" applyBorder="1" applyProtection="1">
      <protection locked="0"/>
    </xf>
    <xf numFmtId="2" fontId="160" fillId="4" borderId="80" xfId="0" applyNumberFormat="1" applyFont="1" applyFill="1" applyBorder="1"/>
    <xf numFmtId="0" fontId="158" fillId="0" borderId="0" xfId="0" applyFont="1" applyAlignment="1">
      <alignment horizontal="right"/>
    </xf>
    <xf numFmtId="180" fontId="158" fillId="0" borderId="0" xfId="11" applyNumberFormat="1" applyFont="1"/>
    <xf numFmtId="9" fontId="162" fillId="0" borderId="80" xfId="0" applyNumberFormat="1" applyFont="1" applyBorder="1" applyAlignment="1">
      <alignment horizontal="center"/>
    </xf>
    <xf numFmtId="9" fontId="162" fillId="31" borderId="140" xfId="5" applyFont="1" applyFill="1" applyBorder="1" applyProtection="1">
      <protection locked="0"/>
    </xf>
    <xf numFmtId="0" fontId="162" fillId="13" borderId="141" xfId="0" applyFont="1" applyFill="1" applyBorder="1" applyAlignment="1">
      <alignment horizontal="center"/>
    </xf>
    <xf numFmtId="0" fontId="162" fillId="30" borderId="80" xfId="0" applyFont="1" applyFill="1" applyBorder="1" applyProtection="1">
      <protection locked="0"/>
    </xf>
    <xf numFmtId="9" fontId="162" fillId="13" borderId="81" xfId="0" applyNumberFormat="1" applyFont="1" applyFill="1" applyBorder="1" applyAlignment="1">
      <alignment horizontal="center"/>
    </xf>
    <xf numFmtId="9" fontId="162" fillId="31" borderId="145" xfId="5" applyFont="1" applyFill="1" applyBorder="1" applyProtection="1">
      <protection locked="0"/>
    </xf>
    <xf numFmtId="0" fontId="162" fillId="0" borderId="143" xfId="0" applyFont="1" applyBorder="1" applyAlignment="1">
      <alignment horizontal="center"/>
    </xf>
    <xf numFmtId="0" fontId="162" fillId="0" borderId="144" xfId="0" applyFont="1" applyBorder="1" applyAlignment="1" applyProtection="1">
      <alignment horizontal="center"/>
      <protection locked="0"/>
    </xf>
    <xf numFmtId="0" fontId="162" fillId="13" borderId="145" xfId="0" applyFont="1" applyFill="1" applyBorder="1" applyAlignment="1">
      <alignment horizontal="center"/>
    </xf>
    <xf numFmtId="0" fontId="162" fillId="30" borderId="81" xfId="0" applyFont="1" applyFill="1" applyBorder="1" applyProtection="1">
      <protection locked="0"/>
    </xf>
    <xf numFmtId="9" fontId="162" fillId="13" borderId="80" xfId="0" applyNumberFormat="1" applyFont="1" applyFill="1" applyBorder="1" applyAlignment="1">
      <alignment horizontal="center"/>
    </xf>
    <xf numFmtId="0" fontId="155" fillId="0" borderId="138" xfId="0" applyFont="1" applyBorder="1" applyAlignment="1">
      <alignment horizontal="right"/>
    </xf>
    <xf numFmtId="37" fontId="99" fillId="0" borderId="140" xfId="15" applyNumberFormat="1" applyFont="1" applyBorder="1" applyAlignment="1" applyProtection="1">
      <alignment vertical="center"/>
      <protection locked="0"/>
    </xf>
    <xf numFmtId="0" fontId="155" fillId="0" borderId="534" xfId="0" applyFont="1" applyBorder="1" applyAlignment="1">
      <alignment horizontal="right"/>
    </xf>
    <xf numFmtId="37" fontId="99" fillId="0" borderId="142" xfId="15" applyNumberFormat="1" applyFont="1" applyBorder="1" applyAlignment="1" applyProtection="1">
      <alignment vertical="center"/>
      <protection locked="0"/>
    </xf>
    <xf numFmtId="0" fontId="162" fillId="30" borderId="80" xfId="0" applyFont="1" applyFill="1" applyBorder="1"/>
    <xf numFmtId="0" fontId="168" fillId="4" borderId="532" xfId="0" applyFont="1" applyFill="1" applyBorder="1" applyAlignment="1">
      <alignment horizontal="right"/>
    </xf>
    <xf numFmtId="39" fontId="16" fillId="0" borderId="349" xfId="15" applyNumberFormat="1" applyFont="1" applyBorder="1" applyAlignment="1" applyProtection="1">
      <alignment vertical="center"/>
      <protection locked="0"/>
    </xf>
    <xf numFmtId="39" fontId="16" fillId="0" borderId="531" xfId="15" applyNumberFormat="1" applyFont="1" applyBorder="1" applyAlignment="1" applyProtection="1">
      <alignment vertical="center"/>
      <protection locked="0"/>
    </xf>
    <xf numFmtId="0" fontId="162" fillId="0" borderId="80" xfId="0" applyFont="1" applyBorder="1" applyProtection="1">
      <protection locked="0"/>
    </xf>
    <xf numFmtId="0" fontId="162" fillId="13" borderId="138" xfId="0" applyFont="1" applyFill="1" applyBorder="1" applyAlignment="1">
      <alignment horizontal="center"/>
    </xf>
    <xf numFmtId="0" fontId="162" fillId="13" borderId="139" xfId="0" applyFont="1" applyFill="1" applyBorder="1" applyAlignment="1">
      <alignment horizontal="center"/>
    </xf>
    <xf numFmtId="0" fontId="162" fillId="13" borderId="140" xfId="0" applyFont="1" applyFill="1" applyBorder="1" applyAlignment="1">
      <alignment horizontal="center"/>
    </xf>
    <xf numFmtId="3" fontId="93" fillId="13" borderId="0" xfId="6" applyNumberFormat="1" applyFont="1" applyFill="1" applyAlignment="1" applyProtection="1">
      <alignment vertical="center"/>
      <protection locked="0"/>
    </xf>
    <xf numFmtId="0" fontId="148" fillId="4" borderId="18" xfId="6" applyFont="1" applyFill="1" applyBorder="1" applyAlignment="1" applyProtection="1">
      <alignment horizontal="center" vertical="center"/>
      <protection locked="0"/>
    </xf>
    <xf numFmtId="0" fontId="158" fillId="13" borderId="29" xfId="6" applyFont="1" applyFill="1" applyBorder="1" applyAlignment="1" applyProtection="1">
      <alignment horizontal="center"/>
      <protection locked="0"/>
    </xf>
    <xf numFmtId="0" fontId="158" fillId="13" borderId="141" xfId="0" applyFont="1" applyFill="1" applyBorder="1" applyProtection="1">
      <protection locked="0"/>
    </xf>
    <xf numFmtId="0" fontId="162" fillId="0" borderId="143" xfId="0" applyFont="1" applyBorder="1" applyAlignment="1" applyProtection="1">
      <alignment horizontal="center"/>
      <protection locked="0"/>
    </xf>
    <xf numFmtId="0" fontId="162" fillId="30" borderId="81" xfId="0" applyFont="1" applyFill="1" applyBorder="1"/>
    <xf numFmtId="0" fontId="73" fillId="13" borderId="47" xfId="6" applyFont="1" applyFill="1" applyBorder="1" applyAlignment="1" applyProtection="1">
      <alignment horizontal="center" vertical="center"/>
      <protection locked="0"/>
    </xf>
    <xf numFmtId="9" fontId="162" fillId="0" borderId="81" xfId="0" applyNumberFormat="1" applyFont="1" applyBorder="1" applyAlignment="1">
      <alignment horizontal="center"/>
    </xf>
    <xf numFmtId="0" fontId="170" fillId="0" borderId="535" xfId="6" applyFont="1" applyBorder="1" applyAlignment="1" applyProtection="1">
      <alignment horizontal="right" vertical="center"/>
      <protection locked="0"/>
    </xf>
    <xf numFmtId="202" fontId="23" fillId="4" borderId="536" xfId="7" applyNumberFormat="1" applyFont="1" applyFill="1" applyBorder="1" applyAlignment="1" applyProtection="1">
      <alignment vertical="center"/>
      <protection locked="0"/>
    </xf>
    <xf numFmtId="202" fontId="23" fillId="4" borderId="537" xfId="7" applyNumberFormat="1" applyFont="1" applyFill="1" applyBorder="1" applyAlignment="1" applyProtection="1">
      <alignment vertical="center" wrapText="1"/>
      <protection locked="0"/>
    </xf>
    <xf numFmtId="202" fontId="23" fillId="4" borderId="353" xfId="7" applyNumberFormat="1" applyFont="1" applyFill="1" applyBorder="1" applyAlignment="1" applyProtection="1">
      <alignment vertical="center" wrapText="1"/>
      <protection locked="0"/>
    </xf>
    <xf numFmtId="0" fontId="147" fillId="0" borderId="12" xfId="6" applyFont="1" applyBorder="1" applyAlignment="1" applyProtection="1">
      <alignment horizontal="left" vertical="center"/>
      <protection locked="0"/>
    </xf>
    <xf numFmtId="0" fontId="162" fillId="0" borderId="533" xfId="0" applyFont="1" applyBorder="1" applyProtection="1">
      <protection locked="0"/>
    </xf>
    <xf numFmtId="9" fontId="162" fillId="0" borderId="533" xfId="0" applyNumberFormat="1" applyFont="1" applyBorder="1" applyAlignment="1">
      <alignment horizontal="center"/>
    </xf>
    <xf numFmtId="9" fontId="162" fillId="31" borderId="142" xfId="5" applyFont="1" applyFill="1" applyBorder="1" applyProtection="1">
      <protection locked="0"/>
    </xf>
    <xf numFmtId="0" fontId="93" fillId="0" borderId="25" xfId="6" applyFont="1" applyBorder="1" applyAlignment="1" applyProtection="1">
      <alignment horizontal="right" vertical="center"/>
      <protection locked="0"/>
    </xf>
    <xf numFmtId="180" fontId="171" fillId="0" borderId="0" xfId="11" applyNumberFormat="1" applyFont="1" applyBorder="1"/>
    <xf numFmtId="180" fontId="171" fillId="0" borderId="13" xfId="11" applyNumberFormat="1" applyFont="1" applyBorder="1"/>
    <xf numFmtId="3" fontId="147" fillId="0" borderId="126" xfId="14" applyNumberFormat="1" applyFont="1" applyFill="1" applyBorder="1" applyAlignment="1" applyProtection="1">
      <alignment horizontal="center" vertical="center"/>
      <protection locked="0"/>
    </xf>
    <xf numFmtId="0" fontId="147" fillId="0" borderId="126" xfId="14" applyNumberFormat="1" applyFont="1" applyFill="1" applyBorder="1" applyAlignment="1" applyProtection="1">
      <alignment horizontal="center" vertical="center"/>
      <protection locked="0"/>
    </xf>
    <xf numFmtId="0" fontId="147" fillId="0" borderId="60" xfId="14" applyNumberFormat="1" applyFont="1" applyFill="1" applyBorder="1" applyAlignment="1" applyProtection="1">
      <alignment horizontal="center" vertical="center"/>
      <protection locked="0"/>
    </xf>
    <xf numFmtId="9" fontId="172" fillId="0" borderId="0" xfId="0" applyNumberFormat="1" applyFont="1" applyProtection="1">
      <protection locked="0"/>
    </xf>
    <xf numFmtId="0" fontId="173" fillId="0" borderId="0" xfId="0" applyFont="1"/>
    <xf numFmtId="180" fontId="173" fillId="0" borderId="0" xfId="11" applyNumberFormat="1" applyFont="1" applyAlignment="1">
      <alignment horizontal="right"/>
    </xf>
    <xf numFmtId="180" fontId="173" fillId="0" borderId="0" xfId="11" applyNumberFormat="1" applyFont="1"/>
    <xf numFmtId="180" fontId="173" fillId="0" borderId="143" xfId="11" applyNumberFormat="1" applyFont="1" applyBorder="1"/>
    <xf numFmtId="180" fontId="173" fillId="0" borderId="144" xfId="11" applyNumberFormat="1" applyFont="1" applyBorder="1"/>
    <xf numFmtId="10" fontId="150" fillId="13" borderId="0" xfId="5" applyNumberFormat="1" applyFont="1" applyFill="1" applyBorder="1" applyAlignment="1" applyProtection="1">
      <alignment horizontal="center" vertical="center"/>
      <protection locked="0"/>
    </xf>
    <xf numFmtId="0" fontId="93" fillId="0" borderId="504" xfId="6" applyFont="1" applyBorder="1" applyAlignment="1" applyProtection="1">
      <alignment horizontal="right" vertical="center"/>
      <protection locked="0"/>
    </xf>
    <xf numFmtId="0" fontId="163" fillId="4" borderId="495" xfId="0" applyFont="1" applyFill="1" applyBorder="1" applyProtection="1">
      <protection locked="0"/>
    </xf>
    <xf numFmtId="0" fontId="163" fillId="4" borderId="349" xfId="0" applyFont="1" applyFill="1" applyBorder="1" applyAlignment="1" applyProtection="1">
      <alignment horizontal="center" vertical="center"/>
      <protection locked="0"/>
    </xf>
    <xf numFmtId="0" fontId="174" fillId="4" borderId="349" xfId="0" applyFont="1" applyFill="1" applyBorder="1" applyProtection="1">
      <protection locked="0"/>
    </xf>
    <xf numFmtId="9" fontId="23" fillId="4" borderId="495" xfId="0" applyNumberFormat="1" applyFont="1" applyFill="1" applyBorder="1" applyAlignment="1">
      <alignment horizontal="center"/>
    </xf>
    <xf numFmtId="9" fontId="23" fillId="4" borderId="531" xfId="0" applyNumberFormat="1" applyFont="1" applyFill="1" applyBorder="1" applyProtection="1">
      <protection locked="0"/>
    </xf>
    <xf numFmtId="0" fontId="160" fillId="4" borderId="532" xfId="0" applyFont="1" applyFill="1" applyBorder="1" applyAlignment="1">
      <alignment horizontal="center"/>
    </xf>
    <xf numFmtId="0" fontId="160" fillId="4" borderId="349" xfId="0" applyFont="1" applyFill="1" applyBorder="1" applyAlignment="1">
      <alignment horizontal="center"/>
    </xf>
    <xf numFmtId="0" fontId="160" fillId="4" borderId="531" xfId="0" applyFont="1" applyFill="1" applyBorder="1" applyAlignment="1">
      <alignment horizontal="center"/>
    </xf>
    <xf numFmtId="0" fontId="23" fillId="4" borderId="495" xfId="0" applyFont="1" applyFill="1" applyBorder="1" applyProtection="1">
      <protection locked="0"/>
    </xf>
    <xf numFmtId="0" fontId="93" fillId="0" borderId="535" xfId="6" applyFont="1" applyBorder="1" applyAlignment="1" applyProtection="1">
      <alignment horizontal="right" vertical="center"/>
      <protection locked="0"/>
    </xf>
    <xf numFmtId="180" fontId="171" fillId="0" borderId="19" xfId="11" applyNumberFormat="1" applyFont="1" applyBorder="1"/>
    <xf numFmtId="180" fontId="171" fillId="0" borderId="18" xfId="11" applyNumberFormat="1" applyFont="1" applyBorder="1"/>
    <xf numFmtId="0" fontId="162" fillId="0" borderId="141" xfId="0" applyFont="1" applyBorder="1" applyProtection="1">
      <protection locked="0"/>
    </xf>
    <xf numFmtId="0" fontId="162" fillId="0" borderId="0" xfId="0" applyFont="1" applyProtection="1">
      <protection locked="0"/>
    </xf>
    <xf numFmtId="9" fontId="162" fillId="13" borderId="80" xfId="5" applyFont="1" applyFill="1" applyBorder="1" applyProtection="1"/>
    <xf numFmtId="0" fontId="162" fillId="13" borderId="138" xfId="0" applyFont="1" applyFill="1" applyBorder="1" applyAlignment="1" applyProtection="1">
      <alignment horizontal="center"/>
      <protection locked="0"/>
    </xf>
    <xf numFmtId="0" fontId="162" fillId="13" borderId="139" xfId="0" applyFont="1" applyFill="1" applyBorder="1" applyAlignment="1" applyProtection="1">
      <alignment horizontal="center"/>
      <protection locked="0"/>
    </xf>
    <xf numFmtId="0" fontId="162" fillId="13" borderId="140" xfId="0" applyFont="1" applyFill="1" applyBorder="1" applyAlignment="1" applyProtection="1">
      <alignment horizontal="center"/>
      <protection locked="0"/>
    </xf>
    <xf numFmtId="0" fontId="162" fillId="30" borderId="533" xfId="0" applyFont="1" applyFill="1" applyBorder="1" applyProtection="1">
      <protection locked="0"/>
    </xf>
    <xf numFmtId="2" fontId="162" fillId="0" borderId="80" xfId="0" applyNumberFormat="1" applyFont="1" applyBorder="1"/>
    <xf numFmtId="0" fontId="175" fillId="0" borderId="0" xfId="6" applyFont="1" applyAlignment="1" applyProtection="1">
      <alignment horizontal="right" vertical="center"/>
      <protection locked="0"/>
    </xf>
    <xf numFmtId="180" fontId="176" fillId="0" borderId="0" xfId="11" applyNumberFormat="1" applyFont="1" applyBorder="1"/>
    <xf numFmtId="0" fontId="162" fillId="13" borderId="141" xfId="0" applyFont="1" applyFill="1" applyBorder="1" applyProtection="1">
      <protection locked="0"/>
    </xf>
    <xf numFmtId="9" fontId="162" fillId="13" borderId="533" xfId="5" applyFont="1" applyFill="1" applyBorder="1" applyProtection="1"/>
    <xf numFmtId="0" fontId="162" fillId="13" borderId="141" xfId="0" applyFont="1" applyFill="1" applyBorder="1" applyAlignment="1" applyProtection="1">
      <alignment horizontal="center"/>
      <protection locked="0"/>
    </xf>
    <xf numFmtId="0" fontId="162" fillId="13" borderId="0" xfId="0" applyFont="1" applyFill="1" applyAlignment="1" applyProtection="1">
      <alignment horizontal="center"/>
      <protection locked="0"/>
    </xf>
    <xf numFmtId="0" fontId="162" fillId="13" borderId="142" xfId="0" applyFont="1" applyFill="1" applyBorder="1" applyAlignment="1" applyProtection="1">
      <alignment horizontal="center"/>
      <protection locked="0"/>
    </xf>
    <xf numFmtId="0" fontId="162" fillId="0" borderId="143" xfId="0" applyFont="1" applyBorder="1" applyProtection="1">
      <protection locked="0"/>
    </xf>
    <xf numFmtId="0" fontId="162" fillId="0" borderId="144" xfId="0" applyFont="1" applyBorder="1" applyProtection="1">
      <protection locked="0"/>
    </xf>
    <xf numFmtId="9" fontId="162" fillId="13" borderId="81" xfId="5" applyFont="1" applyFill="1" applyBorder="1" applyProtection="1"/>
    <xf numFmtId="0" fontId="162" fillId="13" borderId="143" xfId="0" applyFont="1" applyFill="1" applyBorder="1" applyAlignment="1" applyProtection="1">
      <alignment horizontal="center"/>
      <protection locked="0"/>
    </xf>
    <xf numFmtId="0" fontId="162" fillId="13" borderId="144" xfId="0" applyFont="1" applyFill="1" applyBorder="1" applyAlignment="1">
      <alignment horizontal="center"/>
    </xf>
    <xf numFmtId="37" fontId="156" fillId="13" borderId="0" xfId="15" applyNumberFormat="1" applyFont="1" applyFill="1" applyAlignment="1">
      <alignment vertical="center"/>
    </xf>
    <xf numFmtId="37" fontId="99" fillId="0" borderId="16" xfId="15" applyNumberFormat="1" applyFont="1" applyBorder="1" applyAlignment="1" applyProtection="1">
      <alignment vertical="center"/>
      <protection locked="0"/>
    </xf>
    <xf numFmtId="37" fontId="99" fillId="0" borderId="11" xfId="15" applyNumberFormat="1" applyFont="1" applyBorder="1" applyAlignment="1" applyProtection="1">
      <alignment vertical="center"/>
      <protection locked="0"/>
    </xf>
    <xf numFmtId="9" fontId="24" fillId="0" borderId="0" xfId="0" applyNumberFormat="1" applyFont="1" applyProtection="1">
      <protection locked="0"/>
    </xf>
    <xf numFmtId="0" fontId="93" fillId="0" borderId="17" xfId="6" applyFont="1" applyBorder="1" applyAlignment="1" applyProtection="1">
      <alignment horizontal="right" vertical="center"/>
      <protection locked="0"/>
    </xf>
    <xf numFmtId="0" fontId="0" fillId="0" borderId="143" xfId="0" applyBorder="1" applyProtection="1">
      <protection locked="0"/>
    </xf>
    <xf numFmtId="0" fontId="0" fillId="0" borderId="144" xfId="0" applyBorder="1" applyProtection="1">
      <protection locked="0"/>
    </xf>
    <xf numFmtId="0" fontId="0" fillId="0" borderId="144" xfId="0" applyBorder="1" applyAlignment="1" applyProtection="1">
      <alignment horizontal="center"/>
      <protection locked="0"/>
    </xf>
    <xf numFmtId="2" fontId="177" fillId="20" borderId="495" xfId="0" applyNumberFormat="1" applyFont="1" applyFill="1" applyBorder="1"/>
    <xf numFmtId="0" fontId="73" fillId="13" borderId="17" xfId="6" applyFont="1" applyFill="1" applyBorder="1" applyAlignment="1" applyProtection="1">
      <alignment vertical="center"/>
      <protection locked="0"/>
    </xf>
    <xf numFmtId="3" fontId="73" fillId="13" borderId="535" xfId="10" applyNumberFormat="1" applyFont="1" applyFill="1" applyBorder="1" applyAlignment="1" applyProtection="1">
      <alignment vertical="center"/>
      <protection locked="0"/>
    </xf>
    <xf numFmtId="3" fontId="73" fillId="13" borderId="538" xfId="10" applyNumberFormat="1" applyFont="1" applyFill="1" applyBorder="1" applyAlignment="1" applyProtection="1">
      <alignment vertical="center"/>
      <protection locked="0"/>
    </xf>
    <xf numFmtId="0" fontId="147" fillId="13" borderId="47" xfId="6" applyFont="1" applyFill="1" applyBorder="1" applyAlignment="1" applyProtection="1">
      <alignment vertical="center"/>
      <protection locked="0"/>
    </xf>
    <xf numFmtId="3" fontId="99" fillId="13" borderId="0" xfId="15" applyNumberFormat="1" applyFont="1" applyFill="1" applyAlignment="1" applyProtection="1">
      <alignment vertical="center"/>
      <protection locked="0"/>
    </xf>
    <xf numFmtId="3" fontId="99" fillId="13" borderId="13" xfId="15" applyNumberFormat="1" applyFont="1" applyFill="1" applyBorder="1" applyAlignment="1" applyProtection="1">
      <alignment vertical="center"/>
      <protection locked="0"/>
    </xf>
    <xf numFmtId="3" fontId="148" fillId="4" borderId="29" xfId="11" applyNumberFormat="1" applyFont="1" applyFill="1" applyBorder="1" applyAlignment="1" applyProtection="1">
      <alignment vertical="center"/>
      <protection locked="0"/>
    </xf>
    <xf numFmtId="3" fontId="148" fillId="4" borderId="15" xfId="11" applyNumberFormat="1" applyFont="1" applyFill="1" applyBorder="1" applyAlignment="1" applyProtection="1">
      <alignment vertical="center"/>
      <protection locked="0"/>
    </xf>
    <xf numFmtId="0" fontId="164" fillId="13" borderId="101" xfId="0" applyFont="1" applyFill="1" applyBorder="1" applyAlignment="1" applyProtection="1">
      <alignment horizontal="center" vertical="center"/>
      <protection locked="0"/>
    </xf>
    <xf numFmtId="0" fontId="164" fillId="13" borderId="125" xfId="0" applyFont="1" applyFill="1" applyBorder="1" applyAlignment="1" applyProtection="1">
      <alignment horizontal="center" vertical="center"/>
      <protection locked="0"/>
    </xf>
    <xf numFmtId="0" fontId="93" fillId="13" borderId="126" xfId="0" applyFont="1" applyFill="1" applyBorder="1" applyAlignment="1" applyProtection="1">
      <alignment horizontal="left" vertical="center"/>
      <protection locked="0"/>
    </xf>
    <xf numFmtId="167" fontId="93" fillId="13" borderId="13" xfId="5" applyNumberFormat="1" applyFont="1" applyFill="1" applyBorder="1" applyAlignment="1" applyProtection="1">
      <alignment horizontal="center" vertical="center"/>
      <protection locked="0"/>
    </xf>
    <xf numFmtId="0" fontId="157" fillId="0" borderId="495" xfId="0" applyFont="1" applyBorder="1" applyAlignment="1" applyProtection="1">
      <alignment vertical="center" wrapText="1"/>
      <protection locked="0"/>
    </xf>
    <xf numFmtId="0" fontId="157" fillId="0" borderId="81" xfId="0" applyFont="1" applyBorder="1" applyAlignment="1" applyProtection="1">
      <alignment vertical="center" wrapText="1"/>
      <protection locked="0"/>
    </xf>
    <xf numFmtId="37" fontId="157" fillId="0" borderId="81" xfId="0" applyNumberFormat="1" applyFont="1" applyBorder="1" applyAlignment="1" applyProtection="1">
      <alignment vertical="center" wrapText="1"/>
      <protection locked="0"/>
    </xf>
    <xf numFmtId="14" fontId="157" fillId="0" borderId="495" xfId="15" applyNumberFormat="1" applyFont="1" applyBorder="1" applyAlignment="1" applyProtection="1">
      <alignment horizontal="left" vertical="center"/>
      <protection locked="0"/>
    </xf>
    <xf numFmtId="0" fontId="164" fillId="13" borderId="535" xfId="0" applyFont="1" applyFill="1" applyBorder="1" applyAlignment="1" applyProtection="1">
      <alignment horizontal="center" vertical="center"/>
      <protection locked="0"/>
    </xf>
    <xf numFmtId="9" fontId="164" fillId="13" borderId="18" xfId="5" applyFont="1" applyFill="1" applyBorder="1" applyAlignment="1" applyProtection="1">
      <alignment horizontal="center" vertical="center"/>
      <protection locked="0"/>
    </xf>
    <xf numFmtId="37" fontId="148" fillId="27" borderId="0" xfId="15" applyNumberFormat="1" applyFont="1" applyFill="1" applyAlignment="1" applyProtection="1">
      <alignment vertical="center"/>
      <protection locked="0"/>
    </xf>
    <xf numFmtId="37" fontId="156" fillId="27" borderId="0" xfId="15" applyNumberFormat="1" applyFont="1" applyFill="1" applyAlignment="1" applyProtection="1">
      <alignment vertical="center"/>
      <protection locked="0"/>
    </xf>
    <xf numFmtId="37" fontId="178" fillId="4" borderId="0" xfId="15" applyNumberFormat="1" applyFont="1" applyFill="1" applyAlignment="1" applyProtection="1">
      <alignment vertical="center"/>
      <protection locked="0"/>
    </xf>
    <xf numFmtId="0" fontId="149" fillId="13" borderId="0" xfId="6" applyFont="1" applyFill="1" applyAlignment="1" applyProtection="1">
      <alignment vertical="center"/>
      <protection locked="0"/>
    </xf>
    <xf numFmtId="17" fontId="148" fillId="4" borderId="18" xfId="6" applyNumberFormat="1" applyFont="1" applyFill="1" applyBorder="1" applyAlignment="1" applyProtection="1">
      <alignment horizontal="center" vertical="center"/>
      <protection locked="0"/>
    </xf>
    <xf numFmtId="17" fontId="148" fillId="4" borderId="11" xfId="6" applyNumberFormat="1" applyFont="1" applyFill="1" applyBorder="1" applyAlignment="1" applyProtection="1">
      <alignment horizontal="center" vertical="center"/>
      <protection locked="0"/>
    </xf>
    <xf numFmtId="3" fontId="150" fillId="13" borderId="21" xfId="11" applyNumberFormat="1" applyFont="1" applyFill="1" applyBorder="1" applyAlignment="1" applyProtection="1">
      <alignment vertical="center"/>
      <protection locked="0"/>
    </xf>
    <xf numFmtId="9" fontId="153" fillId="13" borderId="102" xfId="5" applyFont="1" applyFill="1" applyBorder="1" applyAlignment="1" applyProtection="1">
      <alignment horizontal="center" vertical="center"/>
      <protection locked="0"/>
    </xf>
    <xf numFmtId="9" fontId="153" fillId="13" borderId="21" xfId="5" applyFont="1" applyFill="1" applyBorder="1" applyAlignment="1" applyProtection="1">
      <alignment horizontal="center" vertical="center"/>
      <protection locked="0"/>
    </xf>
    <xf numFmtId="3" fontId="150" fillId="13" borderId="0" xfId="6" applyNumberFormat="1" applyFont="1" applyFill="1" applyAlignment="1" applyProtection="1">
      <alignment vertical="center"/>
      <protection locked="0"/>
    </xf>
    <xf numFmtId="3" fontId="150" fillId="13" borderId="13" xfId="6" applyNumberFormat="1" applyFont="1" applyFill="1" applyBorder="1" applyAlignment="1" applyProtection="1">
      <alignment vertical="center"/>
      <protection locked="0"/>
    </xf>
    <xf numFmtId="3" fontId="148" fillId="4" borderId="21" xfId="11" applyNumberFormat="1" applyFont="1" applyFill="1" applyBorder="1" applyAlignment="1" applyProtection="1">
      <alignment vertical="center"/>
      <protection locked="0"/>
    </xf>
    <xf numFmtId="3" fontId="149" fillId="13" borderId="29" xfId="11" applyNumberFormat="1" applyFont="1" applyFill="1" applyBorder="1" applyAlignment="1" applyProtection="1">
      <alignment vertical="center"/>
      <protection locked="0"/>
    </xf>
    <xf numFmtId="3" fontId="149" fillId="13" borderId="15" xfId="11" applyNumberFormat="1" applyFont="1" applyFill="1" applyBorder="1" applyAlignment="1" applyProtection="1">
      <alignment vertical="center"/>
      <protection locked="0"/>
    </xf>
    <xf numFmtId="199" fontId="150" fillId="13" borderId="102" xfId="11" applyNumberFormat="1" applyFont="1" applyFill="1" applyBorder="1" applyAlignment="1" applyProtection="1">
      <alignment vertical="center"/>
      <protection locked="0"/>
    </xf>
    <xf numFmtId="199" fontId="150" fillId="13" borderId="21" xfId="11" applyNumberFormat="1" applyFont="1" applyFill="1" applyBorder="1" applyAlignment="1" applyProtection="1">
      <alignment vertical="center"/>
      <protection locked="0"/>
    </xf>
    <xf numFmtId="0" fontId="150" fillId="13" borderId="25" xfId="6" applyFont="1" applyFill="1" applyBorder="1" applyAlignment="1" applyProtection="1">
      <alignment vertical="center"/>
      <protection locked="0"/>
    </xf>
    <xf numFmtId="199" fontId="150" fillId="13" borderId="112" xfId="11" applyNumberFormat="1" applyFont="1" applyFill="1" applyBorder="1" applyAlignment="1" applyProtection="1">
      <alignment vertical="center"/>
      <protection locked="0"/>
    </xf>
    <xf numFmtId="199" fontId="150" fillId="0" borderId="112" xfId="11" applyNumberFormat="1" applyFont="1" applyFill="1" applyBorder="1" applyAlignment="1" applyProtection="1">
      <alignment vertical="center"/>
      <protection locked="0"/>
    </xf>
    <xf numFmtId="3" fontId="150" fillId="13" borderId="112" xfId="11" applyNumberFormat="1" applyFont="1" applyFill="1" applyBorder="1" applyAlignment="1" applyProtection="1">
      <alignment vertical="center"/>
      <protection locked="0"/>
    </xf>
    <xf numFmtId="3" fontId="150" fillId="13" borderId="31" xfId="11" applyNumberFormat="1" applyFont="1" applyFill="1" applyBorder="1" applyAlignment="1" applyProtection="1">
      <alignment vertical="center"/>
      <protection locked="0"/>
    </xf>
    <xf numFmtId="0" fontId="73" fillId="32" borderId="535" xfId="6" applyFont="1" applyFill="1" applyBorder="1" applyAlignment="1" applyProtection="1">
      <alignment vertical="center"/>
      <protection locked="0"/>
    </xf>
    <xf numFmtId="3" fontId="73" fillId="32" borderId="539" xfId="11" applyNumberFormat="1" applyFont="1" applyFill="1" applyBorder="1" applyAlignment="1" applyProtection="1">
      <alignment vertical="center"/>
      <protection locked="0"/>
    </xf>
    <xf numFmtId="3" fontId="73" fillId="32" borderId="538" xfId="11" applyNumberFormat="1" applyFont="1" applyFill="1" applyBorder="1" applyAlignment="1" applyProtection="1">
      <alignment vertical="center"/>
      <protection locked="0"/>
    </xf>
    <xf numFmtId="164" fontId="150" fillId="13" borderId="29" xfId="6" applyNumberFormat="1" applyFont="1" applyFill="1" applyBorder="1" applyAlignment="1" applyProtection="1">
      <alignment horizontal="center" vertical="center"/>
      <protection locked="0"/>
    </xf>
    <xf numFmtId="164" fontId="150" fillId="13" borderId="15" xfId="6" applyNumberFormat="1" applyFont="1" applyFill="1" applyBorder="1" applyAlignment="1" applyProtection="1">
      <alignment horizontal="center" vertical="center"/>
      <protection locked="0"/>
    </xf>
    <xf numFmtId="1" fontId="150" fillId="13" borderId="29" xfId="6" applyNumberFormat="1" applyFont="1" applyFill="1" applyBorder="1" applyAlignment="1" applyProtection="1">
      <alignment horizontal="center" vertical="center"/>
      <protection locked="0"/>
    </xf>
    <xf numFmtId="1" fontId="150" fillId="13" borderId="15" xfId="6" applyNumberFormat="1" applyFont="1" applyFill="1" applyBorder="1" applyAlignment="1" applyProtection="1">
      <alignment horizontal="center" vertical="center"/>
      <protection locked="0"/>
    </xf>
    <xf numFmtId="37" fontId="156" fillId="27" borderId="0" xfId="15" applyNumberFormat="1" applyFont="1" applyFill="1" applyAlignment="1">
      <alignment vertical="center"/>
    </xf>
    <xf numFmtId="0" fontId="165" fillId="4" borderId="47" xfId="0" applyFont="1" applyFill="1" applyBorder="1" applyAlignment="1" applyProtection="1">
      <alignment horizontal="center" vertical="center" wrapText="1"/>
      <protection locked="0"/>
    </xf>
    <xf numFmtId="0" fontId="0" fillId="13" borderId="0" xfId="0" applyFill="1"/>
    <xf numFmtId="0" fontId="164" fillId="13" borderId="47" xfId="0" applyFont="1" applyFill="1" applyBorder="1" applyAlignment="1" applyProtection="1">
      <alignment horizontal="center" vertical="center"/>
      <protection locked="0"/>
    </xf>
    <xf numFmtId="1" fontId="164" fillId="13" borderId="59" xfId="0" applyNumberFormat="1" applyFont="1" applyFill="1" applyBorder="1" applyAlignment="1" applyProtection="1">
      <alignment horizontal="center" vertical="center"/>
      <protection locked="0"/>
    </xf>
    <xf numFmtId="0" fontId="93" fillId="13" borderId="60" xfId="0" applyFont="1" applyFill="1" applyBorder="1" applyAlignment="1" applyProtection="1">
      <alignment horizontal="left" vertical="center"/>
      <protection locked="0"/>
    </xf>
    <xf numFmtId="172" fontId="93" fillId="13" borderId="10" xfId="7" applyNumberFormat="1" applyFont="1" applyFill="1" applyBorder="1" applyAlignment="1" applyProtection="1">
      <alignment horizontal="center" vertical="center"/>
      <protection locked="0"/>
    </xf>
    <xf numFmtId="172" fontId="93" fillId="13" borderId="59" xfId="7" applyNumberFormat="1" applyFont="1" applyFill="1" applyBorder="1" applyAlignment="1" applyProtection="1">
      <alignment horizontal="center" vertical="center"/>
      <protection locked="0"/>
    </xf>
    <xf numFmtId="172" fontId="93" fillId="13" borderId="10" xfId="7" quotePrefix="1" applyNumberFormat="1" applyFont="1" applyFill="1" applyBorder="1" applyAlignment="1" applyProtection="1">
      <alignment horizontal="center" vertical="center"/>
      <protection locked="0"/>
    </xf>
    <xf numFmtId="172" fontId="93" fillId="13" borderId="59" xfId="7" quotePrefix="1" applyNumberFormat="1" applyFont="1" applyFill="1" applyBorder="1" applyAlignment="1" applyProtection="1">
      <alignment horizontal="center" vertical="center"/>
      <protection locked="0"/>
    </xf>
    <xf numFmtId="172" fontId="93" fillId="13" borderId="12" xfId="7" applyNumberFormat="1" applyFont="1" applyFill="1" applyBorder="1" applyAlignment="1" applyProtection="1">
      <alignment horizontal="center" vertical="center"/>
      <protection locked="0"/>
    </xf>
    <xf numFmtId="172" fontId="93" fillId="13" borderId="60" xfId="7" applyNumberFormat="1" applyFont="1" applyFill="1" applyBorder="1" applyAlignment="1" applyProtection="1">
      <alignment horizontal="center" vertical="center"/>
      <protection locked="0"/>
    </xf>
    <xf numFmtId="172" fontId="93" fillId="13" borderId="12" xfId="7" quotePrefix="1" applyNumberFormat="1" applyFont="1" applyFill="1" applyBorder="1" applyAlignment="1" applyProtection="1">
      <alignment horizontal="center" vertical="center"/>
      <protection locked="0"/>
    </xf>
    <xf numFmtId="172" fontId="93" fillId="13" borderId="60" xfId="7" quotePrefix="1" applyNumberFormat="1" applyFont="1" applyFill="1" applyBorder="1" applyAlignment="1" applyProtection="1">
      <alignment horizontal="center" vertical="center"/>
      <protection locked="0"/>
    </xf>
    <xf numFmtId="0" fontId="165" fillId="4" borderId="17" xfId="0" applyFont="1" applyFill="1" applyBorder="1" applyAlignment="1" applyProtection="1">
      <alignment horizontal="center" vertical="center"/>
      <protection locked="0"/>
    </xf>
    <xf numFmtId="0" fontId="165" fillId="4" borderId="18" xfId="0" applyFont="1" applyFill="1" applyBorder="1" applyAlignment="1" applyProtection="1">
      <alignment horizontal="center" vertical="center"/>
      <protection locked="0"/>
    </xf>
    <xf numFmtId="0" fontId="165" fillId="4" borderId="61" xfId="0" applyFont="1" applyFill="1" applyBorder="1" applyAlignment="1" applyProtection="1">
      <alignment horizontal="center" vertical="center"/>
      <protection locked="0"/>
    </xf>
    <xf numFmtId="0" fontId="165" fillId="4" borderId="29" xfId="0" applyFont="1" applyFill="1" applyBorder="1" applyAlignment="1" applyProtection="1">
      <alignment horizontal="center" vertical="center"/>
      <protection locked="0"/>
    </xf>
    <xf numFmtId="0" fontId="165" fillId="4" borderId="15" xfId="0" applyFont="1" applyFill="1" applyBorder="1" applyAlignment="1" applyProtection="1">
      <alignment horizontal="center" vertical="center"/>
      <protection locked="0"/>
    </xf>
    <xf numFmtId="0" fontId="93" fillId="0" borderId="10" xfId="0" applyFont="1" applyBorder="1" applyAlignment="1" applyProtection="1">
      <alignment horizontal="left" vertical="center"/>
      <protection locked="0"/>
    </xf>
    <xf numFmtId="0" fontId="86" fillId="0" borderId="16" xfId="0" applyFont="1" applyBorder="1" applyAlignment="1" applyProtection="1">
      <alignment horizontal="center"/>
      <protection locked="0"/>
    </xf>
    <xf numFmtId="3" fontId="93" fillId="0" borderId="59" xfId="11" applyNumberFormat="1" applyFont="1" applyFill="1" applyBorder="1" applyAlignment="1" applyProtection="1">
      <alignment horizontal="center" vertical="center"/>
      <protection locked="0"/>
    </xf>
    <xf numFmtId="0" fontId="93" fillId="0" borderId="12" xfId="0" applyFont="1" applyBorder="1" applyAlignment="1" applyProtection="1">
      <alignment horizontal="left" vertical="center"/>
      <protection locked="0"/>
    </xf>
    <xf numFmtId="0" fontId="86" fillId="0" borderId="0" xfId="0" applyFont="1" applyAlignment="1" applyProtection="1">
      <alignment horizontal="center"/>
      <protection locked="0"/>
    </xf>
    <xf numFmtId="3" fontId="93" fillId="0" borderId="60" xfId="11" applyNumberFormat="1" applyFont="1" applyFill="1" applyBorder="1" applyAlignment="1" applyProtection="1">
      <alignment horizontal="center" vertical="center"/>
      <protection locked="0"/>
    </xf>
    <xf numFmtId="0" fontId="93" fillId="13" borderId="78" xfId="0" applyFont="1" applyFill="1" applyBorder="1" applyAlignment="1" applyProtection="1">
      <alignment horizontal="left" vertical="center"/>
      <protection locked="0"/>
    </xf>
    <xf numFmtId="172" fontId="93" fillId="13" borderId="22" xfId="7" applyNumberFormat="1" applyFont="1" applyFill="1" applyBorder="1" applyAlignment="1" applyProtection="1">
      <alignment horizontal="center" vertical="center"/>
      <protection locked="0"/>
    </xf>
    <xf numFmtId="172" fontId="93" fillId="13" borderId="78" xfId="7" applyNumberFormat="1" applyFont="1" applyFill="1" applyBorder="1" applyAlignment="1" applyProtection="1">
      <alignment horizontal="center" vertical="center"/>
      <protection locked="0"/>
    </xf>
    <xf numFmtId="172" fontId="93" fillId="13" borderId="22" xfId="7" quotePrefix="1" applyNumberFormat="1" applyFont="1" applyFill="1" applyBorder="1" applyAlignment="1" applyProtection="1">
      <alignment horizontal="center" vertical="center"/>
      <protection locked="0"/>
    </xf>
    <xf numFmtId="172" fontId="93" fillId="13" borderId="78" xfId="7" quotePrefix="1" applyNumberFormat="1" applyFont="1" applyFill="1" applyBorder="1" applyAlignment="1" applyProtection="1">
      <alignment horizontal="center" vertical="center"/>
      <protection locked="0"/>
    </xf>
    <xf numFmtId="0" fontId="93" fillId="0" borderId="0" xfId="0" applyFont="1" applyAlignment="1" applyProtection="1">
      <alignment horizontal="center" vertical="center"/>
      <protection locked="0"/>
    </xf>
    <xf numFmtId="0" fontId="93" fillId="5" borderId="61" xfId="0" applyFont="1" applyFill="1" applyBorder="1" applyAlignment="1" applyProtection="1">
      <alignment horizontal="left" vertical="center"/>
      <protection locked="0"/>
    </xf>
    <xf numFmtId="172" fontId="93" fillId="5" borderId="14" xfId="7" applyNumberFormat="1" applyFont="1" applyFill="1" applyBorder="1" applyAlignment="1" applyProtection="1">
      <alignment horizontal="center" vertical="center"/>
      <protection locked="0"/>
    </xf>
    <xf numFmtId="172" fontId="93" fillId="5" borderId="61" xfId="7" applyNumberFormat="1" applyFont="1" applyFill="1" applyBorder="1" applyAlignment="1" applyProtection="1">
      <alignment horizontal="center" vertical="center"/>
      <protection locked="0"/>
    </xf>
    <xf numFmtId="0" fontId="93" fillId="13" borderId="59" xfId="0" applyFont="1" applyFill="1" applyBorder="1" applyAlignment="1" applyProtection="1">
      <alignment horizontal="left" vertical="center"/>
      <protection locked="0"/>
    </xf>
    <xf numFmtId="0" fontId="164" fillId="33" borderId="17" xfId="0" applyFont="1" applyFill="1" applyBorder="1" applyAlignment="1" applyProtection="1">
      <alignment vertical="center"/>
      <protection locked="0"/>
    </xf>
    <xf numFmtId="0" fontId="0" fillId="33" borderId="19" xfId="0" applyFill="1" applyBorder="1" applyProtection="1">
      <protection locked="0"/>
    </xf>
    <xf numFmtId="3" fontId="164" fillId="33" borderId="47" xfId="11" applyNumberFormat="1" applyFont="1" applyFill="1" applyBorder="1" applyAlignment="1" applyProtection="1">
      <alignment horizontal="center" vertical="center"/>
      <protection locked="0"/>
    </xf>
    <xf numFmtId="0" fontId="164" fillId="13" borderId="0" xfId="0" applyFont="1" applyFill="1" applyAlignment="1" applyProtection="1">
      <alignment horizontal="left" vertical="center"/>
      <protection locked="0"/>
    </xf>
    <xf numFmtId="172" fontId="164" fillId="13" borderId="19" xfId="7" applyNumberFormat="1" applyFont="1" applyFill="1" applyBorder="1" applyAlignment="1" applyProtection="1">
      <alignment vertical="center"/>
      <protection locked="0"/>
    </xf>
    <xf numFmtId="9" fontId="93" fillId="13" borderId="60" xfId="5" applyFont="1" applyFill="1" applyBorder="1" applyAlignment="1" applyProtection="1">
      <alignment horizontal="center" vertical="center"/>
      <protection locked="0"/>
    </xf>
    <xf numFmtId="9" fontId="93" fillId="13" borderId="59" xfId="5" applyFont="1" applyFill="1" applyBorder="1" applyAlignment="1" applyProtection="1">
      <alignment horizontal="center" vertical="center"/>
      <protection locked="0"/>
    </xf>
    <xf numFmtId="1" fontId="93" fillId="13" borderId="60" xfId="7" applyNumberFormat="1" applyFont="1" applyFill="1" applyBorder="1" applyAlignment="1" applyProtection="1">
      <alignment horizontal="center" vertical="center"/>
      <protection locked="0"/>
    </xf>
    <xf numFmtId="169" fontId="93" fillId="13" borderId="60" xfId="7" applyNumberFormat="1" applyFont="1" applyFill="1" applyBorder="1" applyAlignment="1" applyProtection="1">
      <alignment horizontal="center" vertical="center"/>
      <protection locked="0"/>
    </xf>
    <xf numFmtId="0" fontId="93" fillId="13" borderId="61" xfId="0" applyFont="1" applyFill="1" applyBorder="1" applyAlignment="1" applyProtection="1">
      <alignment horizontal="left" vertical="center"/>
      <protection locked="0"/>
    </xf>
    <xf numFmtId="169" fontId="93" fillId="13" borderId="61" xfId="7" applyNumberFormat="1" applyFont="1" applyFill="1" applyBorder="1" applyAlignment="1" applyProtection="1">
      <alignment horizontal="center" vertical="center"/>
      <protection locked="0"/>
    </xf>
    <xf numFmtId="37" fontId="147" fillId="2" borderId="0" xfId="15" applyNumberFormat="1" applyFont="1" applyFill="1" applyAlignment="1" applyProtection="1">
      <alignment vertical="center"/>
      <protection locked="0"/>
    </xf>
    <xf numFmtId="0" fontId="179" fillId="0" borderId="0" xfId="15" applyFont="1" applyAlignment="1" applyProtection="1">
      <alignment vertical="center"/>
      <protection locked="0"/>
    </xf>
    <xf numFmtId="37" fontId="30" fillId="0" borderId="540" xfId="15" applyNumberFormat="1" applyFont="1" applyBorder="1" applyAlignment="1" applyProtection="1">
      <alignment horizontal="left"/>
      <protection locked="0"/>
    </xf>
    <xf numFmtId="37" fontId="30" fillId="0" borderId="541" xfId="15" applyNumberFormat="1" applyFont="1" applyBorder="1" applyAlignment="1" applyProtection="1">
      <alignment horizontal="left"/>
      <protection locked="0"/>
    </xf>
    <xf numFmtId="0" fontId="99" fillId="0" borderId="542" xfId="15" applyFont="1" applyBorder="1" applyProtection="1">
      <protection locked="0"/>
    </xf>
    <xf numFmtId="0" fontId="99" fillId="0" borderId="0" xfId="15" applyFont="1" applyProtection="1">
      <protection locked="0"/>
    </xf>
    <xf numFmtId="0" fontId="28" fillId="0" borderId="543" xfId="15" applyBorder="1" applyProtection="1">
      <protection locked="0"/>
    </xf>
    <xf numFmtId="37" fontId="99" fillId="0" borderId="544" xfId="15" applyNumberFormat="1" applyFont="1" applyBorder="1" applyAlignment="1" applyProtection="1">
      <alignment horizontal="left"/>
      <protection locked="0"/>
    </xf>
    <xf numFmtId="0" fontId="99" fillId="0" borderId="544" xfId="15" applyFont="1" applyBorder="1" applyProtection="1">
      <protection locked="0"/>
    </xf>
    <xf numFmtId="0" fontId="99" fillId="0" borderId="545" xfId="15" applyFont="1" applyBorder="1" applyProtection="1">
      <protection locked="0"/>
    </xf>
    <xf numFmtId="0" fontId="99" fillId="0" borderId="546" xfId="15" applyFont="1" applyBorder="1" applyProtection="1">
      <protection locked="0"/>
    </xf>
    <xf numFmtId="37" fontId="30" fillId="0" borderId="547" xfId="15" applyNumberFormat="1" applyFont="1" applyBorder="1" applyAlignment="1" applyProtection="1">
      <alignment horizontal="left"/>
      <protection hidden="1"/>
    </xf>
    <xf numFmtId="37" fontId="30" fillId="0" borderId="12" xfId="15" applyNumberFormat="1" applyFont="1" applyBorder="1" applyProtection="1">
      <protection hidden="1"/>
    </xf>
    <xf numFmtId="0" fontId="99" fillId="0" borderId="0" xfId="15" applyFont="1" applyProtection="1">
      <protection hidden="1"/>
    </xf>
    <xf numFmtId="0" fontId="30" fillId="0" borderId="0" xfId="15" quotePrefix="1" applyFont="1" applyAlignment="1" applyProtection="1">
      <alignment horizontal="right"/>
      <protection hidden="1"/>
    </xf>
    <xf numFmtId="17" fontId="30" fillId="0" borderId="0" xfId="15" applyNumberFormat="1" applyFont="1" applyAlignment="1" applyProtection="1">
      <alignment horizontal="left" indent="1"/>
      <protection hidden="1"/>
    </xf>
    <xf numFmtId="15" fontId="30" fillId="0" borderId="0" xfId="15" applyNumberFormat="1" applyFont="1" applyAlignment="1" applyProtection="1">
      <alignment horizontal="center"/>
      <protection hidden="1"/>
    </xf>
    <xf numFmtId="0" fontId="100" fillId="0" borderId="0" xfId="15" applyFont="1" applyProtection="1">
      <protection hidden="1"/>
    </xf>
    <xf numFmtId="0" fontId="99" fillId="0" borderId="13" xfId="15" applyFont="1" applyBorder="1" applyProtection="1">
      <protection hidden="1"/>
    </xf>
    <xf numFmtId="0" fontId="99" fillId="0" borderId="60" xfId="15" applyFont="1" applyBorder="1" applyProtection="1">
      <protection hidden="1"/>
    </xf>
    <xf numFmtId="0" fontId="30" fillId="0" borderId="12" xfId="15" applyFont="1" applyBorder="1" applyProtection="1">
      <protection hidden="1"/>
    </xf>
    <xf numFmtId="0" fontId="100" fillId="0" borderId="0" xfId="15" applyFont="1" applyAlignment="1" applyProtection="1">
      <alignment horizontal="left"/>
      <protection hidden="1"/>
    </xf>
    <xf numFmtId="17" fontId="100" fillId="0" borderId="0" xfId="15" applyNumberFormat="1" applyFont="1" applyProtection="1">
      <protection locked="0"/>
    </xf>
    <xf numFmtId="0" fontId="100" fillId="0" borderId="12" xfId="15" applyFont="1" applyBorder="1" applyProtection="1">
      <protection hidden="1"/>
    </xf>
    <xf numFmtId="0" fontId="114" fillId="0" borderId="60" xfId="15" applyFont="1" applyBorder="1" applyProtection="1">
      <protection hidden="1"/>
    </xf>
    <xf numFmtId="0" fontId="100" fillId="10" borderId="47" xfId="15" applyFont="1" applyFill="1" applyBorder="1" applyAlignment="1" applyProtection="1">
      <alignment horizontal="center" vertical="center"/>
      <protection hidden="1"/>
    </xf>
    <xf numFmtId="0" fontId="100" fillId="10" borderId="47" xfId="15" applyFont="1" applyFill="1" applyBorder="1" applyAlignment="1" applyProtection="1">
      <alignment horizontal="center" vertical="center" wrapText="1"/>
      <protection hidden="1"/>
    </xf>
    <xf numFmtId="0" fontId="0" fillId="0" borderId="13" xfId="0" applyBorder="1" applyProtection="1">
      <protection hidden="1"/>
    </xf>
    <xf numFmtId="0" fontId="76" fillId="0" borderId="60" xfId="15" applyFont="1" applyBorder="1" applyAlignment="1" applyProtection="1">
      <alignment horizontal="center" vertical="center"/>
      <protection hidden="1"/>
    </xf>
    <xf numFmtId="0" fontId="99" fillId="0" borderId="146" xfId="15" applyFont="1" applyBorder="1" applyAlignment="1" applyProtection="1">
      <alignment horizontal="left" vertical="center"/>
      <protection locked="0"/>
    </xf>
    <xf numFmtId="3" fontId="99" fillId="0" borderId="86" xfId="15" applyNumberFormat="1" applyFont="1" applyBorder="1" applyAlignment="1" applyProtection="1">
      <alignment horizontal="center" vertical="center"/>
      <protection locked="0"/>
    </xf>
    <xf numFmtId="3" fontId="99" fillId="0" borderId="86" xfId="15" applyNumberFormat="1" applyFont="1" applyBorder="1" applyAlignment="1" applyProtection="1">
      <alignment horizontal="right" vertical="center" indent="1"/>
      <protection locked="0"/>
    </xf>
    <xf numFmtId="206" fontId="99" fillId="0" borderId="86" xfId="15" applyNumberFormat="1" applyFont="1" applyBorder="1" applyAlignment="1" applyProtection="1">
      <alignment horizontal="center" vertical="center"/>
      <protection locked="0"/>
    </xf>
    <xf numFmtId="3" fontId="99" fillId="0" borderId="146" xfId="15" applyNumberFormat="1" applyFont="1" applyBorder="1" applyAlignment="1" applyProtection="1">
      <alignment horizontal="left" vertical="center"/>
      <protection locked="0"/>
    </xf>
    <xf numFmtId="0" fontId="99" fillId="0" borderId="146" xfId="15" applyFont="1" applyBorder="1" applyAlignment="1" applyProtection="1">
      <alignment horizontal="center" vertical="center"/>
      <protection locked="0"/>
    </xf>
    <xf numFmtId="0" fontId="99" fillId="8" borderId="74" xfId="15" applyFont="1" applyFill="1" applyBorder="1" applyAlignment="1" applyProtection="1">
      <alignment horizontal="left" vertical="center"/>
      <protection locked="0"/>
    </xf>
    <xf numFmtId="3" fontId="99" fillId="8" borderId="89" xfId="15" applyNumberFormat="1" applyFont="1" applyFill="1" applyBorder="1" applyAlignment="1" applyProtection="1">
      <alignment horizontal="center" vertical="center"/>
      <protection locked="0"/>
    </xf>
    <xf numFmtId="3" fontId="99" fillId="8" borderId="89" xfId="15" applyNumberFormat="1" applyFont="1" applyFill="1" applyBorder="1" applyAlignment="1" applyProtection="1">
      <alignment horizontal="right" vertical="center" indent="1"/>
      <protection locked="0"/>
    </xf>
    <xf numFmtId="206" fontId="99" fillId="8" borderId="89" xfId="15" applyNumberFormat="1" applyFont="1" applyFill="1" applyBorder="1" applyAlignment="1" applyProtection="1">
      <alignment horizontal="center" vertical="center"/>
      <protection locked="0"/>
    </xf>
    <xf numFmtId="3" fontId="99" fillId="0" borderId="74" xfId="15" applyNumberFormat="1" applyFont="1" applyBorder="1" applyAlignment="1" applyProtection="1">
      <alignment horizontal="left" vertical="center"/>
      <protection locked="0"/>
    </xf>
    <xf numFmtId="0" fontId="99" fillId="0" borderId="74" xfId="15" applyFont="1" applyBorder="1" applyAlignment="1" applyProtection="1">
      <alignment horizontal="center" vertical="center"/>
      <protection locked="0"/>
    </xf>
    <xf numFmtId="3" fontId="99" fillId="8" borderId="74" xfId="15" applyNumberFormat="1" applyFont="1" applyFill="1" applyBorder="1" applyAlignment="1" applyProtection="1">
      <alignment horizontal="center" vertical="center"/>
      <protection locked="0"/>
    </xf>
    <xf numFmtId="3" fontId="99" fillId="8" borderId="74" xfId="15" applyNumberFormat="1" applyFont="1" applyFill="1" applyBorder="1" applyAlignment="1" applyProtection="1">
      <alignment horizontal="right" vertical="center" indent="1"/>
      <protection locked="0"/>
    </xf>
    <xf numFmtId="206" fontId="99" fillId="8" borderId="74" xfId="15" applyNumberFormat="1" applyFont="1" applyFill="1" applyBorder="1" applyAlignment="1" applyProtection="1">
      <alignment horizontal="center" vertical="center"/>
      <protection locked="0"/>
    </xf>
    <xf numFmtId="3" fontId="28" fillId="0" borderId="13" xfId="15" applyNumberFormat="1" applyBorder="1" applyAlignment="1" applyProtection="1">
      <alignment vertical="center"/>
      <protection hidden="1"/>
    </xf>
    <xf numFmtId="0" fontId="99" fillId="8" borderId="47" xfId="15" applyFont="1" applyFill="1" applyBorder="1" applyAlignment="1" applyProtection="1">
      <alignment vertical="center"/>
      <protection hidden="1"/>
    </xf>
    <xf numFmtId="3" fontId="99" fillId="8" borderId="47" xfId="15" applyNumberFormat="1" applyFont="1" applyFill="1" applyBorder="1" applyAlignment="1" applyProtection="1">
      <alignment horizontal="right" vertical="center"/>
      <protection hidden="1"/>
    </xf>
    <xf numFmtId="3" fontId="99" fillId="8" borderId="47" xfId="15" applyNumberFormat="1" applyFont="1" applyFill="1" applyBorder="1" applyAlignment="1" applyProtection="1">
      <alignment horizontal="right" vertical="center" indent="1"/>
      <protection hidden="1"/>
    </xf>
    <xf numFmtId="3" fontId="99" fillId="0" borderId="47" xfId="15" applyNumberFormat="1" applyFont="1" applyBorder="1" applyAlignment="1" applyProtection="1">
      <alignment horizontal="right" vertical="center"/>
      <protection hidden="1"/>
    </xf>
    <xf numFmtId="0" fontId="28" fillId="0" borderId="13" xfId="15" applyBorder="1" applyAlignment="1" applyProtection="1">
      <alignment vertical="center"/>
      <protection hidden="1"/>
    </xf>
    <xf numFmtId="37" fontId="180" fillId="0" borderId="548" xfId="15" applyNumberFormat="1" applyFont="1" applyBorder="1" applyAlignment="1" applyProtection="1">
      <alignment horizontal="left"/>
      <protection hidden="1"/>
    </xf>
    <xf numFmtId="37" fontId="100" fillId="0" borderId="12" xfId="15" applyNumberFormat="1" applyFont="1" applyBorder="1" applyProtection="1">
      <protection hidden="1"/>
    </xf>
    <xf numFmtId="0" fontId="100" fillId="0" borderId="0" xfId="15" quotePrefix="1" applyFont="1" applyAlignment="1" applyProtection="1">
      <alignment horizontal="left"/>
      <protection hidden="1"/>
    </xf>
    <xf numFmtId="17" fontId="100" fillId="0" borderId="0" xfId="15" applyNumberFormat="1" applyFont="1" applyProtection="1">
      <protection hidden="1"/>
    </xf>
    <xf numFmtId="15" fontId="100" fillId="0" borderId="0" xfId="15" applyNumberFormat="1" applyFont="1" applyProtection="1">
      <protection hidden="1"/>
    </xf>
    <xf numFmtId="0" fontId="76" fillId="0" borderId="60" xfId="15" applyFont="1" applyBorder="1" applyProtection="1">
      <protection hidden="1"/>
    </xf>
    <xf numFmtId="0" fontId="124" fillId="0" borderId="60" xfId="15" applyFont="1" applyBorder="1" applyAlignment="1" applyProtection="1">
      <alignment horizontal="center" vertical="center"/>
      <protection hidden="1"/>
    </xf>
    <xf numFmtId="0" fontId="28" fillId="0" borderId="14" xfId="15" applyBorder="1" applyProtection="1">
      <protection hidden="1"/>
    </xf>
    <xf numFmtId="0" fontId="30" fillId="8" borderId="29" xfId="15" applyFont="1" applyFill="1" applyBorder="1" applyProtection="1">
      <protection hidden="1"/>
    </xf>
    <xf numFmtId="9" fontId="30" fillId="8" borderId="29" xfId="5" applyFont="1" applyFill="1" applyBorder="1" applyAlignment="1" applyProtection="1">
      <alignment horizontal="right"/>
      <protection hidden="1"/>
    </xf>
    <xf numFmtId="0" fontId="28" fillId="8" borderId="29" xfId="15" applyFill="1" applyBorder="1" applyAlignment="1" applyProtection="1">
      <alignment horizontal="left"/>
      <protection hidden="1"/>
    </xf>
    <xf numFmtId="0" fontId="99" fillId="8" borderId="29" xfId="15" applyFont="1" applyFill="1" applyBorder="1" applyProtection="1">
      <protection hidden="1"/>
    </xf>
    <xf numFmtId="0" fontId="28" fillId="8" borderId="29" xfId="15" applyFill="1" applyBorder="1" applyProtection="1">
      <protection hidden="1"/>
    </xf>
    <xf numFmtId="0" fontId="99" fillId="8" borderId="15" xfId="15" applyFont="1" applyFill="1" applyBorder="1" applyProtection="1">
      <protection hidden="1"/>
    </xf>
    <xf numFmtId="0" fontId="16" fillId="0" borderId="0" xfId="15" applyFont="1" applyAlignment="1" applyProtection="1">
      <alignment vertical="center"/>
      <protection locked="0"/>
    </xf>
    <xf numFmtId="0" fontId="30" fillId="0" borderId="0" xfId="15" applyFont="1" applyAlignment="1" applyProtection="1">
      <alignment vertical="center"/>
      <protection locked="0"/>
    </xf>
    <xf numFmtId="0" fontId="16" fillId="0" borderId="17" xfId="15" applyFont="1" applyBorder="1" applyAlignment="1" applyProtection="1">
      <alignment horizontal="centerContinuous" vertical="center" wrapText="1"/>
      <protection locked="0"/>
    </xf>
    <xf numFmtId="0" fontId="16" fillId="0" borderId="19" xfId="15" applyFont="1" applyBorder="1" applyAlignment="1" applyProtection="1">
      <alignment horizontal="centerContinuous" vertical="center" wrapText="1"/>
      <protection locked="0"/>
    </xf>
    <xf numFmtId="0" fontId="28" fillId="0" borderId="18" xfId="15" applyBorder="1" applyAlignment="1" applyProtection="1">
      <alignment horizontal="centerContinuous" vertical="center"/>
      <protection locked="0"/>
    </xf>
    <xf numFmtId="0" fontId="15" fillId="0" borderId="12" xfId="15" applyFont="1" applyBorder="1" applyProtection="1">
      <protection locked="0"/>
    </xf>
    <xf numFmtId="0" fontId="28" fillId="0" borderId="13" xfId="15" applyBorder="1" applyAlignment="1" applyProtection="1">
      <alignment vertical="center"/>
      <protection locked="0"/>
    </xf>
    <xf numFmtId="186" fontId="15" fillId="0" borderId="12" xfId="16" applyNumberFormat="1" applyFont="1" applyBorder="1" applyAlignment="1" applyProtection="1">
      <alignment horizontal="centerContinuous" vertical="center"/>
      <protection locked="0"/>
    </xf>
    <xf numFmtId="186" fontId="15" fillId="0" borderId="13" xfId="16" applyNumberFormat="1" applyFont="1" applyBorder="1" applyAlignment="1" applyProtection="1">
      <alignment horizontal="centerContinuous" vertical="center"/>
      <protection locked="0"/>
    </xf>
    <xf numFmtId="186" fontId="15" fillId="0" borderId="0" xfId="16" applyNumberFormat="1" applyFont="1" applyBorder="1" applyAlignment="1" applyProtection="1">
      <alignment horizontal="centerContinuous" vertical="center"/>
      <protection locked="0"/>
    </xf>
    <xf numFmtId="0" fontId="28" fillId="0" borderId="13" xfId="15" applyBorder="1" applyAlignment="1" applyProtection="1">
      <alignment horizontal="centerContinuous" vertical="center"/>
      <protection locked="0"/>
    </xf>
    <xf numFmtId="0" fontId="181" fillId="0" borderId="12" xfId="15" applyFont="1" applyBorder="1" applyProtection="1">
      <protection locked="0"/>
    </xf>
    <xf numFmtId="186" fontId="15" fillId="0" borderId="12" xfId="18" applyNumberFormat="1" applyFont="1" applyBorder="1" applyAlignment="1" applyProtection="1">
      <alignment horizontal="centerContinuous" vertical="center"/>
      <protection locked="0"/>
    </xf>
    <xf numFmtId="186" fontId="15" fillId="0" borderId="13" xfId="18" applyNumberFormat="1" applyFont="1" applyBorder="1" applyAlignment="1" applyProtection="1">
      <alignment horizontal="centerContinuous" vertical="center"/>
      <protection locked="0"/>
    </xf>
    <xf numFmtId="0" fontId="15" fillId="0" borderId="14" xfId="15" applyFont="1" applyBorder="1" applyProtection="1">
      <protection locked="0"/>
    </xf>
    <xf numFmtId="186" fontId="15" fillId="0" borderId="14" xfId="16" applyNumberFormat="1" applyFont="1" applyBorder="1" applyAlignment="1" applyProtection="1">
      <alignment horizontal="centerContinuous" vertical="center"/>
      <protection locked="0"/>
    </xf>
    <xf numFmtId="186" fontId="15" fillId="0" borderId="15" xfId="16" applyNumberFormat="1" applyFont="1" applyBorder="1" applyAlignment="1" applyProtection="1">
      <alignment horizontal="centerContinuous" vertical="center"/>
      <protection locked="0"/>
    </xf>
    <xf numFmtId="0" fontId="28" fillId="0" borderId="15" xfId="15" applyBorder="1" applyAlignment="1" applyProtection="1">
      <alignment vertical="center"/>
      <protection locked="0"/>
    </xf>
    <xf numFmtId="0" fontId="28" fillId="0" borderId="15" xfId="15" applyBorder="1" applyAlignment="1" applyProtection="1">
      <alignment horizontal="centerContinuous" vertical="center"/>
      <protection locked="0"/>
    </xf>
    <xf numFmtId="0" fontId="28" fillId="8" borderId="0" xfId="15" applyFill="1" applyAlignment="1" applyProtection="1">
      <alignment vertical="center"/>
      <protection locked="0"/>
    </xf>
    <xf numFmtId="0" fontId="28" fillId="8" borderId="0" xfId="15" applyFill="1" applyAlignment="1" applyProtection="1">
      <alignment horizontal="left" vertical="center"/>
      <protection locked="0"/>
    </xf>
    <xf numFmtId="0" fontId="99" fillId="8" borderId="0" xfId="15" applyFont="1" applyFill="1" applyAlignment="1" applyProtection="1">
      <alignment horizontal="left" vertical="center"/>
      <protection locked="0"/>
    </xf>
    <xf numFmtId="38" fontId="99" fillId="8" borderId="0" xfId="15" applyNumberFormat="1" applyFont="1" applyFill="1" applyAlignment="1" applyProtection="1">
      <alignment horizontal="right" vertical="center"/>
      <protection locked="0"/>
    </xf>
    <xf numFmtId="0" fontId="99" fillId="8" borderId="0" xfId="15" applyFont="1" applyFill="1" applyAlignment="1" applyProtection="1">
      <alignment vertical="center"/>
      <protection locked="0"/>
    </xf>
    <xf numFmtId="0" fontId="99" fillId="0" borderId="0" xfId="15" applyFont="1" applyAlignment="1">
      <alignment horizontal="left" vertical="center"/>
    </xf>
    <xf numFmtId="0" fontId="31" fillId="0" borderId="0" xfId="15" applyFont="1" applyAlignment="1">
      <alignment vertical="center"/>
    </xf>
    <xf numFmtId="0" fontId="99" fillId="0" borderId="0" xfId="15" applyFont="1" applyAlignment="1">
      <alignment vertical="center"/>
    </xf>
    <xf numFmtId="0" fontId="100" fillId="8" borderId="0" xfId="15" applyFont="1" applyFill="1" applyAlignment="1" applyProtection="1">
      <alignment horizontal="left" vertical="center"/>
      <protection locked="0"/>
    </xf>
    <xf numFmtId="0" fontId="100" fillId="0" borderId="0" xfId="15" applyFont="1" applyAlignment="1" applyProtection="1">
      <alignment vertical="center"/>
      <protection locked="0"/>
    </xf>
    <xf numFmtId="0" fontId="28" fillId="2" borderId="0" xfId="15" applyFill="1" applyAlignment="1">
      <alignment horizontal="center" vertical="center"/>
    </xf>
    <xf numFmtId="0" fontId="28" fillId="2" borderId="0" xfId="15" applyFill="1" applyAlignment="1">
      <alignment vertical="center"/>
    </xf>
    <xf numFmtId="0" fontId="19" fillId="0" borderId="17" xfId="15" applyFont="1" applyBorder="1" applyAlignment="1">
      <alignment vertical="center"/>
    </xf>
    <xf numFmtId="0" fontId="19" fillId="0" borderId="19" xfId="15" applyFont="1" applyBorder="1" applyAlignment="1">
      <alignment vertical="center"/>
    </xf>
    <xf numFmtId="0" fontId="53" fillId="0" borderId="18" xfId="15" applyFont="1" applyBorder="1" applyAlignment="1">
      <alignment horizontal="right" vertical="center"/>
    </xf>
    <xf numFmtId="0" fontId="19" fillId="0" borderId="0" xfId="15" applyFont="1" applyAlignment="1">
      <alignment vertical="center"/>
    </xf>
    <xf numFmtId="37" fontId="31" fillId="0" borderId="543" xfId="15" applyNumberFormat="1" applyFont="1" applyBorder="1" applyAlignment="1">
      <alignment horizontal="left" vertical="center"/>
    </xf>
    <xf numFmtId="37" fontId="31" fillId="0" borderId="544" xfId="15" applyNumberFormat="1" applyFont="1" applyBorder="1" applyAlignment="1">
      <alignment horizontal="left" vertical="center"/>
    </xf>
    <xf numFmtId="0" fontId="19" fillId="0" borderId="13" xfId="15" applyFont="1" applyBorder="1" applyAlignment="1">
      <alignment horizontal="right" vertical="center"/>
    </xf>
    <xf numFmtId="37" fontId="31" fillId="0" borderId="549" xfId="15" applyNumberFormat="1" applyFont="1" applyBorder="1" applyAlignment="1">
      <alignment horizontal="left" vertical="center"/>
    </xf>
    <xf numFmtId="37" fontId="31" fillId="0" borderId="550" xfId="15" applyNumberFormat="1" applyFont="1" applyBorder="1" applyAlignment="1">
      <alignment horizontal="left" vertical="center"/>
    </xf>
    <xf numFmtId="0" fontId="19" fillId="0" borderId="18" xfId="15" applyFont="1" applyBorder="1" applyAlignment="1">
      <alignment horizontal="right" vertical="center"/>
    </xf>
    <xf numFmtId="208" fontId="31" fillId="0" borderId="549" xfId="15" applyNumberFormat="1" applyFont="1" applyBorder="1" applyAlignment="1">
      <alignment horizontal="left" vertical="center"/>
    </xf>
    <xf numFmtId="0" fontId="19" fillId="0" borderId="18" xfId="15" applyFont="1" applyBorder="1" applyAlignment="1">
      <alignment vertical="center"/>
    </xf>
    <xf numFmtId="208" fontId="31" fillId="0" borderId="12" xfId="15" applyNumberFormat="1" applyFont="1" applyBorder="1" applyAlignment="1">
      <alignment horizontal="left"/>
    </xf>
    <xf numFmtId="37" fontId="31" fillId="0" borderId="10" xfId="15" applyNumberFormat="1" applyFont="1" applyBorder="1" applyAlignment="1">
      <alignment horizontal="left"/>
    </xf>
    <xf numFmtId="0" fontId="19" fillId="0" borderId="16" xfId="15" applyFont="1" applyBorder="1"/>
    <xf numFmtId="0" fontId="19" fillId="0" borderId="11" xfId="15" applyFont="1" applyBorder="1"/>
    <xf numFmtId="0" fontId="19" fillId="0" borderId="0" xfId="15" applyFont="1"/>
    <xf numFmtId="0" fontId="19" fillId="0" borderId="12" xfId="15" applyFont="1" applyBorder="1"/>
    <xf numFmtId="0" fontId="19" fillId="0" borderId="13" xfId="15" applyFont="1" applyBorder="1"/>
    <xf numFmtId="37" fontId="31" fillId="0" borderId="12" xfId="15" applyNumberFormat="1" applyFont="1" applyBorder="1" applyAlignment="1">
      <alignment horizontal="left"/>
    </xf>
    <xf numFmtId="0" fontId="19" fillId="0" borderId="14" xfId="15" applyFont="1" applyBorder="1"/>
    <xf numFmtId="0" fontId="19" fillId="0" borderId="29" xfId="15" applyFont="1" applyBorder="1"/>
    <xf numFmtId="0" fontId="19" fillId="0" borderId="15" xfId="15" applyFont="1" applyBorder="1"/>
    <xf numFmtId="208" fontId="31" fillId="0" borderId="543" xfId="15" applyNumberFormat="1" applyFont="1" applyBorder="1" applyAlignment="1">
      <alignment horizontal="left"/>
    </xf>
    <xf numFmtId="37" fontId="31" fillId="0" borderId="544" xfId="15" applyNumberFormat="1" applyFont="1" applyBorder="1" applyAlignment="1">
      <alignment horizontal="left"/>
    </xf>
    <xf numFmtId="0" fontId="19" fillId="0" borderId="543" xfId="15" applyFont="1" applyBorder="1"/>
    <xf numFmtId="0" fontId="19" fillId="0" borderId="544" xfId="15" applyFont="1" applyBorder="1"/>
    <xf numFmtId="0" fontId="19" fillId="0" borderId="551" xfId="15" applyFont="1" applyBorder="1"/>
    <xf numFmtId="0" fontId="19" fillId="0" borderId="552" xfId="15" applyFont="1" applyBorder="1"/>
    <xf numFmtId="0" fontId="19" fillId="0" borderId="59" xfId="15" applyFont="1" applyBorder="1"/>
    <xf numFmtId="0" fontId="31" fillId="0" borderId="10" xfId="15" applyFont="1" applyBorder="1"/>
    <xf numFmtId="0" fontId="19" fillId="0" borderId="60" xfId="15" applyFont="1" applyBorder="1"/>
    <xf numFmtId="0" fontId="19" fillId="0" borderId="61" xfId="15" applyFont="1" applyBorder="1"/>
    <xf numFmtId="0" fontId="19" fillId="0" borderId="10" xfId="15" applyFont="1" applyBorder="1"/>
    <xf numFmtId="0" fontId="182" fillId="0" borderId="138" xfId="6" applyFont="1" applyBorder="1" applyAlignment="1">
      <alignment vertical="center"/>
    </xf>
    <xf numFmtId="0" fontId="19" fillId="0" borderId="139" xfId="6" applyBorder="1" applyAlignment="1">
      <alignment vertical="center"/>
    </xf>
    <xf numFmtId="0" fontId="19" fillId="0" borderId="140" xfId="6" applyBorder="1" applyAlignment="1">
      <alignment vertical="center"/>
    </xf>
    <xf numFmtId="0" fontId="100" fillId="0" borderId="280" xfId="6" applyFont="1" applyBorder="1" applyAlignment="1">
      <alignment vertical="center"/>
    </xf>
    <xf numFmtId="0" fontId="100" fillId="0" borderId="0" xfId="6" applyFont="1" applyAlignment="1">
      <alignment vertical="center"/>
    </xf>
    <xf numFmtId="0" fontId="19" fillId="0" borderId="142" xfId="6" applyBorder="1" applyAlignment="1">
      <alignment vertical="center"/>
    </xf>
    <xf numFmtId="0" fontId="100" fillId="0" borderId="141" xfId="6" applyFont="1" applyBorder="1" applyAlignment="1">
      <alignment vertical="center"/>
    </xf>
    <xf numFmtId="0" fontId="100" fillId="0" borderId="0" xfId="6" applyFont="1" applyAlignment="1">
      <alignment horizontal="center" vertical="center"/>
    </xf>
    <xf numFmtId="0" fontId="99" fillId="0" borderId="282" xfId="6" applyFont="1" applyBorder="1" applyAlignment="1">
      <alignment vertical="center" wrapText="1"/>
    </xf>
    <xf numFmtId="0" fontId="99" fillId="0" borderId="146" xfId="6" applyFont="1" applyBorder="1" applyAlignment="1">
      <alignment horizontal="center" vertical="center"/>
    </xf>
    <xf numFmtId="9" fontId="99" fillId="0" borderId="146" xfId="6" applyNumberFormat="1" applyFont="1" applyBorder="1" applyAlignment="1">
      <alignment horizontal="right" vertical="center"/>
    </xf>
    <xf numFmtId="0" fontId="99" fillId="0" borderId="341" xfId="6" applyFont="1" applyBorder="1" applyAlignment="1">
      <alignment vertical="center" wrapText="1"/>
    </xf>
    <xf numFmtId="0" fontId="99" fillId="0" borderId="74" xfId="6" applyFont="1" applyBorder="1" applyAlignment="1">
      <alignment horizontal="center" vertical="center"/>
    </xf>
    <xf numFmtId="9" fontId="99" fillId="0" borderId="74" xfId="6" applyNumberFormat="1" applyFont="1" applyBorder="1" applyAlignment="1">
      <alignment horizontal="right" vertical="center"/>
    </xf>
    <xf numFmtId="0" fontId="99" fillId="0" borderId="343" xfId="6" applyFont="1" applyBorder="1" applyAlignment="1">
      <alignment vertical="center" wrapText="1"/>
    </xf>
    <xf numFmtId="0" fontId="99" fillId="0" borderId="76" xfId="6" applyFont="1" applyBorder="1" applyAlignment="1">
      <alignment horizontal="center" vertical="center"/>
    </xf>
    <xf numFmtId="9" fontId="99" fillId="0" borderId="76" xfId="6" applyNumberFormat="1" applyFont="1" applyBorder="1" applyAlignment="1">
      <alignment horizontal="right" vertical="center"/>
    </xf>
    <xf numFmtId="0" fontId="19" fillId="0" borderId="143" xfId="6" applyBorder="1" applyAlignment="1">
      <alignment vertical="center"/>
    </xf>
    <xf numFmtId="0" fontId="19" fillId="0" borderId="144" xfId="6" applyBorder="1" applyAlignment="1">
      <alignment vertical="center"/>
    </xf>
    <xf numFmtId="0" fontId="19" fillId="0" borderId="145" xfId="6" applyBorder="1" applyAlignment="1">
      <alignment vertical="center"/>
    </xf>
    <xf numFmtId="0" fontId="72" fillId="0" borderId="0" xfId="6" applyFont="1" applyAlignment="1">
      <alignment horizontal="centerContinuous" vertical="center"/>
    </xf>
    <xf numFmtId="0" fontId="183" fillId="0" borderId="0" xfId="6" applyFont="1" applyAlignment="1">
      <alignment horizontal="centerContinuous" vertical="center"/>
    </xf>
    <xf numFmtId="0" fontId="14" fillId="0" borderId="296" xfId="6" applyFont="1" applyBorder="1" applyAlignment="1">
      <alignment horizontal="center" vertical="center"/>
    </xf>
    <xf numFmtId="3" fontId="14" fillId="0" borderId="299" xfId="6" applyNumberFormat="1" applyFont="1" applyBorder="1" applyAlignment="1">
      <alignment horizontal="center" vertical="center"/>
    </xf>
    <xf numFmtId="0" fontId="14" fillId="0" borderId="553" xfId="6" applyFont="1" applyBorder="1" applyAlignment="1">
      <alignment horizontal="center" vertical="center"/>
    </xf>
    <xf numFmtId="0" fontId="14" fillId="0" borderId="554" xfId="6" applyFont="1" applyBorder="1" applyAlignment="1">
      <alignment horizontal="center" vertical="center"/>
    </xf>
    <xf numFmtId="0" fontId="136" fillId="0" borderId="514" xfId="6" applyFont="1" applyBorder="1" applyAlignment="1">
      <alignment vertical="center"/>
    </xf>
    <xf numFmtId="209" fontId="136" fillId="0" borderId="0" xfId="6" applyNumberFormat="1" applyFont="1" applyAlignment="1">
      <alignment vertical="center"/>
    </xf>
    <xf numFmtId="9" fontId="184" fillId="0" borderId="555" xfId="6" applyNumberFormat="1" applyFont="1" applyBorder="1" applyAlignment="1">
      <alignment horizontal="center" vertical="center"/>
    </xf>
    <xf numFmtId="9" fontId="184" fillId="0" borderId="556" xfId="6" applyNumberFormat="1" applyFont="1" applyBorder="1" applyAlignment="1">
      <alignment horizontal="center" vertical="center"/>
    </xf>
    <xf numFmtId="0" fontId="136" fillId="0" borderId="514" xfId="6" quotePrefix="1" applyFont="1" applyBorder="1" applyAlignment="1">
      <alignment vertical="center"/>
    </xf>
    <xf numFmtId="0" fontId="184" fillId="0" borderId="514" xfId="6" applyFont="1" applyBorder="1" applyAlignment="1">
      <alignment vertical="center"/>
    </xf>
    <xf numFmtId="0" fontId="184" fillId="0" borderId="0" xfId="6" applyFont="1" applyAlignment="1">
      <alignment vertical="center"/>
    </xf>
    <xf numFmtId="0" fontId="184" fillId="0" borderId="555" xfId="6" applyFont="1" applyBorder="1" applyAlignment="1">
      <alignment horizontal="center" vertical="center"/>
    </xf>
    <xf numFmtId="0" fontId="184" fillId="0" borderId="556" xfId="6" applyFont="1" applyBorder="1" applyAlignment="1">
      <alignment horizontal="center" vertical="center"/>
    </xf>
    <xf numFmtId="0" fontId="139" fillId="10" borderId="296" xfId="6" applyFont="1" applyFill="1" applyBorder="1" applyAlignment="1">
      <alignment vertical="center"/>
    </xf>
    <xf numFmtId="209" fontId="139" fillId="10" borderId="299" xfId="6" applyNumberFormat="1" applyFont="1" applyFill="1" applyBorder="1" applyAlignment="1">
      <alignment vertical="center"/>
    </xf>
    <xf numFmtId="9" fontId="185" fillId="10" borderId="553" xfId="6" applyNumberFormat="1" applyFont="1" applyFill="1" applyBorder="1" applyAlignment="1">
      <alignment horizontal="center" vertical="center"/>
    </xf>
    <xf numFmtId="9" fontId="185" fillId="10" borderId="554" xfId="6" applyNumberFormat="1" applyFont="1" applyFill="1" applyBorder="1" applyAlignment="1">
      <alignment horizontal="center" vertical="center"/>
    </xf>
    <xf numFmtId="209" fontId="185" fillId="10" borderId="553" xfId="6" applyNumberFormat="1" applyFont="1" applyFill="1" applyBorder="1" applyAlignment="1">
      <alignment horizontal="center" vertical="center"/>
    </xf>
    <xf numFmtId="0" fontId="139" fillId="10" borderId="302" xfId="6" applyFont="1" applyFill="1" applyBorder="1" applyAlignment="1">
      <alignment vertical="center"/>
    </xf>
    <xf numFmtId="209" fontId="139" fillId="10" borderId="301" xfId="6" applyNumberFormat="1" applyFont="1" applyFill="1" applyBorder="1" applyAlignment="1">
      <alignment vertical="center"/>
    </xf>
    <xf numFmtId="9" fontId="185" fillId="10" borderId="557" xfId="6" applyNumberFormat="1" applyFont="1" applyFill="1" applyBorder="1" applyAlignment="1">
      <alignment horizontal="center" vertical="center"/>
    </xf>
    <xf numFmtId="9" fontId="185" fillId="10" borderId="558" xfId="6" applyNumberFormat="1" applyFont="1" applyFill="1" applyBorder="1" applyAlignment="1">
      <alignment horizontal="center" vertical="center"/>
    </xf>
    <xf numFmtId="0" fontId="139" fillId="10" borderId="307" xfId="6" applyFont="1" applyFill="1" applyBorder="1" applyAlignment="1">
      <alignment vertical="center"/>
    </xf>
    <xf numFmtId="209" fontId="139" fillId="10" borderId="58" xfId="6" applyNumberFormat="1" applyFont="1" applyFill="1" applyBorder="1" applyAlignment="1">
      <alignment vertical="center"/>
    </xf>
    <xf numFmtId="9" fontId="185" fillId="10" borderId="559" xfId="6" applyNumberFormat="1" applyFont="1" applyFill="1" applyBorder="1" applyAlignment="1">
      <alignment horizontal="center" vertical="center"/>
    </xf>
    <xf numFmtId="9" fontId="185" fillId="10" borderId="560" xfId="6" applyNumberFormat="1" applyFont="1" applyFill="1" applyBorder="1" applyAlignment="1">
      <alignment horizontal="center" vertical="center"/>
    </xf>
    <xf numFmtId="0" fontId="139" fillId="10" borderId="561" xfId="6" applyFont="1" applyFill="1" applyBorder="1" applyAlignment="1">
      <alignment vertical="center"/>
    </xf>
    <xf numFmtId="209" fontId="139" fillId="10" borderId="562" xfId="6" applyNumberFormat="1" applyFont="1" applyFill="1" applyBorder="1" applyAlignment="1">
      <alignment vertical="center"/>
    </xf>
    <xf numFmtId="9" fontId="185" fillId="10" borderId="563" xfId="6" applyNumberFormat="1" applyFont="1" applyFill="1" applyBorder="1" applyAlignment="1">
      <alignment horizontal="center" vertical="center"/>
    </xf>
    <xf numFmtId="9" fontId="185" fillId="10" borderId="564" xfId="6" applyNumberFormat="1" applyFont="1" applyFill="1" applyBorder="1" applyAlignment="1">
      <alignment horizontal="center" vertical="center"/>
    </xf>
    <xf numFmtId="0" fontId="139" fillId="10" borderId="514" xfId="6" applyFont="1" applyFill="1" applyBorder="1" applyAlignment="1">
      <alignment vertical="center"/>
    </xf>
    <xf numFmtId="184" fontId="139" fillId="10" borderId="0" xfId="6" applyNumberFormat="1" applyFont="1" applyFill="1" applyAlignment="1">
      <alignment horizontal="centerContinuous" vertical="center"/>
    </xf>
    <xf numFmtId="0" fontId="185" fillId="10" borderId="565" xfId="6" applyFont="1" applyFill="1" applyBorder="1" applyAlignment="1">
      <alignment horizontal="centerContinuous" vertical="center"/>
    </xf>
    <xf numFmtId="0" fontId="185" fillId="10" borderId="0" xfId="6" applyFont="1" applyFill="1" applyAlignment="1">
      <alignment horizontal="centerContinuous" vertical="center"/>
    </xf>
    <xf numFmtId="9" fontId="185" fillId="10" borderId="566" xfId="6" applyNumberFormat="1" applyFont="1" applyFill="1" applyBorder="1" applyAlignment="1">
      <alignment vertical="center"/>
    </xf>
    <xf numFmtId="0" fontId="185" fillId="10" borderId="516" xfId="6" applyFont="1" applyFill="1" applyBorder="1" applyAlignment="1">
      <alignment horizontal="centerContinuous" vertical="center"/>
    </xf>
    <xf numFmtId="9" fontId="185" fillId="10" borderId="567" xfId="6" applyNumberFormat="1" applyFont="1" applyFill="1" applyBorder="1" applyAlignment="1">
      <alignment vertical="center"/>
    </xf>
    <xf numFmtId="0" fontId="139" fillId="10" borderId="316" xfId="6" applyFont="1" applyFill="1" applyBorder="1" applyAlignment="1">
      <alignment vertical="center"/>
    </xf>
    <xf numFmtId="184" fontId="139" fillId="10" borderId="311" xfId="6" applyNumberFormat="1" applyFont="1" applyFill="1" applyBorder="1" applyAlignment="1">
      <alignment horizontal="centerContinuous" vertical="center"/>
    </xf>
    <xf numFmtId="0" fontId="185" fillId="10" borderId="517" xfId="6" applyFont="1" applyFill="1" applyBorder="1" applyAlignment="1">
      <alignment horizontal="centerContinuous" vertical="center"/>
    </xf>
    <xf numFmtId="0" fontId="185" fillId="10" borderId="311" xfId="6" applyFont="1" applyFill="1" applyBorder="1" applyAlignment="1">
      <alignment horizontal="centerContinuous" vertical="center"/>
    </xf>
    <xf numFmtId="9" fontId="185" fillId="10" borderId="568" xfId="6" applyNumberFormat="1" applyFont="1" applyFill="1" applyBorder="1" applyAlignment="1">
      <alignment vertical="center"/>
    </xf>
    <xf numFmtId="3" fontId="14" fillId="0" borderId="299" xfId="6" applyNumberFormat="1" applyFont="1" applyBorder="1" applyAlignment="1">
      <alignment horizontal="centerContinuous" vertical="center"/>
    </xf>
    <xf numFmtId="0" fontId="184" fillId="0" borderId="333" xfId="6" applyFont="1" applyBorder="1" applyAlignment="1">
      <alignment horizontal="centerContinuous" vertical="center"/>
    </xf>
    <xf numFmtId="0" fontId="184" fillId="0" borderId="299" xfId="6" applyFont="1" applyBorder="1" applyAlignment="1">
      <alignment horizontal="centerContinuous" vertical="center"/>
    </xf>
    <xf numFmtId="167" fontId="136" fillId="0" borderId="0" xfId="6" applyNumberFormat="1" applyFont="1" applyAlignment="1">
      <alignment horizontal="centerContinuous" vertical="center"/>
    </xf>
    <xf numFmtId="0" fontId="184" fillId="0" borderId="516" xfId="6" applyFont="1" applyBorder="1" applyAlignment="1">
      <alignment horizontal="centerContinuous" vertical="center"/>
    </xf>
    <xf numFmtId="0" fontId="184" fillId="0" borderId="0" xfId="6" applyFont="1" applyAlignment="1">
      <alignment horizontal="centerContinuous" vertical="center"/>
    </xf>
    <xf numFmtId="193" fontId="136" fillId="0" borderId="0" xfId="6" applyNumberFormat="1" applyFont="1" applyAlignment="1">
      <alignment horizontal="centerContinuous" vertical="center"/>
    </xf>
    <xf numFmtId="0" fontId="136" fillId="0" borderId="316" xfId="6" applyFont="1" applyBorder="1" applyAlignment="1">
      <alignment vertical="center"/>
    </xf>
    <xf numFmtId="167" fontId="136" fillId="0" borderId="311" xfId="6" applyNumberFormat="1" applyFont="1" applyBorder="1" applyAlignment="1">
      <alignment horizontal="centerContinuous" vertical="center"/>
    </xf>
    <xf numFmtId="0" fontId="184" fillId="0" borderId="517" xfId="6" applyFont="1" applyBorder="1" applyAlignment="1">
      <alignment horizontal="centerContinuous" vertical="center"/>
    </xf>
    <xf numFmtId="0" fontId="184" fillId="0" borderId="311" xfId="6" applyFont="1" applyBorder="1" applyAlignment="1">
      <alignment horizontal="centerContinuous" vertical="center"/>
    </xf>
    <xf numFmtId="0" fontId="136" fillId="0" borderId="514" xfId="6" applyFont="1" applyBorder="1" applyAlignment="1">
      <alignment vertical="center" wrapText="1"/>
    </xf>
    <xf numFmtId="0" fontId="136" fillId="0" borderId="0" xfId="6" applyFont="1" applyAlignment="1">
      <alignment horizontal="center" vertical="center"/>
    </xf>
    <xf numFmtId="0" fontId="136" fillId="0" borderId="555" xfId="6" applyFont="1" applyBorder="1" applyAlignment="1">
      <alignment horizontal="center" vertical="center"/>
    </xf>
    <xf numFmtId="0" fontId="136" fillId="0" borderId="0" xfId="6" applyFont="1" applyAlignment="1">
      <alignment horizontal="centerContinuous" vertical="center"/>
    </xf>
    <xf numFmtId="0" fontId="136" fillId="0" borderId="316" xfId="6" applyFont="1" applyBorder="1" applyAlignment="1">
      <alignment vertical="center" wrapText="1"/>
    </xf>
    <xf numFmtId="0" fontId="136" fillId="0" borderId="311" xfId="6" applyFont="1" applyBorder="1" applyAlignment="1">
      <alignment horizontal="center" vertical="center"/>
    </xf>
    <xf numFmtId="0" fontId="136" fillId="0" borderId="569" xfId="6" applyFont="1" applyBorder="1" applyAlignment="1">
      <alignment horizontal="center" vertical="center"/>
    </xf>
    <xf numFmtId="0" fontId="136" fillId="0" borderId="311" xfId="6" applyFont="1" applyBorder="1" applyAlignment="1">
      <alignment horizontal="centerContinuous" vertical="center"/>
    </xf>
    <xf numFmtId="0" fontId="18" fillId="0" borderId="157" xfId="6" applyFont="1" applyBorder="1" applyAlignment="1">
      <alignment vertical="center"/>
    </xf>
    <xf numFmtId="0" fontId="19" fillId="0" borderId="157" xfId="6" applyBorder="1"/>
    <xf numFmtId="0" fontId="30" fillId="0" borderId="10" xfId="6" applyFont="1" applyBorder="1" applyAlignment="1">
      <alignment vertical="center"/>
    </xf>
    <xf numFmtId="0" fontId="30" fillId="0" borderId="11" xfId="6" applyFont="1" applyBorder="1" applyAlignment="1">
      <alignment horizontal="center" vertical="center"/>
    </xf>
    <xf numFmtId="0" fontId="30" fillId="0" borderId="14" xfId="6" applyFont="1" applyBorder="1" applyAlignment="1">
      <alignment vertical="center"/>
    </xf>
    <xf numFmtId="0" fontId="30" fillId="0" borderId="15" xfId="6" applyFont="1" applyBorder="1" applyAlignment="1">
      <alignment horizontal="center" vertical="center"/>
    </xf>
    <xf numFmtId="0" fontId="186" fillId="0" borderId="570" xfId="6" applyFont="1" applyBorder="1" applyAlignment="1">
      <alignment vertical="center"/>
    </xf>
    <xf numFmtId="0" fontId="19" fillId="0" borderId="571" xfId="6" applyBorder="1" applyAlignment="1">
      <alignment vertical="center"/>
    </xf>
    <xf numFmtId="0" fontId="19" fillId="0" borderId="572" xfId="6" applyBorder="1" applyAlignment="1">
      <alignment vertical="center"/>
    </xf>
    <xf numFmtId="0" fontId="99" fillId="0" borderId="573" xfId="6" applyFont="1" applyBorder="1" applyAlignment="1">
      <alignment vertical="center"/>
    </xf>
    <xf numFmtId="0" fontId="99" fillId="9" borderId="574" xfId="6" applyFont="1" applyFill="1" applyBorder="1" applyAlignment="1">
      <alignment horizontal="center" vertical="center"/>
    </xf>
    <xf numFmtId="0" fontId="99" fillId="0" borderId="571" xfId="6" quotePrefix="1" applyFont="1" applyBorder="1" applyAlignment="1">
      <alignment horizontal="left" vertical="center"/>
    </xf>
    <xf numFmtId="0" fontId="99" fillId="0" borderId="575" xfId="6" applyFont="1" applyBorder="1" applyAlignment="1">
      <alignment vertical="center"/>
    </xf>
    <xf numFmtId="3" fontId="99" fillId="9" borderId="576" xfId="6" applyNumberFormat="1" applyFont="1" applyFill="1" applyBorder="1" applyAlignment="1">
      <alignment horizontal="center" vertical="center"/>
    </xf>
    <xf numFmtId="0" fontId="19" fillId="0" borderId="577" xfId="6" applyBorder="1" applyAlignment="1">
      <alignment vertical="center"/>
    </xf>
    <xf numFmtId="3" fontId="99" fillId="9" borderId="578" xfId="6" applyNumberFormat="1" applyFont="1" applyFill="1" applyBorder="1" applyAlignment="1">
      <alignment horizontal="center" vertical="center"/>
    </xf>
    <xf numFmtId="0" fontId="99" fillId="0" borderId="266" xfId="6" applyFont="1" applyBorder="1" applyAlignment="1">
      <alignment vertical="center"/>
    </xf>
    <xf numFmtId="3" fontId="99" fillId="9" borderId="267" xfId="6" applyNumberFormat="1" applyFont="1" applyFill="1" applyBorder="1" applyAlignment="1">
      <alignment horizontal="center" vertical="center"/>
    </xf>
    <xf numFmtId="0" fontId="100" fillId="0" borderId="579" xfId="6" applyFont="1" applyBorder="1" applyAlignment="1">
      <alignment vertical="center"/>
    </xf>
    <xf numFmtId="3" fontId="100" fillId="0" borderId="580" xfId="6" applyNumberFormat="1" applyFont="1" applyBorder="1" applyAlignment="1">
      <alignment horizontal="center" vertical="center"/>
    </xf>
    <xf numFmtId="0" fontId="99" fillId="0" borderId="581" xfId="6" applyFont="1" applyBorder="1" applyAlignment="1">
      <alignment vertical="center"/>
    </xf>
    <xf numFmtId="167" fontId="100" fillId="9" borderId="580" xfId="6" applyNumberFormat="1" applyFont="1" applyFill="1" applyBorder="1" applyAlignment="1">
      <alignment horizontal="right" vertical="center"/>
    </xf>
    <xf numFmtId="0" fontId="99" fillId="0" borderId="582" xfId="6" applyFont="1" applyBorder="1" applyAlignment="1">
      <alignment vertical="center"/>
    </xf>
    <xf numFmtId="3" fontId="99" fillId="0" borderId="583" xfId="6" applyNumberFormat="1" applyFont="1" applyBorder="1" applyAlignment="1">
      <alignment horizontal="right" vertical="center"/>
    </xf>
    <xf numFmtId="3" fontId="99" fillId="0" borderId="267" xfId="6" applyNumberFormat="1" applyFont="1" applyBorder="1" applyAlignment="1">
      <alignment horizontal="right" vertical="center"/>
    </xf>
    <xf numFmtId="3" fontId="99" fillId="0" borderId="580" xfId="6" applyNumberFormat="1" applyFont="1" applyBorder="1" applyAlignment="1">
      <alignment horizontal="right" vertical="center"/>
    </xf>
    <xf numFmtId="0" fontId="19" fillId="0" borderId="584" xfId="6" applyBorder="1" applyAlignment="1">
      <alignment vertical="center"/>
    </xf>
    <xf numFmtId="0" fontId="99" fillId="0" borderId="585" xfId="6" applyFont="1" applyBorder="1" applyAlignment="1">
      <alignment vertical="center"/>
    </xf>
    <xf numFmtId="0" fontId="99" fillId="9" borderId="586" xfId="6" applyFont="1" applyFill="1" applyBorder="1" applyAlignment="1">
      <alignment horizontal="center" vertical="center"/>
    </xf>
    <xf numFmtId="0" fontId="19" fillId="0" borderId="587" xfId="6" applyBorder="1"/>
    <xf numFmtId="0" fontId="19" fillId="0" borderId="588" xfId="6" applyBorder="1" applyAlignment="1">
      <alignment vertical="center"/>
    </xf>
    <xf numFmtId="0" fontId="19" fillId="0" borderId="589" xfId="6" applyBorder="1" applyAlignment="1">
      <alignment vertical="center"/>
    </xf>
    <xf numFmtId="0" fontId="19" fillId="0" borderId="590" xfId="6" applyBorder="1" applyAlignment="1">
      <alignment vertical="center"/>
    </xf>
    <xf numFmtId="0" fontId="19" fillId="0" borderId="591" xfId="6" applyBorder="1" applyAlignment="1">
      <alignment vertical="center"/>
    </xf>
    <xf numFmtId="0" fontId="100" fillId="0" borderId="581" xfId="6" applyFont="1" applyBorder="1" applyAlignment="1">
      <alignment vertical="center"/>
    </xf>
    <xf numFmtId="3" fontId="100" fillId="0" borderId="580" xfId="6" applyNumberFormat="1" applyFont="1" applyBorder="1" applyAlignment="1">
      <alignment horizontal="right" vertical="center"/>
    </xf>
    <xf numFmtId="0" fontId="19" fillId="0" borderId="592" xfId="6" applyBorder="1"/>
    <xf numFmtId="0" fontId="19" fillId="0" borderId="593" xfId="6" applyBorder="1" applyAlignment="1">
      <alignment vertical="center"/>
    </xf>
    <xf numFmtId="0" fontId="100" fillId="0" borderId="594" xfId="6" applyFont="1" applyBorder="1" applyAlignment="1">
      <alignment vertical="center"/>
    </xf>
    <xf numFmtId="3" fontId="100" fillId="0" borderId="595" xfId="6" applyNumberFormat="1" applyFont="1" applyBorder="1" applyAlignment="1">
      <alignment horizontal="right" vertical="center"/>
    </xf>
    <xf numFmtId="0" fontId="19" fillId="0" borderId="596" xfId="6" applyBorder="1" applyAlignment="1">
      <alignment vertical="center"/>
    </xf>
    <xf numFmtId="0" fontId="19" fillId="0" borderId="597" xfId="6" applyBorder="1" applyAlignment="1">
      <alignment vertical="center"/>
    </xf>
    <xf numFmtId="0" fontId="183" fillId="0" borderId="49" xfId="6" applyFont="1" applyBorder="1" applyAlignment="1">
      <alignment vertical="center"/>
    </xf>
    <xf numFmtId="0" fontId="19" fillId="0" borderId="57" xfId="6" applyBorder="1" applyAlignment="1">
      <alignment vertical="center"/>
    </xf>
    <xf numFmtId="0" fontId="19" fillId="0" borderId="50" xfId="6" applyBorder="1" applyAlignment="1">
      <alignment vertical="center"/>
    </xf>
    <xf numFmtId="0" fontId="99" fillId="0" borderId="289" xfId="6" applyFont="1" applyBorder="1" applyAlignment="1">
      <alignment vertical="center"/>
    </xf>
    <xf numFmtId="3" fontId="99" fillId="9" borderId="290" xfId="6" applyNumberFormat="1" applyFont="1" applyFill="1" applyBorder="1" applyAlignment="1">
      <alignment horizontal="center" vertical="center"/>
    </xf>
    <xf numFmtId="0" fontId="99" fillId="0" borderId="294" xfId="6" applyFont="1" applyBorder="1" applyAlignment="1">
      <alignment vertical="center"/>
    </xf>
    <xf numFmtId="3" fontId="99" fillId="9" borderId="295" xfId="6" applyNumberFormat="1" applyFont="1" applyFill="1" applyBorder="1" applyAlignment="1">
      <alignment horizontal="center" vertical="center"/>
    </xf>
    <xf numFmtId="0" fontId="19" fillId="0" borderId="53" xfId="6" applyBorder="1" applyAlignment="1">
      <alignment vertical="center"/>
    </xf>
    <xf numFmtId="0" fontId="99" fillId="0" borderId="309" xfId="6" applyFont="1" applyBorder="1" applyAlignment="1">
      <alignment vertical="center"/>
    </xf>
    <xf numFmtId="3" fontId="99" fillId="9" borderId="307" xfId="6" applyNumberFormat="1" applyFont="1" applyFill="1" applyBorder="1" applyAlignment="1">
      <alignment horizontal="center" vertical="center"/>
    </xf>
    <xf numFmtId="0" fontId="100" fillId="0" borderId="52" xfId="6" applyFont="1" applyBorder="1" applyAlignment="1">
      <alignment vertical="center"/>
    </xf>
    <xf numFmtId="3" fontId="100" fillId="0" borderId="296" xfId="6" applyNumberFormat="1" applyFont="1" applyBorder="1" applyAlignment="1">
      <alignment horizontal="center" vertical="center"/>
    </xf>
    <xf numFmtId="0" fontId="99" fillId="0" borderId="598" xfId="6" applyFont="1" applyBorder="1" applyAlignment="1">
      <alignment vertical="center"/>
    </xf>
    <xf numFmtId="167" fontId="100" fillId="9" borderId="296" xfId="6" applyNumberFormat="1" applyFont="1" applyFill="1" applyBorder="1" applyAlignment="1">
      <alignment horizontal="right" vertical="center"/>
    </xf>
    <xf numFmtId="0" fontId="99" fillId="0" borderId="599" xfId="6" applyFont="1" applyBorder="1" applyAlignment="1">
      <alignment vertical="center"/>
    </xf>
    <xf numFmtId="3" fontId="99" fillId="0" borderId="302" xfId="6" applyNumberFormat="1" applyFont="1" applyBorder="1" applyAlignment="1">
      <alignment horizontal="right" vertical="center"/>
    </xf>
    <xf numFmtId="3" fontId="99" fillId="0" borderId="307" xfId="6" applyNumberFormat="1" applyFont="1" applyBorder="1" applyAlignment="1">
      <alignment horizontal="right" vertical="center"/>
    </xf>
    <xf numFmtId="3" fontId="99" fillId="0" borderId="296" xfId="6" applyNumberFormat="1" applyFont="1" applyBorder="1" applyAlignment="1">
      <alignment horizontal="right" vertical="center"/>
    </xf>
    <xf numFmtId="0" fontId="19" fillId="0" borderId="515" xfId="6" applyBorder="1" applyAlignment="1">
      <alignment vertical="center"/>
    </xf>
    <xf numFmtId="0" fontId="99" fillId="0" borderId="600" xfId="6" applyFont="1" applyBorder="1" applyAlignment="1">
      <alignment vertical="center"/>
    </xf>
    <xf numFmtId="3" fontId="99" fillId="9" borderId="601" xfId="6" applyNumberFormat="1" applyFont="1" applyFill="1" applyBorder="1" applyAlignment="1">
      <alignment horizontal="center" vertical="center"/>
    </xf>
    <xf numFmtId="0" fontId="19" fillId="0" borderId="602" xfId="6" applyBorder="1"/>
    <xf numFmtId="0" fontId="19" fillId="0" borderId="603" xfId="6" applyBorder="1" applyAlignment="1">
      <alignment vertical="center"/>
    </xf>
    <xf numFmtId="0" fontId="100" fillId="0" borderId="598" xfId="6" applyFont="1" applyBorder="1" applyAlignment="1">
      <alignment vertical="center"/>
    </xf>
    <xf numFmtId="3" fontId="100" fillId="0" borderId="296" xfId="6" applyNumberFormat="1" applyFont="1" applyBorder="1" applyAlignment="1">
      <alignment horizontal="right" vertical="center"/>
    </xf>
    <xf numFmtId="0" fontId="19" fillId="0" borderId="518" xfId="6" applyBorder="1"/>
    <xf numFmtId="0" fontId="19" fillId="0" borderId="604" xfId="6" applyBorder="1" applyAlignment="1">
      <alignment vertical="center"/>
    </xf>
    <xf numFmtId="0" fontId="100" fillId="0" borderId="605" xfId="6" applyFont="1" applyBorder="1" applyAlignment="1">
      <alignment vertical="center"/>
    </xf>
    <xf numFmtId="3" fontId="100" fillId="0" borderId="337" xfId="6" applyNumberFormat="1" applyFont="1" applyBorder="1" applyAlignment="1">
      <alignment horizontal="right" vertical="center"/>
    </xf>
    <xf numFmtId="0" fontId="19" fillId="0" borderId="48" xfId="6" applyBorder="1" applyAlignment="1">
      <alignment vertical="center"/>
    </xf>
    <xf numFmtId="0" fontId="19" fillId="0" borderId="51" xfId="6" applyBorder="1" applyAlignment="1">
      <alignment vertical="center"/>
    </xf>
    <xf numFmtId="0" fontId="100" fillId="0" borderId="495" xfId="6" applyFont="1" applyBorder="1" applyAlignment="1">
      <alignment vertical="center"/>
    </xf>
    <xf numFmtId="0" fontId="19" fillId="0" borderId="144" xfId="6" applyBorder="1"/>
    <xf numFmtId="0" fontId="100" fillId="0" borderId="278" xfId="6" applyFont="1" applyBorder="1" applyAlignment="1">
      <alignment vertical="center"/>
    </xf>
    <xf numFmtId="3" fontId="100" fillId="0" borderId="63" xfId="6" applyNumberFormat="1" applyFont="1" applyBorder="1" applyAlignment="1">
      <alignment horizontal="center" vertical="center"/>
    </xf>
    <xf numFmtId="0" fontId="99" fillId="0" borderId="282" xfId="6" applyFont="1" applyBorder="1" applyAlignment="1">
      <alignment vertical="center"/>
    </xf>
    <xf numFmtId="3" fontId="100" fillId="0" borderId="146" xfId="6" applyNumberFormat="1" applyFont="1" applyBorder="1" applyAlignment="1">
      <alignment horizontal="right" vertical="center"/>
    </xf>
    <xf numFmtId="167" fontId="100" fillId="0" borderId="146" xfId="6" applyNumberFormat="1" applyFont="1" applyBorder="1" applyAlignment="1">
      <alignment horizontal="right" vertical="center"/>
    </xf>
    <xf numFmtId="0" fontId="99" fillId="0" borderId="341" xfId="6" applyFont="1" applyBorder="1" applyAlignment="1">
      <alignment vertical="center"/>
    </xf>
    <xf numFmtId="167" fontId="100" fillId="0" borderId="74" xfId="6" applyNumberFormat="1" applyFont="1" applyBorder="1" applyAlignment="1">
      <alignment horizontal="right" vertical="center"/>
    </xf>
    <xf numFmtId="0" fontId="99" fillId="0" borderId="351" xfId="6" applyFont="1" applyBorder="1" applyAlignment="1">
      <alignment vertical="center"/>
    </xf>
    <xf numFmtId="0" fontId="99" fillId="0" borderId="343" xfId="6" applyFont="1" applyBorder="1" applyAlignment="1">
      <alignment vertical="center"/>
    </xf>
    <xf numFmtId="167" fontId="100" fillId="0" borderId="76" xfId="6" applyNumberFormat="1" applyFont="1" applyBorder="1" applyAlignment="1">
      <alignment horizontal="right" vertical="center"/>
    </xf>
    <xf numFmtId="0" fontId="100" fillId="0" borderId="606" xfId="6" applyFont="1" applyBorder="1" applyAlignment="1">
      <alignment vertical="center"/>
    </xf>
    <xf numFmtId="0" fontId="99" fillId="0" borderId="350" xfId="6" applyFont="1" applyBorder="1" applyAlignment="1">
      <alignment vertical="center"/>
    </xf>
    <xf numFmtId="0" fontId="99" fillId="0" borderId="607" xfId="6" applyFont="1" applyBorder="1" applyAlignment="1">
      <alignment vertical="center"/>
    </xf>
    <xf numFmtId="3" fontId="100" fillId="0" borderId="73" xfId="6" applyNumberFormat="1" applyFont="1" applyBorder="1" applyAlignment="1">
      <alignment horizontal="right" vertical="center"/>
    </xf>
    <xf numFmtId="3" fontId="100" fillId="0" borderId="74" xfId="6" applyNumberFormat="1" applyFont="1" applyBorder="1" applyAlignment="1">
      <alignment horizontal="right" vertical="center"/>
    </xf>
    <xf numFmtId="0" fontId="99" fillId="0" borderId="608" xfId="6" applyFont="1" applyBorder="1" applyAlignment="1">
      <alignment vertical="center"/>
    </xf>
    <xf numFmtId="3" fontId="100" fillId="0" borderId="76" xfId="6" applyNumberFormat="1" applyFont="1" applyBorder="1" applyAlignment="1">
      <alignment horizontal="right" vertical="center"/>
    </xf>
    <xf numFmtId="10" fontId="100" fillId="0" borderId="146" xfId="6" applyNumberFormat="1" applyFont="1" applyBorder="1" applyAlignment="1">
      <alignment horizontal="right" vertical="center"/>
    </xf>
    <xf numFmtId="10" fontId="100" fillId="0" borderId="74" xfId="6" applyNumberFormat="1" applyFont="1" applyBorder="1" applyAlignment="1">
      <alignment horizontal="right" vertical="center"/>
    </xf>
    <xf numFmtId="4" fontId="100" fillId="0" borderId="74" xfId="6" applyNumberFormat="1" applyFont="1" applyBorder="1" applyAlignment="1">
      <alignment horizontal="right" vertical="center"/>
    </xf>
    <xf numFmtId="0" fontId="99" fillId="0" borderId="352" xfId="6" applyFont="1" applyBorder="1" applyAlignment="1">
      <alignment vertical="center"/>
    </xf>
    <xf numFmtId="10" fontId="100" fillId="0" borderId="284" xfId="6" applyNumberFormat="1" applyFont="1" applyBorder="1" applyAlignment="1">
      <alignment horizontal="right" vertical="center"/>
    </xf>
    <xf numFmtId="0" fontId="32" fillId="24" borderId="355" xfId="6" applyFont="1" applyFill="1" applyBorder="1" applyAlignment="1">
      <alignment vertical="center"/>
    </xf>
    <xf numFmtId="0" fontId="100" fillId="0" borderId="360" xfId="6" applyFont="1" applyBorder="1" applyAlignment="1">
      <alignment vertical="center"/>
    </xf>
    <xf numFmtId="3" fontId="187" fillId="0" borderId="361" xfId="6" applyNumberFormat="1" applyFont="1" applyBorder="1" applyAlignment="1">
      <alignment horizontal="center" vertical="center"/>
    </xf>
    <xf numFmtId="0" fontId="19" fillId="0" borderId="363" xfId="6" applyBorder="1" applyAlignment="1">
      <alignment vertical="center"/>
    </xf>
    <xf numFmtId="0" fontId="19" fillId="0" borderId="609" xfId="6" applyBorder="1" applyAlignment="1">
      <alignment vertical="center"/>
    </xf>
    <xf numFmtId="0" fontId="99" fillId="0" borderId="610" xfId="6" applyFont="1" applyBorder="1" applyAlignment="1">
      <alignment vertical="center"/>
    </xf>
    <xf numFmtId="3" fontId="187" fillId="9" borderId="368" xfId="6" applyNumberFormat="1" applyFont="1" applyFill="1" applyBorder="1" applyAlignment="1">
      <alignment horizontal="right" vertical="center"/>
    </xf>
    <xf numFmtId="167" fontId="187" fillId="9" borderId="368" xfId="6" applyNumberFormat="1" applyFont="1" applyFill="1" applyBorder="1" applyAlignment="1">
      <alignment horizontal="right" vertical="center"/>
    </xf>
    <xf numFmtId="0" fontId="19" fillId="0" borderId="611" xfId="6" applyBorder="1" applyAlignment="1">
      <alignment vertical="center"/>
    </xf>
    <xf numFmtId="0" fontId="99" fillId="0" borderId="612" xfId="6" applyFont="1" applyBorder="1" applyAlignment="1">
      <alignment vertical="center"/>
    </xf>
    <xf numFmtId="167" fontId="187" fillId="9" borderId="372" xfId="6" applyNumberFormat="1" applyFont="1" applyFill="1" applyBorder="1" applyAlignment="1">
      <alignment horizontal="right" vertical="center"/>
    </xf>
    <xf numFmtId="0" fontId="99" fillId="0" borderId="613" xfId="6" applyFont="1" applyBorder="1" applyAlignment="1">
      <alignment vertical="center"/>
    </xf>
    <xf numFmtId="167" fontId="187" fillId="9" borderId="380" xfId="6" applyNumberFormat="1" applyFont="1" applyFill="1" applyBorder="1" applyAlignment="1">
      <alignment horizontal="right" vertical="center"/>
    </xf>
    <xf numFmtId="0" fontId="100" fillId="0" borderId="384" xfId="6" applyFont="1" applyBorder="1" applyAlignment="1">
      <alignment vertical="center"/>
    </xf>
    <xf numFmtId="3" fontId="187" fillId="9" borderId="376" xfId="6" applyNumberFormat="1" applyFont="1" applyFill="1" applyBorder="1" applyAlignment="1">
      <alignment horizontal="right" vertical="center"/>
    </xf>
    <xf numFmtId="3" fontId="187" fillId="9" borderId="372" xfId="6" applyNumberFormat="1" applyFont="1" applyFill="1" applyBorder="1" applyAlignment="1">
      <alignment horizontal="right" vertical="center"/>
    </xf>
    <xf numFmtId="0" fontId="99" fillId="0" borderId="384" xfId="6" applyFont="1" applyBorder="1" applyAlignment="1">
      <alignment vertical="center"/>
    </xf>
    <xf numFmtId="167" fontId="187" fillId="9" borderId="390" xfId="6" applyNumberFormat="1" applyFont="1" applyFill="1" applyBorder="1" applyAlignment="1">
      <alignment horizontal="right" vertical="center"/>
    </xf>
    <xf numFmtId="0" fontId="99" fillId="0" borderId="389" xfId="6" applyFont="1" applyBorder="1" applyAlignment="1">
      <alignment vertical="center"/>
    </xf>
    <xf numFmtId="3" fontId="187" fillId="0" borderId="364" xfId="6" applyNumberFormat="1" applyFont="1" applyBorder="1" applyAlignment="1">
      <alignment horizontal="right" vertical="center"/>
    </xf>
    <xf numFmtId="10" fontId="187" fillId="9" borderId="368" xfId="6" applyNumberFormat="1" applyFont="1" applyFill="1" applyBorder="1" applyAlignment="1">
      <alignment horizontal="right" vertical="center"/>
    </xf>
    <xf numFmtId="0" fontId="99" fillId="0" borderId="614" xfId="6" applyFont="1" applyBorder="1" applyAlignment="1">
      <alignment vertical="center"/>
    </xf>
    <xf numFmtId="10" fontId="187" fillId="9" borderId="374" xfId="6" applyNumberFormat="1" applyFont="1" applyFill="1" applyBorder="1" applyAlignment="1">
      <alignment horizontal="right" vertical="center"/>
    </xf>
    <xf numFmtId="10" fontId="187" fillId="0" borderId="364" xfId="6" applyNumberFormat="1" applyFont="1" applyBorder="1" applyAlignment="1">
      <alignment horizontal="right" vertical="center"/>
    </xf>
    <xf numFmtId="10" fontId="187" fillId="9" borderId="380" xfId="6" applyNumberFormat="1" applyFont="1" applyFill="1" applyBorder="1" applyAlignment="1">
      <alignment horizontal="right" vertical="center"/>
    </xf>
    <xf numFmtId="4" fontId="187" fillId="9" borderId="368" xfId="6" applyNumberFormat="1" applyFont="1" applyFill="1" applyBorder="1" applyAlignment="1">
      <alignment horizontal="right" vertical="center"/>
    </xf>
    <xf numFmtId="4" fontId="187" fillId="0" borderId="364" xfId="6" applyNumberFormat="1" applyFont="1" applyBorder="1" applyAlignment="1">
      <alignment horizontal="right" vertical="center"/>
    </xf>
    <xf numFmtId="0" fontId="99" fillId="0" borderId="615" xfId="6" applyFont="1" applyBorder="1" applyAlignment="1">
      <alignment vertical="center"/>
    </xf>
    <xf numFmtId="10" fontId="187" fillId="9" borderId="616" xfId="6" applyNumberFormat="1" applyFont="1" applyFill="1" applyBorder="1" applyAlignment="1">
      <alignment horizontal="right" vertical="center"/>
    </xf>
    <xf numFmtId="0" fontId="19" fillId="0" borderId="359" xfId="6" applyBorder="1" applyAlignment="1">
      <alignment vertical="center"/>
    </xf>
    <xf numFmtId="10" fontId="187" fillId="9" borderId="617" xfId="6" applyNumberFormat="1" applyFont="1" applyFill="1" applyBorder="1" applyAlignment="1">
      <alignment horizontal="right" vertical="center"/>
    </xf>
    <xf numFmtId="0" fontId="19" fillId="0" borderId="618" xfId="6" applyBorder="1" applyAlignment="1">
      <alignment vertical="center"/>
    </xf>
    <xf numFmtId="0" fontId="32" fillId="25" borderId="397" xfId="6" applyFont="1" applyFill="1" applyBorder="1" applyAlignment="1">
      <alignment vertical="center"/>
    </xf>
    <xf numFmtId="0" fontId="100" fillId="0" borderId="402" xfId="6" applyFont="1" applyBorder="1" applyAlignment="1">
      <alignment vertical="center"/>
    </xf>
    <xf numFmtId="3" fontId="188" fillId="0" borderId="406" xfId="6" applyNumberFormat="1" applyFont="1" applyBorder="1" applyAlignment="1">
      <alignment horizontal="center" vertical="center"/>
    </xf>
    <xf numFmtId="0" fontId="188" fillId="0" borderId="619" xfId="6" applyFont="1" applyBorder="1" applyAlignment="1">
      <alignment horizontal="center" vertical="center"/>
    </xf>
    <xf numFmtId="3" fontId="188" fillId="0" borderId="403" xfId="6" applyNumberFormat="1" applyFont="1" applyBorder="1" applyAlignment="1">
      <alignment horizontal="center" vertical="center"/>
    </xf>
    <xf numFmtId="0" fontId="188" fillId="0" borderId="403" xfId="6" applyFont="1" applyBorder="1" applyAlignment="1">
      <alignment horizontal="center" vertical="center"/>
    </xf>
    <xf numFmtId="0" fontId="19" fillId="0" borderId="405" xfId="6" applyBorder="1" applyAlignment="1">
      <alignment vertical="center"/>
    </xf>
    <xf numFmtId="0" fontId="19" fillId="0" borderId="620" xfId="6" applyBorder="1" applyAlignment="1">
      <alignment vertical="center"/>
    </xf>
    <xf numFmtId="0" fontId="99" fillId="0" borderId="621" xfId="6" applyFont="1" applyBorder="1" applyAlignment="1">
      <alignment vertical="center"/>
    </xf>
    <xf numFmtId="3" fontId="188" fillId="9" borderId="412" xfId="6" applyNumberFormat="1" applyFont="1" applyFill="1" applyBorder="1" applyAlignment="1">
      <alignment horizontal="right" vertical="center"/>
    </xf>
    <xf numFmtId="3" fontId="188" fillId="9" borderId="412" xfId="6" applyNumberFormat="1" applyFont="1" applyFill="1" applyBorder="1" applyAlignment="1">
      <alignment horizontal="center" vertical="center"/>
    </xf>
    <xf numFmtId="167" fontId="188" fillId="9" borderId="412" xfId="6" applyNumberFormat="1" applyFont="1" applyFill="1" applyBorder="1" applyAlignment="1">
      <alignment horizontal="right" vertical="center"/>
    </xf>
    <xf numFmtId="167" fontId="188" fillId="9" borderId="407" xfId="6" applyNumberFormat="1" applyFont="1" applyFill="1" applyBorder="1" applyAlignment="1">
      <alignment horizontal="center" vertical="center"/>
    </xf>
    <xf numFmtId="0" fontId="19" fillId="0" borderId="622" xfId="6" applyBorder="1" applyAlignment="1">
      <alignment vertical="center"/>
    </xf>
    <xf numFmtId="0" fontId="99" fillId="0" borderId="623" xfId="6" applyFont="1" applyBorder="1" applyAlignment="1">
      <alignment vertical="center"/>
    </xf>
    <xf numFmtId="167" fontId="188" fillId="9" borderId="417" xfId="6" applyNumberFormat="1" applyFont="1" applyFill="1" applyBorder="1" applyAlignment="1">
      <alignment horizontal="right" vertical="center"/>
    </xf>
    <xf numFmtId="167" fontId="188" fillId="9" borderId="417" xfId="6" applyNumberFormat="1" applyFont="1" applyFill="1" applyBorder="1" applyAlignment="1">
      <alignment horizontal="center" vertical="center"/>
    </xf>
    <xf numFmtId="0" fontId="99" fillId="0" borderId="624" xfId="6" applyFont="1" applyBorder="1" applyAlignment="1">
      <alignment vertical="center"/>
    </xf>
    <xf numFmtId="167" fontId="188" fillId="9" borderId="430" xfId="6" applyNumberFormat="1" applyFont="1" applyFill="1" applyBorder="1" applyAlignment="1">
      <alignment horizontal="right" vertical="center"/>
    </xf>
    <xf numFmtId="167" fontId="188" fillId="9" borderId="430" xfId="6" applyNumberFormat="1" applyFont="1" applyFill="1" applyBorder="1" applyAlignment="1">
      <alignment horizontal="center" vertical="center"/>
    </xf>
    <xf numFmtId="0" fontId="100" fillId="0" borderId="434" xfId="6" applyFont="1" applyBorder="1" applyAlignment="1">
      <alignment vertical="center"/>
    </xf>
    <xf numFmtId="187" fontId="188" fillId="9" borderId="412" xfId="6" applyNumberFormat="1" applyFont="1" applyFill="1" applyBorder="1" applyAlignment="1">
      <alignment horizontal="center" vertical="center"/>
    </xf>
    <xf numFmtId="3" fontId="188" fillId="9" borderId="425" xfId="6" applyNumberFormat="1" applyFont="1" applyFill="1" applyBorder="1" applyAlignment="1">
      <alignment horizontal="right" vertical="center"/>
    </xf>
    <xf numFmtId="3" fontId="188" fillId="9" borderId="425" xfId="6" applyNumberFormat="1" applyFont="1" applyFill="1" applyBorder="1" applyAlignment="1">
      <alignment horizontal="center" vertical="center"/>
    </xf>
    <xf numFmtId="3" fontId="188" fillId="9" borderId="417" xfId="6" applyNumberFormat="1" applyFont="1" applyFill="1" applyBorder="1" applyAlignment="1">
      <alignment horizontal="right" vertical="center"/>
    </xf>
    <xf numFmtId="3" fontId="188" fillId="9" borderId="417" xfId="6" applyNumberFormat="1" applyFont="1" applyFill="1" applyBorder="1" applyAlignment="1">
      <alignment horizontal="center" vertical="center"/>
    </xf>
    <xf numFmtId="0" fontId="99" fillId="0" borderId="438" xfId="6" applyFont="1" applyBorder="1" applyAlignment="1">
      <alignment vertical="center"/>
    </xf>
    <xf numFmtId="167" fontId="188" fillId="9" borderId="407" xfId="6" applyNumberFormat="1" applyFont="1" applyFill="1" applyBorder="1" applyAlignment="1">
      <alignment horizontal="right" vertical="center"/>
    </xf>
    <xf numFmtId="3" fontId="188" fillId="0" borderId="407" xfId="6" applyNumberFormat="1" applyFont="1" applyBorder="1" applyAlignment="1">
      <alignment horizontal="right" vertical="center"/>
    </xf>
    <xf numFmtId="10" fontId="188" fillId="9" borderId="412" xfId="6" applyNumberFormat="1" applyFont="1" applyFill="1" applyBorder="1" applyAlignment="1">
      <alignment horizontal="right" vertical="center"/>
    </xf>
    <xf numFmtId="167" fontId="188" fillId="9" borderId="412" xfId="6" applyNumberFormat="1" applyFont="1" applyFill="1" applyBorder="1" applyAlignment="1">
      <alignment horizontal="center" vertical="center"/>
    </xf>
    <xf numFmtId="10" fontId="188" fillId="9" borderId="430" xfId="6" applyNumberFormat="1" applyFont="1" applyFill="1" applyBorder="1" applyAlignment="1">
      <alignment horizontal="right" vertical="center"/>
    </xf>
    <xf numFmtId="10" fontId="188" fillId="9" borderId="420" xfId="6" applyNumberFormat="1" applyFont="1" applyFill="1" applyBorder="1" applyAlignment="1">
      <alignment horizontal="right" vertical="center"/>
    </xf>
    <xf numFmtId="0" fontId="99" fillId="0" borderId="432" xfId="6" applyFont="1" applyBorder="1" applyAlignment="1">
      <alignment vertical="center"/>
    </xf>
    <xf numFmtId="10" fontId="188" fillId="0" borderId="407" xfId="6" applyNumberFormat="1" applyFont="1" applyBorder="1" applyAlignment="1">
      <alignment horizontal="right" vertical="center"/>
    </xf>
    <xf numFmtId="4" fontId="188" fillId="9" borderId="412" xfId="6" applyNumberFormat="1" applyFont="1" applyFill="1" applyBorder="1" applyAlignment="1">
      <alignment horizontal="right" vertical="center"/>
    </xf>
    <xf numFmtId="4" fontId="188" fillId="9" borderId="417" xfId="6" applyNumberFormat="1" applyFont="1" applyFill="1" applyBorder="1" applyAlignment="1">
      <alignment horizontal="center" vertical="center"/>
    </xf>
    <xf numFmtId="4" fontId="188" fillId="0" borderId="407" xfId="6" applyNumberFormat="1" applyFont="1" applyBorder="1" applyAlignment="1">
      <alignment horizontal="right" vertical="center"/>
    </xf>
    <xf numFmtId="0" fontId="99" fillId="0" borderId="625" xfId="6" applyFont="1" applyBorder="1" applyAlignment="1">
      <alignment vertical="center"/>
    </xf>
    <xf numFmtId="10" fontId="188" fillId="9" borderId="626" xfId="6" applyNumberFormat="1" applyFont="1" applyFill="1" applyBorder="1" applyAlignment="1">
      <alignment horizontal="right" vertical="center"/>
    </xf>
    <xf numFmtId="167" fontId="188" fillId="9" borderId="626" xfId="6" applyNumberFormat="1" applyFont="1" applyFill="1" applyBorder="1" applyAlignment="1">
      <alignment horizontal="center" vertical="center"/>
    </xf>
    <xf numFmtId="0" fontId="19" fillId="0" borderId="401" xfId="6" applyBorder="1" applyAlignment="1">
      <alignment vertical="center"/>
    </xf>
    <xf numFmtId="10" fontId="188" fillId="9" borderId="443" xfId="6" applyNumberFormat="1" applyFont="1" applyFill="1" applyBorder="1" applyAlignment="1">
      <alignment horizontal="right" vertical="center"/>
    </xf>
    <xf numFmtId="0" fontId="19" fillId="0" borderId="627" xfId="6" applyBorder="1" applyAlignment="1">
      <alignment vertical="center"/>
    </xf>
    <xf numFmtId="0" fontId="32" fillId="6" borderId="445" xfId="6" applyFont="1" applyFill="1" applyBorder="1" applyAlignment="1">
      <alignment vertical="center"/>
    </xf>
    <xf numFmtId="0" fontId="100" fillId="0" borderId="450" xfId="6" applyFont="1" applyBorder="1" applyAlignment="1">
      <alignment vertical="center"/>
    </xf>
    <xf numFmtId="3" fontId="113" fillId="0" borderId="451" xfId="6" applyNumberFormat="1" applyFont="1" applyBorder="1" applyAlignment="1">
      <alignment horizontal="center" vertical="center"/>
    </xf>
    <xf numFmtId="0" fontId="113" fillId="0" borderId="451" xfId="6" applyFont="1" applyBorder="1" applyAlignment="1">
      <alignment horizontal="center" vertical="center"/>
    </xf>
    <xf numFmtId="0" fontId="19" fillId="0" borderId="454" xfId="6" applyBorder="1" applyAlignment="1">
      <alignment vertical="center"/>
    </xf>
    <xf numFmtId="0" fontId="19" fillId="0" borderId="628" xfId="6" applyBorder="1" applyAlignment="1">
      <alignment vertical="center"/>
    </xf>
    <xf numFmtId="0" fontId="99" fillId="0" borderId="629" xfId="6" applyFont="1" applyBorder="1" applyAlignment="1">
      <alignment vertical="center"/>
    </xf>
    <xf numFmtId="3" fontId="113" fillId="9" borderId="460" xfId="6" applyNumberFormat="1" applyFont="1" applyFill="1" applyBorder="1" applyAlignment="1">
      <alignment horizontal="right" vertical="center"/>
    </xf>
    <xf numFmtId="3" fontId="113" fillId="9" borderId="460" xfId="6" applyNumberFormat="1" applyFont="1" applyFill="1" applyBorder="1" applyAlignment="1">
      <alignment horizontal="center" vertical="center"/>
    </xf>
    <xf numFmtId="167" fontId="113" fillId="9" borderId="460" xfId="6" applyNumberFormat="1" applyFont="1" applyFill="1" applyBorder="1" applyAlignment="1">
      <alignment horizontal="right" vertical="center"/>
    </xf>
    <xf numFmtId="167" fontId="113" fillId="9" borderId="469" xfId="6" applyNumberFormat="1" applyFont="1" applyFill="1" applyBorder="1" applyAlignment="1">
      <alignment horizontal="center" vertical="center"/>
    </xf>
    <xf numFmtId="0" fontId="19" fillId="0" borderId="630" xfId="6" applyBorder="1" applyAlignment="1">
      <alignment vertical="center"/>
    </xf>
    <xf numFmtId="0" fontId="99" fillId="0" borderId="631" xfId="6" applyFont="1" applyBorder="1" applyAlignment="1">
      <alignment vertical="center"/>
    </xf>
    <xf numFmtId="167" fontId="113" fillId="9" borderId="464" xfId="6" applyNumberFormat="1" applyFont="1" applyFill="1" applyBorder="1" applyAlignment="1">
      <alignment horizontal="right" vertical="center"/>
    </xf>
    <xf numFmtId="167" fontId="113" fillId="9" borderId="464" xfId="6" applyNumberFormat="1" applyFont="1" applyFill="1" applyBorder="1" applyAlignment="1">
      <alignment horizontal="center" vertical="center"/>
    </xf>
    <xf numFmtId="0" fontId="99" fillId="0" borderId="632" xfId="6" applyFont="1" applyBorder="1" applyAlignment="1">
      <alignment vertical="center"/>
    </xf>
    <xf numFmtId="167" fontId="113" fillId="9" borderId="475" xfId="6" applyNumberFormat="1" applyFont="1" applyFill="1" applyBorder="1" applyAlignment="1">
      <alignment horizontal="right" vertical="center"/>
    </xf>
    <xf numFmtId="167" fontId="113" fillId="9" borderId="475" xfId="6" applyNumberFormat="1" applyFont="1" applyFill="1" applyBorder="1" applyAlignment="1">
      <alignment horizontal="center" vertical="center"/>
    </xf>
    <xf numFmtId="0" fontId="100" fillId="0" borderId="479" xfId="6" applyFont="1" applyBorder="1" applyAlignment="1">
      <alignment vertical="center"/>
    </xf>
    <xf numFmtId="187" fontId="113" fillId="9" borderId="460" xfId="6" applyNumberFormat="1" applyFont="1" applyFill="1" applyBorder="1" applyAlignment="1">
      <alignment horizontal="center" vertical="center"/>
    </xf>
    <xf numFmtId="3" fontId="113" fillId="9" borderId="471" xfId="6" applyNumberFormat="1" applyFont="1" applyFill="1" applyBorder="1" applyAlignment="1">
      <alignment horizontal="right" vertical="center"/>
    </xf>
    <xf numFmtId="3" fontId="113" fillId="9" borderId="471" xfId="6" applyNumberFormat="1" applyFont="1" applyFill="1" applyBorder="1" applyAlignment="1">
      <alignment horizontal="center" vertical="center"/>
    </xf>
    <xf numFmtId="3" fontId="113" fillId="9" borderId="464" xfId="6" applyNumberFormat="1" applyFont="1" applyFill="1" applyBorder="1" applyAlignment="1">
      <alignment horizontal="right" vertical="center"/>
    </xf>
    <xf numFmtId="3" fontId="113" fillId="9" borderId="464" xfId="6" applyNumberFormat="1" applyFont="1" applyFill="1" applyBorder="1" applyAlignment="1">
      <alignment horizontal="center" vertical="center"/>
    </xf>
    <xf numFmtId="0" fontId="99" fillId="0" borderId="482" xfId="6" applyFont="1" applyBorder="1" applyAlignment="1">
      <alignment vertical="center"/>
    </xf>
    <xf numFmtId="167" fontId="113" fillId="9" borderId="469" xfId="6" applyNumberFormat="1" applyFont="1" applyFill="1" applyBorder="1" applyAlignment="1">
      <alignment horizontal="right" vertical="center"/>
    </xf>
    <xf numFmtId="3" fontId="113" fillId="0" borderId="469" xfId="6" applyNumberFormat="1" applyFont="1" applyBorder="1" applyAlignment="1">
      <alignment horizontal="right" vertical="center"/>
    </xf>
    <xf numFmtId="10" fontId="113" fillId="9" borderId="460" xfId="6" applyNumberFormat="1" applyFont="1" applyFill="1" applyBorder="1" applyAlignment="1">
      <alignment horizontal="right" vertical="center"/>
    </xf>
    <xf numFmtId="167" fontId="113" fillId="9" borderId="460" xfId="6" applyNumberFormat="1" applyFont="1" applyFill="1" applyBorder="1" applyAlignment="1">
      <alignment horizontal="center" vertical="center"/>
    </xf>
    <xf numFmtId="0" fontId="99" fillId="0" borderId="633" xfId="6" applyFont="1" applyBorder="1" applyAlignment="1">
      <alignment vertical="center"/>
    </xf>
    <xf numFmtId="10" fontId="113" fillId="9" borderId="466" xfId="6" applyNumberFormat="1" applyFont="1" applyFill="1" applyBorder="1" applyAlignment="1">
      <alignment horizontal="right" vertical="center"/>
    </xf>
    <xf numFmtId="167" fontId="113" fillId="9" borderId="466" xfId="6" applyNumberFormat="1" applyFont="1" applyFill="1" applyBorder="1" applyAlignment="1">
      <alignment horizontal="center" vertical="center"/>
    </xf>
    <xf numFmtId="10" fontId="113" fillId="0" borderId="469" xfId="6" applyNumberFormat="1" applyFont="1" applyBorder="1" applyAlignment="1">
      <alignment horizontal="right" vertical="center"/>
    </xf>
    <xf numFmtId="10" fontId="113" fillId="9" borderId="475" xfId="6" applyNumberFormat="1" applyFont="1" applyFill="1" applyBorder="1" applyAlignment="1">
      <alignment horizontal="right" vertical="center"/>
    </xf>
    <xf numFmtId="4" fontId="113" fillId="9" borderId="460" xfId="6" applyNumberFormat="1" applyFont="1" applyFill="1" applyBorder="1" applyAlignment="1">
      <alignment horizontal="right" vertical="center"/>
    </xf>
    <xf numFmtId="4" fontId="113" fillId="9" borderId="464" xfId="6" applyNumberFormat="1" applyFont="1" applyFill="1" applyBorder="1" applyAlignment="1">
      <alignment horizontal="center" vertical="center"/>
    </xf>
    <xf numFmtId="4" fontId="113" fillId="0" borderId="469" xfId="6" applyNumberFormat="1" applyFont="1" applyBorder="1" applyAlignment="1">
      <alignment horizontal="right" vertical="center"/>
    </xf>
    <xf numFmtId="0" fontId="99" fillId="0" borderId="634" xfId="6" applyFont="1" applyBorder="1" applyAlignment="1">
      <alignment vertical="center"/>
    </xf>
    <xf numFmtId="10" fontId="113" fillId="9" borderId="635" xfId="6" applyNumberFormat="1" applyFont="1" applyFill="1" applyBorder="1" applyAlignment="1">
      <alignment horizontal="right" vertical="center"/>
    </xf>
    <xf numFmtId="167" fontId="113" fillId="9" borderId="635" xfId="6" applyNumberFormat="1" applyFont="1" applyFill="1" applyBorder="1" applyAlignment="1">
      <alignment horizontal="center" vertical="center"/>
    </xf>
    <xf numFmtId="0" fontId="19" fillId="0" borderId="449" xfId="6" applyBorder="1" applyAlignment="1">
      <alignment vertical="center"/>
    </xf>
    <xf numFmtId="10" fontId="113" fillId="9" borderId="636" xfId="6" applyNumberFormat="1" applyFont="1" applyFill="1" applyBorder="1" applyAlignment="1">
      <alignment horizontal="right" vertical="center"/>
    </xf>
    <xf numFmtId="0" fontId="19" fillId="0" borderId="637" xfId="6" applyBorder="1" applyAlignment="1">
      <alignment vertical="center"/>
    </xf>
    <xf numFmtId="0" fontId="99" fillId="0" borderId="0" xfId="6" applyFont="1" applyAlignment="1">
      <alignment vertical="center"/>
    </xf>
    <xf numFmtId="37" fontId="19" fillId="0" borderId="0" xfId="6" applyNumberFormat="1"/>
    <xf numFmtId="3" fontId="99" fillId="0" borderId="47" xfId="6" applyNumberFormat="1" applyFont="1" applyBorder="1" applyAlignment="1">
      <alignment vertical="center"/>
    </xf>
    <xf numFmtId="3" fontId="100" fillId="0" borderId="47" xfId="6" applyNumberFormat="1" applyFont="1" applyBorder="1" applyAlignment="1">
      <alignment vertical="center"/>
    </xf>
    <xf numFmtId="0" fontId="100" fillId="0" borderId="0" xfId="6" applyFont="1" applyAlignment="1">
      <alignment horizontal="centerContinuous" vertical="center"/>
    </xf>
    <xf numFmtId="0" fontId="31" fillId="0" borderId="0" xfId="6" applyFont="1" applyAlignment="1">
      <alignment horizontal="centerContinuous" vertical="center"/>
    </xf>
    <xf numFmtId="0" fontId="19" fillId="0" borderId="0" xfId="6" applyAlignment="1">
      <alignment horizontal="centerContinuous"/>
    </xf>
    <xf numFmtId="0" fontId="141" fillId="0" borderId="17" xfId="6" applyFont="1" applyBorder="1" applyAlignment="1">
      <alignment horizontal="centerContinuous" vertical="center" wrapText="1"/>
    </xf>
    <xf numFmtId="0" fontId="19" fillId="0" borderId="19" xfId="6" applyBorder="1" applyAlignment="1">
      <alignment horizontal="centerContinuous" vertical="center" wrapText="1"/>
    </xf>
    <xf numFmtId="39" fontId="189" fillId="0" borderId="47" xfId="3" applyNumberFormat="1" applyFont="1" applyBorder="1" applyAlignment="1" applyProtection="1">
      <alignment horizontal="center" vertical="center"/>
      <protection locked="0"/>
    </xf>
    <xf numFmtId="3" fontId="190" fillId="0" borderId="47" xfId="6" applyNumberFormat="1" applyFont="1" applyBorder="1" applyAlignment="1">
      <alignment horizontal="center" vertical="center"/>
    </xf>
    <xf numFmtId="9" fontId="190" fillId="0" borderId="47" xfId="6" applyNumberFormat="1" applyFont="1" applyBorder="1" applyAlignment="1">
      <alignment horizontal="center" vertical="center"/>
    </xf>
    <xf numFmtId="3" fontId="191" fillId="0" borderId="47" xfId="6" applyNumberFormat="1" applyFont="1" applyBorder="1" applyAlignment="1">
      <alignment horizontal="center" vertical="center"/>
    </xf>
    <xf numFmtId="9" fontId="192" fillId="0" borderId="47" xfId="6" applyNumberFormat="1" applyFont="1" applyBorder="1" applyAlignment="1">
      <alignment horizontal="center" vertical="center"/>
    </xf>
    <xf numFmtId="3" fontId="99" fillId="0" borderId="0" xfId="6" applyNumberFormat="1" applyFont="1" applyAlignment="1">
      <alignment horizontal="center" vertical="center"/>
    </xf>
    <xf numFmtId="0" fontId="99" fillId="0" borderId="0" xfId="6" applyFont="1" applyAlignment="1">
      <alignment horizontal="center" vertical="center"/>
    </xf>
    <xf numFmtId="39" fontId="28" fillId="0" borderId="0" xfId="3" applyNumberFormat="1" applyFont="1" applyAlignment="1" applyProtection="1">
      <alignment horizontal="center" vertical="center"/>
      <protection locked="0"/>
    </xf>
    <xf numFmtId="3" fontId="28" fillId="0" borderId="0" xfId="3" applyNumberFormat="1" applyFont="1" applyAlignment="1" applyProtection="1">
      <alignment horizontal="center" vertical="center"/>
      <protection locked="0"/>
    </xf>
    <xf numFmtId="3" fontId="19" fillId="0" borderId="0" xfId="6" applyNumberFormat="1" applyAlignment="1">
      <alignment horizontal="center"/>
    </xf>
    <xf numFmtId="0" fontId="99" fillId="0" borderId="92" xfId="6" applyFont="1" applyBorder="1" applyAlignment="1">
      <alignment vertical="center"/>
    </xf>
    <xf numFmtId="0" fontId="99" fillId="0" borderId="92" xfId="6" applyFont="1" applyBorder="1" applyAlignment="1">
      <alignment horizontal="center" vertical="center"/>
    </xf>
    <xf numFmtId="0" fontId="19" fillId="0" borderId="0" xfId="6" applyAlignment="1">
      <alignment horizontal="center"/>
    </xf>
    <xf numFmtId="3" fontId="100" fillId="0" borderId="0" xfId="6" applyNumberFormat="1" applyFont="1" applyAlignment="1">
      <alignment horizontal="center" vertical="center"/>
    </xf>
    <xf numFmtId="0" fontId="19" fillId="0" borderId="0" xfId="6" applyAlignment="1">
      <alignment horizontal="left" vertical="center"/>
    </xf>
    <xf numFmtId="0" fontId="31" fillId="0" borderId="0" xfId="6" applyFont="1" applyAlignment="1">
      <alignment vertical="center"/>
    </xf>
    <xf numFmtId="0" fontId="31" fillId="0" borderId="0" xfId="6" applyFont="1" applyAlignment="1">
      <alignment horizontal="center" vertical="center"/>
    </xf>
    <xf numFmtId="0" fontId="19" fillId="0" borderId="0" xfId="6" applyAlignment="1">
      <alignment horizontal="center" vertical="center"/>
    </xf>
    <xf numFmtId="0" fontId="5" fillId="0" borderId="0" xfId="0" applyFont="1" applyAlignment="1">
      <alignment horizontal="left"/>
    </xf>
    <xf numFmtId="1" fontId="0" fillId="0" borderId="0" xfId="0" applyNumberFormat="1" applyProtection="1">
      <protection hidden="1"/>
    </xf>
    <xf numFmtId="1" fontId="0" fillId="0" borderId="0" xfId="0" applyNumberFormat="1" applyAlignment="1" applyProtection="1">
      <alignment horizontal="left"/>
      <protection hidden="1"/>
    </xf>
    <xf numFmtId="0" fontId="42" fillId="34" borderId="47" xfId="0" applyFont="1" applyFill="1" applyBorder="1" applyAlignment="1" applyProtection="1">
      <alignment horizontal="center" vertical="center" wrapText="1"/>
      <protection hidden="1"/>
    </xf>
    <xf numFmtId="0" fontId="38" fillId="0" borderId="47" xfId="0" applyFont="1" applyBorder="1" applyProtection="1">
      <protection hidden="1"/>
    </xf>
    <xf numFmtId="0" fontId="38" fillId="0" borderId="47" xfId="0" applyFont="1" applyBorder="1" applyAlignment="1" applyProtection="1">
      <alignment horizontal="left"/>
      <protection hidden="1"/>
    </xf>
    <xf numFmtId="0" fontId="38" fillId="0" borderId="47" xfId="0" applyFont="1" applyBorder="1" applyAlignment="1" applyProtection="1">
      <alignment horizontal="center"/>
      <protection hidden="1"/>
    </xf>
    <xf numFmtId="164" fontId="38" fillId="0" borderId="47" xfId="0" applyNumberFormat="1" applyFont="1" applyBorder="1" applyProtection="1">
      <protection hidden="1"/>
    </xf>
    <xf numFmtId="210" fontId="38" fillId="0" borderId="47" xfId="0" applyNumberFormat="1" applyFont="1" applyBorder="1" applyAlignment="1" applyProtection="1">
      <alignment horizontal="center"/>
      <protection hidden="1"/>
    </xf>
    <xf numFmtId="14" fontId="38" fillId="0" borderId="47" xfId="0" applyNumberFormat="1" applyFont="1" applyBorder="1" applyAlignment="1" applyProtection="1">
      <alignment horizontal="center"/>
      <protection hidden="1"/>
    </xf>
    <xf numFmtId="49" fontId="38" fillId="0" borderId="47" xfId="0" applyNumberFormat="1" applyFont="1" applyBorder="1" applyProtection="1">
      <protection hidden="1"/>
    </xf>
    <xf numFmtId="1" fontId="0" fillId="0" borderId="0" xfId="0" applyNumberFormat="1"/>
    <xf numFmtId="14" fontId="0" fillId="0" borderId="0" xfId="0" applyNumberFormat="1"/>
    <xf numFmtId="3" fontId="0" fillId="0" borderId="0" xfId="0" applyNumberFormat="1"/>
    <xf numFmtId="37" fontId="95" fillId="0" borderId="12" xfId="0" applyNumberFormat="1" applyFont="1" applyBorder="1" applyAlignment="1" applyProtection="1">
      <alignment vertical="center" wrapText="1"/>
      <protection locked="0"/>
    </xf>
    <xf numFmtId="1" fontId="38" fillId="0" borderId="0" xfId="0" applyNumberFormat="1" applyFont="1"/>
    <xf numFmtId="1" fontId="61" fillId="0" borderId="61" xfId="0" applyNumberFormat="1" applyFont="1" applyBorder="1" applyAlignment="1" applyProtection="1">
      <alignment horizontal="center"/>
      <protection locked="0" hidden="1"/>
    </xf>
    <xf numFmtId="1" fontId="60" fillId="0" borderId="61" xfId="0" applyNumberFormat="1" applyFont="1" applyBorder="1" applyAlignment="1" applyProtection="1">
      <alignment horizontal="center"/>
      <protection locked="0" hidden="1"/>
    </xf>
    <xf numFmtId="1" fontId="38" fillId="0" borderId="0" xfId="0" applyNumberFormat="1" applyFont="1" applyProtection="1">
      <protection locked="0" hidden="1"/>
    </xf>
    <xf numFmtId="1" fontId="0" fillId="0" borderId="0" xfId="0" applyNumberFormat="1" applyProtection="1">
      <protection locked="0" hidden="1"/>
    </xf>
    <xf numFmtId="1" fontId="67" fillId="0" borderId="47" xfId="0" applyNumberFormat="1" applyFont="1" applyBorder="1" applyProtection="1">
      <protection hidden="1"/>
    </xf>
    <xf numFmtId="1" fontId="66" fillId="0" borderId="47" xfId="0" applyNumberFormat="1" applyFont="1" applyBorder="1" applyProtection="1">
      <protection hidden="1"/>
    </xf>
    <xf numFmtId="1" fontId="64" fillId="0" borderId="0" xfId="0" applyNumberFormat="1" applyFont="1" applyProtection="1">
      <protection hidden="1"/>
    </xf>
    <xf numFmtId="1" fontId="56" fillId="0" borderId="0" xfId="0" applyNumberFormat="1" applyFont="1" applyProtection="1">
      <protection hidden="1"/>
    </xf>
    <xf numFmtId="1" fontId="54" fillId="0" borderId="61" xfId="3" applyNumberFormat="1" applyFont="1" applyBorder="1" applyAlignment="1" applyProtection="1">
      <alignment vertical="center"/>
      <protection locked="0" hidden="1"/>
    </xf>
    <xf numFmtId="1" fontId="49" fillId="0" borderId="61" xfId="3" applyNumberFormat="1" applyFont="1" applyBorder="1" applyAlignment="1" applyProtection="1">
      <alignment vertical="center"/>
      <protection locked="0"/>
    </xf>
    <xf numFmtId="1" fontId="49" fillId="0" borderId="61" xfId="3" applyNumberFormat="1" applyFont="1" applyBorder="1" applyAlignment="1" applyProtection="1">
      <alignment vertical="center"/>
      <protection hidden="1"/>
    </xf>
    <xf numFmtId="1" fontId="57" fillId="11" borderId="47" xfId="3" applyNumberFormat="1" applyFont="1" applyFill="1" applyBorder="1" applyAlignment="1">
      <alignment vertical="center"/>
    </xf>
    <xf numFmtId="1" fontId="52" fillId="11" borderId="47" xfId="3" applyNumberFormat="1" applyFont="1" applyFill="1" applyBorder="1" applyAlignment="1">
      <alignment vertical="center"/>
    </xf>
    <xf numFmtId="1" fontId="54" fillId="0" borderId="78" xfId="3" applyNumberFormat="1" applyFont="1" applyBorder="1" applyAlignment="1" applyProtection="1">
      <alignment vertical="center"/>
      <protection locked="0" hidden="1"/>
    </xf>
    <xf numFmtId="1" fontId="49" fillId="0" borderId="60" xfId="3" applyNumberFormat="1" applyFont="1" applyBorder="1" applyAlignment="1" applyProtection="1">
      <alignment vertical="center"/>
      <protection locked="0" hidden="1"/>
    </xf>
    <xf numFmtId="1" fontId="49" fillId="0" borderId="78" xfId="3" applyNumberFormat="1" applyFont="1" applyBorder="1" applyAlignment="1" applyProtection="1">
      <alignment vertical="center"/>
      <protection locked="0" hidden="1"/>
    </xf>
    <xf numFmtId="1" fontId="57" fillId="10" borderId="74" xfId="3" applyNumberFormat="1" applyFont="1" applyFill="1" applyBorder="1" applyAlignment="1">
      <alignment vertical="center"/>
    </xf>
    <xf numFmtId="1" fontId="52" fillId="10" borderId="74" xfId="3" applyNumberFormat="1" applyFont="1" applyFill="1" applyBorder="1" applyAlignment="1">
      <alignment vertical="center"/>
    </xf>
    <xf numFmtId="1" fontId="54" fillId="0" borderId="74" xfId="3" applyNumberFormat="1" applyFont="1" applyBorder="1" applyAlignment="1" applyProtection="1">
      <alignment vertical="center"/>
      <protection locked="0" hidden="1"/>
    </xf>
    <xf numFmtId="1" fontId="49" fillId="0" borderId="74" xfId="3" applyNumberFormat="1" applyFont="1" applyBorder="1" applyAlignment="1" applyProtection="1">
      <alignment vertical="center"/>
      <protection locked="0" hidden="1"/>
    </xf>
    <xf numFmtId="1" fontId="54" fillId="0" borderId="73" xfId="3" applyNumberFormat="1" applyFont="1" applyBorder="1" applyAlignment="1" applyProtection="1">
      <alignment vertical="center"/>
      <protection locked="0" hidden="1"/>
    </xf>
    <xf numFmtId="1" fontId="49" fillId="0" borderId="73" xfId="3" applyNumberFormat="1" applyFont="1" applyBorder="1" applyAlignment="1" applyProtection="1">
      <alignment vertical="center"/>
      <protection locked="0" hidden="1"/>
    </xf>
    <xf numFmtId="1" fontId="54" fillId="0" borderId="19" xfId="3" applyNumberFormat="1" applyFont="1" applyBorder="1" applyAlignment="1" applyProtection="1">
      <alignment vertical="center"/>
      <protection hidden="1"/>
    </xf>
    <xf numFmtId="1" fontId="49" fillId="0" borderId="19" xfId="3" applyNumberFormat="1" applyFont="1" applyBorder="1" applyAlignment="1" applyProtection="1">
      <alignment vertical="center"/>
      <protection hidden="1"/>
    </xf>
    <xf numFmtId="1" fontId="57" fillId="10" borderId="76" xfId="3" applyNumberFormat="1" applyFont="1" applyFill="1" applyBorder="1" applyAlignment="1">
      <alignment vertical="center"/>
    </xf>
    <xf numFmtId="1" fontId="52" fillId="10" borderId="76" xfId="3" applyNumberFormat="1" applyFont="1" applyFill="1" applyBorder="1" applyAlignment="1">
      <alignment vertical="center"/>
    </xf>
    <xf numFmtId="1" fontId="57" fillId="10" borderId="78" xfId="3" applyNumberFormat="1" applyFont="1" applyFill="1" applyBorder="1" applyAlignment="1">
      <alignment vertical="center"/>
    </xf>
    <xf numFmtId="1" fontId="52" fillId="10" borderId="78" xfId="3" applyNumberFormat="1" applyFont="1" applyFill="1" applyBorder="1" applyAlignment="1">
      <alignment vertical="center"/>
    </xf>
    <xf numFmtId="1" fontId="53" fillId="0" borderId="29" xfId="3" applyNumberFormat="1" applyFont="1" applyBorder="1" applyAlignment="1" applyProtection="1">
      <alignment vertical="center"/>
      <protection hidden="1"/>
    </xf>
    <xf numFmtId="1" fontId="49" fillId="0" borderId="29" xfId="3" applyNumberFormat="1" applyFont="1" applyBorder="1" applyAlignment="1" applyProtection="1">
      <alignment vertical="center"/>
      <protection hidden="1"/>
    </xf>
    <xf numFmtId="1" fontId="53" fillId="0" borderId="0" xfId="3" applyNumberFormat="1" applyFont="1" applyAlignment="1" applyProtection="1">
      <alignment vertical="center"/>
      <protection hidden="1"/>
    </xf>
    <xf numFmtId="1" fontId="49" fillId="0" borderId="0" xfId="3" applyNumberFormat="1" applyFont="1" applyAlignment="1" applyProtection="1">
      <alignment vertical="center"/>
      <protection hidden="1"/>
    </xf>
    <xf numFmtId="1" fontId="54" fillId="0" borderId="0" xfId="3" applyNumberFormat="1" applyFont="1" applyAlignment="1" applyProtection="1">
      <alignment vertical="center"/>
      <protection hidden="1"/>
    </xf>
    <xf numFmtId="1" fontId="57" fillId="11" borderId="47" xfId="3" applyNumberFormat="1" applyFont="1" applyFill="1" applyBorder="1" applyAlignment="1" applyProtection="1">
      <alignment vertical="center"/>
      <protection hidden="1"/>
    </xf>
    <xf numFmtId="1" fontId="52" fillId="11" borderId="47" xfId="3" applyNumberFormat="1" applyFont="1" applyFill="1" applyBorder="1" applyAlignment="1" applyProtection="1">
      <alignment vertical="center"/>
      <protection hidden="1"/>
    </xf>
    <xf numFmtId="1" fontId="54" fillId="0" borderId="29" xfId="3" applyNumberFormat="1" applyFont="1" applyBorder="1" applyAlignment="1" applyProtection="1">
      <alignment vertical="center"/>
      <protection hidden="1"/>
    </xf>
    <xf numFmtId="1" fontId="54" fillId="0" borderId="76" xfId="3" applyNumberFormat="1" applyFont="1" applyBorder="1" applyAlignment="1" applyProtection="1">
      <alignment vertical="center"/>
      <protection locked="0" hidden="1"/>
    </xf>
    <xf numFmtId="1" fontId="49" fillId="0" borderId="76" xfId="3" applyNumberFormat="1" applyFont="1" applyBorder="1" applyAlignment="1" applyProtection="1">
      <alignment vertical="center"/>
      <protection locked="0" hidden="1"/>
    </xf>
    <xf numFmtId="1" fontId="54" fillId="0" borderId="74" xfId="3" applyNumberFormat="1" applyFont="1" applyBorder="1" applyAlignment="1" applyProtection="1">
      <alignment vertical="center"/>
      <protection hidden="1"/>
    </xf>
    <xf numFmtId="1" fontId="49" fillId="0" borderId="74" xfId="3" applyNumberFormat="1" applyFont="1" applyBorder="1" applyAlignment="1" applyProtection="1">
      <alignment vertical="center"/>
      <protection hidden="1"/>
    </xf>
    <xf numFmtId="1" fontId="49" fillId="0" borderId="74" xfId="3" applyNumberFormat="1" applyFont="1" applyBorder="1" applyAlignment="1" applyProtection="1">
      <alignment vertical="center"/>
      <protection locked="0"/>
    </xf>
    <xf numFmtId="1" fontId="54" fillId="0" borderId="73" xfId="3" applyNumberFormat="1" applyFont="1" applyBorder="1" applyAlignment="1" applyProtection="1">
      <alignment vertical="center"/>
      <protection hidden="1"/>
    </xf>
    <xf numFmtId="1" fontId="49" fillId="0" borderId="73" xfId="3" applyNumberFormat="1" applyFont="1" applyBorder="1" applyAlignment="1" applyProtection="1">
      <alignment vertical="center"/>
      <protection locked="0"/>
    </xf>
    <xf numFmtId="1" fontId="57" fillId="10" borderId="76" xfId="3" applyNumberFormat="1" applyFont="1" applyFill="1" applyBorder="1" applyAlignment="1" applyProtection="1">
      <alignment vertical="center"/>
      <protection hidden="1"/>
    </xf>
    <xf numFmtId="1" fontId="52" fillId="10" borderId="76" xfId="3" applyNumberFormat="1" applyFont="1" applyFill="1" applyBorder="1" applyAlignment="1" applyProtection="1">
      <alignment vertical="center"/>
      <protection hidden="1"/>
    </xf>
    <xf numFmtId="211" fontId="148" fillId="4" borderId="29" xfId="11" applyNumberFormat="1" applyFont="1" applyFill="1" applyBorder="1" applyAlignment="1" applyProtection="1">
      <alignment vertical="center"/>
      <protection locked="0"/>
    </xf>
    <xf numFmtId="211" fontId="148" fillId="4" borderId="15" xfId="11" applyNumberFormat="1" applyFont="1" applyFill="1" applyBorder="1" applyAlignment="1" applyProtection="1">
      <alignment vertical="center"/>
      <protection locked="0"/>
    </xf>
    <xf numFmtId="0" fontId="45" fillId="4" borderId="638" xfId="0" applyFont="1" applyFill="1" applyBorder="1" applyAlignment="1" applyProtection="1">
      <alignment horizontal="center" vertical="center"/>
      <protection hidden="1"/>
    </xf>
    <xf numFmtId="0" fontId="45" fillId="4" borderId="639" xfId="0" applyFont="1" applyFill="1" applyBorder="1" applyAlignment="1" applyProtection="1">
      <alignment horizontal="center"/>
      <protection locked="0" hidden="1"/>
    </xf>
    <xf numFmtId="0" fontId="45" fillId="4" borderId="66" xfId="0" applyFont="1" applyFill="1" applyBorder="1" applyAlignment="1" applyProtection="1">
      <alignment horizontal="center"/>
      <protection locked="0" hidden="1"/>
    </xf>
    <xf numFmtId="0" fontId="0" fillId="0" borderId="0" xfId="0" applyAlignment="1">
      <alignment horizontal="center"/>
    </xf>
    <xf numFmtId="0" fontId="0" fillId="0" borderId="0" xfId="0" applyAlignment="1">
      <alignment horizontal="center" vertical="center"/>
    </xf>
    <xf numFmtId="164" fontId="198" fillId="0" borderId="0" xfId="0" applyNumberFormat="1" applyFont="1" applyAlignment="1" applyProtection="1">
      <alignment horizontal="left" vertical="center"/>
      <protection hidden="1"/>
    </xf>
    <xf numFmtId="0" fontId="198" fillId="0" borderId="0" xfId="0" applyFont="1" applyAlignment="1" applyProtection="1">
      <alignment vertical="center" wrapText="1"/>
      <protection hidden="1"/>
    </xf>
    <xf numFmtId="0" fontId="174" fillId="0" borderId="0" xfId="0" applyFont="1" applyProtection="1">
      <protection hidden="1"/>
    </xf>
    <xf numFmtId="37" fontId="199" fillId="0" borderId="0" xfId="3" applyFont="1" applyAlignment="1" applyProtection="1">
      <alignment vertical="center"/>
      <protection hidden="1"/>
    </xf>
    <xf numFmtId="0" fontId="82" fillId="0" borderId="17" xfId="0" applyFont="1" applyBorder="1" applyAlignment="1">
      <alignment horizontal="center" vertical="center" wrapText="1"/>
    </xf>
    <xf numFmtId="37" fontId="202" fillId="0" borderId="0" xfId="3" applyFont="1" applyAlignment="1" applyProtection="1">
      <alignment vertical="center"/>
      <protection hidden="1"/>
    </xf>
    <xf numFmtId="37" fontId="19" fillId="0" borderId="0" xfId="3" applyFont="1" applyAlignment="1" applyProtection="1">
      <alignment vertical="center"/>
      <protection hidden="1"/>
    </xf>
    <xf numFmtId="1" fontId="200" fillId="13" borderId="0" xfId="6" applyNumberFormat="1" applyFont="1" applyFill="1" applyAlignment="1" applyProtection="1">
      <alignment horizontal="center" vertical="center"/>
      <protection hidden="1"/>
    </xf>
    <xf numFmtId="0" fontId="45" fillId="4" borderId="70" xfId="0" applyFont="1" applyFill="1" applyBorder="1" applyAlignment="1" applyProtection="1">
      <alignment horizontal="center"/>
      <protection locked="0"/>
    </xf>
    <xf numFmtId="37" fontId="201" fillId="0" borderId="19" xfId="0" applyNumberFormat="1" applyFont="1" applyBorder="1" applyAlignment="1">
      <alignment horizontal="left" vertical="center"/>
    </xf>
    <xf numFmtId="49" fontId="0" fillId="0" borderId="0" xfId="0" applyNumberFormat="1"/>
    <xf numFmtId="37" fontId="72" fillId="0" borderId="0" xfId="3" applyFont="1" applyAlignment="1" applyProtection="1">
      <alignment horizontal="left" vertical="top"/>
      <protection hidden="1"/>
    </xf>
    <xf numFmtId="0" fontId="157" fillId="0" borderId="0" xfId="0" applyFont="1" applyAlignment="1" applyProtection="1">
      <alignment vertical="center"/>
      <protection hidden="1"/>
    </xf>
    <xf numFmtId="164" fontId="157" fillId="0" borderId="0" xfId="0" applyNumberFormat="1" applyFont="1" applyAlignment="1" applyProtection="1">
      <alignment horizontal="left" vertical="center"/>
      <protection hidden="1"/>
    </xf>
    <xf numFmtId="164" fontId="193" fillId="0" borderId="0" xfId="0" applyNumberFormat="1" applyFont="1" applyAlignment="1" applyProtection="1">
      <alignment horizontal="left" vertical="center"/>
      <protection hidden="1"/>
    </xf>
    <xf numFmtId="164" fontId="85" fillId="0" borderId="0" xfId="0" applyNumberFormat="1" applyFont="1" applyAlignment="1" applyProtection="1">
      <alignment horizontal="left" vertical="center"/>
      <protection hidden="1"/>
    </xf>
    <xf numFmtId="0" fontId="85" fillId="0" borderId="10" xfId="0" applyFont="1" applyBorder="1" applyAlignment="1" applyProtection="1">
      <alignment vertical="center"/>
      <protection hidden="1"/>
    </xf>
    <xf numFmtId="49" fontId="85" fillId="0" borderId="16" xfId="0" applyNumberFormat="1" applyFont="1" applyBorder="1" applyAlignment="1" applyProtection="1">
      <alignment horizontal="left" vertical="center"/>
      <protection locked="0" hidden="1"/>
    </xf>
    <xf numFmtId="0" fontId="157" fillId="0" borderId="16" xfId="0" applyFont="1" applyBorder="1" applyAlignment="1" applyProtection="1">
      <alignment vertical="center"/>
      <protection locked="0" hidden="1"/>
    </xf>
    <xf numFmtId="0" fontId="85" fillId="0" borderId="16" xfId="0" applyFont="1" applyBorder="1" applyAlignment="1" applyProtection="1">
      <alignment vertical="center"/>
      <protection hidden="1"/>
    </xf>
    <xf numFmtId="0" fontId="157" fillId="0" borderId="16" xfId="0" applyFont="1" applyBorder="1" applyAlignment="1" applyProtection="1">
      <alignment vertical="center"/>
      <protection hidden="1"/>
    </xf>
    <xf numFmtId="0" fontId="85" fillId="0" borderId="16" xfId="0" applyFont="1" applyBorder="1" applyAlignment="1" applyProtection="1">
      <alignment horizontal="center" vertical="center"/>
      <protection hidden="1"/>
    </xf>
    <xf numFmtId="164" fontId="157" fillId="0" borderId="16" xfId="0" applyNumberFormat="1" applyFont="1" applyBorder="1" applyAlignment="1" applyProtection="1">
      <alignment horizontal="left" vertical="center"/>
      <protection hidden="1"/>
    </xf>
    <xf numFmtId="0" fontId="157" fillId="0" borderId="11" xfId="0" applyFont="1" applyBorder="1" applyAlignment="1" applyProtection="1">
      <alignment vertical="center"/>
      <protection hidden="1"/>
    </xf>
    <xf numFmtId="0" fontId="85" fillId="0" borderId="12" xfId="0" applyFont="1" applyBorder="1" applyAlignment="1" applyProtection="1">
      <alignment vertical="center"/>
      <protection hidden="1"/>
    </xf>
    <xf numFmtId="0" fontId="85" fillId="0" borderId="0" xfId="0" applyFont="1" applyAlignment="1" applyProtection="1">
      <alignment horizontal="left" vertical="center"/>
      <protection locked="0" hidden="1"/>
    </xf>
    <xf numFmtId="0" fontId="157" fillId="0" borderId="0" xfId="0" applyFont="1" applyAlignment="1" applyProtection="1">
      <alignment vertical="center"/>
      <protection locked="0" hidden="1"/>
    </xf>
    <xf numFmtId="0" fontId="85" fillId="0" borderId="0" xfId="0" applyFont="1" applyAlignment="1" applyProtection="1">
      <alignment vertical="center"/>
      <protection hidden="1"/>
    </xf>
    <xf numFmtId="0" fontId="85" fillId="0" borderId="0" xfId="0" applyFont="1" applyAlignment="1" applyProtection="1">
      <alignment horizontal="center" vertical="center"/>
      <protection hidden="1"/>
    </xf>
    <xf numFmtId="0" fontId="157" fillId="0" borderId="13" xfId="0" applyFont="1" applyBorder="1" applyAlignment="1" applyProtection="1">
      <alignment vertical="center"/>
      <protection hidden="1"/>
    </xf>
    <xf numFmtId="37" fontId="85" fillId="0" borderId="10" xfId="0" applyNumberFormat="1" applyFont="1" applyBorder="1" applyAlignment="1" applyProtection="1">
      <alignment vertical="center"/>
      <protection hidden="1"/>
    </xf>
    <xf numFmtId="164" fontId="157" fillId="0" borderId="11" xfId="0" applyNumberFormat="1" applyFont="1" applyBorder="1" applyAlignment="1" applyProtection="1">
      <alignment horizontal="left" vertical="center"/>
      <protection hidden="1"/>
    </xf>
    <xf numFmtId="0" fontId="85" fillId="0" borderId="17" xfId="0" applyFont="1" applyBorder="1" applyAlignment="1" applyProtection="1">
      <alignment horizontal="centerContinuous" vertical="center"/>
      <protection hidden="1"/>
    </xf>
    <xf numFmtId="164" fontId="157" fillId="0" borderId="18" xfId="0" applyNumberFormat="1" applyFont="1" applyBorder="1" applyAlignment="1" applyProtection="1">
      <alignment horizontal="centerContinuous" vertical="center"/>
      <protection hidden="1"/>
    </xf>
    <xf numFmtId="0" fontId="85" fillId="0" borderId="17" xfId="4" applyFont="1" applyBorder="1" applyAlignment="1" applyProtection="1">
      <alignment vertical="center"/>
      <protection hidden="1"/>
    </xf>
    <xf numFmtId="0" fontId="85" fillId="0" borderId="19" xfId="4" applyFont="1" applyBorder="1" applyAlignment="1" applyProtection="1">
      <alignment horizontal="center" vertical="center" wrapText="1"/>
      <protection hidden="1"/>
    </xf>
    <xf numFmtId="0" fontId="85" fillId="0" borderId="0" xfId="4" applyFont="1" applyAlignment="1" applyProtection="1">
      <alignment horizontal="center" vertical="center" wrapText="1"/>
      <protection hidden="1"/>
    </xf>
    <xf numFmtId="0" fontId="85" fillId="0" borderId="0" xfId="4" applyFont="1" applyAlignment="1" applyProtection="1">
      <alignment vertical="center" wrapText="1"/>
      <protection hidden="1"/>
    </xf>
    <xf numFmtId="0" fontId="85" fillId="0" borderId="18" xfId="4" applyFont="1" applyBorder="1" applyAlignment="1" applyProtection="1">
      <alignment horizontal="center" vertical="center" wrapText="1"/>
      <protection hidden="1"/>
    </xf>
    <xf numFmtId="0" fontId="85" fillId="0" borderId="20" xfId="0" applyFont="1" applyBorder="1" applyAlignment="1" applyProtection="1">
      <alignment horizontal="center" vertical="center"/>
      <protection hidden="1"/>
    </xf>
    <xf numFmtId="0" fontId="85" fillId="0" borderId="21" xfId="0" applyFont="1" applyBorder="1" applyAlignment="1" applyProtection="1">
      <alignment horizontal="centerContinuous" vertical="center"/>
      <protection hidden="1"/>
    </xf>
    <xf numFmtId="0" fontId="85" fillId="0" borderId="12" xfId="4" applyFont="1" applyBorder="1" applyAlignment="1" applyProtection="1">
      <alignment vertical="center"/>
      <protection locked="0" hidden="1"/>
    </xf>
    <xf numFmtId="3" fontId="85" fillId="0" borderId="0" xfId="4" quotePrefix="1" applyNumberFormat="1" applyFont="1" applyAlignment="1" applyProtection="1">
      <alignment horizontal="center" vertical="center"/>
      <protection locked="0" hidden="1"/>
    </xf>
    <xf numFmtId="0" fontId="85" fillId="0" borderId="0" xfId="4" quotePrefix="1" applyFont="1" applyAlignment="1" applyProtection="1">
      <alignment vertical="center"/>
      <protection hidden="1"/>
    </xf>
    <xf numFmtId="3" fontId="85" fillId="0" borderId="0" xfId="4" applyNumberFormat="1" applyFont="1" applyAlignment="1" applyProtection="1">
      <alignment horizontal="center" vertical="center"/>
      <protection locked="0" hidden="1"/>
    </xf>
    <xf numFmtId="164" fontId="157" fillId="0" borderId="0" xfId="0" applyNumberFormat="1" applyFont="1" applyAlignment="1" applyProtection="1">
      <alignment horizontal="left" vertical="center"/>
      <protection locked="0" hidden="1"/>
    </xf>
    <xf numFmtId="0" fontId="157" fillId="0" borderId="22" xfId="0" applyFont="1" applyBorder="1" applyAlignment="1" applyProtection="1">
      <alignment horizontal="left" vertical="center" wrapText="1" indent="1"/>
      <protection hidden="1"/>
    </xf>
    <xf numFmtId="167" fontId="157" fillId="0" borderId="23" xfId="0" applyNumberFormat="1" applyFont="1" applyBorder="1" applyAlignment="1" applyProtection="1">
      <alignment horizontal="centerContinuous" vertical="center"/>
      <protection hidden="1"/>
    </xf>
    <xf numFmtId="0" fontId="157" fillId="0" borderId="12" xfId="0" applyFont="1" applyBorder="1" applyAlignment="1" applyProtection="1">
      <alignment horizontal="left" vertical="center" wrapText="1" indent="1"/>
      <protection hidden="1"/>
    </xf>
    <xf numFmtId="167" fontId="157" fillId="0" borderId="24" xfId="0" applyNumberFormat="1" applyFont="1" applyBorder="1" applyAlignment="1" applyProtection="1">
      <alignment horizontal="centerContinuous" vertical="center"/>
      <protection hidden="1"/>
    </xf>
    <xf numFmtId="0" fontId="85" fillId="0" borderId="25" xfId="0" applyFont="1" applyBorder="1" applyAlignment="1" applyProtection="1">
      <alignment vertical="center"/>
      <protection hidden="1"/>
    </xf>
    <xf numFmtId="167" fontId="157" fillId="0" borderId="26" xfId="5" applyNumberFormat="1" applyFont="1" applyFill="1" applyBorder="1" applyAlignment="1" applyProtection="1">
      <alignment horizontal="centerContinuous" vertical="center"/>
      <protection hidden="1"/>
    </xf>
    <xf numFmtId="3" fontId="85" fillId="0" borderId="19" xfId="4" applyNumberFormat="1" applyFont="1" applyBorder="1" applyAlignment="1" applyProtection="1">
      <alignment horizontal="center" vertical="center"/>
      <protection hidden="1"/>
    </xf>
    <xf numFmtId="0" fontId="85" fillId="0" borderId="19" xfId="4" quotePrefix="1" applyFont="1" applyBorder="1" applyAlignment="1" applyProtection="1">
      <alignment vertical="center"/>
      <protection hidden="1"/>
    </xf>
    <xf numFmtId="0" fontId="85" fillId="0" borderId="19" xfId="4" applyFont="1" applyBorder="1" applyAlignment="1" applyProtection="1">
      <alignment vertical="center"/>
      <protection hidden="1"/>
    </xf>
    <xf numFmtId="164" fontId="157" fillId="0" borderId="19" xfId="0" applyNumberFormat="1" applyFont="1" applyBorder="1" applyAlignment="1" applyProtection="1">
      <alignment horizontal="left" vertical="center"/>
      <protection hidden="1"/>
    </xf>
    <xf numFmtId="164" fontId="157" fillId="0" borderId="18" xfId="0" applyNumberFormat="1" applyFont="1" applyBorder="1" applyAlignment="1" applyProtection="1">
      <alignment horizontal="left" vertical="center"/>
      <protection hidden="1"/>
    </xf>
    <xf numFmtId="0" fontId="157" fillId="0" borderId="18" xfId="0" applyFont="1" applyBorder="1" applyAlignment="1" applyProtection="1">
      <alignment horizontal="centerContinuous" vertical="center"/>
      <protection hidden="1"/>
    </xf>
    <xf numFmtId="164" fontId="85" fillId="0" borderId="10" xfId="0" applyNumberFormat="1" applyFont="1" applyBorder="1" applyAlignment="1" applyProtection="1">
      <alignment horizontal="left" vertical="center"/>
      <protection hidden="1"/>
    </xf>
    <xf numFmtId="164" fontId="157" fillId="0" borderId="16" xfId="0" applyNumberFormat="1" applyFont="1" applyBorder="1" applyAlignment="1" applyProtection="1">
      <alignment horizontal="right" vertical="center"/>
      <protection hidden="1"/>
    </xf>
    <xf numFmtId="0" fontId="85" fillId="0" borderId="27" xfId="0" applyFont="1" applyBorder="1" applyAlignment="1" applyProtection="1">
      <alignment horizontal="center" vertical="center"/>
      <protection hidden="1"/>
    </xf>
    <xf numFmtId="0" fontId="85" fillId="0" borderId="28" xfId="0" applyFont="1" applyBorder="1" applyAlignment="1" applyProtection="1">
      <alignment horizontal="center" vertical="center"/>
      <protection hidden="1"/>
    </xf>
    <xf numFmtId="164" fontId="85" fillId="0" borderId="12" xfId="0" applyNumberFormat="1" applyFont="1" applyBorder="1" applyAlignment="1" applyProtection="1">
      <alignment horizontal="left" vertical="center"/>
      <protection hidden="1"/>
    </xf>
    <xf numFmtId="164" fontId="157" fillId="0" borderId="0" xfId="0" applyNumberFormat="1" applyFont="1" applyAlignment="1" applyProtection="1">
      <alignment horizontal="right" vertical="center"/>
      <protection hidden="1"/>
    </xf>
    <xf numFmtId="167" fontId="157" fillId="0" borderId="23" xfId="0" applyNumberFormat="1" applyFont="1" applyBorder="1" applyAlignment="1" applyProtection="1">
      <alignment horizontal="left" vertical="center" indent="1"/>
      <protection hidden="1"/>
    </xf>
    <xf numFmtId="167" fontId="157" fillId="0" borderId="24" xfId="0" applyNumberFormat="1" applyFont="1" applyBorder="1" applyAlignment="1" applyProtection="1">
      <alignment horizontal="left" vertical="center" indent="1"/>
      <protection hidden="1"/>
    </xf>
    <xf numFmtId="164" fontId="157" fillId="0" borderId="29" xfId="0" applyNumberFormat="1" applyFont="1" applyBorder="1" applyAlignment="1" applyProtection="1">
      <alignment horizontal="left" vertical="center"/>
      <protection hidden="1"/>
    </xf>
    <xf numFmtId="0" fontId="157" fillId="0" borderId="14" xfId="0" applyFont="1" applyBorder="1" applyAlignment="1" applyProtection="1">
      <alignment horizontal="left" vertical="center" wrapText="1" indent="1"/>
      <protection hidden="1"/>
    </xf>
    <xf numFmtId="167" fontId="157" fillId="0" borderId="31" xfId="0" applyNumberFormat="1" applyFont="1" applyBorder="1" applyAlignment="1" applyProtection="1">
      <alignment horizontal="left" vertical="center" indent="1"/>
      <protection hidden="1"/>
    </xf>
    <xf numFmtId="0" fontId="194" fillId="3" borderId="33" xfId="0" applyFont="1" applyFill="1" applyBorder="1" applyAlignment="1" applyProtection="1">
      <alignment horizontal="center" vertical="center" wrapText="1"/>
      <protection hidden="1"/>
    </xf>
    <xf numFmtId="0" fontId="194" fillId="3" borderId="34" xfId="0" applyFont="1" applyFill="1" applyBorder="1" applyAlignment="1" applyProtection="1">
      <alignment horizontal="center" vertical="center" wrapText="1"/>
      <protection hidden="1"/>
    </xf>
    <xf numFmtId="0" fontId="193" fillId="0" borderId="0" xfId="0" applyFont="1" applyAlignment="1" applyProtection="1">
      <alignment vertical="center" wrapText="1"/>
      <protection hidden="1"/>
    </xf>
    <xf numFmtId="0" fontId="162" fillId="0" borderId="0" xfId="0" applyFont="1" applyProtection="1">
      <protection hidden="1"/>
    </xf>
    <xf numFmtId="0" fontId="195" fillId="3" borderId="35" xfId="0" applyFont="1" applyFill="1" applyBorder="1" applyAlignment="1" applyProtection="1">
      <alignment vertical="center" wrapText="1"/>
      <protection locked="0" hidden="1"/>
    </xf>
    <xf numFmtId="9" fontId="195" fillId="3" borderId="35" xfId="2" applyFont="1" applyFill="1" applyBorder="1" applyAlignment="1" applyProtection="1">
      <alignment horizontal="center" vertical="center" wrapText="1"/>
      <protection locked="0" hidden="1"/>
    </xf>
    <xf numFmtId="9" fontId="195" fillId="3" borderId="36" xfId="2" applyFont="1" applyFill="1" applyBorder="1" applyAlignment="1" applyProtection="1">
      <alignment horizontal="center" vertical="center" wrapText="1"/>
      <protection locked="0" hidden="1"/>
    </xf>
    <xf numFmtId="0" fontId="195" fillId="3" borderId="39" xfId="0" applyFont="1" applyFill="1" applyBorder="1" applyAlignment="1" applyProtection="1">
      <alignment vertical="center" wrapText="1"/>
      <protection locked="0" hidden="1"/>
    </xf>
    <xf numFmtId="9" fontId="195" fillId="3" borderId="39" xfId="2" applyFont="1" applyFill="1" applyBorder="1" applyAlignment="1" applyProtection="1">
      <alignment horizontal="center" vertical="center" wrapText="1"/>
      <protection locked="0" hidden="1"/>
    </xf>
    <xf numFmtId="9" fontId="195" fillId="3" borderId="40" xfId="2" applyFont="1" applyFill="1" applyBorder="1" applyAlignment="1" applyProtection="1">
      <alignment horizontal="center" vertical="center" wrapText="1"/>
      <protection locked="0" hidden="1"/>
    </xf>
    <xf numFmtId="4" fontId="157" fillId="0" borderId="0" xfId="0" applyNumberFormat="1" applyFont="1" applyAlignment="1" applyProtection="1">
      <alignment horizontal="left" vertical="center"/>
      <protection hidden="1"/>
    </xf>
    <xf numFmtId="0" fontId="196" fillId="0" borderId="0" xfId="0" applyFont="1" applyProtection="1">
      <protection hidden="1"/>
    </xf>
    <xf numFmtId="0" fontId="197" fillId="0" borderId="0" xfId="0" applyFont="1" applyProtection="1">
      <protection hidden="1"/>
    </xf>
    <xf numFmtId="0" fontId="195" fillId="0" borderId="0" xfId="0" applyFont="1" applyProtection="1">
      <protection hidden="1"/>
    </xf>
    <xf numFmtId="0" fontId="203" fillId="0" borderId="25" xfId="6" applyFont="1" applyBorder="1" applyAlignment="1" applyProtection="1">
      <alignment vertical="center"/>
      <protection locked="0"/>
    </xf>
    <xf numFmtId="0" fontId="5" fillId="0" borderId="0" xfId="0" applyFont="1" applyAlignment="1" applyProtection="1">
      <alignment horizontal="right"/>
      <protection hidden="1"/>
    </xf>
    <xf numFmtId="0" fontId="204" fillId="0" borderId="0" xfId="0" applyFont="1" applyProtection="1">
      <protection hidden="1"/>
    </xf>
    <xf numFmtId="0" fontId="204" fillId="0" borderId="0" xfId="0" applyFont="1" applyAlignment="1" applyProtection="1">
      <alignment horizontal="center"/>
      <protection hidden="1"/>
    </xf>
    <xf numFmtId="37" fontId="204" fillId="0" borderId="0" xfId="0" applyNumberFormat="1" applyFont="1" applyAlignment="1" applyProtection="1">
      <alignment horizontal="center"/>
      <protection hidden="1"/>
    </xf>
    <xf numFmtId="0" fontId="5" fillId="0" borderId="0" xfId="0" quotePrefix="1" applyFont="1" applyProtection="1">
      <protection hidden="1"/>
    </xf>
    <xf numFmtId="0" fontId="5" fillId="0" borderId="0" xfId="0" applyFont="1"/>
    <xf numFmtId="0" fontId="0" fillId="0" borderId="531" xfId="0" applyBorder="1" applyAlignment="1">
      <alignment horizontal="center"/>
    </xf>
    <xf numFmtId="0" fontId="148" fillId="4" borderId="10" xfId="6" applyFont="1" applyFill="1" applyBorder="1" applyAlignment="1" applyProtection="1">
      <alignment horizontal="center" vertical="center"/>
      <protection locked="0" hidden="1"/>
    </xf>
    <xf numFmtId="0" fontId="148" fillId="4" borderId="16" xfId="6" applyFont="1" applyFill="1" applyBorder="1" applyAlignment="1" applyProtection="1">
      <alignment horizontal="center" vertical="center"/>
      <protection locked="0" hidden="1"/>
    </xf>
    <xf numFmtId="0" fontId="148" fillId="4" borderId="11" xfId="6" applyFont="1" applyFill="1" applyBorder="1" applyAlignment="1" applyProtection="1">
      <alignment horizontal="center" vertical="center"/>
      <protection locked="0" hidden="1"/>
    </xf>
    <xf numFmtId="0" fontId="148" fillId="4" borderId="10" xfId="6" applyFont="1" applyFill="1" applyBorder="1" applyAlignment="1" applyProtection="1">
      <alignment vertical="center"/>
      <protection locked="0" hidden="1"/>
    </xf>
    <xf numFmtId="17" fontId="148" fillId="4" borderId="16" xfId="6" applyNumberFormat="1" applyFont="1" applyFill="1" applyBorder="1" applyAlignment="1" applyProtection="1">
      <alignment horizontal="center" vertical="center"/>
      <protection locked="0" hidden="1"/>
    </xf>
    <xf numFmtId="0" fontId="152" fillId="13" borderId="17" xfId="6" applyFont="1" applyFill="1" applyBorder="1" applyAlignment="1" applyProtection="1">
      <alignment horizontal="center" vertical="center"/>
      <protection locked="0" hidden="1"/>
    </xf>
    <xf numFmtId="0" fontId="205" fillId="0" borderId="19" xfId="6" applyFont="1" applyBorder="1" applyAlignment="1" applyProtection="1">
      <alignment horizontal="center" vertical="center"/>
      <protection locked="0" hidden="1"/>
    </xf>
    <xf numFmtId="3" fontId="205" fillId="0" borderId="18" xfId="6" applyNumberFormat="1" applyFont="1" applyBorder="1" applyAlignment="1" applyProtection="1">
      <alignment horizontal="center" vertical="center"/>
      <protection locked="0" hidden="1"/>
    </xf>
    <xf numFmtId="0" fontId="12" fillId="0" borderId="13" xfId="0" applyFont="1" applyBorder="1" applyAlignment="1" applyProtection="1">
      <alignment horizontal="center" vertical="justify" wrapText="1"/>
      <protection hidden="1"/>
    </xf>
    <xf numFmtId="0" fontId="6" fillId="0" borderId="0" xfId="0" applyFont="1" applyAlignment="1" applyProtection="1">
      <alignment horizontal="center"/>
      <protection hidden="1"/>
    </xf>
    <xf numFmtId="0" fontId="7" fillId="0" borderId="0" xfId="0" applyFont="1" applyAlignment="1" applyProtection="1">
      <alignment horizontal="center"/>
      <protection hidden="1"/>
    </xf>
    <xf numFmtId="0" fontId="8" fillId="0" borderId="1" xfId="0" applyFont="1" applyBorder="1" applyAlignment="1" applyProtection="1">
      <alignment horizontal="right" vertical="center" indent="1"/>
      <protection hidden="1"/>
    </xf>
    <xf numFmtId="0" fontId="8" fillId="0" borderId="2" xfId="0" applyFont="1" applyBorder="1" applyAlignment="1" applyProtection="1">
      <alignment horizontal="right" vertical="center" indent="1"/>
      <protection hidden="1"/>
    </xf>
    <xf numFmtId="0" fontId="8" fillId="0" borderId="4" xfId="0" applyFont="1" applyBorder="1" applyAlignment="1" applyProtection="1">
      <alignment horizontal="right" vertical="center" indent="1"/>
      <protection hidden="1"/>
    </xf>
    <xf numFmtId="0" fontId="8" fillId="0" borderId="5" xfId="0" applyFont="1" applyBorder="1" applyAlignment="1" applyProtection="1">
      <alignment horizontal="right" vertical="center" indent="1"/>
      <protection hidden="1"/>
    </xf>
    <xf numFmtId="0" fontId="10" fillId="0" borderId="4" xfId="0" applyFont="1" applyBorder="1" applyAlignment="1" applyProtection="1">
      <alignment horizontal="right" vertical="center" indent="1"/>
      <protection hidden="1"/>
    </xf>
    <xf numFmtId="0" fontId="10" fillId="0" borderId="5" xfId="0" applyFont="1" applyBorder="1" applyAlignment="1" applyProtection="1">
      <alignment horizontal="right" vertical="center" indent="1"/>
      <protection hidden="1"/>
    </xf>
    <xf numFmtId="0" fontId="10" fillId="0" borderId="7" xfId="0" applyFont="1" applyBorder="1" applyAlignment="1" applyProtection="1">
      <alignment horizontal="right" vertical="center" indent="1"/>
      <protection hidden="1"/>
    </xf>
    <xf numFmtId="0" fontId="10" fillId="0" borderId="8" xfId="0" applyFont="1" applyBorder="1" applyAlignment="1" applyProtection="1">
      <alignment horizontal="right" vertical="center" indent="1"/>
      <protection hidden="1"/>
    </xf>
    <xf numFmtId="0" fontId="11" fillId="0" borderId="10" xfId="0" applyFont="1" applyBorder="1" applyAlignment="1" applyProtection="1">
      <alignment horizontal="center"/>
      <protection hidden="1"/>
    </xf>
    <xf numFmtId="0" fontId="11" fillId="0" borderId="11" xfId="0" applyFont="1" applyBorder="1" applyAlignment="1" applyProtection="1">
      <alignment horizontal="center"/>
      <protection hidden="1"/>
    </xf>
    <xf numFmtId="0" fontId="11" fillId="0" borderId="12" xfId="0" applyFont="1" applyBorder="1" applyAlignment="1" applyProtection="1">
      <alignment horizontal="center"/>
      <protection hidden="1"/>
    </xf>
    <xf numFmtId="0" fontId="11" fillId="0" borderId="13" xfId="0" applyFont="1" applyBorder="1" applyAlignment="1" applyProtection="1">
      <alignment horizontal="center"/>
      <protection hidden="1"/>
    </xf>
    <xf numFmtId="0" fontId="12" fillId="0" borderId="14" xfId="0" applyFont="1" applyBorder="1" applyAlignment="1" applyProtection="1">
      <alignment horizontal="center" vertical="justify" wrapText="1"/>
      <protection hidden="1"/>
    </xf>
    <xf numFmtId="0" fontId="12" fillId="0" borderId="15" xfId="0" applyFont="1" applyBorder="1" applyAlignment="1" applyProtection="1">
      <alignment horizontal="center" vertical="justify" wrapText="1"/>
      <protection hidden="1"/>
    </xf>
    <xf numFmtId="165" fontId="157" fillId="0" borderId="16" xfId="0" applyNumberFormat="1" applyFont="1" applyBorder="1" applyAlignment="1" applyProtection="1">
      <alignment horizontal="left" vertical="center" indent="1"/>
      <protection locked="0" hidden="1"/>
    </xf>
    <xf numFmtId="165" fontId="157" fillId="0" borderId="0" xfId="0" applyNumberFormat="1" applyFont="1" applyAlignment="1" applyProtection="1">
      <alignment horizontal="left" vertical="center" indent="1"/>
      <protection locked="0" hidden="1"/>
    </xf>
    <xf numFmtId="3" fontId="157" fillId="0" borderId="0" xfId="0" applyNumberFormat="1" applyFont="1" applyAlignment="1" applyProtection="1">
      <alignment horizontal="left" vertical="center" indent="1"/>
      <protection locked="0" hidden="1"/>
    </xf>
    <xf numFmtId="166" fontId="85" fillId="0" borderId="12" xfId="0" applyNumberFormat="1" applyFont="1" applyBorder="1" applyAlignment="1" applyProtection="1">
      <alignment horizontal="center" vertical="center"/>
      <protection hidden="1"/>
    </xf>
    <xf numFmtId="166" fontId="85" fillId="0" borderId="0" xfId="0" applyNumberFormat="1" applyFont="1" applyAlignment="1" applyProtection="1">
      <alignment horizontal="center" vertical="center"/>
      <protection hidden="1"/>
    </xf>
    <xf numFmtId="0" fontId="85" fillId="0" borderId="0" xfId="0" applyFont="1" applyAlignment="1" applyProtection="1">
      <alignment horizontal="left" vertical="center" indent="1"/>
      <protection locked="0" hidden="1"/>
    </xf>
    <xf numFmtId="165" fontId="157" fillId="0" borderId="13" xfId="0" applyNumberFormat="1" applyFont="1" applyBorder="1" applyAlignment="1" applyProtection="1">
      <alignment horizontal="left" vertical="center" indent="1"/>
      <protection locked="0" hidden="1"/>
    </xf>
    <xf numFmtId="164" fontId="157" fillId="0" borderId="16" xfId="0" applyNumberFormat="1" applyFont="1" applyBorder="1" applyAlignment="1" applyProtection="1">
      <alignment horizontal="left" vertical="center" indent="1"/>
      <protection locked="0" hidden="1"/>
    </xf>
    <xf numFmtId="0" fontId="157" fillId="0" borderId="16" xfId="0" applyFont="1" applyBorder="1" applyAlignment="1" applyProtection="1">
      <alignment horizontal="left" vertical="center" indent="1"/>
      <protection hidden="1"/>
    </xf>
    <xf numFmtId="0" fontId="157" fillId="0" borderId="11" xfId="0" applyFont="1" applyBorder="1" applyAlignment="1" applyProtection="1">
      <alignment horizontal="left" vertical="center" indent="1"/>
      <protection hidden="1"/>
    </xf>
    <xf numFmtId="164" fontId="157" fillId="0" borderId="0" xfId="0" applyNumberFormat="1" applyFont="1" applyAlignment="1" applyProtection="1">
      <alignment horizontal="left" vertical="center" indent="1"/>
      <protection hidden="1"/>
    </xf>
    <xf numFmtId="164" fontId="157" fillId="0" borderId="0" xfId="0" applyNumberFormat="1" applyFont="1" applyAlignment="1" applyProtection="1">
      <alignment horizontal="left" vertical="center" indent="1"/>
      <protection locked="0" hidden="1"/>
    </xf>
    <xf numFmtId="164" fontId="157" fillId="0" borderId="12" xfId="0" applyNumberFormat="1" applyFont="1" applyBorder="1" applyAlignment="1" applyProtection="1">
      <alignment horizontal="left" vertical="top"/>
      <protection locked="0" hidden="1"/>
    </xf>
    <xf numFmtId="164" fontId="157" fillId="0" borderId="0" xfId="0" applyNumberFormat="1" applyFont="1" applyAlignment="1" applyProtection="1">
      <alignment horizontal="left" vertical="top"/>
      <protection locked="0" hidden="1"/>
    </xf>
    <xf numFmtId="212" fontId="157" fillId="0" borderId="0" xfId="0" applyNumberFormat="1" applyFont="1" applyAlignment="1" applyProtection="1">
      <alignment horizontal="left" vertical="center" indent="1"/>
      <protection locked="0" hidden="1"/>
    </xf>
    <xf numFmtId="49" fontId="157" fillId="0" borderId="0" xfId="0" applyNumberFormat="1" applyFont="1" applyAlignment="1" applyProtection="1">
      <alignment horizontal="left" vertical="center" indent="1"/>
      <protection hidden="1"/>
    </xf>
    <xf numFmtId="3" fontId="157" fillId="0" borderId="16" xfId="0" applyNumberFormat="1" applyFont="1" applyBorder="1" applyAlignment="1" applyProtection="1">
      <alignment horizontal="left" vertical="center" indent="1"/>
      <protection locked="0" hidden="1"/>
    </xf>
    <xf numFmtId="3" fontId="157" fillId="0" borderId="11" xfId="0" applyNumberFormat="1" applyFont="1" applyBorder="1" applyAlignment="1" applyProtection="1">
      <alignment horizontal="left" vertical="center" indent="1"/>
      <protection locked="0" hidden="1"/>
    </xf>
    <xf numFmtId="164" fontId="157" fillId="0" borderId="14" xfId="0" applyNumberFormat="1" applyFont="1" applyBorder="1" applyAlignment="1" applyProtection="1">
      <alignment horizontal="left" vertical="top"/>
      <protection locked="0" hidden="1"/>
    </xf>
    <xf numFmtId="164" fontId="157" fillId="0" borderId="29" xfId="0" applyNumberFormat="1" applyFont="1" applyBorder="1" applyAlignment="1" applyProtection="1">
      <alignment horizontal="left" vertical="top"/>
      <protection locked="0" hidden="1"/>
    </xf>
    <xf numFmtId="164" fontId="157" fillId="0" borderId="0" xfId="0" applyNumberFormat="1" applyFont="1" applyAlignment="1" applyProtection="1">
      <alignment horizontal="right" vertical="center" indent="1"/>
      <protection hidden="1"/>
    </xf>
    <xf numFmtId="3" fontId="157" fillId="0" borderId="13" xfId="0" applyNumberFormat="1" applyFont="1" applyBorder="1" applyAlignment="1" applyProtection="1">
      <alignment horizontal="left" vertical="center" indent="1"/>
      <protection locked="0" hidden="1"/>
    </xf>
    <xf numFmtId="164" fontId="85" fillId="0" borderId="29" xfId="0" applyNumberFormat="1" applyFont="1" applyBorder="1" applyAlignment="1" applyProtection="1">
      <alignment horizontal="right" vertical="center" indent="1"/>
      <protection hidden="1"/>
    </xf>
    <xf numFmtId="3" fontId="85" fillId="0" borderId="29" xfId="0" applyNumberFormat="1" applyFont="1" applyBorder="1" applyAlignment="1" applyProtection="1">
      <alignment horizontal="left" vertical="center" indent="1"/>
      <protection hidden="1"/>
    </xf>
    <xf numFmtId="3" fontId="85" fillId="0" borderId="15" xfId="0" applyNumberFormat="1" applyFont="1" applyBorder="1" applyAlignment="1" applyProtection="1">
      <alignment horizontal="left" vertical="center" indent="1"/>
      <protection hidden="1"/>
    </xf>
    <xf numFmtId="164" fontId="85" fillId="0" borderId="10" xfId="0" applyNumberFormat="1" applyFont="1" applyBorder="1" applyAlignment="1" applyProtection="1">
      <alignment horizontal="center" vertical="center"/>
      <protection hidden="1"/>
    </xf>
    <xf numFmtId="164" fontId="85" fillId="0" borderId="12" xfId="0" applyNumberFormat="1" applyFont="1" applyBorder="1" applyAlignment="1" applyProtection="1">
      <alignment horizontal="center" vertical="center"/>
      <protection hidden="1"/>
    </xf>
    <xf numFmtId="164" fontId="85" fillId="0" borderId="30" xfId="0" applyNumberFormat="1" applyFont="1" applyBorder="1" applyAlignment="1" applyProtection="1">
      <alignment horizontal="center" vertical="center"/>
      <protection hidden="1"/>
    </xf>
    <xf numFmtId="164" fontId="157" fillId="0" borderId="16" xfId="0" applyNumberFormat="1" applyFont="1" applyBorder="1" applyAlignment="1" applyProtection="1">
      <alignment horizontal="right" vertical="center" indent="1"/>
      <protection hidden="1"/>
    </xf>
    <xf numFmtId="0" fontId="194" fillId="3" borderId="32" xfId="0" applyFont="1" applyFill="1" applyBorder="1" applyAlignment="1" applyProtection="1">
      <alignment horizontal="center" vertical="center" wrapText="1"/>
      <protection hidden="1"/>
    </xf>
    <xf numFmtId="0" fontId="157" fillId="0" borderId="33" xfId="0" applyFont="1" applyBorder="1" applyProtection="1">
      <protection hidden="1"/>
    </xf>
    <xf numFmtId="0" fontId="157" fillId="0" borderId="34" xfId="0" applyFont="1" applyBorder="1" applyProtection="1">
      <protection hidden="1"/>
    </xf>
    <xf numFmtId="0" fontId="194" fillId="3" borderId="27" xfId="0" applyFont="1" applyFill="1" applyBorder="1" applyAlignment="1" applyProtection="1">
      <alignment horizontal="center" vertical="center" wrapText="1"/>
      <protection hidden="1"/>
    </xf>
    <xf numFmtId="0" fontId="157" fillId="0" borderId="25" xfId="0" applyFont="1" applyBorder="1" applyProtection="1">
      <protection hidden="1"/>
    </xf>
    <xf numFmtId="0" fontId="194" fillId="3" borderId="37" xfId="0" applyFont="1" applyFill="1" applyBorder="1" applyAlignment="1" applyProtection="1">
      <alignment horizontal="center" vertical="center" wrapText="1"/>
      <protection hidden="1"/>
    </xf>
    <xf numFmtId="0" fontId="194" fillId="3" borderId="38" xfId="0" applyFont="1" applyFill="1" applyBorder="1" applyAlignment="1" applyProtection="1">
      <alignment horizontal="center" vertical="center" wrapText="1"/>
      <protection hidden="1"/>
    </xf>
    <xf numFmtId="0" fontId="194" fillId="3" borderId="41" xfId="0" applyFont="1" applyFill="1" applyBorder="1" applyAlignment="1" applyProtection="1">
      <alignment horizontal="center" vertical="center" wrapText="1"/>
      <protection hidden="1"/>
    </xf>
    <xf numFmtId="0" fontId="194" fillId="3" borderId="42" xfId="0" applyFont="1" applyFill="1" applyBorder="1" applyAlignment="1" applyProtection="1">
      <alignment horizontal="center" vertical="center" wrapText="1"/>
      <protection hidden="1"/>
    </xf>
    <xf numFmtId="0" fontId="193" fillId="3" borderId="16" xfId="0" applyFont="1" applyFill="1" applyBorder="1" applyAlignment="1" applyProtection="1">
      <alignment horizontal="left" vertical="top" wrapText="1"/>
      <protection locked="0" hidden="1"/>
    </xf>
    <xf numFmtId="0" fontId="193" fillId="3" borderId="11" xfId="0" applyFont="1" applyFill="1" applyBorder="1" applyAlignment="1" applyProtection="1">
      <alignment horizontal="left" vertical="top" wrapText="1"/>
      <protection locked="0" hidden="1"/>
    </xf>
    <xf numFmtId="0" fontId="193" fillId="3" borderId="0" xfId="0" applyFont="1" applyFill="1" applyAlignment="1" applyProtection="1">
      <alignment horizontal="left" vertical="top" wrapText="1"/>
      <protection locked="0" hidden="1"/>
    </xf>
    <xf numFmtId="0" fontId="193" fillId="3" borderId="13" xfId="0" applyFont="1" applyFill="1" applyBorder="1" applyAlignment="1" applyProtection="1">
      <alignment horizontal="left" vertical="top" wrapText="1"/>
      <protection locked="0" hidden="1"/>
    </xf>
    <xf numFmtId="0" fontId="193" fillId="3" borderId="44" xfId="0" applyFont="1" applyFill="1" applyBorder="1" applyAlignment="1" applyProtection="1">
      <alignment horizontal="left" vertical="top" wrapText="1"/>
      <protection locked="0" hidden="1"/>
    </xf>
    <xf numFmtId="0" fontId="193" fillId="3" borderId="41" xfId="0" applyFont="1" applyFill="1" applyBorder="1" applyAlignment="1" applyProtection="1">
      <alignment horizontal="left" vertical="top" wrapText="1"/>
      <protection locked="0" hidden="1"/>
    </xf>
    <xf numFmtId="0" fontId="193" fillId="3" borderId="29" xfId="0" applyFont="1" applyFill="1" applyBorder="1" applyAlignment="1" applyProtection="1">
      <alignment horizontal="left" vertical="top" wrapText="1"/>
      <protection locked="0" hidden="1"/>
    </xf>
    <xf numFmtId="0" fontId="193" fillId="3" borderId="15" xfId="0" applyFont="1" applyFill="1" applyBorder="1" applyAlignment="1" applyProtection="1">
      <alignment horizontal="left" vertical="top" wrapText="1"/>
      <protection locked="0" hidden="1"/>
    </xf>
    <xf numFmtId="0" fontId="194" fillId="3" borderId="43" xfId="0" applyFont="1" applyFill="1" applyBorder="1" applyAlignment="1" applyProtection="1">
      <alignment horizontal="center" vertical="center" wrapText="1"/>
      <protection hidden="1"/>
    </xf>
    <xf numFmtId="0" fontId="194" fillId="3" borderId="46" xfId="0" applyFont="1" applyFill="1" applyBorder="1" applyAlignment="1" applyProtection="1">
      <alignment horizontal="center" vertical="center" wrapText="1"/>
      <protection hidden="1"/>
    </xf>
    <xf numFmtId="0" fontId="194" fillId="3" borderId="44" xfId="0" applyFont="1" applyFill="1" applyBorder="1" applyAlignment="1" applyProtection="1">
      <alignment horizontal="center" vertical="center" wrapText="1"/>
      <protection hidden="1"/>
    </xf>
    <xf numFmtId="0" fontId="157" fillId="0" borderId="45" xfId="0" applyFont="1" applyBorder="1" applyProtection="1">
      <protection hidden="1"/>
    </xf>
    <xf numFmtId="0" fontId="157" fillId="0" borderId="41" xfId="0" applyFont="1" applyBorder="1" applyProtection="1">
      <protection hidden="1"/>
    </xf>
    <xf numFmtId="0" fontId="157" fillId="0" borderId="42" xfId="0" applyFont="1" applyBorder="1" applyProtection="1">
      <protection hidden="1"/>
    </xf>
    <xf numFmtId="0" fontId="23" fillId="4" borderId="0" xfId="0" applyFont="1" applyFill="1" applyAlignment="1" applyProtection="1">
      <alignment horizontal="center"/>
      <protection hidden="1"/>
    </xf>
    <xf numFmtId="0" fontId="0" fillId="0" borderId="0" xfId="0" applyAlignment="1" applyProtection="1">
      <alignment vertical="center" wrapText="1"/>
      <protection hidden="1"/>
    </xf>
    <xf numFmtId="0" fontId="0" fillId="0" borderId="0" xfId="0" applyAlignment="1" applyProtection="1">
      <alignment horizontal="center" vertical="center" wrapText="1"/>
      <protection hidden="1"/>
    </xf>
    <xf numFmtId="0" fontId="24" fillId="0" borderId="0" xfId="0" applyFont="1" applyAlignment="1" applyProtection="1">
      <alignment horizontal="center"/>
      <protection hidden="1"/>
    </xf>
    <xf numFmtId="0" fontId="61" fillId="0" borderId="59" xfId="0" applyFont="1" applyBorder="1" applyAlignment="1" applyProtection="1">
      <alignment horizontal="center" vertical="center" wrapText="1"/>
      <protection locked="0" hidden="1"/>
    </xf>
    <xf numFmtId="0" fontId="61" fillId="0" borderId="61" xfId="0" applyFont="1" applyBorder="1" applyAlignment="1" applyProtection="1">
      <alignment horizontal="center" vertical="center" wrapText="1"/>
      <protection locked="0" hidden="1"/>
    </xf>
    <xf numFmtId="0" fontId="40" fillId="0" borderId="0" xfId="8" applyFont="1" applyBorder="1" applyAlignment="1" applyProtection="1">
      <alignment horizontal="left" vertical="center"/>
      <protection hidden="1"/>
    </xf>
    <xf numFmtId="0" fontId="60" fillId="0" borderId="59" xfId="0" applyFont="1" applyBorder="1" applyAlignment="1" applyProtection="1">
      <alignment horizontal="center" vertical="center" wrapText="1"/>
      <protection locked="0" hidden="1"/>
    </xf>
    <xf numFmtId="0" fontId="60" fillId="0" borderId="61" xfId="0" applyFont="1" applyBorder="1" applyAlignment="1" applyProtection="1">
      <alignment horizontal="center" vertical="center" wrapText="1"/>
      <protection locked="0" hidden="1"/>
    </xf>
    <xf numFmtId="1" fontId="61" fillId="0" borderId="59" xfId="0" applyNumberFormat="1" applyFont="1" applyBorder="1" applyAlignment="1" applyProtection="1">
      <alignment horizontal="center" vertical="center" wrapText="1"/>
      <protection locked="0" hidden="1"/>
    </xf>
    <xf numFmtId="1" fontId="61" fillId="0" borderId="61" xfId="0" applyNumberFormat="1" applyFont="1" applyBorder="1" applyAlignment="1" applyProtection="1">
      <alignment horizontal="center" vertical="center" wrapText="1"/>
      <protection locked="0" hidden="1"/>
    </xf>
    <xf numFmtId="1" fontId="60" fillId="0" borderId="59" xfId="0" applyNumberFormat="1" applyFont="1" applyBorder="1" applyAlignment="1" applyProtection="1">
      <alignment horizontal="center" vertical="center" wrapText="1"/>
      <protection locked="0" hidden="1"/>
    </xf>
    <xf numFmtId="1" fontId="60" fillId="0" borderId="61" xfId="0" applyNumberFormat="1" applyFont="1" applyBorder="1" applyAlignment="1" applyProtection="1">
      <alignment horizontal="center" vertical="center" wrapText="1"/>
      <protection locked="0" hidden="1"/>
    </xf>
    <xf numFmtId="0" fontId="82" fillId="0" borderId="86" xfId="0" applyFont="1" applyBorder="1" applyAlignment="1">
      <alignment horizontal="center" vertical="center"/>
    </xf>
    <xf numFmtId="0" fontId="82" fillId="0" borderId="87" xfId="0" applyFont="1" applyBorder="1" applyAlignment="1">
      <alignment horizontal="center" vertical="center"/>
    </xf>
    <xf numFmtId="37" fontId="16" fillId="0" borderId="498" xfId="3" applyFont="1" applyBorder="1" applyAlignment="1" applyProtection="1">
      <alignment horizontal="center" vertical="center"/>
      <protection locked="0"/>
    </xf>
    <xf numFmtId="37" fontId="16" fillId="0" borderId="501" xfId="3" applyFont="1" applyBorder="1" applyAlignment="1" applyProtection="1">
      <alignment horizontal="center" vertical="center"/>
      <protection locked="0"/>
    </xf>
    <xf numFmtId="37" fontId="148" fillId="27" borderId="29" xfId="15" applyNumberFormat="1" applyFont="1" applyFill="1" applyBorder="1" applyAlignment="1" applyProtection="1">
      <alignment horizontal="center" vertical="center"/>
      <protection locked="0"/>
    </xf>
    <xf numFmtId="1" fontId="149" fillId="0" borderId="17" xfId="6" applyNumberFormat="1" applyFont="1" applyBorder="1" applyAlignment="1" applyProtection="1">
      <alignment horizontal="center" vertical="center" wrapText="1"/>
      <protection locked="0"/>
    </xf>
    <xf numFmtId="0" fontId="149" fillId="0" borderId="19" xfId="6" applyFont="1" applyBorder="1" applyAlignment="1" applyProtection="1">
      <alignment horizontal="center" vertical="center" wrapText="1"/>
      <protection locked="0"/>
    </xf>
    <xf numFmtId="0" fontId="149" fillId="0" borderId="18" xfId="6" applyFont="1" applyBorder="1" applyAlignment="1" applyProtection="1">
      <alignment horizontal="center" vertical="center" wrapText="1"/>
      <protection locked="0"/>
    </xf>
    <xf numFmtId="37" fontId="154" fillId="28" borderId="138" xfId="15" applyNumberFormat="1" applyFont="1" applyFill="1" applyBorder="1" applyAlignment="1" applyProtection="1">
      <alignment horizontal="center" vertical="center"/>
      <protection locked="0"/>
    </xf>
    <xf numFmtId="37" fontId="154" fillId="28" borderId="139" xfId="15" applyNumberFormat="1" applyFont="1" applyFill="1" applyBorder="1" applyAlignment="1" applyProtection="1">
      <alignment horizontal="center" vertical="center"/>
      <protection locked="0"/>
    </xf>
    <xf numFmtId="37" fontId="154" fillId="28" borderId="140" xfId="15" applyNumberFormat="1" applyFont="1" applyFill="1" applyBorder="1" applyAlignment="1" applyProtection="1">
      <alignment horizontal="center" vertical="center"/>
      <protection locked="0"/>
    </xf>
    <xf numFmtId="37" fontId="154" fillId="28" borderId="141" xfId="15" applyNumberFormat="1" applyFont="1" applyFill="1" applyBorder="1" applyAlignment="1" applyProtection="1">
      <alignment horizontal="center" vertical="center"/>
      <protection locked="0"/>
    </xf>
    <xf numFmtId="37" fontId="154" fillId="28" borderId="0" xfId="15" applyNumberFormat="1" applyFont="1" applyFill="1" applyAlignment="1" applyProtection="1">
      <alignment horizontal="center" vertical="center"/>
      <protection locked="0"/>
    </xf>
    <xf numFmtId="37" fontId="154" fillId="28" borderId="142" xfId="15" applyNumberFormat="1" applyFont="1" applyFill="1" applyBorder="1" applyAlignment="1" applyProtection="1">
      <alignment horizontal="center" vertical="center"/>
      <protection locked="0"/>
    </xf>
    <xf numFmtId="0" fontId="161" fillId="0" borderId="138" xfId="0" applyFont="1" applyBorder="1" applyAlignment="1">
      <alignment horizontal="center"/>
    </xf>
    <xf numFmtId="0" fontId="161" fillId="0" borderId="139" xfId="0" applyFont="1" applyBorder="1" applyAlignment="1">
      <alignment horizontal="center"/>
    </xf>
    <xf numFmtId="0" fontId="161" fillId="0" borderId="140" xfId="0" applyFont="1" applyBorder="1" applyAlignment="1">
      <alignment horizontal="center"/>
    </xf>
    <xf numFmtId="0" fontId="161" fillId="0" borderId="141" xfId="0" applyFont="1" applyBorder="1" applyAlignment="1">
      <alignment horizontal="center"/>
    </xf>
    <xf numFmtId="0" fontId="161" fillId="0" borderId="0" xfId="0" applyFont="1" applyAlignment="1">
      <alignment horizontal="center"/>
    </xf>
    <xf numFmtId="0" fontId="161" fillId="0" borderId="142" xfId="0" applyFont="1" applyBorder="1" applyAlignment="1">
      <alignment horizontal="center"/>
    </xf>
    <xf numFmtId="0" fontId="161" fillId="0" borderId="143" xfId="0" applyFont="1" applyBorder="1" applyAlignment="1">
      <alignment horizontal="center"/>
    </xf>
    <xf numFmtId="0" fontId="161" fillId="0" borderId="144" xfId="0" applyFont="1" applyBorder="1" applyAlignment="1">
      <alignment horizontal="center"/>
    </xf>
    <xf numFmtId="0" fontId="161" fillId="0" borderId="145" xfId="0" applyFont="1" applyBorder="1" applyAlignment="1">
      <alignment horizontal="center"/>
    </xf>
    <xf numFmtId="0" fontId="165" fillId="4" borderId="47" xfId="6" applyFont="1" applyFill="1" applyBorder="1" applyAlignment="1" applyProtection="1">
      <alignment horizontal="center" vertical="center" wrapText="1"/>
      <protection locked="0"/>
    </xf>
    <xf numFmtId="0" fontId="165" fillId="4" borderId="47" xfId="6" applyFont="1" applyFill="1" applyBorder="1" applyAlignment="1" applyProtection="1">
      <alignment horizontal="center" vertical="center"/>
      <protection locked="0"/>
    </xf>
    <xf numFmtId="0" fontId="160" fillId="4" borderId="532" xfId="0" applyFont="1" applyFill="1" applyBorder="1" applyAlignment="1" applyProtection="1">
      <alignment horizontal="center" vertical="center"/>
      <protection locked="0"/>
    </xf>
    <xf numFmtId="0" fontId="160" fillId="4" borderId="349" xfId="0" applyFont="1" applyFill="1" applyBorder="1" applyAlignment="1" applyProtection="1">
      <alignment horizontal="center" vertical="center"/>
      <protection locked="0"/>
    </xf>
    <xf numFmtId="0" fontId="160" fillId="4" borderId="531" xfId="0" applyFont="1" applyFill="1" applyBorder="1" applyAlignment="1" applyProtection="1">
      <alignment horizontal="center" vertical="center"/>
      <protection locked="0"/>
    </xf>
    <xf numFmtId="0" fontId="165" fillId="4" borderId="10" xfId="6" applyFont="1" applyFill="1" applyBorder="1" applyAlignment="1" applyProtection="1">
      <alignment horizontal="center" vertical="center"/>
      <protection locked="0"/>
    </xf>
    <xf numFmtId="0" fontId="165" fillId="4" borderId="16" xfId="6" applyFont="1" applyFill="1" applyBorder="1" applyAlignment="1" applyProtection="1">
      <alignment horizontal="center" vertical="center"/>
      <protection locked="0"/>
    </xf>
    <xf numFmtId="2" fontId="162" fillId="0" borderId="141" xfId="0" applyNumberFormat="1" applyFont="1" applyBorder="1" applyAlignment="1">
      <alignment horizontal="center"/>
    </xf>
    <xf numFmtId="0" fontId="162" fillId="0" borderId="0" xfId="0" applyFont="1" applyAlignment="1">
      <alignment horizontal="center"/>
    </xf>
    <xf numFmtId="0" fontId="166" fillId="4" borderId="47" xfId="6" applyFont="1" applyFill="1" applyBorder="1" applyAlignment="1" applyProtection="1">
      <alignment horizontal="left" vertical="center" wrapText="1"/>
      <protection locked="0"/>
    </xf>
    <xf numFmtId="37" fontId="87" fillId="13" borderId="144" xfId="15" applyNumberFormat="1" applyFont="1" applyFill="1" applyBorder="1" applyAlignment="1" applyProtection="1">
      <alignment horizontal="center" vertical="center"/>
      <protection locked="0"/>
    </xf>
    <xf numFmtId="2" fontId="162" fillId="0" borderId="138" xfId="0" applyNumberFormat="1" applyFont="1" applyBorder="1" applyAlignment="1">
      <alignment horizontal="center" vertical="center"/>
    </xf>
    <xf numFmtId="0" fontId="162" fillId="0" borderId="139" xfId="0" applyFont="1" applyBorder="1" applyAlignment="1">
      <alignment horizontal="center" vertical="center"/>
    </xf>
    <xf numFmtId="2" fontId="162" fillId="0" borderId="532" xfId="0" applyNumberFormat="1" applyFont="1" applyBorder="1" applyAlignment="1" applyProtection="1">
      <alignment horizontal="center"/>
      <protection locked="0"/>
    </xf>
    <xf numFmtId="0" fontId="162" fillId="0" borderId="349" xfId="0" applyFont="1" applyBorder="1" applyAlignment="1" applyProtection="1">
      <alignment horizontal="center"/>
      <protection locked="0"/>
    </xf>
    <xf numFmtId="0" fontId="162" fillId="0" borderId="531" xfId="0" applyFont="1" applyBorder="1" applyAlignment="1" applyProtection="1">
      <alignment horizontal="center"/>
      <protection locked="0"/>
    </xf>
    <xf numFmtId="202" fontId="23" fillId="4" borderId="532" xfId="7" applyNumberFormat="1" applyFont="1" applyFill="1" applyBorder="1" applyAlignment="1" applyProtection="1">
      <alignment horizontal="center" vertical="center" wrapText="1"/>
    </xf>
    <xf numFmtId="202" fontId="23" fillId="4" borderId="349" xfId="7" applyNumberFormat="1" applyFont="1" applyFill="1" applyBorder="1" applyAlignment="1" applyProtection="1">
      <alignment horizontal="center" vertical="center" wrapText="1"/>
    </xf>
    <xf numFmtId="202" fontId="23" fillId="4" borderId="531" xfId="7" applyNumberFormat="1" applyFont="1" applyFill="1" applyBorder="1" applyAlignment="1" applyProtection="1">
      <alignment horizontal="center" vertical="center" wrapText="1"/>
    </xf>
    <xf numFmtId="9" fontId="23" fillId="4" borderId="532" xfId="0" applyNumberFormat="1" applyFont="1" applyFill="1" applyBorder="1" applyAlignment="1" applyProtection="1">
      <alignment horizontal="center" vertical="center"/>
      <protection locked="0"/>
    </xf>
    <xf numFmtId="9" fontId="23" fillId="4" borderId="531" xfId="0" applyNumberFormat="1" applyFont="1" applyFill="1" applyBorder="1" applyAlignment="1" applyProtection="1">
      <alignment horizontal="center" vertical="center"/>
      <protection locked="0"/>
    </xf>
    <xf numFmtId="0" fontId="93" fillId="13" borderId="12" xfId="6" applyFont="1" applyFill="1" applyBorder="1" applyAlignment="1" applyProtection="1">
      <alignment horizontal="center" vertical="center"/>
      <protection locked="0"/>
    </xf>
    <xf numFmtId="0" fontId="93" fillId="13" borderId="0" xfId="6" applyFont="1" applyFill="1" applyAlignment="1" applyProtection="1">
      <alignment horizontal="center" vertical="center"/>
      <protection locked="0"/>
    </xf>
    <xf numFmtId="0" fontId="158" fillId="0" borderId="143" xfId="0" applyFont="1" applyBorder="1" applyAlignment="1" applyProtection="1">
      <alignment horizontal="center"/>
      <protection locked="0"/>
    </xf>
    <xf numFmtId="0" fontId="158" fillId="0" borderId="144" xfId="0" applyFont="1" applyBorder="1" applyAlignment="1" applyProtection="1">
      <alignment horizontal="center"/>
      <protection locked="0"/>
    </xf>
    <xf numFmtId="37" fontId="162" fillId="0" borderId="138" xfId="0" applyNumberFormat="1" applyFont="1" applyBorder="1" applyAlignment="1">
      <alignment horizontal="center" vertical="center"/>
    </xf>
    <xf numFmtId="0" fontId="162" fillId="0" borderId="143" xfId="0" applyFont="1" applyBorder="1" applyAlignment="1">
      <alignment horizontal="center" vertical="center"/>
    </xf>
    <xf numFmtId="39" fontId="162" fillId="0" borderId="138" xfId="0" applyNumberFormat="1" applyFont="1" applyBorder="1" applyAlignment="1">
      <alignment horizontal="center" vertical="center"/>
    </xf>
    <xf numFmtId="39" fontId="162" fillId="0" borderId="143" xfId="0" applyNumberFormat="1" applyFont="1" applyBorder="1" applyAlignment="1">
      <alignment horizontal="center" vertical="center"/>
    </xf>
    <xf numFmtId="39" fontId="162" fillId="0" borderId="80" xfId="0" applyNumberFormat="1" applyFont="1" applyBorder="1" applyAlignment="1">
      <alignment horizontal="center" vertical="center"/>
    </xf>
    <xf numFmtId="39" fontId="162" fillId="0" borderId="81" xfId="0" applyNumberFormat="1" applyFont="1" applyBorder="1" applyAlignment="1">
      <alignment horizontal="center" vertical="center"/>
    </xf>
    <xf numFmtId="2" fontId="66" fillId="0" borderId="532" xfId="0" applyNumberFormat="1" applyFont="1" applyBorder="1" applyAlignment="1" applyProtection="1">
      <alignment horizontal="center"/>
      <protection locked="0"/>
    </xf>
    <xf numFmtId="0" fontId="66" fillId="0" borderId="349" xfId="0" applyFont="1" applyBorder="1" applyAlignment="1" applyProtection="1">
      <alignment horizontal="center"/>
      <protection locked="0"/>
    </xf>
    <xf numFmtId="0" fontId="66" fillId="0" borderId="531" xfId="0" applyFont="1" applyBorder="1" applyAlignment="1" applyProtection="1">
      <alignment horizontal="center"/>
      <protection locked="0"/>
    </xf>
    <xf numFmtId="39" fontId="157" fillId="13" borderId="532" xfId="15" applyNumberFormat="1" applyFont="1" applyFill="1" applyBorder="1" applyAlignment="1" applyProtection="1">
      <alignment horizontal="center" vertical="center"/>
      <protection locked="0"/>
    </xf>
    <xf numFmtId="39" fontId="157" fillId="13" borderId="349" xfId="15" applyNumberFormat="1" applyFont="1" applyFill="1" applyBorder="1" applyAlignment="1" applyProtection="1">
      <alignment horizontal="center" vertical="center"/>
      <protection locked="0"/>
    </xf>
    <xf numFmtId="39" fontId="157" fillId="13" borderId="531" xfId="15" applyNumberFormat="1" applyFont="1" applyFill="1" applyBorder="1" applyAlignment="1" applyProtection="1">
      <alignment horizontal="center" vertical="center"/>
      <protection locked="0"/>
    </xf>
    <xf numFmtId="37" fontId="82" fillId="13" borderId="17" xfId="15" applyNumberFormat="1" applyFont="1" applyFill="1" applyBorder="1" applyAlignment="1" applyProtection="1">
      <alignment horizontal="center" vertical="center"/>
      <protection locked="0"/>
    </xf>
    <xf numFmtId="37" fontId="82" fillId="13" borderId="18" xfId="15" applyNumberFormat="1" applyFont="1" applyFill="1" applyBorder="1" applyAlignment="1" applyProtection="1">
      <alignment horizontal="center" vertical="center"/>
      <protection locked="0"/>
    </xf>
    <xf numFmtId="37" fontId="86" fillId="13" borderId="17" xfId="15" applyNumberFormat="1" applyFont="1" applyFill="1" applyBorder="1" applyAlignment="1" applyProtection="1">
      <alignment horizontal="center" vertical="center"/>
      <protection locked="0"/>
    </xf>
    <xf numFmtId="37" fontId="86" fillId="13" borderId="19" xfId="15" applyNumberFormat="1" applyFont="1" applyFill="1" applyBorder="1" applyAlignment="1" applyProtection="1">
      <alignment horizontal="center" vertical="center"/>
      <protection locked="0"/>
    </xf>
    <xf numFmtId="37" fontId="86" fillId="13" borderId="18" xfId="15" applyNumberFormat="1" applyFont="1" applyFill="1" applyBorder="1" applyAlignment="1" applyProtection="1">
      <alignment horizontal="center" vertical="center"/>
      <protection locked="0"/>
    </xf>
    <xf numFmtId="10" fontId="157" fillId="13" borderId="532" xfId="5" applyNumberFormat="1" applyFont="1" applyFill="1" applyBorder="1" applyAlignment="1" applyProtection="1">
      <alignment horizontal="center" vertical="center"/>
      <protection locked="0"/>
    </xf>
    <xf numFmtId="10" fontId="157" fillId="13" borderId="349" xfId="5" applyNumberFormat="1" applyFont="1" applyFill="1" applyBorder="1" applyAlignment="1" applyProtection="1">
      <alignment horizontal="center" vertical="center"/>
      <protection locked="0"/>
    </xf>
    <xf numFmtId="10" fontId="157" fillId="13" borderId="531" xfId="5" applyNumberFormat="1" applyFont="1" applyFill="1" applyBorder="1" applyAlignment="1" applyProtection="1">
      <alignment horizontal="center" vertical="center"/>
      <protection locked="0"/>
    </xf>
    <xf numFmtId="0" fontId="82" fillId="13" borderId="14" xfId="6" applyFont="1" applyFill="1" applyBorder="1" applyAlignment="1" applyProtection="1">
      <alignment horizontal="center" vertical="center"/>
      <protection locked="0"/>
    </xf>
    <xf numFmtId="0" fontId="82" fillId="13" borderId="29" xfId="6" applyFont="1" applyFill="1" applyBorder="1" applyAlignment="1" applyProtection="1">
      <alignment horizontal="center" vertical="center"/>
      <protection locked="0"/>
    </xf>
    <xf numFmtId="167" fontId="162" fillId="0" borderId="138" xfId="5" applyNumberFormat="1" applyFont="1" applyBorder="1" applyAlignment="1" applyProtection="1">
      <alignment horizontal="center" vertical="center"/>
    </xf>
    <xf numFmtId="167" fontId="162" fillId="0" borderId="143" xfId="5" applyNumberFormat="1" applyFont="1" applyBorder="1" applyAlignment="1" applyProtection="1">
      <alignment horizontal="center" vertical="center"/>
    </xf>
    <xf numFmtId="167" fontId="162" fillId="0" borderId="80" xfId="5" applyNumberFormat="1" applyFont="1" applyBorder="1" applyAlignment="1" applyProtection="1">
      <alignment horizontal="center" vertical="center"/>
    </xf>
    <xf numFmtId="167" fontId="162" fillId="0" borderId="81" xfId="5" applyNumberFormat="1" applyFont="1" applyBorder="1" applyAlignment="1" applyProtection="1">
      <alignment horizontal="center" vertical="center"/>
    </xf>
    <xf numFmtId="167" fontId="162" fillId="0" borderId="140" xfId="5" applyNumberFormat="1" applyFont="1" applyBorder="1" applyAlignment="1" applyProtection="1">
      <alignment horizontal="center" vertical="center"/>
    </xf>
    <xf numFmtId="167" fontId="162" fillId="0" borderId="145" xfId="5" applyNumberFormat="1" applyFont="1" applyBorder="1" applyAlignment="1" applyProtection="1">
      <alignment horizontal="center" vertical="center"/>
    </xf>
    <xf numFmtId="0" fontId="148" fillId="4" borderId="17" xfId="6"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18" xfId="6" applyFont="1" applyFill="1" applyBorder="1" applyAlignment="1" applyProtection="1">
      <alignment horizontal="center" vertical="center"/>
      <protection locked="0"/>
    </xf>
    <xf numFmtId="0" fontId="162" fillId="0" borderId="81" xfId="0" applyFont="1" applyBorder="1" applyAlignment="1">
      <alignment horizontal="center" vertical="center"/>
    </xf>
    <xf numFmtId="39" fontId="162" fillId="0" borderId="139" xfId="0" applyNumberFormat="1" applyFont="1" applyBorder="1" applyAlignment="1">
      <alignment horizontal="center" vertical="center"/>
    </xf>
    <xf numFmtId="0" fontId="162" fillId="0" borderId="144" xfId="0" applyFont="1" applyBorder="1" applyAlignment="1">
      <alignment horizontal="center" vertical="center"/>
    </xf>
    <xf numFmtId="0" fontId="168" fillId="4" borderId="141" xfId="0" applyFont="1" applyFill="1" applyBorder="1" applyAlignment="1">
      <alignment horizontal="center"/>
    </xf>
    <xf numFmtId="0" fontId="168" fillId="4" borderId="0" xfId="0" applyFont="1" applyFill="1" applyAlignment="1">
      <alignment horizontal="center"/>
    </xf>
    <xf numFmtId="0" fontId="73" fillId="13" borderId="47" xfId="6" applyFont="1" applyFill="1" applyBorder="1" applyAlignment="1" applyProtection="1">
      <alignment horizontal="center" vertical="center"/>
      <protection locked="0"/>
    </xf>
    <xf numFmtId="15" fontId="169" fillId="13" borderId="17" xfId="6" applyNumberFormat="1" applyFont="1" applyFill="1" applyBorder="1" applyAlignment="1" applyProtection="1">
      <alignment horizontal="center" vertical="center"/>
      <protection locked="0"/>
    </xf>
    <xf numFmtId="15" fontId="169" fillId="13" borderId="18" xfId="6" applyNumberFormat="1" applyFont="1" applyFill="1" applyBorder="1" applyAlignment="1" applyProtection="1">
      <alignment horizontal="center" vertical="center"/>
      <protection locked="0"/>
    </xf>
    <xf numFmtId="167" fontId="162" fillId="0" borderId="139" xfId="5" applyNumberFormat="1" applyFont="1" applyBorder="1" applyAlignment="1" applyProtection="1">
      <alignment horizontal="center" vertical="center"/>
    </xf>
    <xf numFmtId="167" fontId="162" fillId="0" borderId="144" xfId="5" applyNumberFormat="1" applyFont="1" applyBorder="1" applyAlignment="1" applyProtection="1">
      <alignment horizontal="center" vertical="center"/>
    </xf>
    <xf numFmtId="0" fontId="0" fillId="0" borderId="532" xfId="0" applyBorder="1" applyAlignment="1">
      <alignment horizontal="center"/>
    </xf>
    <xf numFmtId="0" fontId="0" fillId="0" borderId="349" xfId="0" applyBorder="1" applyAlignment="1">
      <alignment horizontal="center"/>
    </xf>
    <xf numFmtId="0" fontId="0" fillId="0" borderId="531" xfId="0" applyBorder="1" applyAlignment="1">
      <alignment horizontal="center"/>
    </xf>
    <xf numFmtId="0" fontId="164" fillId="13" borderId="17" xfId="0" applyFont="1" applyFill="1" applyBorder="1" applyAlignment="1" applyProtection="1">
      <alignment horizontal="center" vertical="center" wrapText="1"/>
      <protection locked="0"/>
    </xf>
    <xf numFmtId="0" fontId="164" fillId="13" borderId="18" xfId="0" applyFont="1" applyFill="1" applyBorder="1" applyAlignment="1" applyProtection="1">
      <alignment horizontal="center" vertical="center" wrapText="1"/>
      <protection locked="0"/>
    </xf>
    <xf numFmtId="0" fontId="164" fillId="13" borderId="19" xfId="0" applyFont="1" applyFill="1" applyBorder="1" applyAlignment="1" applyProtection="1">
      <alignment horizontal="center" vertical="center" wrapText="1"/>
      <protection locked="0"/>
    </xf>
    <xf numFmtId="169" fontId="162" fillId="0" borderId="138" xfId="0" applyNumberFormat="1" applyFont="1" applyBorder="1" applyAlignment="1">
      <alignment horizontal="center" vertical="center"/>
    </xf>
    <xf numFmtId="169" fontId="162" fillId="0" borderId="143" xfId="0" applyNumberFormat="1" applyFont="1" applyBorder="1" applyAlignment="1">
      <alignment horizontal="center" vertical="center"/>
    </xf>
    <xf numFmtId="169" fontId="162" fillId="0" borderId="80" xfId="0" applyNumberFormat="1" applyFont="1" applyBorder="1" applyAlignment="1">
      <alignment horizontal="center" vertical="center"/>
    </xf>
    <xf numFmtId="169" fontId="162" fillId="0" borderId="81" xfId="0" applyNumberFormat="1" applyFont="1" applyBorder="1" applyAlignment="1">
      <alignment horizontal="center" vertical="center"/>
    </xf>
    <xf numFmtId="169" fontId="162" fillId="0" borderId="139" xfId="0" applyNumberFormat="1" applyFont="1" applyBorder="1" applyAlignment="1">
      <alignment horizontal="center" vertical="center"/>
    </xf>
    <xf numFmtId="169" fontId="162" fillId="0" borderId="144" xfId="0" applyNumberFormat="1" applyFont="1" applyBorder="1" applyAlignment="1">
      <alignment horizontal="center" vertical="center"/>
    </xf>
    <xf numFmtId="0" fontId="62" fillId="13" borderId="27" xfId="0" applyFont="1" applyFill="1" applyBorder="1" applyAlignment="1" applyProtection="1">
      <alignment horizontal="center" vertical="center"/>
      <protection locked="0"/>
    </xf>
    <xf numFmtId="0" fontId="62" fillId="13" borderId="35" xfId="0" applyFont="1" applyFill="1" applyBorder="1" applyAlignment="1" applyProtection="1">
      <alignment horizontal="center" vertical="center"/>
      <protection locked="0"/>
    </xf>
    <xf numFmtId="0" fontId="62" fillId="13" borderId="28" xfId="0" applyFont="1" applyFill="1" applyBorder="1" applyAlignment="1" applyProtection="1">
      <alignment horizontal="center" vertical="center"/>
      <protection locked="0"/>
    </xf>
    <xf numFmtId="37" fontId="87" fillId="13" borderId="22" xfId="15" applyNumberFormat="1" applyFont="1" applyFill="1" applyBorder="1" applyAlignment="1" applyProtection="1">
      <alignment horizontal="center" vertical="center"/>
      <protection locked="0"/>
    </xf>
    <xf numFmtId="37" fontId="87" fillId="13" borderId="134" xfId="15" applyNumberFormat="1" applyFont="1" applyFill="1" applyBorder="1" applyAlignment="1" applyProtection="1">
      <alignment horizontal="center" vertical="center"/>
      <protection locked="0"/>
    </xf>
    <xf numFmtId="37" fontId="87" fillId="13" borderId="98" xfId="15" applyNumberFormat="1" applyFont="1" applyFill="1" applyBorder="1" applyAlignment="1" applyProtection="1">
      <alignment horizontal="center" vertical="center"/>
      <protection locked="0"/>
    </xf>
    <xf numFmtId="37" fontId="87" fillId="13" borderId="24" xfId="15" applyNumberFormat="1" applyFont="1" applyFill="1" applyBorder="1" applyAlignment="1" applyProtection="1">
      <alignment horizontal="center" vertical="center"/>
      <protection locked="0"/>
    </xf>
    <xf numFmtId="37" fontId="87" fillId="13" borderId="126" xfId="15" applyNumberFormat="1" applyFont="1" applyFill="1" applyBorder="1" applyAlignment="1" applyProtection="1">
      <alignment horizontal="center" vertical="center"/>
      <protection locked="0"/>
    </xf>
    <xf numFmtId="0" fontId="162" fillId="0" borderId="0" xfId="0" applyFont="1" applyAlignment="1" applyProtection="1">
      <alignment horizontal="center"/>
      <protection locked="0"/>
    </xf>
    <xf numFmtId="0" fontId="162" fillId="0" borderId="144" xfId="0" applyFont="1" applyBorder="1" applyAlignment="1" applyProtection="1">
      <alignment horizontal="center"/>
      <protection locked="0"/>
    </xf>
    <xf numFmtId="1" fontId="165" fillId="4" borderId="17" xfId="0" applyNumberFormat="1" applyFont="1" applyFill="1" applyBorder="1" applyAlignment="1" applyProtection="1">
      <alignment horizontal="center" vertical="center" wrapText="1"/>
      <protection locked="0"/>
    </xf>
    <xf numFmtId="0" fontId="165" fillId="4" borderId="19" xfId="0" applyFont="1" applyFill="1" applyBorder="1" applyAlignment="1" applyProtection="1">
      <alignment horizontal="center" vertical="center" wrapText="1"/>
      <protection locked="0"/>
    </xf>
    <xf numFmtId="0" fontId="165" fillId="4" borderId="18" xfId="0" applyFont="1" applyFill="1" applyBorder="1" applyAlignment="1" applyProtection="1">
      <alignment horizontal="center" vertical="center" wrapText="1"/>
      <protection locked="0"/>
    </xf>
    <xf numFmtId="0" fontId="165" fillId="4" borderId="10" xfId="0" applyFont="1" applyFill="1" applyBorder="1" applyAlignment="1" applyProtection="1">
      <alignment horizontal="center" vertical="center" wrapText="1"/>
      <protection locked="0"/>
    </xf>
    <xf numFmtId="0" fontId="165" fillId="4" borderId="16" xfId="0" applyFont="1" applyFill="1" applyBorder="1" applyAlignment="1" applyProtection="1">
      <alignment horizontal="center" vertical="center" wrapText="1"/>
      <protection locked="0"/>
    </xf>
    <xf numFmtId="0" fontId="165" fillId="4" borderId="11" xfId="0" applyFont="1" applyFill="1" applyBorder="1" applyAlignment="1" applyProtection="1">
      <alignment horizontal="center" vertical="center" wrapText="1"/>
      <protection locked="0"/>
    </xf>
    <xf numFmtId="0" fontId="165" fillId="4" borderId="14" xfId="0" applyFont="1" applyFill="1" applyBorder="1" applyAlignment="1" applyProtection="1">
      <alignment horizontal="center" vertical="center" wrapText="1"/>
      <protection locked="0"/>
    </xf>
    <xf numFmtId="0" fontId="165" fillId="4" borderId="29" xfId="0" applyFont="1" applyFill="1" applyBorder="1" applyAlignment="1" applyProtection="1">
      <alignment horizontal="center" vertical="center" wrapText="1"/>
      <protection locked="0"/>
    </xf>
    <xf numFmtId="0" fontId="165" fillId="4" borderId="15" xfId="0" applyFont="1" applyFill="1" applyBorder="1" applyAlignment="1" applyProtection="1">
      <alignment horizontal="center" vertical="center" wrapText="1"/>
      <protection locked="0"/>
    </xf>
    <xf numFmtId="37" fontId="87" fillId="13" borderId="137" xfId="15" applyNumberFormat="1" applyFont="1" applyFill="1" applyBorder="1" applyAlignment="1" applyProtection="1">
      <alignment horizontal="center" vertical="center"/>
      <protection locked="0"/>
    </xf>
    <xf numFmtId="37" fontId="87" fillId="13" borderId="112" xfId="15" applyNumberFormat="1" applyFont="1" applyFill="1" applyBorder="1" applyAlignment="1" applyProtection="1">
      <alignment horizontal="center" vertical="center"/>
      <protection locked="0"/>
    </xf>
    <xf numFmtId="37" fontId="87" fillId="13" borderId="31" xfId="15" applyNumberFormat="1"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14" fontId="30" fillId="0" borderId="0" xfId="15" applyNumberFormat="1" applyFont="1" applyAlignment="1" applyProtection="1">
      <alignment horizontal="left" vertical="center" wrapText="1"/>
      <protection locked="0"/>
    </xf>
  </cellXfs>
  <cellStyles count="19">
    <cellStyle name="Hipervínculo" xfId="8" builtinId="8"/>
    <cellStyle name="Millares [0]_Plantilla Davivienda" xfId="13" xr:uid="{00000000-0005-0000-0000-000001000000}"/>
    <cellStyle name="Millares 2" xfId="7" xr:uid="{00000000-0005-0000-0000-000002000000}"/>
    <cellStyle name="Millares_MC V-0702-0507" xfId="16" xr:uid="{00000000-0005-0000-0000-000003000000}"/>
    <cellStyle name="Millares_Plantilla Davivienda" xfId="10" xr:uid="{00000000-0005-0000-0000-000004000000}"/>
    <cellStyle name="Moneda [0]_Plantilla Davivienda" xfId="14" xr:uid="{00000000-0005-0000-0000-000005000000}"/>
    <cellStyle name="Moneda 3" xfId="11" xr:uid="{00000000-0005-0000-0000-000006000000}"/>
    <cellStyle name="Moneda_MC V-0702-0507" xfId="18" xr:uid="{00000000-0005-0000-0000-000007000000}"/>
    <cellStyle name="Moneda_Plantilla Davivienda" xfId="12" xr:uid="{00000000-0005-0000-0000-000008000000}"/>
    <cellStyle name="NivelFila_1" xfId="1" builtinId="1" iLevel="0"/>
    <cellStyle name="Normal" xfId="0" builtinId="0"/>
    <cellStyle name="Normal 16 2 2" xfId="6" xr:uid="{00000000-0005-0000-0000-00000B000000}"/>
    <cellStyle name="Normal_CANJE" xfId="9" xr:uid="{00000000-0005-0000-0000-00000C000000}"/>
    <cellStyle name="Normal_DISTRA" xfId="3" xr:uid="{00000000-0005-0000-0000-00000D000000}"/>
    <cellStyle name="Normal_ETB" xfId="17" xr:uid="{00000000-0005-0000-0000-00000E000000}"/>
    <cellStyle name="Normal_MC V-0702-0507" xfId="15" xr:uid="{00000000-0005-0000-0000-00000F000000}"/>
    <cellStyle name="Normal_TGS de Colombia Dic 06 plano (4)" xfId="4" xr:uid="{00000000-0005-0000-0000-000010000000}"/>
    <cellStyle name="Porcentaje" xfId="2" builtinId="5"/>
    <cellStyle name="Porcentual 2" xfId="5" xr:uid="{00000000-0005-0000-0000-000012000000}"/>
  </cellStyles>
  <dxfs count="68">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rgb="FFFFC7CE"/>
        </patternFill>
      </fill>
    </dxf>
    <dxf>
      <fill>
        <patternFill>
          <bgColor theme="1"/>
        </patternFill>
      </fill>
    </dxf>
    <dxf>
      <fill>
        <patternFill>
          <bgColor theme="1"/>
        </patternFill>
      </fill>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patternType="solid">
          <fgColor rgb="FFA5F286"/>
          <bgColor rgb="FF66FF66"/>
        </patternFill>
      </fill>
    </dxf>
    <dxf>
      <fill>
        <patternFill>
          <bgColor rgb="FFCB0F13"/>
        </patternFill>
      </fill>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ill>
        <patternFill>
          <bgColor theme="9" tint="0.79998168889431442"/>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resentaci&#243;n!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Estados Financieros'!A1"/></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6569</xdr:colOff>
      <xdr:row>3</xdr:row>
      <xdr:rowOff>13138</xdr:rowOff>
    </xdr:from>
    <xdr:to>
      <xdr:col>2</xdr:col>
      <xdr:colOff>1039293</xdr:colOff>
      <xdr:row>3</xdr:row>
      <xdr:rowOff>180580</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1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406619" y="311588"/>
          <a:ext cx="1464524" cy="167442"/>
        </a:xfrm>
        <a:prstGeom prst="rect">
          <a:avLst/>
        </a:prstGeom>
        <a:noFill/>
        <a:ln w="9525">
          <a:noFill/>
          <a:miter lim="800000"/>
          <a:headEnd/>
          <a:tailEnd/>
        </a:ln>
      </xdr:spPr>
    </xdr:pic>
    <xdr:clientData/>
  </xdr:twoCellAnchor>
  <xdr:twoCellAnchor>
    <xdr:from>
      <xdr:col>0</xdr:col>
      <xdr:colOff>318156</xdr:colOff>
      <xdr:row>11</xdr:row>
      <xdr:rowOff>8764</xdr:rowOff>
    </xdr:from>
    <xdr:to>
      <xdr:col>1</xdr:col>
      <xdr:colOff>412750</xdr:colOff>
      <xdr:row>12</xdr:row>
      <xdr:rowOff>170797</xdr:rowOff>
    </xdr:to>
    <xdr:sp macro="[0]!ThisWorkbook.Imprime_PDF2" textlink="">
      <xdr:nvSpPr>
        <xdr:cNvPr id="3" name="2 Rectángulo redondeado">
          <a:extLst>
            <a:ext uri="{FF2B5EF4-FFF2-40B4-BE49-F238E27FC236}">
              <a16:creationId xmlns:a16="http://schemas.microsoft.com/office/drawing/2014/main" id="{00000000-0008-0000-2100-000003000000}"/>
            </a:ext>
          </a:extLst>
        </xdr:cNvPr>
        <xdr:cNvSpPr/>
      </xdr:nvSpPr>
      <xdr:spPr>
        <a:xfrm>
          <a:off x="318156" y="1564514"/>
          <a:ext cx="494644" cy="346183"/>
        </a:xfrm>
        <a:prstGeom prst="roundRect">
          <a:avLst/>
        </a:prstGeom>
        <a:solidFill>
          <a:srgbClr val="FF0000">
            <a:alpha val="10000"/>
          </a:srgbClr>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600">
              <a:solidFill>
                <a:srgbClr val="C00000"/>
              </a:solidFill>
            </a:rPr>
            <a:t>Imprimir </a:t>
          </a:r>
        </a:p>
        <a:p>
          <a:pPr algn="ctr"/>
          <a:r>
            <a:rPr lang="es-MX" sz="600">
              <a:solidFill>
                <a:srgbClr val="C00000"/>
              </a:solidFill>
            </a:rPr>
            <a:t>PDF</a:t>
          </a:r>
        </a:p>
      </xdr:txBody>
    </xdr:sp>
    <xdr:clientData/>
  </xdr:twoCellAnchor>
  <xdr:twoCellAnchor>
    <xdr:from>
      <xdr:col>0</xdr:col>
      <xdr:colOff>292100</xdr:colOff>
      <xdr:row>13</xdr:row>
      <xdr:rowOff>19050</xdr:rowOff>
    </xdr:from>
    <xdr:to>
      <xdr:col>1</xdr:col>
      <xdr:colOff>412750</xdr:colOff>
      <xdr:row>15</xdr:row>
      <xdr:rowOff>63500</xdr:rowOff>
    </xdr:to>
    <xdr:sp macro="[0]!ThisWorkbook.Decimales" textlink="">
      <xdr:nvSpPr>
        <xdr:cNvPr id="5" name="4 Rectángulo redondeado">
          <a:extLst>
            <a:ext uri="{FF2B5EF4-FFF2-40B4-BE49-F238E27FC236}">
              <a16:creationId xmlns:a16="http://schemas.microsoft.com/office/drawing/2014/main" id="{00000000-0008-0000-2100-000005000000}"/>
            </a:ext>
          </a:extLst>
        </xdr:cNvPr>
        <xdr:cNvSpPr/>
      </xdr:nvSpPr>
      <xdr:spPr>
        <a:xfrm>
          <a:off x="292100" y="194310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Ajustar Decimal</a:t>
          </a:r>
        </a:p>
      </xdr:txBody>
    </xdr:sp>
    <xdr:clientData/>
  </xdr:twoCellAnchor>
  <xdr:twoCellAnchor>
    <xdr:from>
      <xdr:col>0</xdr:col>
      <xdr:colOff>292100</xdr:colOff>
      <xdr:row>15</xdr:row>
      <xdr:rowOff>88900</xdr:rowOff>
    </xdr:from>
    <xdr:to>
      <xdr:col>1</xdr:col>
      <xdr:colOff>412750</xdr:colOff>
      <xdr:row>17</xdr:row>
      <xdr:rowOff>133350</xdr:rowOff>
    </xdr:to>
    <xdr:sp macro="[0]!ThisWorkbook.Salir" textlink="">
      <xdr:nvSpPr>
        <xdr:cNvPr id="6" name="5 Rectángulo redondeado">
          <a:extLst>
            <a:ext uri="{FF2B5EF4-FFF2-40B4-BE49-F238E27FC236}">
              <a16:creationId xmlns:a16="http://schemas.microsoft.com/office/drawing/2014/main" id="{00000000-0008-0000-2100-000006000000}"/>
            </a:ext>
          </a:extLst>
        </xdr:cNvPr>
        <xdr:cNvSpPr/>
      </xdr:nvSpPr>
      <xdr:spPr>
        <a:xfrm>
          <a:off x="292100" y="238125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Salvar y Salir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619125</xdr:colOff>
      <xdr:row>2</xdr:row>
      <xdr:rowOff>76486</xdr:rowOff>
    </xdr:from>
    <xdr:to>
      <xdr:col>13</xdr:col>
      <xdr:colOff>2074717</xdr:colOff>
      <xdr:row>3</xdr:row>
      <xdr:rowOff>301625</xdr:rowOff>
    </xdr:to>
    <xdr:pic>
      <xdr:nvPicPr>
        <xdr:cNvPr id="2" name="Imagen 2" descr="Logo Davivienda">
          <a:extLst>
            <a:ext uri="{FF2B5EF4-FFF2-40B4-BE49-F238E27FC236}">
              <a16:creationId xmlns:a16="http://schemas.microsoft.com/office/drawing/2014/main" id="{00000000-0008-0000-2200-000002000000}"/>
            </a:ext>
          </a:extLst>
        </xdr:cNvPr>
        <xdr:cNvPicPr preferRelativeResize="0">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22352000" y="901986"/>
          <a:ext cx="4138467" cy="637889"/>
        </a:xfrm>
        <a:prstGeom prst="rect">
          <a:avLst/>
        </a:prstGeom>
        <a:noFill/>
        <a:ln w="9525">
          <a:noFill/>
          <a:miter lim="800000"/>
          <a:headEnd/>
          <a:tailEnd/>
        </a:ln>
      </xdr:spPr>
    </xdr:pic>
    <xdr:clientData/>
  </xdr:twoCellAnchor>
  <xdr:twoCellAnchor>
    <xdr:from>
      <xdr:col>0</xdr:col>
      <xdr:colOff>1543050</xdr:colOff>
      <xdr:row>35</xdr:row>
      <xdr:rowOff>127000</xdr:rowOff>
    </xdr:from>
    <xdr:to>
      <xdr:col>0</xdr:col>
      <xdr:colOff>2908300</xdr:colOff>
      <xdr:row>38</xdr:row>
      <xdr:rowOff>19050</xdr:rowOff>
    </xdr:to>
    <xdr:sp macro="[0]!ThisWorkbook.Salir" textlink="">
      <xdr:nvSpPr>
        <xdr:cNvPr id="3" name="2 Rectángulo redondeado">
          <a:extLst>
            <a:ext uri="{FF2B5EF4-FFF2-40B4-BE49-F238E27FC236}">
              <a16:creationId xmlns:a16="http://schemas.microsoft.com/office/drawing/2014/main" id="{00000000-0008-0000-2200-000003000000}"/>
            </a:ext>
          </a:extLst>
        </xdr:cNvPr>
        <xdr:cNvSpPr/>
      </xdr:nvSpPr>
      <xdr:spPr>
        <a:xfrm>
          <a:off x="154305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Guardar y salir</a:t>
          </a:r>
        </a:p>
      </xdr:txBody>
    </xdr:sp>
    <xdr:clientData/>
  </xdr:twoCellAnchor>
  <xdr:twoCellAnchor>
    <xdr:from>
      <xdr:col>0</xdr:col>
      <xdr:colOff>114300</xdr:colOff>
      <xdr:row>35</xdr:row>
      <xdr:rowOff>127000</xdr:rowOff>
    </xdr:from>
    <xdr:to>
      <xdr:col>0</xdr:col>
      <xdr:colOff>1479550</xdr:colOff>
      <xdr:row>38</xdr:row>
      <xdr:rowOff>19050</xdr:rowOff>
    </xdr:to>
    <xdr:sp macro="[0]!ThisWorkbook.Decimales" textlink="">
      <xdr:nvSpPr>
        <xdr:cNvPr id="4" name="3 Rectángulo redondeado">
          <a:extLst>
            <a:ext uri="{FF2B5EF4-FFF2-40B4-BE49-F238E27FC236}">
              <a16:creationId xmlns:a16="http://schemas.microsoft.com/office/drawing/2014/main" id="{00000000-0008-0000-2200-000004000000}"/>
            </a:ext>
          </a:extLst>
        </xdr:cNvPr>
        <xdr:cNvSpPr/>
      </xdr:nvSpPr>
      <xdr:spPr>
        <a:xfrm>
          <a:off x="11430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Ajustar Formato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26521</xdr:colOff>
      <xdr:row>0</xdr:row>
      <xdr:rowOff>181538</xdr:rowOff>
    </xdr:from>
    <xdr:to>
      <xdr:col>2</xdr:col>
      <xdr:colOff>82177</xdr:colOff>
      <xdr:row>1</xdr:row>
      <xdr:rowOff>237884</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3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67821" y="181538"/>
          <a:ext cx="1516156" cy="24049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macro="[0]!ThisWorkbook.Valida_Filtro">
      <xdr:nvPicPr>
        <xdr:cNvPr id="2" name="Imagen 2" descr="Logo Davivienda">
          <a:extLst>
            <a:ext uri="{FF2B5EF4-FFF2-40B4-BE49-F238E27FC236}">
              <a16:creationId xmlns:a16="http://schemas.microsoft.com/office/drawing/2014/main" id="{00000000-0008-0000-2400-000002000000}"/>
            </a:ext>
          </a:extLst>
        </xdr:cNvPr>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13407124" y="46493"/>
          <a:ext cx="2724149" cy="321157"/>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5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6098274" y="46493"/>
          <a:ext cx="761999" cy="143357"/>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0</xdr:row>
      <xdr:rowOff>88900</xdr:rowOff>
    </xdr:from>
    <xdr:to>
      <xdr:col>0</xdr:col>
      <xdr:colOff>3187700</xdr:colOff>
      <xdr:row>1</xdr:row>
      <xdr:rowOff>305278</xdr:rowOff>
    </xdr:to>
    <xdr:pic>
      <xdr:nvPicPr>
        <xdr:cNvPr id="2" name="Imagen 2" descr="Logo Davivienda">
          <a:extLst>
            <a:ext uri="{FF2B5EF4-FFF2-40B4-BE49-F238E27FC236}">
              <a16:creationId xmlns:a16="http://schemas.microsoft.com/office/drawing/2014/main" id="{00000000-0008-0000-26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88900"/>
          <a:ext cx="3111500" cy="571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63500</xdr:colOff>
      <xdr:row>2</xdr:row>
      <xdr:rowOff>63500</xdr:rowOff>
    </xdr:from>
    <xdr:to>
      <xdr:col>0</xdr:col>
      <xdr:colOff>2324100</xdr:colOff>
      <xdr:row>3</xdr:row>
      <xdr:rowOff>12700</xdr:rowOff>
    </xdr:to>
    <xdr:sp macro="[0]!ThisWorkbook.Guardar_Hoja_Trabajo" textlink="">
      <xdr:nvSpPr>
        <xdr:cNvPr id="3" name="2 Rectángulo redondeado">
          <a:extLst>
            <a:ext uri="{FF2B5EF4-FFF2-40B4-BE49-F238E27FC236}">
              <a16:creationId xmlns:a16="http://schemas.microsoft.com/office/drawing/2014/main" id="{00000000-0008-0000-2600-000003000000}"/>
            </a:ext>
          </a:extLst>
        </xdr:cNvPr>
        <xdr:cNvSpPr/>
      </xdr:nvSpPr>
      <xdr:spPr>
        <a:xfrm>
          <a:off x="63500" y="800100"/>
          <a:ext cx="2260600" cy="520700"/>
        </a:xfrm>
        <a:prstGeom prst="roundRect">
          <a:avLst/>
        </a:prstGeom>
        <a:solidFill>
          <a:srgbClr val="FF0000">
            <a:alpha val="5000"/>
          </a:srgbClr>
        </a:solidFill>
        <a:ln w="9525">
          <a:solidFill>
            <a:srgbClr val="FF0000"/>
          </a:solidFill>
        </a:ln>
        <a:effectLst>
          <a:outerShdw blurRad="63500" sx="102000" sy="102000" algn="ctr" rotWithShape="0">
            <a:prstClr val="black">
              <a:alpha val="40000"/>
            </a:prstClr>
          </a:outerShdw>
        </a:effectLst>
        <a:scene3d>
          <a:camera prst="orthographicFront"/>
          <a:lightRig rig="flood"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1800" b="1">
              <a:solidFill>
                <a:srgbClr val="C00000"/>
              </a:solidFill>
              <a:latin typeface="Bahnschrift Condensed" pitchFamily="34" charset="0"/>
            </a:rPr>
            <a:t>Adicionar</a:t>
          </a:r>
          <a:r>
            <a:rPr lang="es-MX" sz="1800" b="1" baseline="0">
              <a:solidFill>
                <a:srgbClr val="C00000"/>
              </a:solidFill>
              <a:latin typeface="Bahnschrift Condensed" pitchFamily="34" charset="0"/>
            </a:rPr>
            <a:t> Comentarios</a:t>
          </a:r>
          <a:endParaRPr lang="es-MX" sz="1800" b="1">
            <a:solidFill>
              <a:srgbClr val="C00000"/>
            </a:solidFill>
            <a:latin typeface="Bahnschrift Condensed"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18142</xdr:rowOff>
    </xdr:to>
    <xdr:pic>
      <xdr:nvPicPr>
        <xdr:cNvPr id="2" name="Imagen 2" descr="Logo Davivienda">
          <a:extLst>
            <a:ext uri="{FF2B5EF4-FFF2-40B4-BE49-F238E27FC236}">
              <a16:creationId xmlns:a16="http://schemas.microsoft.com/office/drawing/2014/main" id="{00000000-0008-0000-27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108857</xdr:colOff>
      <xdr:row>0</xdr:row>
      <xdr:rowOff>72571</xdr:rowOff>
    </xdr:from>
    <xdr:to>
      <xdr:col>1</xdr:col>
      <xdr:colOff>3156848</xdr:colOff>
      <xdr:row>12</xdr:row>
      <xdr:rowOff>9071</xdr:rowOff>
    </xdr:to>
    <xdr:pic>
      <xdr:nvPicPr>
        <xdr:cNvPr id="3" name="Imagen 2" descr="Logo Davivienda">
          <a:extLst>
            <a:ext uri="{FF2B5EF4-FFF2-40B4-BE49-F238E27FC236}">
              <a16:creationId xmlns:a16="http://schemas.microsoft.com/office/drawing/2014/main" id="{00000000-0008-0000-27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8928" y="72571"/>
          <a:ext cx="3047991" cy="362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100692</xdr:rowOff>
    </xdr:to>
    <xdr:pic>
      <xdr:nvPicPr>
        <xdr:cNvPr id="2" name="Imagen 2" descr="Logo Davivienda">
          <a:extLst>
            <a:ext uri="{FF2B5EF4-FFF2-40B4-BE49-F238E27FC236}">
              <a16:creationId xmlns:a16="http://schemas.microsoft.com/office/drawing/2014/main" id="{00000000-0008-0000-28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12700</xdr:colOff>
      <xdr:row>0</xdr:row>
      <xdr:rowOff>25400</xdr:rowOff>
    </xdr:from>
    <xdr:to>
      <xdr:col>1</xdr:col>
      <xdr:colOff>3060691</xdr:colOff>
      <xdr:row>12</xdr:row>
      <xdr:rowOff>19050</xdr:rowOff>
    </xdr:to>
    <xdr:pic>
      <xdr:nvPicPr>
        <xdr:cNvPr id="3" name="Imagen 2" descr="Logo Davivienda">
          <a:extLst>
            <a:ext uri="{FF2B5EF4-FFF2-40B4-BE49-F238E27FC236}">
              <a16:creationId xmlns:a16="http://schemas.microsoft.com/office/drawing/2014/main" id="{00000000-0008-0000-28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5400"/>
          <a:ext cx="3047991"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25400</xdr:rowOff>
    </xdr:from>
    <xdr:to>
      <xdr:col>2</xdr:col>
      <xdr:colOff>413150</xdr:colOff>
      <xdr:row>2</xdr:row>
      <xdr:rowOff>322064</xdr:rowOff>
    </xdr:to>
    <xdr:pic>
      <xdr:nvPicPr>
        <xdr:cNvPr id="2" name="Imagen 2" descr="Logo Davivienda">
          <a:hlinkClick xmlns:r="http://schemas.openxmlformats.org/officeDocument/2006/relationships" r:id="rId1"/>
          <a:extLst>
            <a:ext uri="{FF2B5EF4-FFF2-40B4-BE49-F238E27FC236}">
              <a16:creationId xmlns:a16="http://schemas.microsoft.com/office/drawing/2014/main" id="{00000000-0008-0000-2900-000002000000}"/>
            </a:ext>
          </a:extLst>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22250" y="342900"/>
          <a:ext cx="4553350" cy="677664"/>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114300</xdr:colOff>
      <xdr:row>0</xdr:row>
      <xdr:rowOff>57150</xdr:rowOff>
    </xdr:from>
    <xdr:to>
      <xdr:col>1</xdr:col>
      <xdr:colOff>114300</xdr:colOff>
      <xdr:row>3</xdr:row>
      <xdr:rowOff>38894</xdr:rowOff>
    </xdr:to>
    <xdr:pic>
      <xdr:nvPicPr>
        <xdr:cNvPr id="2" name="Imagen 2" descr="Logo Davivienda">
          <a:extLst>
            <a:ext uri="{FF2B5EF4-FFF2-40B4-BE49-F238E27FC236}">
              <a16:creationId xmlns:a16="http://schemas.microsoft.com/office/drawing/2014/main" id="{00000000-0008-0000-2A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2900" y="57150"/>
          <a:ext cx="2343145" cy="2738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2</xdr:row>
      <xdr:rowOff>7144</xdr:rowOff>
    </xdr:to>
    <xdr:pic>
      <xdr:nvPicPr>
        <xdr:cNvPr id="3" name="Imagen 2" descr="Logo Davivienda">
          <a:extLst>
            <a:ext uri="{FF2B5EF4-FFF2-40B4-BE49-F238E27FC236}">
              <a16:creationId xmlns:a16="http://schemas.microsoft.com/office/drawing/2014/main" id="{00000000-0008-0000-2A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600" y="0"/>
          <a:ext cx="2343145" cy="2738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57150</xdr:colOff>
      <xdr:row>0</xdr:row>
      <xdr:rowOff>47625</xdr:rowOff>
    </xdr:from>
    <xdr:to>
      <xdr:col>1</xdr:col>
      <xdr:colOff>615945</xdr:colOff>
      <xdr:row>0</xdr:row>
      <xdr:rowOff>47625</xdr:rowOff>
    </xdr:to>
    <xdr:pic>
      <xdr:nvPicPr>
        <xdr:cNvPr id="2" name="Imagen 2" descr="Logo Davivienda">
          <a:extLst>
            <a:ext uri="{FF2B5EF4-FFF2-40B4-BE49-F238E27FC236}">
              <a16:creationId xmlns:a16="http://schemas.microsoft.com/office/drawing/2014/main" id="{00000000-0008-0000-2B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47625"/>
          <a:ext cx="2343145" cy="292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0</xdr:row>
      <xdr:rowOff>292894</xdr:rowOff>
    </xdr:to>
    <xdr:pic>
      <xdr:nvPicPr>
        <xdr:cNvPr id="3" name="Imagen 2" descr="Logo Davivienda">
          <a:extLst>
            <a:ext uri="{FF2B5EF4-FFF2-40B4-BE49-F238E27FC236}">
              <a16:creationId xmlns:a16="http://schemas.microsoft.com/office/drawing/2014/main" id="{00000000-0008-0000-2B00-000003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0"/>
          <a:ext cx="2343145" cy="2928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64292</xdr:colOff>
      <xdr:row>8</xdr:row>
      <xdr:rowOff>40481</xdr:rowOff>
    </xdr:from>
    <xdr:to>
      <xdr:col>0</xdr:col>
      <xdr:colOff>2324100</xdr:colOff>
      <xdr:row>9</xdr:row>
      <xdr:rowOff>192087</xdr:rowOff>
    </xdr:to>
    <xdr:pic>
      <xdr:nvPicPr>
        <xdr:cNvPr id="2" name="Imagen 2" descr="Logo Davivienda">
          <a:extLst>
            <a:ext uri="{FF2B5EF4-FFF2-40B4-BE49-F238E27FC236}">
              <a16:creationId xmlns:a16="http://schemas.microsoft.com/office/drawing/2014/main" id="{00000000-0008-0000-2C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292" y="1316831"/>
          <a:ext cx="2259808" cy="3103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333375</xdr:colOff>
      <xdr:row>3</xdr:row>
      <xdr:rowOff>28575</xdr:rowOff>
    </xdr:from>
    <xdr:to>
      <xdr:col>10</xdr:col>
      <xdr:colOff>180970</xdr:colOff>
      <xdr:row>4</xdr:row>
      <xdr:rowOff>130969</xdr:rowOff>
    </xdr:to>
    <xdr:pic>
      <xdr:nvPicPr>
        <xdr:cNvPr id="2" name="Imagen 2" descr="Logo Davivienda">
          <a:extLst>
            <a:ext uri="{FF2B5EF4-FFF2-40B4-BE49-F238E27FC236}">
              <a16:creationId xmlns:a16="http://schemas.microsoft.com/office/drawing/2014/main" id="{00000000-0008-0000-2D00-0000020000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34525" y="581025"/>
          <a:ext cx="2012945" cy="2865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D2"/>
  <sheetViews>
    <sheetView topLeftCell="P1" workbookViewId="0">
      <selection activeCell="AD1" sqref="AD1"/>
    </sheetView>
  </sheetViews>
  <sheetFormatPr baseColWidth="10" defaultRowHeight="15" x14ac:dyDescent="0.25"/>
  <sheetData>
    <row r="1" spans="1:3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2175</v>
      </c>
    </row>
    <row r="2" spans="1:30" x14ac:dyDescent="0.25">
      <c r="A2" s="3123" t="str">
        <f>Fortalezas!A4</f>
        <v>900142011</v>
      </c>
      <c r="B2" s="3123" t="str">
        <f>'RC'!D7</f>
        <v>Prueba Da 27.08.23</v>
      </c>
      <c r="C2" t="str">
        <f>IFERROR(VLOOKUP($A$2,Caratula1!$3:$60,3,0),"")</f>
        <v>PRUEBA DA</v>
      </c>
      <c r="D2">
        <f>IFERROR(VLOOKUP($A$2,Caratula1!$3:$60,4,0)+0,1)</f>
        <v>14</v>
      </c>
      <c r="E2" s="3123" t="str">
        <f>'RC'!D10</f>
        <v>Prueba Da 27.08.23</v>
      </c>
      <c r="F2" s="3190" t="str">
        <f>Presentación!G25</f>
        <v>PRUEBA DA 27.08.23</v>
      </c>
      <c r="G2" t="str">
        <f>IFERROR(VLOOKUP($A$2,Caratula1!$3:$60,8,0),"")</f>
        <v>REPRESENTANTE</v>
      </c>
      <c r="H2" s="3123">
        <f>VLOOKUP($A$2,Caratula1!$3:$60,9,0)+0</f>
        <v>1213</v>
      </c>
      <c r="I2" t="str">
        <f>IFERROR(VLOOKUP($A$2,Caratula1!$3:$60,10,0),"")</f>
        <v>CALLE 1 1 1</v>
      </c>
      <c r="J2" t="str">
        <f>IFERROR(VLOOKUP($A$2,Caratula1!$3:$60,11,0),"")</f>
        <v>6018050512</v>
      </c>
      <c r="K2">
        <f>IFERROR(VLOOKUP($A$2,Caratula1!$3:$60,13,0),"")</f>
        <v>0</v>
      </c>
      <c r="L2">
        <f>IFERROR(VLOOKUP($A$2,Caratula1!$3:$60,14,0),"")</f>
        <v>0</v>
      </c>
      <c r="M2" t="str">
        <f>IFERROR(VLOOKUP($A$2,Caratula1!$3:$60,15,0),"")</f>
        <v>12345</v>
      </c>
      <c r="N2" t="str">
        <f>IFERROR(LOWER(VLOOKUP($A$2,Caratula1!$3:$60,16,0)),"")</f>
        <v>prueba@prueba.com</v>
      </c>
      <c r="O2" t="str">
        <f>IFERROR(LOWER(VLOOKUP($A$2,Caratula1!$3:$60,17,0)),"")</f>
        <v>www.prueba.com</v>
      </c>
      <c r="P2" s="3124">
        <f>IFERROR('RC'!D8+0,"01/12/2010")</f>
        <v>42019</v>
      </c>
      <c r="Q2">
        <f>IFERROR(VLOOKUP($A$2,Caratula1!$3:$60,19,0)+0,1)</f>
        <v>1</v>
      </c>
      <c r="R2" t="str">
        <f>IFERROR(VLOOKUP($A$2,Caratula1!$3:$60,20,0),0)</f>
        <v>False</v>
      </c>
      <c r="S2" s="3123" t="str">
        <f>'RC'!D9</f>
        <v>7020</v>
      </c>
      <c r="T2" t="str">
        <f>IFERROR(VLOOKUP($A$2,Caratula1!$3:$60,22,0),0)</f>
        <v>False</v>
      </c>
      <c r="U2" t="str">
        <f>IFERROR(VLOOKUP($A$2,Caratula1!$3:$60,23,0),0)</f>
        <v>False</v>
      </c>
      <c r="W2" t="str">
        <f>IFERROR(VLOOKUP($A$2,Caratula1!$3:$60,25,0),1)</f>
        <v>100</v>
      </c>
      <c r="X2" t="str">
        <f>IFERROR(VLOOKUP($A$2,Caratula1!$3:$60,37,0),99)</f>
        <v>Industrial / Azúcar / Ingenios Azucareros</v>
      </c>
      <c r="Y2">
        <f>'Estados Financieros'!I2</f>
        <v>0</v>
      </c>
      <c r="Z2" t="str">
        <f>Caratula1!AM3</f>
        <v>89</v>
      </c>
      <c r="AA2" t="str">
        <f>Caratula1!AN3</f>
        <v>Lempira HNL</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E9"/>
  <sheetViews>
    <sheetView workbookViewId="0">
      <selection activeCell="B13" sqref="B13"/>
    </sheetView>
  </sheetViews>
  <sheetFormatPr baseColWidth="10" defaultRowHeight="15" x14ac:dyDescent="0.25"/>
  <sheetData>
    <row r="1" spans="1:5" x14ac:dyDescent="0.25">
      <c r="A1" t="s">
        <v>0</v>
      </c>
      <c r="B1" t="s">
        <v>29</v>
      </c>
      <c r="C1" t="s">
        <v>30</v>
      </c>
      <c r="D1" t="s">
        <v>31</v>
      </c>
      <c r="E1" t="s">
        <v>32</v>
      </c>
    </row>
    <row r="2" spans="1:5" x14ac:dyDescent="0.25">
      <c r="A2" t="str">
        <f>IF(B2&lt;&gt;"",'RC'!$D$6,"")</f>
        <v/>
      </c>
      <c r="B2" t="str">
        <f>IF('Accionistas y Juntas'!B5&gt;0,'Accionistas y Juntas'!B5,"")</f>
        <v/>
      </c>
      <c r="C2" t="str">
        <f>IF(B2&lt;&gt;"",'Accionistas y Juntas'!C5,"")</f>
        <v/>
      </c>
      <c r="D2" t="str">
        <f>IF(B2&lt;&gt;"",'Accionistas y Juntas'!D5,"")</f>
        <v/>
      </c>
      <c r="E2" t="str">
        <f t="shared" ref="E2:E9" si="0">IF(B2&lt;&gt;"",2,"")</f>
        <v/>
      </c>
    </row>
    <row r="3" spans="1:5" x14ac:dyDescent="0.25">
      <c r="A3" t="str">
        <f>IF(B3&lt;&gt;"",'RC'!$D$6,"")</f>
        <v/>
      </c>
      <c r="B3" t="str">
        <f>IF('Accionistas y Juntas'!B6&gt;0,'Accionistas y Juntas'!B6,"")</f>
        <v/>
      </c>
      <c r="C3" t="str">
        <f>IF(B3&lt;&gt;"",'Accionistas y Juntas'!C6,"")</f>
        <v/>
      </c>
      <c r="D3" t="str">
        <f>IF(B3&lt;&gt;"",'Accionistas y Juntas'!D6,"")</f>
        <v/>
      </c>
      <c r="E3" t="str">
        <f t="shared" si="0"/>
        <v/>
      </c>
    </row>
    <row r="4" spans="1:5" x14ac:dyDescent="0.25">
      <c r="A4" t="str">
        <f>IF(B4&lt;&gt;"",'RC'!$D$6,"")</f>
        <v/>
      </c>
      <c r="B4" t="str">
        <f>IF('Accionistas y Juntas'!B7&gt;0,'Accionistas y Juntas'!B7,"")</f>
        <v/>
      </c>
      <c r="C4" t="str">
        <f>IF(B4&lt;&gt;"",'Accionistas y Juntas'!C7,"")</f>
        <v/>
      </c>
      <c r="D4" t="str">
        <f>IF(B4&lt;&gt;"",'Accionistas y Juntas'!D7,"")</f>
        <v/>
      </c>
      <c r="E4" t="str">
        <f t="shared" si="0"/>
        <v/>
      </c>
    </row>
    <row r="5" spans="1:5" x14ac:dyDescent="0.25">
      <c r="A5" t="str">
        <f>IF(B5&lt;&gt;"",'RC'!$D$6,"")</f>
        <v/>
      </c>
      <c r="B5" t="str">
        <f>IF('Accionistas y Juntas'!B8&gt;0,'Accionistas y Juntas'!B8,"")</f>
        <v/>
      </c>
      <c r="C5" t="str">
        <f>IF(B5&lt;&gt;"",'Accionistas y Juntas'!C8,"")</f>
        <v/>
      </c>
      <c r="D5" t="str">
        <f>IF(B5&lt;&gt;"",'Accionistas y Juntas'!D8,"")</f>
        <v/>
      </c>
      <c r="E5" t="str">
        <f t="shared" si="0"/>
        <v/>
      </c>
    </row>
    <row r="6" spans="1:5" x14ac:dyDescent="0.25">
      <c r="A6" t="str">
        <f>IF(B6&lt;&gt;"",'RC'!$D$6,"")</f>
        <v/>
      </c>
      <c r="B6" t="str">
        <f>IF('Accionistas y Juntas'!B9&gt;0,'Accionistas y Juntas'!B9,"")</f>
        <v/>
      </c>
      <c r="C6" t="str">
        <f>IF(B6&lt;&gt;"",'Accionistas y Juntas'!C9,"")</f>
        <v/>
      </c>
      <c r="D6" t="str">
        <f>IF(B6&lt;&gt;"",'Accionistas y Juntas'!D9,"")</f>
        <v/>
      </c>
      <c r="E6" t="str">
        <f t="shared" si="0"/>
        <v/>
      </c>
    </row>
    <row r="7" spans="1:5" x14ac:dyDescent="0.25">
      <c r="A7" t="str">
        <f>IF(B7&lt;&gt;"",'RC'!$D$6,"")</f>
        <v/>
      </c>
      <c r="B7" t="str">
        <f>IF('Accionistas y Juntas'!B10&gt;0,'Accionistas y Juntas'!B10,"")</f>
        <v/>
      </c>
      <c r="C7" t="str">
        <f>IF(B7&lt;&gt;"",'Accionistas y Juntas'!C10,"")</f>
        <v/>
      </c>
      <c r="D7" t="str">
        <f>IF(B7&lt;&gt;"",'Accionistas y Juntas'!D10,"")</f>
        <v/>
      </c>
      <c r="E7" t="str">
        <f t="shared" si="0"/>
        <v/>
      </c>
    </row>
    <row r="8" spans="1:5" x14ac:dyDescent="0.25">
      <c r="A8" t="str">
        <f>IF(B8&lt;&gt;"",'RC'!$D$6,"")</f>
        <v/>
      </c>
      <c r="B8" t="str">
        <f>IF('Accionistas y Juntas'!B11&gt;0,'Accionistas y Juntas'!B11,"")</f>
        <v/>
      </c>
      <c r="C8" t="str">
        <f>IF(B8&lt;&gt;"",'Accionistas y Juntas'!C11,"")</f>
        <v/>
      </c>
      <c r="D8" t="str">
        <f>IF(B8&lt;&gt;"",'Accionistas y Juntas'!D11,"")</f>
        <v/>
      </c>
      <c r="E8" t="str">
        <f t="shared" si="0"/>
        <v/>
      </c>
    </row>
    <row r="9" spans="1:5" x14ac:dyDescent="0.25">
      <c r="A9" t="str">
        <f>IF(B9&lt;&gt;"",'RC'!$D$6,"")</f>
        <v/>
      </c>
      <c r="B9" t="str">
        <f>IF('Accionistas y Juntas'!B12&gt;0,'Accionistas y Juntas'!B12,"")</f>
        <v/>
      </c>
      <c r="C9" t="str">
        <f>IF(B9&lt;&gt;"",'Accionistas y Juntas'!C12,"")</f>
        <v/>
      </c>
      <c r="D9" t="str">
        <f>IF(B9&lt;&gt;"",'Accionistas y Juntas'!D12,"")</f>
        <v/>
      </c>
      <c r="E9" t="str">
        <f t="shared" si="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F11"/>
  <sheetViews>
    <sheetView workbookViewId="0">
      <selection sqref="A1:F11"/>
    </sheetView>
  </sheetViews>
  <sheetFormatPr baseColWidth="10" defaultRowHeight="15" x14ac:dyDescent="0.25"/>
  <sheetData>
    <row r="1" spans="1:6" x14ac:dyDescent="0.25">
      <c r="A1" t="s">
        <v>33</v>
      </c>
      <c r="B1" t="s">
        <v>34</v>
      </c>
      <c r="C1" t="s">
        <v>35</v>
      </c>
      <c r="D1" t="s">
        <v>36</v>
      </c>
      <c r="E1" t="s">
        <v>37</v>
      </c>
      <c r="F1" t="s">
        <v>32</v>
      </c>
    </row>
    <row r="2" spans="1:6" x14ac:dyDescent="0.25">
      <c r="A2" t="str">
        <f>IF(C2&lt;&gt;"",'RC'!$D$6,"")</f>
        <v/>
      </c>
      <c r="B2" t="str">
        <f>IF(C2="","",'Accionistas y Juntas'!G5)</f>
        <v/>
      </c>
      <c r="C2" t="str">
        <f>IF('Accionistas y Juntas'!L5=1,"",'Accionistas y Juntas'!F5)</f>
        <v/>
      </c>
      <c r="D2" t="str">
        <f>IF(C2="","",'Accionistas y Juntas'!H5)</f>
        <v/>
      </c>
      <c r="E2" t="str">
        <f>IF(C2="","",'Accionistas y Juntas'!L5)</f>
        <v/>
      </c>
      <c r="F2" t="str">
        <f t="shared" ref="F2:F11" si="0">IF(C2="","",2)</f>
        <v/>
      </c>
    </row>
    <row r="3" spans="1:6" x14ac:dyDescent="0.25">
      <c r="A3" t="str">
        <f>IF(C3&lt;&gt;"",'RC'!$D$6,"")</f>
        <v/>
      </c>
      <c r="B3" t="str">
        <f>IF(C3="","",'Accionistas y Juntas'!G6)</f>
        <v/>
      </c>
      <c r="C3" t="str">
        <f>IF('Accionistas y Juntas'!L6=1,"",'Accionistas y Juntas'!F6)</f>
        <v/>
      </c>
      <c r="D3" t="str">
        <f>IF(C3="","",'Accionistas y Juntas'!H6)</f>
        <v/>
      </c>
      <c r="E3" t="str">
        <f>IF(C3="","",'Accionistas y Juntas'!L6)</f>
        <v/>
      </c>
      <c r="F3" t="str">
        <f t="shared" si="0"/>
        <v/>
      </c>
    </row>
    <row r="4" spans="1:6" x14ac:dyDescent="0.25">
      <c r="A4" t="str">
        <f>IF(C4&lt;&gt;"",'RC'!$D$6,"")</f>
        <v/>
      </c>
      <c r="B4" t="str">
        <f>IF(C4="","",'Accionistas y Juntas'!G7)</f>
        <v/>
      </c>
      <c r="C4" t="str">
        <f>IF('Accionistas y Juntas'!L7=1,"",'Accionistas y Juntas'!F7)</f>
        <v/>
      </c>
      <c r="D4" t="str">
        <f>IF(C4="","",'Accionistas y Juntas'!H7)</f>
        <v/>
      </c>
      <c r="E4" t="str">
        <f>IF(C4="","",'Accionistas y Juntas'!L7)</f>
        <v/>
      </c>
      <c r="F4" t="str">
        <f t="shared" si="0"/>
        <v/>
      </c>
    </row>
    <row r="5" spans="1:6" x14ac:dyDescent="0.25">
      <c r="A5" t="str">
        <f>IF(C5&lt;&gt;"",'RC'!$D$6,"")</f>
        <v/>
      </c>
      <c r="B5" t="str">
        <f>IF(C5="","",'Accionistas y Juntas'!G8)</f>
        <v/>
      </c>
      <c r="C5" t="str">
        <f>IF('Accionistas y Juntas'!L8=1,"",'Accionistas y Juntas'!F8)</f>
        <v/>
      </c>
      <c r="D5" t="str">
        <f>IF(C5="","",'Accionistas y Juntas'!H8)</f>
        <v/>
      </c>
      <c r="E5" t="str">
        <f>IF(C5="","",'Accionistas y Juntas'!L8)</f>
        <v/>
      </c>
      <c r="F5" t="str">
        <f t="shared" si="0"/>
        <v/>
      </c>
    </row>
    <row r="6" spans="1:6" x14ac:dyDescent="0.25">
      <c r="A6" t="str">
        <f>IF(C6&lt;&gt;"",'RC'!$D$6,"")</f>
        <v/>
      </c>
      <c r="B6" t="str">
        <f>IF(C6="","",'Accionistas y Juntas'!G9)</f>
        <v/>
      </c>
      <c r="C6" t="str">
        <f>IF('Accionistas y Juntas'!L9=1,"",'Accionistas y Juntas'!F9)</f>
        <v/>
      </c>
      <c r="D6" t="str">
        <f>IF(C6="","",'Accionistas y Juntas'!H9)</f>
        <v/>
      </c>
      <c r="E6" t="str">
        <f>IF(C6="","",'Accionistas y Juntas'!L9)</f>
        <v/>
      </c>
      <c r="F6" t="str">
        <f t="shared" si="0"/>
        <v/>
      </c>
    </row>
    <row r="7" spans="1:6" x14ac:dyDescent="0.25">
      <c r="A7" t="str">
        <f>IF(C7&lt;&gt;"",'RC'!$D$6,"")</f>
        <v/>
      </c>
      <c r="B7" t="str">
        <f>IF(C7="","",'Accionistas y Juntas'!G10)</f>
        <v/>
      </c>
      <c r="C7" t="str">
        <f>IF('Accionistas y Juntas'!L10=1,"",'Accionistas y Juntas'!F10)</f>
        <v/>
      </c>
      <c r="D7" t="str">
        <f>IF(C7="","",'Accionistas y Juntas'!H10)</f>
        <v/>
      </c>
      <c r="E7" t="str">
        <f>IF(C7="","",'Accionistas y Juntas'!L10)</f>
        <v/>
      </c>
      <c r="F7" t="str">
        <f t="shared" si="0"/>
        <v/>
      </c>
    </row>
    <row r="8" spans="1:6" x14ac:dyDescent="0.25">
      <c r="A8" t="str">
        <f>IF(C8&lt;&gt;"",'RC'!$D$6,"")</f>
        <v/>
      </c>
      <c r="B8" t="str">
        <f>IF(C8="","",'Accionistas y Juntas'!G11)</f>
        <v/>
      </c>
      <c r="C8" t="str">
        <f>IF('Accionistas y Juntas'!L11=1,"",'Accionistas y Juntas'!F11)</f>
        <v/>
      </c>
      <c r="D8" t="str">
        <f>IF(C8="","",'Accionistas y Juntas'!H11)</f>
        <v/>
      </c>
      <c r="E8" t="str">
        <f>IF(C8="","",'Accionistas y Juntas'!L11)</f>
        <v/>
      </c>
      <c r="F8" t="str">
        <f t="shared" si="0"/>
        <v/>
      </c>
    </row>
    <row r="9" spans="1:6" x14ac:dyDescent="0.25">
      <c r="A9" t="str">
        <f>IF(C9&lt;&gt;"",'RC'!$D$6,"")</f>
        <v/>
      </c>
      <c r="B9" t="str">
        <f>IF(C9="","",'Accionistas y Juntas'!G12)</f>
        <v/>
      </c>
      <c r="C9" t="str">
        <f>IF('Accionistas y Juntas'!L12=1,"",'Accionistas y Juntas'!F12)</f>
        <v/>
      </c>
      <c r="D9" t="str">
        <f>IF(C9="","",'Accionistas y Juntas'!H12)</f>
        <v/>
      </c>
      <c r="E9" t="str">
        <f>IF(C9="","",'Accionistas y Juntas'!L12)</f>
        <v/>
      </c>
      <c r="F9" t="str">
        <f t="shared" si="0"/>
        <v/>
      </c>
    </row>
    <row r="10" spans="1:6" x14ac:dyDescent="0.25">
      <c r="A10" t="str">
        <f>IF(C10&lt;&gt;"",'RC'!$D$6,"")</f>
        <v/>
      </c>
      <c r="B10" t="str">
        <f>IF(C10="","",'Accionistas y Juntas'!G13)</f>
        <v/>
      </c>
      <c r="C10" t="str">
        <f>IF('Accionistas y Juntas'!L13=1,"",'Accionistas y Juntas'!F13)</f>
        <v/>
      </c>
      <c r="D10" t="str">
        <f>IF(C10="","",'Accionistas y Juntas'!H13)</f>
        <v/>
      </c>
      <c r="E10" t="str">
        <f>IF(C10="","",'Accionistas y Juntas'!L13)</f>
        <v/>
      </c>
      <c r="F10" t="str">
        <f t="shared" si="0"/>
        <v/>
      </c>
    </row>
    <row r="11" spans="1:6" x14ac:dyDescent="0.25">
      <c r="A11" t="str">
        <f>IF(C11&lt;&gt;"",'RC'!$D$6,"")</f>
        <v/>
      </c>
      <c r="B11" t="str">
        <f>IF(C11="","",'Accionistas y Juntas'!G14)</f>
        <v/>
      </c>
      <c r="C11" t="str">
        <f>IF('Accionistas y Juntas'!L14=1,"",'Accionistas y Juntas'!F14)</f>
        <v/>
      </c>
      <c r="D11" t="str">
        <f>IF(C11="","",'Accionistas y Juntas'!H14)</f>
        <v/>
      </c>
      <c r="E11" t="str">
        <f>IF(C11="","",'Accionistas y Juntas'!L14)</f>
        <v/>
      </c>
      <c r="F11"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E1087"/>
  <sheetViews>
    <sheetView workbookViewId="0"/>
  </sheetViews>
  <sheetFormatPr baseColWidth="10" defaultRowHeight="15" x14ac:dyDescent="0.25"/>
  <sheetData>
    <row r="1" spans="1:5" x14ac:dyDescent="0.25">
      <c r="A1" t="s">
        <v>38</v>
      </c>
      <c r="B1" t="s">
        <v>0</v>
      </c>
      <c r="C1" t="s">
        <v>39</v>
      </c>
      <c r="D1" t="s">
        <v>40</v>
      </c>
      <c r="E1" t="s">
        <v>41</v>
      </c>
    </row>
    <row r="2" spans="1:5" x14ac:dyDescent="0.25">
      <c r="A2">
        <v>110105</v>
      </c>
      <c r="B2" t="str">
        <f>IF(C2=1900,"",'RC'!$D$6)</f>
        <v>900142011</v>
      </c>
      <c r="C2">
        <f>IF(OR('RC'!$D$6=0,'RC'!$D$6=0,'Estados Financieros'!$E$178=0,'Estados Financieros'!$E$375&lt;&gt;"OK",'Estados Financieros'!$E$458&lt;&gt;"OK",'Estados Financieros'!$E$460&lt;&gt;"OK"),1900,'Estados Financieros'!K4+0)</f>
        <v>201912</v>
      </c>
      <c r="D2">
        <f>IF(OR(C2=1900,$D$144=0),0,VLOOKUP(A2,'Estados Financieros'!$A$11:$H$453,5,0))</f>
        <v>30</v>
      </c>
      <c r="E2" t="str">
        <f t="shared" ref="E2:E65" si="0">IFERROR(FIXED(D2,3,1),0)</f>
        <v>30,000</v>
      </c>
    </row>
    <row r="3" spans="1:5" x14ac:dyDescent="0.25">
      <c r="A3">
        <v>110110</v>
      </c>
      <c r="B3" t="str">
        <f t="shared" ref="B3:B66" si="1">+B2</f>
        <v>900142011</v>
      </c>
      <c r="C3">
        <f t="shared" ref="C3:C66" si="2">+C2</f>
        <v>201912</v>
      </c>
      <c r="D3">
        <f>IF(OR(C3=1900,$D$144=0),0,VLOOKUP(A3,'Estados Financieros'!$A$11:$H$453,5,0))</f>
        <v>30</v>
      </c>
      <c r="E3" t="str">
        <f t="shared" si="0"/>
        <v>30,000</v>
      </c>
    </row>
    <row r="4" spans="1:5" x14ac:dyDescent="0.25">
      <c r="A4">
        <v>111010</v>
      </c>
      <c r="B4" t="str">
        <f t="shared" si="1"/>
        <v>900142011</v>
      </c>
      <c r="C4">
        <f t="shared" si="2"/>
        <v>201912</v>
      </c>
      <c r="D4">
        <f>IF(OR(C4=1900,$D$144=0),0,VLOOKUP(A4,'Estados Financieros'!$A$11:$H$453,5,0))</f>
        <v>30</v>
      </c>
      <c r="E4" t="str">
        <f t="shared" si="0"/>
        <v>30,000</v>
      </c>
    </row>
    <row r="5" spans="1:5" x14ac:dyDescent="0.25">
      <c r="A5">
        <v>110130</v>
      </c>
      <c r="B5" t="str">
        <f t="shared" si="1"/>
        <v>900142011</v>
      </c>
      <c r="C5">
        <f t="shared" si="2"/>
        <v>201912</v>
      </c>
      <c r="D5">
        <f>IF(OR(C5=1900,$D$144=0),0,VLOOKUP(A5,'Estados Financieros'!$A$11:$H$453,5,0))</f>
        <v>30</v>
      </c>
      <c r="E5" t="str">
        <f t="shared" si="0"/>
        <v>30,000</v>
      </c>
    </row>
    <row r="6" spans="1:5" x14ac:dyDescent="0.25">
      <c r="A6">
        <v>110125</v>
      </c>
      <c r="B6" t="str">
        <f t="shared" si="1"/>
        <v>900142011</v>
      </c>
      <c r="C6">
        <f t="shared" si="2"/>
        <v>201912</v>
      </c>
      <c r="D6">
        <f>IF(OR(C6=1900,$D$144=0),0,VLOOKUP(A6,'Estados Financieros'!$A$11:$H$453,5,0))</f>
        <v>30</v>
      </c>
      <c r="E6" t="str">
        <f t="shared" si="0"/>
        <v>30,000</v>
      </c>
    </row>
    <row r="7" spans="1:5" x14ac:dyDescent="0.25">
      <c r="A7">
        <v>1101</v>
      </c>
      <c r="B7" t="str">
        <f t="shared" si="1"/>
        <v>900142011</v>
      </c>
      <c r="C7">
        <f t="shared" si="2"/>
        <v>201912</v>
      </c>
      <c r="D7">
        <f>IF(OR(C7=1900,$D$144=0),0,VLOOKUP(A7,'Estados Financieros'!$A$11:$H$453,5,0))</f>
        <v>150</v>
      </c>
      <c r="E7" t="str">
        <f t="shared" si="0"/>
        <v>150,000</v>
      </c>
    </row>
    <row r="8" spans="1:5" x14ac:dyDescent="0.25">
      <c r="A8">
        <v>110205</v>
      </c>
      <c r="B8" t="str">
        <f t="shared" si="1"/>
        <v>900142011</v>
      </c>
      <c r="C8">
        <f t="shared" si="2"/>
        <v>201912</v>
      </c>
      <c r="D8">
        <f>IF(OR(C8=1900,$D$144=0),0,VLOOKUP(A8,'Estados Financieros'!$A$11:$H$453,5,0))</f>
        <v>30</v>
      </c>
      <c r="E8" t="str">
        <f t="shared" si="0"/>
        <v>30,000</v>
      </c>
    </row>
    <row r="9" spans="1:5" x14ac:dyDescent="0.25">
      <c r="A9">
        <v>110210</v>
      </c>
      <c r="B9" t="str">
        <f t="shared" si="1"/>
        <v>900142011</v>
      </c>
      <c r="C9">
        <f t="shared" si="2"/>
        <v>201912</v>
      </c>
      <c r="D9">
        <f>IF(OR(C9=1900,$D$144=0),0,VLOOKUP(A9,'Estados Financieros'!$A$11:$H$453,5,0))</f>
        <v>30</v>
      </c>
      <c r="E9" t="str">
        <f t="shared" si="0"/>
        <v>30,000</v>
      </c>
    </row>
    <row r="10" spans="1:5" x14ac:dyDescent="0.25">
      <c r="A10">
        <v>110215</v>
      </c>
      <c r="B10" t="str">
        <f t="shared" si="1"/>
        <v>900142011</v>
      </c>
      <c r="C10">
        <f t="shared" si="2"/>
        <v>201912</v>
      </c>
      <c r="D10">
        <f>IF(OR(C10=1900,$D$144=0),0,VLOOKUP(A10,'Estados Financieros'!$A$11:$H$453,5,0))</f>
        <v>30</v>
      </c>
      <c r="E10" t="str">
        <f t="shared" si="0"/>
        <v>30,000</v>
      </c>
    </row>
    <row r="11" spans="1:5" x14ac:dyDescent="0.25">
      <c r="A11">
        <v>110225</v>
      </c>
      <c r="B11" t="str">
        <f t="shared" si="1"/>
        <v>900142011</v>
      </c>
      <c r="C11">
        <f t="shared" si="2"/>
        <v>201912</v>
      </c>
      <c r="D11">
        <f>IF(OR(C11=1900,$D$144=0),0,VLOOKUP(A11,'Estados Financieros'!$A$11:$H$453,5,0))</f>
        <v>30</v>
      </c>
      <c r="E11" t="str">
        <f t="shared" si="0"/>
        <v>30,000</v>
      </c>
    </row>
    <row r="12" spans="1:5" x14ac:dyDescent="0.25">
      <c r="A12">
        <v>110235</v>
      </c>
      <c r="B12" t="str">
        <f t="shared" si="1"/>
        <v>900142011</v>
      </c>
      <c r="C12">
        <f t="shared" si="2"/>
        <v>201912</v>
      </c>
      <c r="D12">
        <f>IF(OR(C12=1900,$D$144=0),0,VLOOKUP(A12,'Estados Financieros'!$A$11:$H$453,5,0))</f>
        <v>30</v>
      </c>
      <c r="E12" t="str">
        <f t="shared" si="0"/>
        <v>30,000</v>
      </c>
    </row>
    <row r="13" spans="1:5" x14ac:dyDescent="0.25">
      <c r="A13">
        <v>110255</v>
      </c>
      <c r="B13" t="str">
        <f t="shared" si="1"/>
        <v>900142011</v>
      </c>
      <c r="C13">
        <f t="shared" si="2"/>
        <v>201912</v>
      </c>
      <c r="D13">
        <f>IF(OR(C13=1900,$D$144=0),0,VLOOKUP(A13,'Estados Financieros'!$A$11:$H$453,5,0))</f>
        <v>30</v>
      </c>
      <c r="E13" t="str">
        <f t="shared" si="0"/>
        <v>30,000</v>
      </c>
    </row>
    <row r="14" spans="1:5" x14ac:dyDescent="0.25">
      <c r="A14">
        <v>129700</v>
      </c>
      <c r="B14" t="str">
        <f t="shared" si="1"/>
        <v>900142011</v>
      </c>
      <c r="C14">
        <f t="shared" si="2"/>
        <v>201912</v>
      </c>
      <c r="D14">
        <f>IF(OR(C14=1900,$D$144=0),0,VLOOKUP(A14,'Estados Financieros'!$A$11:$H$453,5,0))</f>
        <v>30</v>
      </c>
      <c r="E14" t="str">
        <f t="shared" si="0"/>
        <v>30,000</v>
      </c>
    </row>
    <row r="15" spans="1:5" x14ac:dyDescent="0.25">
      <c r="A15">
        <v>110260</v>
      </c>
      <c r="B15" t="str">
        <f t="shared" si="1"/>
        <v>900142011</v>
      </c>
      <c r="C15">
        <f t="shared" si="2"/>
        <v>201912</v>
      </c>
      <c r="D15">
        <f>IF(OR(C15=1900,$D$144=0),0,VLOOKUP(A15,'Estados Financieros'!$A$11:$H$453,5,0))</f>
        <v>30</v>
      </c>
      <c r="E15" t="str">
        <f t="shared" si="0"/>
        <v>30,000</v>
      </c>
    </row>
    <row r="16" spans="1:5" x14ac:dyDescent="0.25">
      <c r="A16">
        <v>1102</v>
      </c>
      <c r="B16" t="str">
        <f t="shared" si="1"/>
        <v>900142011</v>
      </c>
      <c r="C16">
        <f t="shared" si="2"/>
        <v>201912</v>
      </c>
      <c r="D16">
        <f>IF(OR(C16=1900,$D$144=0),0,VLOOKUP(A16,'Estados Financieros'!$A$11:$H$453,5,0))</f>
        <v>240</v>
      </c>
      <c r="E16" t="str">
        <f t="shared" si="0"/>
        <v>240,000</v>
      </c>
    </row>
    <row r="17" spans="1:5" x14ac:dyDescent="0.25">
      <c r="A17">
        <v>110305</v>
      </c>
      <c r="B17" t="str">
        <f t="shared" si="1"/>
        <v>900142011</v>
      </c>
      <c r="C17">
        <f t="shared" si="2"/>
        <v>201912</v>
      </c>
      <c r="D17">
        <f>IF(OR(C17=1900,$D$144=0),0,VLOOKUP(A17,'Estados Financieros'!$A$11:$H$453,5,0))</f>
        <v>30</v>
      </c>
      <c r="E17" t="str">
        <f t="shared" si="0"/>
        <v>30,000</v>
      </c>
    </row>
    <row r="18" spans="1:5" x14ac:dyDescent="0.25">
      <c r="A18">
        <v>130510</v>
      </c>
      <c r="B18" t="str">
        <f t="shared" si="1"/>
        <v>900142011</v>
      </c>
      <c r="C18">
        <f t="shared" si="2"/>
        <v>201912</v>
      </c>
      <c r="D18">
        <f>IF(OR(C18=1900,$D$144=0),0,VLOOKUP(A18,'Estados Financieros'!$A$11:$H$453,5,0))</f>
        <v>30</v>
      </c>
      <c r="E18" t="str">
        <f t="shared" si="0"/>
        <v>30,000</v>
      </c>
    </row>
    <row r="19" spans="1:5" x14ac:dyDescent="0.25">
      <c r="A19">
        <v>131000</v>
      </c>
      <c r="B19" t="str">
        <f t="shared" si="1"/>
        <v>900142011</v>
      </c>
      <c r="C19">
        <f t="shared" si="2"/>
        <v>201912</v>
      </c>
      <c r="D19">
        <f>IF(OR(C19=1900,$D$144=0),0,VLOOKUP(A19,'Estados Financieros'!$A$11:$H$453,5,0))</f>
        <v>30</v>
      </c>
      <c r="E19" t="str">
        <f t="shared" si="0"/>
        <v>30,000</v>
      </c>
    </row>
    <row r="20" spans="1:5" x14ac:dyDescent="0.25">
      <c r="A20">
        <v>110390</v>
      </c>
      <c r="B20" t="str">
        <f t="shared" si="1"/>
        <v>900142011</v>
      </c>
      <c r="C20">
        <f t="shared" si="2"/>
        <v>201912</v>
      </c>
      <c r="D20">
        <f>IF(OR(C20=1900,$D$144=0),0,VLOOKUP(A20,'Estados Financieros'!$A$11:$H$453,5,0))</f>
        <v>30</v>
      </c>
      <c r="E20" t="str">
        <f t="shared" si="0"/>
        <v>30,000</v>
      </c>
    </row>
    <row r="21" spans="1:5" x14ac:dyDescent="0.25">
      <c r="A21">
        <v>110395</v>
      </c>
      <c r="B21" t="str">
        <f t="shared" si="1"/>
        <v>900142011</v>
      </c>
      <c r="C21">
        <f t="shared" si="2"/>
        <v>201912</v>
      </c>
      <c r="D21">
        <f>IF(OR(C21=1900,$D$144=0),0,VLOOKUP(A21,'Estados Financieros'!$A$11:$H$453,5,0))</f>
        <v>30</v>
      </c>
      <c r="E21" t="str">
        <f t="shared" si="0"/>
        <v>30,000</v>
      </c>
    </row>
    <row r="22" spans="1:5" x14ac:dyDescent="0.25">
      <c r="A22">
        <v>1103</v>
      </c>
      <c r="B22" t="str">
        <f t="shared" si="1"/>
        <v>900142011</v>
      </c>
      <c r="C22">
        <f t="shared" si="2"/>
        <v>201912</v>
      </c>
      <c r="D22">
        <f>IF(OR(C22=1900,$D$144=0),0,VLOOKUP(A22,'Estados Financieros'!$A$11:$H$453,5,0))</f>
        <v>90</v>
      </c>
      <c r="E22" t="str">
        <f t="shared" si="0"/>
        <v>90,000</v>
      </c>
    </row>
    <row r="23" spans="1:5" x14ac:dyDescent="0.25">
      <c r="A23">
        <v>132000</v>
      </c>
      <c r="B23" t="str">
        <f t="shared" si="1"/>
        <v>900142011</v>
      </c>
      <c r="C23">
        <f t="shared" si="2"/>
        <v>201912</v>
      </c>
      <c r="D23">
        <f>IF(OR(C23=1900,$D$144=0),0,VLOOKUP(A23,'Estados Financieros'!$A$11:$H$453,5,0))</f>
        <v>30</v>
      </c>
      <c r="E23" t="str">
        <f t="shared" si="0"/>
        <v>30,000</v>
      </c>
    </row>
    <row r="24" spans="1:5" x14ac:dyDescent="0.25">
      <c r="A24">
        <v>132500</v>
      </c>
      <c r="B24" t="str">
        <f t="shared" si="1"/>
        <v>900142011</v>
      </c>
      <c r="C24">
        <f t="shared" si="2"/>
        <v>201912</v>
      </c>
      <c r="D24">
        <f>IF(OR(C24=1900,$D$144=0),0,VLOOKUP(A24,'Estados Financieros'!$A$11:$H$453,5,0))</f>
        <v>30</v>
      </c>
      <c r="E24" t="str">
        <f t="shared" si="0"/>
        <v>30,000</v>
      </c>
    </row>
    <row r="25" spans="1:5" x14ac:dyDescent="0.25">
      <c r="A25">
        <v>133000</v>
      </c>
      <c r="B25" t="str">
        <f t="shared" si="1"/>
        <v>900142011</v>
      </c>
      <c r="C25">
        <f t="shared" si="2"/>
        <v>201912</v>
      </c>
      <c r="D25">
        <f>IF(OR(C25=1900,$D$144=0),0,VLOOKUP(A25,'Estados Financieros'!$A$11:$H$453,5,0))</f>
        <v>30</v>
      </c>
      <c r="E25" t="str">
        <f t="shared" si="0"/>
        <v>30,000</v>
      </c>
    </row>
    <row r="26" spans="1:5" x14ac:dyDescent="0.25">
      <c r="A26">
        <v>133500</v>
      </c>
      <c r="B26" t="str">
        <f t="shared" si="1"/>
        <v>900142011</v>
      </c>
      <c r="C26">
        <f t="shared" si="2"/>
        <v>201912</v>
      </c>
      <c r="D26">
        <f>IF(OR(C26=1900,$D$144=0),0,VLOOKUP(A26,'Estados Financieros'!$A$11:$H$453,5,0))</f>
        <v>30</v>
      </c>
      <c r="E26" t="str">
        <f t="shared" si="0"/>
        <v>30,000</v>
      </c>
    </row>
    <row r="27" spans="1:5" x14ac:dyDescent="0.25">
      <c r="A27">
        <v>134000</v>
      </c>
      <c r="B27" t="str">
        <f t="shared" si="1"/>
        <v>900142011</v>
      </c>
      <c r="C27">
        <f t="shared" si="2"/>
        <v>201912</v>
      </c>
      <c r="D27">
        <f>IF(OR(C27=1900,$D$144=0),0,VLOOKUP(A27,'Estados Financieros'!$A$11:$H$453,5,0))</f>
        <v>30</v>
      </c>
      <c r="E27" t="str">
        <f t="shared" si="0"/>
        <v>30,000</v>
      </c>
    </row>
    <row r="28" spans="1:5" x14ac:dyDescent="0.25">
      <c r="A28">
        <v>134500</v>
      </c>
      <c r="B28" t="str">
        <f t="shared" si="1"/>
        <v>900142011</v>
      </c>
      <c r="C28">
        <f t="shared" si="2"/>
        <v>201912</v>
      </c>
      <c r="D28">
        <f>IF(OR(C28=1900,$D$144=0),0,VLOOKUP(A28,'Estados Financieros'!$A$11:$H$453,5,0))</f>
        <v>30</v>
      </c>
      <c r="E28" t="str">
        <f t="shared" si="0"/>
        <v>30,000</v>
      </c>
    </row>
    <row r="29" spans="1:5" x14ac:dyDescent="0.25">
      <c r="A29">
        <v>135000</v>
      </c>
      <c r="B29" t="str">
        <f t="shared" si="1"/>
        <v>900142011</v>
      </c>
      <c r="C29">
        <f t="shared" si="2"/>
        <v>201912</v>
      </c>
      <c r="D29">
        <f>IF(OR(C29=1900,$D$144=0),0,VLOOKUP(A29,'Estados Financieros'!$A$11:$H$453,5,0))</f>
        <v>30</v>
      </c>
      <c r="E29" t="str">
        <f t="shared" si="0"/>
        <v>30,000</v>
      </c>
    </row>
    <row r="30" spans="1:5" x14ac:dyDescent="0.25">
      <c r="A30">
        <v>135500</v>
      </c>
      <c r="B30" t="str">
        <f t="shared" si="1"/>
        <v>900142011</v>
      </c>
      <c r="C30">
        <f t="shared" si="2"/>
        <v>201912</v>
      </c>
      <c r="D30">
        <f>IF(OR(C30=1900,$D$144=0),0,VLOOKUP(A30,'Estados Financieros'!$A$11:$H$453,5,0))</f>
        <v>30</v>
      </c>
      <c r="E30" t="str">
        <f t="shared" si="0"/>
        <v>30,000</v>
      </c>
    </row>
    <row r="31" spans="1:5" x14ac:dyDescent="0.25">
      <c r="A31">
        <v>136000</v>
      </c>
      <c r="B31" t="str">
        <f t="shared" si="1"/>
        <v>900142011</v>
      </c>
      <c r="C31">
        <f t="shared" si="2"/>
        <v>201912</v>
      </c>
      <c r="D31">
        <f>IF(OR(C31=1900,$D$144=0),0,VLOOKUP(A31,'Estados Financieros'!$A$11:$H$453,5,0))</f>
        <v>30</v>
      </c>
      <c r="E31" t="str">
        <f t="shared" si="0"/>
        <v>30,000</v>
      </c>
    </row>
    <row r="32" spans="1:5" x14ac:dyDescent="0.25">
      <c r="A32">
        <v>136500</v>
      </c>
      <c r="B32" t="str">
        <f t="shared" si="1"/>
        <v>900142011</v>
      </c>
      <c r="C32">
        <f t="shared" si="2"/>
        <v>201912</v>
      </c>
      <c r="D32">
        <f>IF(OR(C32=1900,$D$144=0),0,VLOOKUP(A32,'Estados Financieros'!$A$11:$H$453,5,0))</f>
        <v>30</v>
      </c>
      <c r="E32" t="str">
        <f t="shared" si="0"/>
        <v>30,000</v>
      </c>
    </row>
    <row r="33" spans="1:5" x14ac:dyDescent="0.25">
      <c r="A33">
        <v>137000</v>
      </c>
      <c r="B33" t="str">
        <f t="shared" si="1"/>
        <v>900142011</v>
      </c>
      <c r="C33">
        <f t="shared" si="2"/>
        <v>201912</v>
      </c>
      <c r="D33">
        <f>IF(OR(C33=1900,$D$144=0),0,VLOOKUP(A33,'Estados Financieros'!$A$11:$H$453,5,0))</f>
        <v>30</v>
      </c>
      <c r="E33" t="str">
        <f t="shared" si="0"/>
        <v>30,000</v>
      </c>
    </row>
    <row r="34" spans="1:5" x14ac:dyDescent="0.25">
      <c r="A34">
        <v>139000</v>
      </c>
      <c r="B34" t="str">
        <f t="shared" si="1"/>
        <v>900142011</v>
      </c>
      <c r="C34">
        <f t="shared" si="2"/>
        <v>201912</v>
      </c>
      <c r="D34">
        <f>IF(OR(C34=1900,$D$144=0),0,VLOOKUP(A34,'Estados Financieros'!$A$11:$H$453,5,0))</f>
        <v>30</v>
      </c>
      <c r="E34" t="str">
        <f t="shared" si="0"/>
        <v>30,000</v>
      </c>
    </row>
    <row r="35" spans="1:5" x14ac:dyDescent="0.25">
      <c r="A35">
        <v>139500</v>
      </c>
      <c r="B35" t="str">
        <f t="shared" si="1"/>
        <v>900142011</v>
      </c>
      <c r="C35">
        <f t="shared" si="2"/>
        <v>201912</v>
      </c>
      <c r="D35">
        <f>IF(OR(C35=1900,$D$144=0),0,VLOOKUP(A35,'Estados Financieros'!$A$11:$H$453,5,0))</f>
        <v>30</v>
      </c>
      <c r="E35" t="str">
        <f t="shared" si="0"/>
        <v>30,000</v>
      </c>
    </row>
    <row r="36" spans="1:5" x14ac:dyDescent="0.25">
      <c r="A36">
        <v>139905</v>
      </c>
      <c r="B36" t="str">
        <f t="shared" si="1"/>
        <v>900142011</v>
      </c>
      <c r="C36">
        <f t="shared" si="2"/>
        <v>201912</v>
      </c>
      <c r="D36">
        <f>IF(OR(C36=1900,$D$144=0),0,VLOOKUP(A36,'Estados Financieros'!$A$11:$H$453,5,0))</f>
        <v>30</v>
      </c>
      <c r="E36" t="str">
        <f t="shared" si="0"/>
        <v>30,000</v>
      </c>
    </row>
    <row r="37" spans="1:5" x14ac:dyDescent="0.25">
      <c r="A37">
        <v>1106</v>
      </c>
      <c r="B37" t="str">
        <f t="shared" si="1"/>
        <v>900142011</v>
      </c>
      <c r="C37">
        <f t="shared" si="2"/>
        <v>201912</v>
      </c>
      <c r="D37">
        <f>IF(OR(C37=1900,$D$144=0),0,VLOOKUP(A37,'Estados Financieros'!$A$11:$H$453,5,0))</f>
        <v>420</v>
      </c>
      <c r="E37" t="str">
        <f t="shared" si="0"/>
        <v>420,000</v>
      </c>
    </row>
    <row r="38" spans="1:5" x14ac:dyDescent="0.25">
      <c r="A38">
        <v>110405</v>
      </c>
      <c r="B38" t="str">
        <f t="shared" si="1"/>
        <v>900142011</v>
      </c>
      <c r="C38">
        <f t="shared" si="2"/>
        <v>201912</v>
      </c>
      <c r="D38">
        <f>IF(OR(C38=1900,$D$144=0),0,VLOOKUP(A38,'Estados Financieros'!$A$11:$H$453,5,0))</f>
        <v>30</v>
      </c>
      <c r="E38" t="str">
        <f t="shared" si="0"/>
        <v>30,000</v>
      </c>
    </row>
    <row r="39" spans="1:5" x14ac:dyDescent="0.25">
      <c r="A39">
        <v>110410</v>
      </c>
      <c r="B39" t="str">
        <f t="shared" si="1"/>
        <v>900142011</v>
      </c>
      <c r="C39">
        <f t="shared" si="2"/>
        <v>201912</v>
      </c>
      <c r="D39">
        <f>IF(OR(C39=1900,$D$144=0),0,VLOOKUP(A39,'Estados Financieros'!$A$11:$H$453,5,0))</f>
        <v>30</v>
      </c>
      <c r="E39" t="str">
        <f t="shared" si="0"/>
        <v>30,000</v>
      </c>
    </row>
    <row r="40" spans="1:5" x14ac:dyDescent="0.25">
      <c r="A40">
        <v>142500</v>
      </c>
      <c r="B40" t="str">
        <f t="shared" si="1"/>
        <v>900142011</v>
      </c>
      <c r="C40">
        <f t="shared" si="2"/>
        <v>201912</v>
      </c>
      <c r="D40">
        <f>IF(OR(C40=1900,$D$144=0),0,VLOOKUP(A40,'Estados Financieros'!$A$11:$H$453,5,0))</f>
        <v>30</v>
      </c>
      <c r="E40" t="str">
        <f t="shared" si="0"/>
        <v>30,000</v>
      </c>
    </row>
    <row r="41" spans="1:5" x14ac:dyDescent="0.25">
      <c r="A41">
        <v>110415</v>
      </c>
      <c r="B41" t="str">
        <f t="shared" si="1"/>
        <v>900142011</v>
      </c>
      <c r="C41">
        <f t="shared" si="2"/>
        <v>201912</v>
      </c>
      <c r="D41">
        <f>IF(OR(C41=1900,$D$144=0),0,VLOOKUP(A41,'Estados Financieros'!$A$11:$H$453,5,0))</f>
        <v>30</v>
      </c>
      <c r="E41" t="str">
        <f t="shared" si="0"/>
        <v>30,000</v>
      </c>
    </row>
    <row r="42" spans="1:5" x14ac:dyDescent="0.25">
      <c r="A42">
        <v>143500</v>
      </c>
      <c r="B42" t="str">
        <f t="shared" si="1"/>
        <v>900142011</v>
      </c>
      <c r="C42">
        <f t="shared" si="2"/>
        <v>201912</v>
      </c>
      <c r="D42">
        <f>IF(OR(C42=1900,$D$144=0),0,VLOOKUP(A42,'Estados Financieros'!$A$11:$H$453,5,0))</f>
        <v>30</v>
      </c>
      <c r="E42" t="str">
        <f t="shared" si="0"/>
        <v>30,000</v>
      </c>
    </row>
    <row r="43" spans="1:5" x14ac:dyDescent="0.25">
      <c r="A43">
        <v>110420</v>
      </c>
      <c r="B43" t="str">
        <f t="shared" si="1"/>
        <v>900142011</v>
      </c>
      <c r="C43">
        <f t="shared" si="2"/>
        <v>201912</v>
      </c>
      <c r="D43">
        <f>IF(OR(C43=1900,$D$144=0),0,VLOOKUP(A43,'Estados Financieros'!$A$11:$H$453,5,0))</f>
        <v>30</v>
      </c>
      <c r="E43" t="str">
        <f t="shared" si="0"/>
        <v>30,000</v>
      </c>
    </row>
    <row r="44" spans="1:5" x14ac:dyDescent="0.25">
      <c r="A44">
        <v>110495</v>
      </c>
      <c r="B44" t="str">
        <f t="shared" si="1"/>
        <v>900142011</v>
      </c>
      <c r="C44">
        <f t="shared" si="2"/>
        <v>201912</v>
      </c>
      <c r="D44">
        <f>IF(OR(C44=1900,$D$144=0),0,VLOOKUP(A44,'Estados Financieros'!$A$11:$H$453,5,0))</f>
        <v>30</v>
      </c>
      <c r="E44" t="str">
        <f t="shared" si="0"/>
        <v>30,000</v>
      </c>
    </row>
    <row r="45" spans="1:5" x14ac:dyDescent="0.25">
      <c r="A45">
        <v>110490</v>
      </c>
      <c r="B45" t="str">
        <f t="shared" si="1"/>
        <v>900142011</v>
      </c>
      <c r="C45">
        <f t="shared" si="2"/>
        <v>201912</v>
      </c>
      <c r="D45">
        <f>IF(OR(C45=1900,$D$144=0),0,VLOOKUP(A45,'Estados Financieros'!$A$11:$H$453,5,0))</f>
        <v>30</v>
      </c>
      <c r="E45" t="str">
        <f t="shared" si="0"/>
        <v>30,000</v>
      </c>
    </row>
    <row r="46" spans="1:5" x14ac:dyDescent="0.25">
      <c r="A46">
        <v>110491</v>
      </c>
      <c r="B46" t="str">
        <f t="shared" si="1"/>
        <v>900142011</v>
      </c>
      <c r="C46">
        <f t="shared" si="2"/>
        <v>201912</v>
      </c>
      <c r="D46">
        <f>IF(OR(C46=1900,$D$144=0),0,VLOOKUP(A46,'Estados Financieros'!$A$11:$H$453,5,0))</f>
        <v>30</v>
      </c>
      <c r="E46" t="str">
        <f t="shared" si="0"/>
        <v>30,000</v>
      </c>
    </row>
    <row r="47" spans="1:5" x14ac:dyDescent="0.25">
      <c r="A47">
        <v>149900</v>
      </c>
      <c r="B47" t="str">
        <f t="shared" si="1"/>
        <v>900142011</v>
      </c>
      <c r="C47">
        <f t="shared" si="2"/>
        <v>201912</v>
      </c>
      <c r="D47">
        <f>IF(OR(C47=1900,$D$144=0),0,VLOOKUP(A47,'Estados Financieros'!$A$11:$H$453,5,0))</f>
        <v>30</v>
      </c>
      <c r="E47" t="str">
        <f t="shared" si="0"/>
        <v>30,000</v>
      </c>
    </row>
    <row r="48" spans="1:5" x14ac:dyDescent="0.25">
      <c r="A48">
        <v>140005</v>
      </c>
      <c r="B48" t="str">
        <f t="shared" si="1"/>
        <v>900142011</v>
      </c>
      <c r="C48">
        <f t="shared" si="2"/>
        <v>201912</v>
      </c>
      <c r="D48">
        <f>IF(OR(C48=1900,$D$144=0),0,VLOOKUP(A48,'Estados Financieros'!$A$11:$H$453,5,0))</f>
        <v>390</v>
      </c>
      <c r="E48" t="str">
        <f t="shared" si="0"/>
        <v>390,000</v>
      </c>
    </row>
    <row r="49" spans="1:5" x14ac:dyDescent="0.25">
      <c r="A49">
        <v>145500</v>
      </c>
      <c r="B49" t="str">
        <f t="shared" si="1"/>
        <v>900142011</v>
      </c>
      <c r="C49">
        <f t="shared" si="2"/>
        <v>201912</v>
      </c>
      <c r="D49">
        <f>IF(OR(C49=1900,$D$144=0),0,VLOOKUP(A49,'Estados Financieros'!$A$11:$H$453,5,0))</f>
        <v>30</v>
      </c>
      <c r="E49" t="str">
        <f t="shared" si="0"/>
        <v>30,000</v>
      </c>
    </row>
    <row r="50" spans="1:5" x14ac:dyDescent="0.25">
      <c r="A50">
        <v>146000</v>
      </c>
      <c r="B50" t="str">
        <f t="shared" si="1"/>
        <v>900142011</v>
      </c>
      <c r="C50">
        <f t="shared" si="2"/>
        <v>201912</v>
      </c>
      <c r="D50">
        <f>IF(OR(C50=1900,$D$144=0),0,VLOOKUP(A50,'Estados Financieros'!$A$11:$H$453,5,0))</f>
        <v>30</v>
      </c>
      <c r="E50" t="str">
        <f t="shared" si="0"/>
        <v>30,000</v>
      </c>
    </row>
    <row r="51" spans="1:5" x14ac:dyDescent="0.25">
      <c r="A51">
        <v>149510</v>
      </c>
      <c r="B51" t="str">
        <f t="shared" si="1"/>
        <v>900142011</v>
      </c>
      <c r="C51">
        <f t="shared" si="2"/>
        <v>201912</v>
      </c>
      <c r="D51">
        <f>IF(OR(C51=1900,$D$144=0),0,VLOOKUP(A51,'Estados Financieros'!$A$11:$H$453,5,0))</f>
        <v>30</v>
      </c>
      <c r="E51" t="str">
        <f t="shared" si="0"/>
        <v>30,000</v>
      </c>
    </row>
    <row r="52" spans="1:5" x14ac:dyDescent="0.25">
      <c r="A52">
        <v>149901</v>
      </c>
      <c r="B52" t="str">
        <f t="shared" si="1"/>
        <v>900142011</v>
      </c>
      <c r="C52">
        <f t="shared" si="2"/>
        <v>201912</v>
      </c>
      <c r="D52">
        <f>IF(OR(C52=1900,$D$144=0),0,VLOOKUP(A52,'Estados Financieros'!$A$11:$H$453,5,0))</f>
        <v>30</v>
      </c>
      <c r="E52" t="str">
        <f t="shared" si="0"/>
        <v>30,000</v>
      </c>
    </row>
    <row r="53" spans="1:5" x14ac:dyDescent="0.25">
      <c r="A53">
        <v>149902</v>
      </c>
      <c r="B53" t="str">
        <f t="shared" si="1"/>
        <v>900142011</v>
      </c>
      <c r="C53">
        <f t="shared" si="2"/>
        <v>201912</v>
      </c>
      <c r="D53">
        <f>IF(OR(C53=1900,$D$144=0),0,VLOOKUP(A53,'Estados Financieros'!$A$11:$H$453,5,0))</f>
        <v>30</v>
      </c>
      <c r="E53" t="str">
        <f t="shared" si="0"/>
        <v>30,000</v>
      </c>
    </row>
    <row r="54" spans="1:5" x14ac:dyDescent="0.25">
      <c r="A54">
        <v>149910</v>
      </c>
      <c r="B54" t="str">
        <f t="shared" si="1"/>
        <v>900142011</v>
      </c>
      <c r="C54">
        <f t="shared" si="2"/>
        <v>201912</v>
      </c>
      <c r="D54">
        <f>IF(OR(C54=1900,$D$144=0),0,VLOOKUP(A54,'Estados Financieros'!$A$11:$H$453,5,0))</f>
        <v>30</v>
      </c>
      <c r="E54" t="str">
        <f t="shared" si="0"/>
        <v>30,000</v>
      </c>
    </row>
    <row r="55" spans="1:5" x14ac:dyDescent="0.25">
      <c r="A55">
        <v>140010</v>
      </c>
      <c r="B55" t="str">
        <f t="shared" si="1"/>
        <v>900142011</v>
      </c>
      <c r="C55">
        <f t="shared" si="2"/>
        <v>201912</v>
      </c>
      <c r="D55">
        <f>IF(OR(C55=1900,$D$144=0),0,VLOOKUP(A55,'Estados Financieros'!$A$11:$H$453,5,0))</f>
        <v>300</v>
      </c>
      <c r="E55" t="str">
        <f t="shared" si="0"/>
        <v>300,000</v>
      </c>
    </row>
    <row r="56" spans="1:5" x14ac:dyDescent="0.25">
      <c r="A56">
        <v>1104</v>
      </c>
      <c r="B56" t="str">
        <f t="shared" si="1"/>
        <v>900142011</v>
      </c>
      <c r="C56">
        <f t="shared" si="2"/>
        <v>201912</v>
      </c>
      <c r="D56">
        <f>+D55+D48</f>
        <v>690</v>
      </c>
      <c r="E56" t="str">
        <f t="shared" si="0"/>
        <v>690,000</v>
      </c>
    </row>
    <row r="57" spans="1:5" x14ac:dyDescent="0.25">
      <c r="A57">
        <v>170500</v>
      </c>
      <c r="B57" t="str">
        <f t="shared" si="1"/>
        <v>900142011</v>
      </c>
      <c r="C57">
        <f t="shared" si="2"/>
        <v>201912</v>
      </c>
      <c r="D57">
        <f>IF(OR(C57=1900,$D$144=0),0,VLOOKUP(A57,'Estados Financieros'!$A$11:$H$453,5,0))</f>
        <v>30</v>
      </c>
      <c r="E57" t="str">
        <f t="shared" si="0"/>
        <v>30,000</v>
      </c>
    </row>
    <row r="58" spans="1:5" x14ac:dyDescent="0.25">
      <c r="A58">
        <v>171000</v>
      </c>
      <c r="B58" t="str">
        <f t="shared" si="1"/>
        <v>900142011</v>
      </c>
      <c r="C58">
        <f t="shared" si="2"/>
        <v>201912</v>
      </c>
      <c r="D58">
        <f>IF(OR(C58=1900,$D$144=0),0,VLOOKUP(A58,'Estados Financieros'!$A$11:$H$453,5,0))</f>
        <v>30</v>
      </c>
      <c r="E58" t="str">
        <f t="shared" si="0"/>
        <v>30,000</v>
      </c>
    </row>
    <row r="59" spans="1:5" x14ac:dyDescent="0.25">
      <c r="A59">
        <v>173000</v>
      </c>
      <c r="B59" t="str">
        <f t="shared" si="1"/>
        <v>900142011</v>
      </c>
      <c r="C59">
        <f t="shared" si="2"/>
        <v>201912</v>
      </c>
      <c r="D59">
        <f>IF(OR(C59=1900,$D$144=0),0,VLOOKUP(A59,'Estados Financieros'!$A$11:$H$453,5,0))</f>
        <v>30</v>
      </c>
      <c r="E59" t="str">
        <f t="shared" si="0"/>
        <v>30,000</v>
      </c>
    </row>
    <row r="60" spans="1:5" x14ac:dyDescent="0.25">
      <c r="A60">
        <v>179500</v>
      </c>
      <c r="B60" t="str">
        <f t="shared" si="1"/>
        <v>900142011</v>
      </c>
      <c r="C60">
        <f t="shared" si="2"/>
        <v>201912</v>
      </c>
      <c r="D60">
        <f>IF(OR(C60=1900,$D$144=0),0,VLOOKUP(A60,'Estados Financieros'!$A$11:$H$453,5,0))</f>
        <v>30</v>
      </c>
      <c r="E60" t="str">
        <f t="shared" si="0"/>
        <v>30,000</v>
      </c>
    </row>
    <row r="61" spans="1:5" x14ac:dyDescent="0.25">
      <c r="A61">
        <v>179700</v>
      </c>
      <c r="B61" t="str">
        <f t="shared" si="1"/>
        <v>900142011</v>
      </c>
      <c r="C61">
        <f t="shared" si="2"/>
        <v>201912</v>
      </c>
      <c r="D61">
        <f>IF(OR(C61=1900,$D$144=0),0,VLOOKUP(A61,'Estados Financieros'!$A$11:$H$453,5,0))</f>
        <v>30</v>
      </c>
      <c r="E61" t="str">
        <f t="shared" si="0"/>
        <v>30,000</v>
      </c>
    </row>
    <row r="62" spans="1:5" x14ac:dyDescent="0.25">
      <c r="A62">
        <v>1107</v>
      </c>
      <c r="B62" t="str">
        <f t="shared" si="1"/>
        <v>900142011</v>
      </c>
      <c r="C62">
        <f t="shared" si="2"/>
        <v>201912</v>
      </c>
      <c r="D62">
        <f>IF(OR(C62=1900,$D$144=0),0,VLOOKUP(A62,'Estados Financieros'!$A$11:$H$453,5,0))</f>
        <v>180</v>
      </c>
      <c r="E62" t="str">
        <f t="shared" si="0"/>
        <v>180,000</v>
      </c>
    </row>
    <row r="63" spans="1:5" x14ac:dyDescent="0.25">
      <c r="A63">
        <v>189500</v>
      </c>
      <c r="B63" t="str">
        <f t="shared" si="1"/>
        <v>900142011</v>
      </c>
      <c r="C63">
        <f t="shared" si="2"/>
        <v>201912</v>
      </c>
      <c r="D63">
        <f>IF(OR(C63=1900,$D$144=0),0,VLOOKUP(A63,'Estados Financieros'!$A$11:$H$453,5,0))</f>
        <v>30</v>
      </c>
      <c r="E63" t="str">
        <f t="shared" si="0"/>
        <v>30,000</v>
      </c>
    </row>
    <row r="64" spans="1:5" x14ac:dyDescent="0.25">
      <c r="A64">
        <v>181000</v>
      </c>
      <c r="B64" t="str">
        <f t="shared" si="1"/>
        <v>900142011</v>
      </c>
      <c r="C64">
        <f t="shared" si="2"/>
        <v>201912</v>
      </c>
      <c r="D64">
        <f>IF(OR(C64=1900,$D$144=0),0,VLOOKUP(A64,'Estados Financieros'!$A$11:$H$453,5,0))</f>
        <v>30</v>
      </c>
      <c r="E64" t="str">
        <f t="shared" si="0"/>
        <v>30,000</v>
      </c>
    </row>
    <row r="65" spans="1:5" x14ac:dyDescent="0.25">
      <c r="A65">
        <v>180000</v>
      </c>
      <c r="B65" t="str">
        <f t="shared" si="1"/>
        <v>900142011</v>
      </c>
      <c r="C65">
        <f t="shared" si="2"/>
        <v>201912</v>
      </c>
      <c r="D65">
        <f>IF(OR(C65=1900,$D$144=0),0,VLOOKUP(A65,'Estados Financieros'!$A$11:$H$453,5,0))</f>
        <v>90</v>
      </c>
      <c r="E65" t="str">
        <f t="shared" si="0"/>
        <v>90,000</v>
      </c>
    </row>
    <row r="66" spans="1:5" x14ac:dyDescent="0.25">
      <c r="A66">
        <v>11</v>
      </c>
      <c r="B66" t="str">
        <f t="shared" si="1"/>
        <v>900142011</v>
      </c>
      <c r="C66">
        <f t="shared" si="2"/>
        <v>201912</v>
      </c>
      <c r="D66">
        <f>IF(OR(C66=1900,$D$144=0),0,VLOOKUP(A66,'Estados Financieros'!$A$11:$H$453,5,0))</f>
        <v>1860</v>
      </c>
      <c r="E66" t="str">
        <f t="shared" ref="E66:E129" si="3">IFERROR(FIXED(D66,3,1),0)</f>
        <v>1860,000</v>
      </c>
    </row>
    <row r="67" spans="1:5" x14ac:dyDescent="0.25">
      <c r="A67">
        <v>120104</v>
      </c>
      <c r="B67" t="str">
        <f t="shared" ref="B67:B130" si="4">+B66</f>
        <v>900142011</v>
      </c>
      <c r="C67">
        <f t="shared" ref="C67:C130" si="5">+C66</f>
        <v>201912</v>
      </c>
      <c r="D67">
        <f>IF(OR(C67=1900,$D$144=0),0,VLOOKUP(A67,'Estados Financieros'!$A$11:$H$453,5,0))</f>
        <v>30</v>
      </c>
      <c r="E67" t="str">
        <f t="shared" si="3"/>
        <v>30,000</v>
      </c>
    </row>
    <row r="68" spans="1:5" x14ac:dyDescent="0.25">
      <c r="A68">
        <v>120108</v>
      </c>
      <c r="B68" t="str">
        <f t="shared" si="4"/>
        <v>900142011</v>
      </c>
      <c r="C68">
        <f t="shared" si="5"/>
        <v>201912</v>
      </c>
      <c r="D68">
        <f>IF(OR(C68=1900,$D$144=0),0,VLOOKUP(A68,'Estados Financieros'!$A$11:$H$453,5,0))</f>
        <v>30</v>
      </c>
      <c r="E68" t="str">
        <f t="shared" si="3"/>
        <v>30,000</v>
      </c>
    </row>
    <row r="69" spans="1:5" x14ac:dyDescent="0.25">
      <c r="A69">
        <v>151201</v>
      </c>
      <c r="B69" t="str">
        <f t="shared" si="4"/>
        <v>900142011</v>
      </c>
      <c r="C69">
        <f t="shared" si="5"/>
        <v>201912</v>
      </c>
      <c r="D69">
        <f>IF(OR(C69=1900,$D$144=0),0,VLOOKUP(A69,'Estados Financieros'!$A$11:$H$453,5,0))</f>
        <v>30</v>
      </c>
      <c r="E69" t="str">
        <f t="shared" si="3"/>
        <v>30,000</v>
      </c>
    </row>
    <row r="70" spans="1:5" x14ac:dyDescent="0.25">
      <c r="A70">
        <v>120116</v>
      </c>
      <c r="B70" t="str">
        <f t="shared" si="4"/>
        <v>900142011</v>
      </c>
      <c r="C70">
        <f t="shared" si="5"/>
        <v>201912</v>
      </c>
      <c r="D70">
        <f>IF(OR(C70=1900,$D$144=0),0,VLOOKUP(A70,'Estados Financieros'!$A$11:$H$453,5,0))</f>
        <v>30</v>
      </c>
      <c r="E70" t="str">
        <f t="shared" si="3"/>
        <v>30,000</v>
      </c>
    </row>
    <row r="71" spans="1:5" x14ac:dyDescent="0.25">
      <c r="A71">
        <v>120120</v>
      </c>
      <c r="B71" t="str">
        <f t="shared" si="4"/>
        <v>900142011</v>
      </c>
      <c r="C71">
        <f t="shared" si="5"/>
        <v>201912</v>
      </c>
      <c r="D71">
        <f>IF(OR(C71=1900,$D$144=0),0,VLOOKUP(A71,'Estados Financieros'!$A$11:$H$453,5,0))</f>
        <v>30</v>
      </c>
      <c r="E71" t="str">
        <f t="shared" si="3"/>
        <v>30,000</v>
      </c>
    </row>
    <row r="72" spans="1:5" x14ac:dyDescent="0.25">
      <c r="A72">
        <v>120124</v>
      </c>
      <c r="B72" t="str">
        <f t="shared" si="4"/>
        <v>900142011</v>
      </c>
      <c r="C72">
        <f t="shared" si="5"/>
        <v>201912</v>
      </c>
      <c r="D72">
        <f>IF(OR(C72=1900,$D$144=0),0,VLOOKUP(A72,'Estados Financieros'!$A$11:$H$453,5,0))</f>
        <v>30</v>
      </c>
      <c r="E72" t="str">
        <f t="shared" si="3"/>
        <v>30,000</v>
      </c>
    </row>
    <row r="73" spans="1:5" x14ac:dyDescent="0.25">
      <c r="A73">
        <v>120128</v>
      </c>
      <c r="B73" t="str">
        <f t="shared" si="4"/>
        <v>900142011</v>
      </c>
      <c r="C73">
        <f t="shared" si="5"/>
        <v>201912</v>
      </c>
      <c r="D73">
        <f>IF(OR(C73=1900,$D$144=0),0,VLOOKUP(A73,'Estados Financieros'!$A$11:$H$453,5,0))</f>
        <v>30</v>
      </c>
      <c r="E73" t="str">
        <f t="shared" si="3"/>
        <v>30,000</v>
      </c>
    </row>
    <row r="74" spans="1:5" x14ac:dyDescent="0.25">
      <c r="A74">
        <v>120140</v>
      </c>
      <c r="B74" t="str">
        <f t="shared" si="4"/>
        <v>900142011</v>
      </c>
      <c r="C74">
        <f t="shared" si="5"/>
        <v>201912</v>
      </c>
      <c r="D74">
        <f>IF(OR(C74=1900,$D$144=0),0,VLOOKUP(A74,'Estados Financieros'!$A$11:$H$453,5,0))</f>
        <v>30</v>
      </c>
      <c r="E74" t="str">
        <f t="shared" si="3"/>
        <v>30,000</v>
      </c>
    </row>
    <row r="75" spans="1:5" x14ac:dyDescent="0.25">
      <c r="A75">
        <v>155601</v>
      </c>
      <c r="B75" t="str">
        <f t="shared" si="4"/>
        <v>900142011</v>
      </c>
      <c r="C75">
        <f t="shared" si="5"/>
        <v>201912</v>
      </c>
      <c r="D75">
        <f>IF(OR(C75=1900,$D$144=0),0,VLOOKUP(A75,'Estados Financieros'!$A$11:$H$453,5,0))</f>
        <v>30</v>
      </c>
      <c r="E75" t="str">
        <f t="shared" si="3"/>
        <v>30,000</v>
      </c>
    </row>
    <row r="76" spans="1:5" x14ac:dyDescent="0.25">
      <c r="A76">
        <v>156001</v>
      </c>
      <c r="B76" t="str">
        <f t="shared" si="4"/>
        <v>900142011</v>
      </c>
      <c r="C76">
        <f t="shared" si="5"/>
        <v>201912</v>
      </c>
      <c r="D76">
        <f>IF(OR(C76=1900,$D$144=0),0,VLOOKUP(A76,'Estados Financieros'!$A$11:$H$453,5,0))</f>
        <v>30</v>
      </c>
      <c r="E76" t="str">
        <f t="shared" si="3"/>
        <v>30,000</v>
      </c>
    </row>
    <row r="77" spans="1:5" x14ac:dyDescent="0.25">
      <c r="A77">
        <v>156401</v>
      </c>
      <c r="B77" t="str">
        <f t="shared" si="4"/>
        <v>900142011</v>
      </c>
      <c r="C77">
        <f t="shared" si="5"/>
        <v>201912</v>
      </c>
      <c r="D77">
        <f>IF(OR(C77=1900,$D$144=0),0,VLOOKUP(A77,'Estados Financieros'!$A$11:$H$453,5,0))</f>
        <v>30</v>
      </c>
      <c r="E77" t="str">
        <f t="shared" si="3"/>
        <v>30,000</v>
      </c>
    </row>
    <row r="78" spans="1:5" x14ac:dyDescent="0.25">
      <c r="A78">
        <v>157201</v>
      </c>
      <c r="B78" t="str">
        <f t="shared" si="4"/>
        <v>900142011</v>
      </c>
      <c r="C78">
        <f t="shared" si="5"/>
        <v>201912</v>
      </c>
      <c r="D78">
        <f>IF(OR(C78=1900,$D$144=0),0,VLOOKUP(A78,'Estados Financieros'!$A$11:$H$453,5,0))</f>
        <v>30</v>
      </c>
      <c r="E78" t="str">
        <f t="shared" si="3"/>
        <v>30,000</v>
      </c>
    </row>
    <row r="79" spans="1:5" x14ac:dyDescent="0.25">
      <c r="A79">
        <v>157601</v>
      </c>
      <c r="B79" t="str">
        <f t="shared" si="4"/>
        <v>900142011</v>
      </c>
      <c r="C79">
        <f t="shared" si="5"/>
        <v>201912</v>
      </c>
      <c r="D79">
        <f>IF(OR(C79=1900,$D$144=0),0,VLOOKUP(A79,'Estados Financieros'!$A$11:$H$453,5,0))</f>
        <v>30</v>
      </c>
      <c r="E79" t="str">
        <f t="shared" si="3"/>
        <v>30,000</v>
      </c>
    </row>
    <row r="80" spans="1:5" x14ac:dyDescent="0.25">
      <c r="A80">
        <v>158401</v>
      </c>
      <c r="B80" t="str">
        <f t="shared" si="4"/>
        <v>900142011</v>
      </c>
      <c r="C80">
        <f t="shared" si="5"/>
        <v>201912</v>
      </c>
      <c r="D80">
        <f>IF(OR(C80=1900,$D$144=0),0,VLOOKUP(A80,'Estados Financieros'!$A$11:$H$453,5,0))</f>
        <v>30</v>
      </c>
      <c r="E80" t="str">
        <f t="shared" si="3"/>
        <v>30,000</v>
      </c>
    </row>
    <row r="81" spans="1:5" x14ac:dyDescent="0.25">
      <c r="A81">
        <v>158801</v>
      </c>
      <c r="B81" t="str">
        <f t="shared" si="4"/>
        <v>900142011</v>
      </c>
      <c r="C81">
        <f t="shared" si="5"/>
        <v>201912</v>
      </c>
      <c r="D81">
        <f>IF(OR(C81=1900,$D$144=0),0,VLOOKUP(A81,'Estados Financieros'!$A$11:$H$453,5,0))</f>
        <v>30</v>
      </c>
      <c r="E81" t="str">
        <f t="shared" si="3"/>
        <v>30,000</v>
      </c>
    </row>
    <row r="82" spans="1:5" x14ac:dyDescent="0.25">
      <c r="A82">
        <v>120145</v>
      </c>
      <c r="B82" t="str">
        <f t="shared" si="4"/>
        <v>900142011</v>
      </c>
      <c r="C82">
        <f t="shared" si="5"/>
        <v>201912</v>
      </c>
      <c r="D82">
        <f>IF(OR(C82=1900,$D$144=0),0,VLOOKUP(A82,'Estados Financieros'!$A$11:$H$453,5,0))</f>
        <v>30</v>
      </c>
      <c r="E82" t="str">
        <f t="shared" si="3"/>
        <v>30,000</v>
      </c>
    </row>
    <row r="83" spans="1:5" x14ac:dyDescent="0.25">
      <c r="A83">
        <v>120195</v>
      </c>
      <c r="B83" t="str">
        <f t="shared" si="4"/>
        <v>900142011</v>
      </c>
      <c r="C83">
        <f t="shared" si="5"/>
        <v>201912</v>
      </c>
      <c r="D83">
        <f>IF(OR(C83=1900,$D$144=0),0,VLOOKUP(A83,'Estados Financieros'!$A$11:$H$453,5,0))</f>
        <v>30</v>
      </c>
      <c r="E83" t="str">
        <f t="shared" si="3"/>
        <v>30,000</v>
      </c>
    </row>
    <row r="84" spans="1:5" x14ac:dyDescent="0.25">
      <c r="A84">
        <v>159701</v>
      </c>
      <c r="B84" t="str">
        <f t="shared" si="4"/>
        <v>900142011</v>
      </c>
      <c r="C84">
        <f t="shared" si="5"/>
        <v>201912</v>
      </c>
      <c r="D84">
        <f>IF(OR(C84=1900,$D$144=0),0,VLOOKUP(A84,'Estados Financieros'!$A$11:$H$453,5,0))</f>
        <v>30</v>
      </c>
      <c r="E84" t="str">
        <f t="shared" si="3"/>
        <v>30,000</v>
      </c>
    </row>
    <row r="85" spans="1:5" x14ac:dyDescent="0.25">
      <c r="A85">
        <v>159899</v>
      </c>
      <c r="B85" t="str">
        <f t="shared" si="4"/>
        <v>900142011</v>
      </c>
      <c r="C85">
        <f t="shared" si="5"/>
        <v>201912</v>
      </c>
      <c r="D85">
        <f>IF(OR(C85=1900,$D$144=0),0,VLOOKUP(A85,'Estados Financieros'!$A$11:$H$453,5,0))</f>
        <v>30</v>
      </c>
      <c r="E85" t="str">
        <f t="shared" si="3"/>
        <v>30,000</v>
      </c>
    </row>
    <row r="86" spans="1:5" x14ac:dyDescent="0.25">
      <c r="A86">
        <v>159901</v>
      </c>
      <c r="B86" t="str">
        <f t="shared" si="4"/>
        <v>900142011</v>
      </c>
      <c r="C86">
        <f t="shared" si="5"/>
        <v>201912</v>
      </c>
      <c r="D86">
        <f>IF(OR(C86=1900,$D$144=0),0,VLOOKUP(A86,'Estados Financieros'!$A$11:$H$453,5,0))</f>
        <v>30</v>
      </c>
      <c r="E86" t="str">
        <f t="shared" si="3"/>
        <v>30,000</v>
      </c>
    </row>
    <row r="87" spans="1:5" x14ac:dyDescent="0.25">
      <c r="A87">
        <v>1201</v>
      </c>
      <c r="B87" t="str">
        <f t="shared" si="4"/>
        <v>900142011</v>
      </c>
      <c r="C87">
        <f t="shared" si="5"/>
        <v>201912</v>
      </c>
      <c r="D87">
        <f>IF(OR(C87=1900,$D$144=0),0,VLOOKUP(A87,'Estados Financieros'!$A$11:$H$453,5,0))</f>
        <v>600</v>
      </c>
      <c r="E87" t="str">
        <f t="shared" si="3"/>
        <v>600,000</v>
      </c>
    </row>
    <row r="88" spans="1:5" x14ac:dyDescent="0.25">
      <c r="A88">
        <v>130506</v>
      </c>
      <c r="B88" t="str">
        <f t="shared" si="4"/>
        <v>900142011</v>
      </c>
      <c r="C88">
        <f t="shared" si="5"/>
        <v>201912</v>
      </c>
      <c r="D88">
        <f>IF(OR(C88=1900,$D$144=0),0,VLOOKUP(A88,'Estados Financieros'!$A$11:$H$453,5,0))</f>
        <v>30</v>
      </c>
      <c r="E88" t="str">
        <f t="shared" si="3"/>
        <v>30,000</v>
      </c>
    </row>
    <row r="89" spans="1:5" x14ac:dyDescent="0.25">
      <c r="A89">
        <v>130511</v>
      </c>
      <c r="B89" t="str">
        <f t="shared" si="4"/>
        <v>900142011</v>
      </c>
      <c r="C89">
        <f t="shared" si="5"/>
        <v>201912</v>
      </c>
      <c r="D89">
        <f>IF(OR(C89=1900,$D$144=0),0,VLOOKUP(A89,'Estados Financieros'!$A$11:$H$453,5,0))</f>
        <v>30</v>
      </c>
      <c r="E89" t="str">
        <f t="shared" si="3"/>
        <v>30,000</v>
      </c>
    </row>
    <row r="90" spans="1:5" x14ac:dyDescent="0.25">
      <c r="A90">
        <v>131001</v>
      </c>
      <c r="B90" t="str">
        <f t="shared" si="4"/>
        <v>900142011</v>
      </c>
      <c r="C90">
        <f t="shared" si="5"/>
        <v>201912</v>
      </c>
      <c r="D90">
        <f>IF(OR(C90=1900,$D$144=0),0,VLOOKUP(A90,'Estados Financieros'!$A$11:$H$453,5,0))</f>
        <v>30</v>
      </c>
      <c r="E90" t="str">
        <f t="shared" si="3"/>
        <v>30,000</v>
      </c>
    </row>
    <row r="91" spans="1:5" x14ac:dyDescent="0.25">
      <c r="A91">
        <v>131501</v>
      </c>
      <c r="B91" t="str">
        <f t="shared" si="4"/>
        <v>900142011</v>
      </c>
      <c r="C91">
        <f t="shared" si="5"/>
        <v>201912</v>
      </c>
      <c r="D91">
        <f>IF(OR(C91=1900,$D$144=0),0,VLOOKUP(A91,'Estados Financieros'!$A$11:$H$453,5,0))</f>
        <v>30</v>
      </c>
      <c r="E91" t="str">
        <f t="shared" si="3"/>
        <v>30,000</v>
      </c>
    </row>
    <row r="92" spans="1:5" x14ac:dyDescent="0.25">
      <c r="A92">
        <v>132001</v>
      </c>
      <c r="B92" t="str">
        <f t="shared" si="4"/>
        <v>900142011</v>
      </c>
      <c r="C92">
        <f t="shared" si="5"/>
        <v>201912</v>
      </c>
      <c r="D92">
        <f>IF(OR(C92=1900,$D$144=0),0,VLOOKUP(A92,'Estados Financieros'!$A$11:$H$453,5,0))</f>
        <v>30</v>
      </c>
      <c r="E92" t="str">
        <f t="shared" si="3"/>
        <v>30,000</v>
      </c>
    </row>
    <row r="93" spans="1:5" x14ac:dyDescent="0.25">
      <c r="A93">
        <v>132501</v>
      </c>
      <c r="B93" t="str">
        <f t="shared" si="4"/>
        <v>900142011</v>
      </c>
      <c r="C93">
        <f t="shared" si="5"/>
        <v>201912</v>
      </c>
      <c r="D93">
        <f>IF(OR(C93=1900,$D$144=0),0,VLOOKUP(A93,'Estados Financieros'!$A$11:$H$453,5,0))</f>
        <v>30</v>
      </c>
      <c r="E93" t="str">
        <f t="shared" si="3"/>
        <v>30,000</v>
      </c>
    </row>
    <row r="94" spans="1:5" x14ac:dyDescent="0.25">
      <c r="A94">
        <v>133001</v>
      </c>
      <c r="B94" t="str">
        <f t="shared" si="4"/>
        <v>900142011</v>
      </c>
      <c r="C94">
        <f t="shared" si="5"/>
        <v>201912</v>
      </c>
      <c r="D94">
        <f>IF(OR(C94=1900,$D$144=0),0,VLOOKUP(A94,'Estados Financieros'!$A$11:$H$453,5,0))</f>
        <v>30</v>
      </c>
      <c r="E94" t="str">
        <f t="shared" si="3"/>
        <v>30,000</v>
      </c>
    </row>
    <row r="95" spans="1:5" x14ac:dyDescent="0.25">
      <c r="A95">
        <v>133501</v>
      </c>
      <c r="B95" t="str">
        <f t="shared" si="4"/>
        <v>900142011</v>
      </c>
      <c r="C95">
        <f t="shared" si="5"/>
        <v>201912</v>
      </c>
      <c r="D95">
        <f>IF(OR(C95=1900,$D$144=0),0,VLOOKUP(A95,'Estados Financieros'!$A$11:$H$453,5,0))</f>
        <v>30</v>
      </c>
      <c r="E95" t="str">
        <f t="shared" si="3"/>
        <v>30,000</v>
      </c>
    </row>
    <row r="96" spans="1:5" x14ac:dyDescent="0.25">
      <c r="A96">
        <v>134001</v>
      </c>
      <c r="B96" t="str">
        <f t="shared" si="4"/>
        <v>900142011</v>
      </c>
      <c r="C96">
        <f t="shared" si="5"/>
        <v>201912</v>
      </c>
      <c r="D96">
        <f>IF(OR(C96=1900,$D$144=0),0,VLOOKUP(A96,'Estados Financieros'!$A$11:$H$453,5,0))</f>
        <v>30</v>
      </c>
      <c r="E96" t="str">
        <f t="shared" si="3"/>
        <v>30,000</v>
      </c>
    </row>
    <row r="97" spans="1:5" x14ac:dyDescent="0.25">
      <c r="A97">
        <v>134501</v>
      </c>
      <c r="B97" t="str">
        <f t="shared" si="4"/>
        <v>900142011</v>
      </c>
      <c r="C97">
        <f t="shared" si="5"/>
        <v>201912</v>
      </c>
      <c r="D97">
        <f>IF(OR(C97=1900,$D$144=0),0,VLOOKUP(A97,'Estados Financieros'!$A$11:$H$453,5,0))</f>
        <v>30</v>
      </c>
      <c r="E97" t="str">
        <f t="shared" si="3"/>
        <v>30,000</v>
      </c>
    </row>
    <row r="98" spans="1:5" x14ac:dyDescent="0.25">
      <c r="A98">
        <v>135001</v>
      </c>
      <c r="B98" t="str">
        <f t="shared" si="4"/>
        <v>900142011</v>
      </c>
      <c r="C98">
        <f t="shared" si="5"/>
        <v>201912</v>
      </c>
      <c r="D98">
        <f>IF(OR(C98=1900,$D$144=0),0,VLOOKUP(A98,'Estados Financieros'!$A$11:$H$453,5,0))</f>
        <v>30</v>
      </c>
      <c r="E98" t="str">
        <f t="shared" si="3"/>
        <v>30,000</v>
      </c>
    </row>
    <row r="99" spans="1:5" x14ac:dyDescent="0.25">
      <c r="A99">
        <v>135501</v>
      </c>
      <c r="B99" t="str">
        <f t="shared" si="4"/>
        <v>900142011</v>
      </c>
      <c r="C99">
        <f t="shared" si="5"/>
        <v>201912</v>
      </c>
      <c r="D99">
        <f>IF(OR(C99=1900,$D$144=0),0,VLOOKUP(A99,'Estados Financieros'!$A$11:$H$453,5,0))</f>
        <v>30</v>
      </c>
      <c r="E99" t="str">
        <f t="shared" si="3"/>
        <v>30,000</v>
      </c>
    </row>
    <row r="100" spans="1:5" x14ac:dyDescent="0.25">
      <c r="A100">
        <v>136001</v>
      </c>
      <c r="B100" t="str">
        <f t="shared" si="4"/>
        <v>900142011</v>
      </c>
      <c r="C100">
        <f t="shared" si="5"/>
        <v>201912</v>
      </c>
      <c r="D100">
        <f>IF(OR(C100=1900,$D$144=0),0,VLOOKUP(A100,'Estados Financieros'!$A$11:$H$453,5,0))</f>
        <v>30</v>
      </c>
      <c r="E100" t="str">
        <f t="shared" si="3"/>
        <v>30,000</v>
      </c>
    </row>
    <row r="101" spans="1:5" x14ac:dyDescent="0.25">
      <c r="A101">
        <v>136501</v>
      </c>
      <c r="B101" t="str">
        <f t="shared" si="4"/>
        <v>900142011</v>
      </c>
      <c r="C101">
        <f t="shared" si="5"/>
        <v>201912</v>
      </c>
      <c r="D101">
        <f>IF(OR(C101=1900,$D$144=0),0,VLOOKUP(A101,'Estados Financieros'!$A$11:$H$453,5,0))</f>
        <v>30</v>
      </c>
      <c r="E101" t="str">
        <f t="shared" si="3"/>
        <v>30,000</v>
      </c>
    </row>
    <row r="102" spans="1:5" x14ac:dyDescent="0.25">
      <c r="A102">
        <v>137001</v>
      </c>
      <c r="B102" t="str">
        <f t="shared" si="4"/>
        <v>900142011</v>
      </c>
      <c r="C102">
        <f t="shared" si="5"/>
        <v>201912</v>
      </c>
      <c r="D102">
        <f>IF(OR(C102=1900,$D$144=0),0,VLOOKUP(A102,'Estados Financieros'!$A$11:$H$453,5,0))</f>
        <v>30</v>
      </c>
      <c r="E102" t="str">
        <f t="shared" si="3"/>
        <v>30,000</v>
      </c>
    </row>
    <row r="103" spans="1:5" x14ac:dyDescent="0.25">
      <c r="A103">
        <v>138001</v>
      </c>
      <c r="B103" t="str">
        <f t="shared" si="4"/>
        <v>900142011</v>
      </c>
      <c r="C103">
        <f t="shared" si="5"/>
        <v>201912</v>
      </c>
      <c r="D103">
        <f>IF(OR(C103=1900,$D$144=0),0,VLOOKUP(A103,'Estados Financieros'!$A$11:$H$453,5,0))</f>
        <v>30</v>
      </c>
      <c r="E103" t="str">
        <f t="shared" si="3"/>
        <v>30,000</v>
      </c>
    </row>
    <row r="104" spans="1:5" x14ac:dyDescent="0.25">
      <c r="A104">
        <v>138501</v>
      </c>
      <c r="B104" t="str">
        <f t="shared" si="4"/>
        <v>900142011</v>
      </c>
      <c r="C104">
        <f t="shared" si="5"/>
        <v>201912</v>
      </c>
      <c r="D104">
        <f>IF(OR(C104=1900,$D$144=0),0,VLOOKUP(A104,'Estados Financieros'!$A$11:$H$453,5,0))</f>
        <v>30</v>
      </c>
      <c r="E104" t="str">
        <f t="shared" si="3"/>
        <v>30,000</v>
      </c>
    </row>
    <row r="105" spans="1:5" x14ac:dyDescent="0.25">
      <c r="A105">
        <v>139001</v>
      </c>
      <c r="B105" t="str">
        <f t="shared" si="4"/>
        <v>900142011</v>
      </c>
      <c r="C105">
        <f t="shared" si="5"/>
        <v>201912</v>
      </c>
      <c r="D105">
        <f>IF(OR(C105=1900,$D$144=0),0,VLOOKUP(A105,'Estados Financieros'!$A$11:$H$453,5,0))</f>
        <v>30</v>
      </c>
      <c r="E105" t="str">
        <f t="shared" si="3"/>
        <v>30,000</v>
      </c>
    </row>
    <row r="106" spans="1:5" x14ac:dyDescent="0.25">
      <c r="A106">
        <v>139901</v>
      </c>
      <c r="B106" t="str">
        <f t="shared" si="4"/>
        <v>900142011</v>
      </c>
      <c r="C106">
        <f t="shared" si="5"/>
        <v>201912</v>
      </c>
      <c r="D106">
        <f>IF(OR(C106=1900,$D$144=0),0,VLOOKUP(A106,'Estados Financieros'!$A$11:$H$453,5,0))</f>
        <v>30</v>
      </c>
      <c r="E106" t="str">
        <f t="shared" si="3"/>
        <v>30,000</v>
      </c>
    </row>
    <row r="107" spans="1:5" x14ac:dyDescent="0.25">
      <c r="A107">
        <v>1205</v>
      </c>
      <c r="B107" t="str">
        <f t="shared" si="4"/>
        <v>900142011</v>
      </c>
      <c r="C107">
        <f t="shared" si="5"/>
        <v>201912</v>
      </c>
      <c r="D107">
        <f>IF(OR(C107=1900,$D$144=0),0,VLOOKUP(A107,'Estados Financieros'!$A$11:$H$453,5,0))</f>
        <v>600</v>
      </c>
      <c r="E107" t="str">
        <f t="shared" si="3"/>
        <v>600,000</v>
      </c>
    </row>
    <row r="108" spans="1:5" x14ac:dyDescent="0.25">
      <c r="A108">
        <v>120501</v>
      </c>
      <c r="B108" t="str">
        <f t="shared" si="4"/>
        <v>900142011</v>
      </c>
      <c r="C108">
        <f t="shared" si="5"/>
        <v>201912</v>
      </c>
      <c r="D108">
        <f>IF(OR(C108=1900,$D$144=0),0,VLOOKUP(A108,'Estados Financieros'!$A$11:$H$453,5,0))</f>
        <v>30</v>
      </c>
      <c r="E108" t="str">
        <f t="shared" si="3"/>
        <v>30,000</v>
      </c>
    </row>
    <row r="109" spans="1:5" x14ac:dyDescent="0.25">
      <c r="A109">
        <v>121001</v>
      </c>
      <c r="B109" t="str">
        <f t="shared" si="4"/>
        <v>900142011</v>
      </c>
      <c r="C109">
        <f t="shared" si="5"/>
        <v>201912</v>
      </c>
      <c r="D109">
        <f>IF(OR(C109=1900,$D$144=0),0,VLOOKUP(A109,'Estados Financieros'!$A$11:$H$453,5,0))</f>
        <v>30</v>
      </c>
      <c r="E109" t="str">
        <f t="shared" si="3"/>
        <v>30,000</v>
      </c>
    </row>
    <row r="110" spans="1:5" x14ac:dyDescent="0.25">
      <c r="A110">
        <v>121501</v>
      </c>
      <c r="B110" t="str">
        <f t="shared" si="4"/>
        <v>900142011</v>
      </c>
      <c r="C110">
        <f t="shared" si="5"/>
        <v>201912</v>
      </c>
      <c r="D110">
        <f>IF(OR(C110=1900,$D$144=0),0,VLOOKUP(A110,'Estados Financieros'!$A$11:$H$453,5,0))</f>
        <v>30</v>
      </c>
      <c r="E110" t="str">
        <f t="shared" si="3"/>
        <v>30,000</v>
      </c>
    </row>
    <row r="111" spans="1:5" x14ac:dyDescent="0.25">
      <c r="A111">
        <v>123501</v>
      </c>
      <c r="B111" t="str">
        <f t="shared" si="4"/>
        <v>900142011</v>
      </c>
      <c r="C111">
        <f t="shared" si="5"/>
        <v>201912</v>
      </c>
      <c r="D111">
        <f>IF(OR(C111=1900,$D$144=0),0,VLOOKUP(A111,'Estados Financieros'!$A$11:$H$453,5,0))</f>
        <v>30</v>
      </c>
      <c r="E111" t="str">
        <f t="shared" si="3"/>
        <v>30,000</v>
      </c>
    </row>
    <row r="112" spans="1:5" x14ac:dyDescent="0.25">
      <c r="A112">
        <v>125501</v>
      </c>
      <c r="B112" t="str">
        <f t="shared" si="4"/>
        <v>900142011</v>
      </c>
      <c r="C112">
        <f t="shared" si="5"/>
        <v>201912</v>
      </c>
      <c r="D112">
        <f>IF(OR(C112=1900,$D$144=0),0,VLOOKUP(A112,'Estados Financieros'!$A$11:$H$453,5,0))</f>
        <v>30</v>
      </c>
      <c r="E112" t="str">
        <f t="shared" si="3"/>
        <v>30,000</v>
      </c>
    </row>
    <row r="113" spans="1:5" x14ac:dyDescent="0.25">
      <c r="A113">
        <v>126001</v>
      </c>
      <c r="B113" t="str">
        <f t="shared" si="4"/>
        <v>900142011</v>
      </c>
      <c r="C113">
        <f t="shared" si="5"/>
        <v>201912</v>
      </c>
      <c r="D113">
        <f>IF(OR(C113=1900,$D$144=0),0,VLOOKUP(A113,'Estados Financieros'!$A$11:$H$453,5,0))</f>
        <v>30</v>
      </c>
      <c r="E113" t="str">
        <f t="shared" si="3"/>
        <v>30,000</v>
      </c>
    </row>
    <row r="114" spans="1:5" x14ac:dyDescent="0.25">
      <c r="A114">
        <v>129501</v>
      </c>
      <c r="B114" t="str">
        <f t="shared" si="4"/>
        <v>900142011</v>
      </c>
      <c r="C114">
        <f t="shared" si="5"/>
        <v>201912</v>
      </c>
      <c r="D114">
        <f>IF(OR(C114=1900,$D$144=0),0,VLOOKUP(A114,'Estados Financieros'!$A$11:$H$453,5,0))</f>
        <v>30</v>
      </c>
      <c r="E114" t="str">
        <f t="shared" si="3"/>
        <v>30,000</v>
      </c>
    </row>
    <row r="115" spans="1:5" x14ac:dyDescent="0.25">
      <c r="A115">
        <v>129701</v>
      </c>
      <c r="B115" t="str">
        <f t="shared" si="4"/>
        <v>900142011</v>
      </c>
      <c r="C115">
        <f t="shared" si="5"/>
        <v>201912</v>
      </c>
      <c r="D115">
        <f>IF(OR(C115=1900,$D$144=0),0,VLOOKUP(A115,'Estados Financieros'!$A$11:$H$453,5,0))</f>
        <v>30</v>
      </c>
      <c r="E115" t="str">
        <f t="shared" si="3"/>
        <v>30,000</v>
      </c>
    </row>
    <row r="116" spans="1:5" x14ac:dyDescent="0.25">
      <c r="A116">
        <v>129901</v>
      </c>
      <c r="B116" t="str">
        <f t="shared" si="4"/>
        <v>900142011</v>
      </c>
      <c r="C116">
        <f t="shared" si="5"/>
        <v>201912</v>
      </c>
      <c r="D116">
        <f>IF(OR(C116=1900,$D$144=0),0,VLOOKUP(A116,'Estados Financieros'!$A$11:$H$453,5,0))</f>
        <v>30</v>
      </c>
      <c r="E116" t="str">
        <f t="shared" si="3"/>
        <v>30,000</v>
      </c>
    </row>
    <row r="117" spans="1:5" x14ac:dyDescent="0.25">
      <c r="A117">
        <v>1203</v>
      </c>
      <c r="B117" t="str">
        <f t="shared" si="4"/>
        <v>900142011</v>
      </c>
      <c r="C117">
        <f t="shared" si="5"/>
        <v>201912</v>
      </c>
      <c r="D117">
        <f>IF(OR(C117=1900,$D$144=0),0,VLOOKUP(A117,'Estados Financieros'!$A$11:$H$453,5,0))</f>
        <v>270</v>
      </c>
      <c r="E117" t="str">
        <f t="shared" si="3"/>
        <v>270,000</v>
      </c>
    </row>
    <row r="118" spans="1:5" x14ac:dyDescent="0.25">
      <c r="A118">
        <v>120610</v>
      </c>
      <c r="B118" t="str">
        <f t="shared" si="4"/>
        <v>900142011</v>
      </c>
      <c r="C118">
        <f t="shared" si="5"/>
        <v>201912</v>
      </c>
      <c r="D118">
        <f>IF(OR(C118=1900,$D$144=0),0,VLOOKUP(A118,'Estados Financieros'!$A$11:$H$453,5,0))</f>
        <v>30</v>
      </c>
      <c r="E118" t="str">
        <f t="shared" si="3"/>
        <v>30,000</v>
      </c>
    </row>
    <row r="119" spans="1:5" x14ac:dyDescent="0.25">
      <c r="A119">
        <v>120615</v>
      </c>
      <c r="B119" t="str">
        <f t="shared" si="4"/>
        <v>900142011</v>
      </c>
      <c r="C119">
        <f t="shared" si="5"/>
        <v>201912</v>
      </c>
      <c r="D119">
        <f>IF(OR(C119=1900,$D$144=0),0,VLOOKUP(A119,'Estados Financieros'!$A$11:$H$453,5,0))</f>
        <v>30</v>
      </c>
      <c r="E119" t="str">
        <f t="shared" si="3"/>
        <v>30,000</v>
      </c>
    </row>
    <row r="120" spans="1:5" x14ac:dyDescent="0.25">
      <c r="A120">
        <v>173001</v>
      </c>
      <c r="B120" t="str">
        <f t="shared" si="4"/>
        <v>900142011</v>
      </c>
      <c r="C120">
        <f t="shared" si="5"/>
        <v>201912</v>
      </c>
      <c r="D120">
        <f>IF(OR(C120=1900,$D$144=0),0,VLOOKUP(A120,'Estados Financieros'!$A$11:$H$453,5,0))</f>
        <v>30</v>
      </c>
      <c r="E120" t="str">
        <f t="shared" si="3"/>
        <v>30,000</v>
      </c>
    </row>
    <row r="121" spans="1:5" x14ac:dyDescent="0.25">
      <c r="A121">
        <v>120620</v>
      </c>
      <c r="B121" t="str">
        <f t="shared" si="4"/>
        <v>900142011</v>
      </c>
      <c r="C121">
        <f t="shared" si="5"/>
        <v>201912</v>
      </c>
      <c r="D121">
        <f>IF(OR(C121=1900,$D$144=0),0,VLOOKUP(A121,'Estados Financieros'!$A$11:$H$453,5,0))</f>
        <v>30</v>
      </c>
      <c r="E121" t="str">
        <f t="shared" si="3"/>
        <v>30,000</v>
      </c>
    </row>
    <row r="122" spans="1:5" x14ac:dyDescent="0.25">
      <c r="A122">
        <v>179701</v>
      </c>
      <c r="B122" t="str">
        <f t="shared" si="4"/>
        <v>900142011</v>
      </c>
      <c r="C122">
        <f t="shared" si="5"/>
        <v>201912</v>
      </c>
      <c r="D122">
        <f>IF(OR(C122=1900,$D$144=0),0,VLOOKUP(A122,'Estados Financieros'!$A$11:$H$453,5,0))</f>
        <v>30</v>
      </c>
      <c r="E122" t="str">
        <f t="shared" si="3"/>
        <v>30,000</v>
      </c>
    </row>
    <row r="123" spans="1:5" x14ac:dyDescent="0.25">
      <c r="A123">
        <v>179801</v>
      </c>
      <c r="B123" t="str">
        <f t="shared" si="4"/>
        <v>900142011</v>
      </c>
      <c r="C123">
        <f t="shared" si="5"/>
        <v>201912</v>
      </c>
      <c r="D123">
        <f>IF(OR(C123=1900,$D$144=0),0,VLOOKUP(A123,'Estados Financieros'!$A$11:$H$453,5,0))</f>
        <v>30</v>
      </c>
      <c r="E123" t="str">
        <f t="shared" si="3"/>
        <v>30,000</v>
      </c>
    </row>
    <row r="124" spans="1:5" x14ac:dyDescent="0.25">
      <c r="A124">
        <v>1206</v>
      </c>
      <c r="B124" t="str">
        <f t="shared" si="4"/>
        <v>900142011</v>
      </c>
      <c r="C124">
        <f t="shared" si="5"/>
        <v>201912</v>
      </c>
      <c r="D124">
        <f>IF(OR(C124=1900,$D$144=0),0,VLOOKUP(A124,'Estados Financieros'!$A$11:$H$453,5,0))</f>
        <v>180</v>
      </c>
      <c r="E124" t="str">
        <f t="shared" si="3"/>
        <v>180,000</v>
      </c>
    </row>
    <row r="125" spans="1:5" x14ac:dyDescent="0.25">
      <c r="A125">
        <v>160501</v>
      </c>
      <c r="B125" t="str">
        <f t="shared" si="4"/>
        <v>900142011</v>
      </c>
      <c r="C125">
        <f t="shared" si="5"/>
        <v>201912</v>
      </c>
      <c r="D125">
        <f>IF(OR(C125=1900,$D$144=0),0,VLOOKUP(A125,'Estados Financieros'!$A$11:$H$453,5,0))</f>
        <v>30</v>
      </c>
      <c r="E125" t="str">
        <f t="shared" si="3"/>
        <v>30,000</v>
      </c>
    </row>
    <row r="126" spans="1:5" x14ac:dyDescent="0.25">
      <c r="A126">
        <v>161001</v>
      </c>
      <c r="B126" t="str">
        <f t="shared" si="4"/>
        <v>900142011</v>
      </c>
      <c r="C126">
        <f t="shared" si="5"/>
        <v>201912</v>
      </c>
      <c r="D126">
        <f>IF(OR(C126=1900,$D$144=0),0,VLOOKUP(A126,'Estados Financieros'!$A$11:$H$453,5,0))</f>
        <v>30</v>
      </c>
      <c r="E126" t="str">
        <f t="shared" si="3"/>
        <v>30,000</v>
      </c>
    </row>
    <row r="127" spans="1:5" x14ac:dyDescent="0.25">
      <c r="A127">
        <v>163001</v>
      </c>
      <c r="B127" t="str">
        <f t="shared" si="4"/>
        <v>900142011</v>
      </c>
      <c r="C127">
        <f t="shared" si="5"/>
        <v>201912</v>
      </c>
      <c r="D127">
        <f>IF(OR(C127=1900,$D$144=0),0,VLOOKUP(A127,'Estados Financieros'!$A$11:$H$453,5,0))</f>
        <v>30</v>
      </c>
      <c r="E127" t="str">
        <f t="shared" si="3"/>
        <v>30,000</v>
      </c>
    </row>
    <row r="128" spans="1:5" x14ac:dyDescent="0.25">
      <c r="A128">
        <v>164001</v>
      </c>
      <c r="B128" t="str">
        <f t="shared" si="4"/>
        <v>900142011</v>
      </c>
      <c r="C128">
        <f t="shared" si="5"/>
        <v>201912</v>
      </c>
      <c r="D128">
        <f>IF(OR(C128=1900,$D$144=0),0,VLOOKUP(A128,'Estados Financieros'!$A$11:$H$453,5,0))</f>
        <v>30</v>
      </c>
      <c r="E128" t="str">
        <f t="shared" si="3"/>
        <v>30,000</v>
      </c>
    </row>
    <row r="129" spans="1:5" x14ac:dyDescent="0.25">
      <c r="A129">
        <v>109801</v>
      </c>
      <c r="B129" t="str">
        <f t="shared" si="4"/>
        <v>900142011</v>
      </c>
      <c r="C129">
        <f t="shared" si="5"/>
        <v>201912</v>
      </c>
      <c r="D129">
        <f>IF(OR(C129=1900,$D$144=0),0,VLOOKUP(A129,'Estados Financieros'!$A$11:$H$453,5,0))</f>
        <v>30</v>
      </c>
      <c r="E129" t="str">
        <f t="shared" si="3"/>
        <v>30,000</v>
      </c>
    </row>
    <row r="130" spans="1:5" x14ac:dyDescent="0.25">
      <c r="A130">
        <v>169899</v>
      </c>
      <c r="B130" t="str">
        <f t="shared" si="4"/>
        <v>900142011</v>
      </c>
      <c r="C130">
        <f t="shared" si="5"/>
        <v>201912</v>
      </c>
      <c r="D130">
        <f>IF(OR(C130=1900,$D$144=0),0,VLOOKUP(A130,'Estados Financieros'!$A$11:$H$453,5,0))</f>
        <v>30</v>
      </c>
      <c r="E130" t="str">
        <f t="shared" ref="E130:E193" si="6">IFERROR(FIXED(D130,3,1),0)</f>
        <v>30,000</v>
      </c>
    </row>
    <row r="131" spans="1:5" x14ac:dyDescent="0.25">
      <c r="A131">
        <v>169901</v>
      </c>
      <c r="B131" t="str">
        <f t="shared" ref="B131:B194" si="7">+B130</f>
        <v>900142011</v>
      </c>
      <c r="C131">
        <f t="shared" ref="C131:C194" si="8">+C130</f>
        <v>201912</v>
      </c>
      <c r="D131">
        <f>IF(OR(C131=1900,$D$144=0),0,VLOOKUP(A131,'Estados Financieros'!$A$11:$H$453,5,0))</f>
        <v>30</v>
      </c>
      <c r="E131" t="str">
        <f t="shared" si="6"/>
        <v>30,000</v>
      </c>
    </row>
    <row r="132" spans="1:5" x14ac:dyDescent="0.25">
      <c r="A132">
        <v>1202</v>
      </c>
      <c r="B132" t="str">
        <f t="shared" si="7"/>
        <v>900142011</v>
      </c>
      <c r="C132">
        <f t="shared" si="8"/>
        <v>201912</v>
      </c>
      <c r="D132">
        <f>IF(OR(C132=1900,$D$144=0),0,VLOOKUP(A132,'Estados Financieros'!$A$11:$H$453,5,0))</f>
        <v>210</v>
      </c>
      <c r="E132" t="str">
        <f t="shared" si="6"/>
        <v>210,000</v>
      </c>
    </row>
    <row r="133" spans="1:5" x14ac:dyDescent="0.25">
      <c r="A133">
        <v>180501</v>
      </c>
      <c r="B133" t="str">
        <f t="shared" si="7"/>
        <v>900142011</v>
      </c>
      <c r="C133">
        <f t="shared" si="8"/>
        <v>201912</v>
      </c>
      <c r="D133">
        <f>IF(OR(C133=1900,$D$144=0),0,VLOOKUP(A133,'Estados Financieros'!$A$11:$H$453,5,0))</f>
        <v>30</v>
      </c>
      <c r="E133" t="str">
        <f t="shared" si="6"/>
        <v>30,000</v>
      </c>
    </row>
    <row r="134" spans="1:5" x14ac:dyDescent="0.25">
      <c r="A134">
        <v>189501</v>
      </c>
      <c r="B134" t="str">
        <f t="shared" si="7"/>
        <v>900142011</v>
      </c>
      <c r="C134">
        <f t="shared" si="8"/>
        <v>201912</v>
      </c>
      <c r="D134">
        <f>IF(OR(C134=1900,$D$144=0),0,VLOOKUP(A134,'Estados Financieros'!$A$11:$H$453,5,0))</f>
        <v>30</v>
      </c>
      <c r="E134" t="str">
        <f t="shared" si="6"/>
        <v>30,000</v>
      </c>
    </row>
    <row r="135" spans="1:5" x14ac:dyDescent="0.25">
      <c r="A135">
        <v>189520</v>
      </c>
      <c r="B135" t="str">
        <f t="shared" si="7"/>
        <v>900142011</v>
      </c>
      <c r="C135">
        <f t="shared" si="8"/>
        <v>201912</v>
      </c>
      <c r="D135">
        <f>IF(OR(C135=1900,$D$144=0),0,VLOOKUP(A135,'Estados Financieros'!$A$11:$H$453,5,0))</f>
        <v>30</v>
      </c>
      <c r="E135" t="str">
        <f t="shared" si="6"/>
        <v>30,000</v>
      </c>
    </row>
    <row r="136" spans="1:5" x14ac:dyDescent="0.25">
      <c r="A136">
        <v>189701</v>
      </c>
      <c r="B136" t="str">
        <f t="shared" si="7"/>
        <v>900142011</v>
      </c>
      <c r="C136">
        <f t="shared" si="8"/>
        <v>201912</v>
      </c>
      <c r="D136">
        <f>IF(OR(C136=1900,$D$144=0),0,VLOOKUP(A136,'Estados Financieros'!$A$11:$H$453,5,0))</f>
        <v>30</v>
      </c>
      <c r="E136" t="str">
        <f t="shared" si="6"/>
        <v>30,000</v>
      </c>
    </row>
    <row r="137" spans="1:5" x14ac:dyDescent="0.25">
      <c r="A137">
        <v>189901</v>
      </c>
      <c r="B137" t="str">
        <f t="shared" si="7"/>
        <v>900142011</v>
      </c>
      <c r="C137">
        <f t="shared" si="8"/>
        <v>201912</v>
      </c>
      <c r="D137">
        <f>IF(OR(C137=1900,$D$144=0),0,VLOOKUP(A137,'Estados Financieros'!$A$11:$H$453,5,0))</f>
        <v>30</v>
      </c>
      <c r="E137" t="str">
        <f t="shared" si="6"/>
        <v>30,000</v>
      </c>
    </row>
    <row r="138" spans="1:5" x14ac:dyDescent="0.25">
      <c r="A138">
        <v>1207</v>
      </c>
      <c r="B138" t="str">
        <f t="shared" si="7"/>
        <v>900142011</v>
      </c>
      <c r="C138">
        <f t="shared" si="8"/>
        <v>201912</v>
      </c>
      <c r="D138">
        <f>IF(OR(C138=1900,$D$144=0),0,VLOOKUP(A138,'Estados Financieros'!$A$11:$H$453,5,0))</f>
        <v>150</v>
      </c>
      <c r="E138" t="str">
        <f t="shared" si="6"/>
        <v>150,000</v>
      </c>
    </row>
    <row r="139" spans="1:5" x14ac:dyDescent="0.25">
      <c r="A139">
        <v>190501</v>
      </c>
      <c r="B139" t="str">
        <f t="shared" si="7"/>
        <v>900142011</v>
      </c>
      <c r="C139">
        <f t="shared" si="8"/>
        <v>201912</v>
      </c>
      <c r="D139">
        <f>IF(OR(C139=1900,$D$144=0),0,VLOOKUP(A139,'Estados Financieros'!$A$11:$H$453,5,0))</f>
        <v>30</v>
      </c>
      <c r="E139" t="str">
        <f t="shared" si="6"/>
        <v>30,000</v>
      </c>
    </row>
    <row r="140" spans="1:5" x14ac:dyDescent="0.25">
      <c r="A140">
        <v>191001</v>
      </c>
      <c r="B140" t="str">
        <f t="shared" si="7"/>
        <v>900142011</v>
      </c>
      <c r="C140">
        <f t="shared" si="8"/>
        <v>201912</v>
      </c>
      <c r="D140">
        <f>IF(OR(C140=1900,$D$144=0),0,VLOOKUP(A140,'Estados Financieros'!$A$11:$H$453,5,0))</f>
        <v>30</v>
      </c>
      <c r="E140" t="str">
        <f t="shared" si="6"/>
        <v>30,000</v>
      </c>
    </row>
    <row r="141" spans="1:5" x14ac:dyDescent="0.25">
      <c r="A141">
        <v>199501</v>
      </c>
      <c r="B141" t="str">
        <f t="shared" si="7"/>
        <v>900142011</v>
      </c>
      <c r="C141">
        <f t="shared" si="8"/>
        <v>201912</v>
      </c>
      <c r="D141">
        <f>IF(OR(C141=1900,$D$144=0),0,VLOOKUP(A141,'Estados Financieros'!$A$11:$H$453,5,0))</f>
        <v>30</v>
      </c>
      <c r="E141" t="str">
        <f t="shared" si="6"/>
        <v>30,000</v>
      </c>
    </row>
    <row r="142" spans="1:5" x14ac:dyDescent="0.25">
      <c r="A142">
        <v>1208</v>
      </c>
      <c r="B142" t="str">
        <f t="shared" si="7"/>
        <v>900142011</v>
      </c>
      <c r="C142">
        <f t="shared" si="8"/>
        <v>201912</v>
      </c>
      <c r="D142">
        <f>IF(OR(C142=1900,$D$144=0),0,VLOOKUP(A142,'Estados Financieros'!$A$11:$H$453,5,0))</f>
        <v>90</v>
      </c>
      <c r="E142" t="str">
        <f t="shared" si="6"/>
        <v>90,000</v>
      </c>
    </row>
    <row r="143" spans="1:5" x14ac:dyDescent="0.25">
      <c r="A143">
        <v>12</v>
      </c>
      <c r="B143" t="str">
        <f t="shared" si="7"/>
        <v>900142011</v>
      </c>
      <c r="C143">
        <f t="shared" si="8"/>
        <v>201912</v>
      </c>
      <c r="D143">
        <f>IF(OR(C143=1900,$D$144=0),0,VLOOKUP(A143,'Estados Financieros'!$A$11:$H$453,5,0))</f>
        <v>2100</v>
      </c>
      <c r="E143" t="str">
        <f t="shared" si="6"/>
        <v>2100,000</v>
      </c>
    </row>
    <row r="144" spans="1:5" x14ac:dyDescent="0.25">
      <c r="A144">
        <v>1</v>
      </c>
      <c r="B144" t="str">
        <f t="shared" si="7"/>
        <v>900142011</v>
      </c>
      <c r="C144">
        <f t="shared" si="8"/>
        <v>201912</v>
      </c>
      <c r="D144">
        <f>IF(C144=1900,0,VLOOKUP(A144,'Estados Financieros'!$A$11:$H$453,5,0))</f>
        <v>3960</v>
      </c>
      <c r="E144" t="str">
        <f t="shared" si="6"/>
        <v>3960,000</v>
      </c>
    </row>
    <row r="145" spans="1:5" x14ac:dyDescent="0.25">
      <c r="A145">
        <v>108100</v>
      </c>
      <c r="B145" t="str">
        <f t="shared" si="7"/>
        <v>900142011</v>
      </c>
      <c r="C145">
        <f t="shared" si="8"/>
        <v>201912</v>
      </c>
      <c r="D145">
        <f>IF(OR(C145=1900,$D$144=0),0,VLOOKUP(A145,'Estados Financieros'!$A$11:$H$453,5,0))</f>
        <v>0</v>
      </c>
      <c r="E145" t="str">
        <f t="shared" si="6"/>
        <v>0,000</v>
      </c>
    </row>
    <row r="146" spans="1:5" x14ac:dyDescent="0.25">
      <c r="A146">
        <v>108200</v>
      </c>
      <c r="B146" t="str">
        <f t="shared" si="7"/>
        <v>900142011</v>
      </c>
      <c r="C146">
        <f t="shared" si="8"/>
        <v>201912</v>
      </c>
      <c r="D146">
        <f>IF(OR(C146=1900,$D$144=0),0,VLOOKUP(A146,'Estados Financieros'!$A$11:$H$453,5,0))</f>
        <v>0</v>
      </c>
      <c r="E146" t="str">
        <f t="shared" si="6"/>
        <v>0,000</v>
      </c>
    </row>
    <row r="147" spans="1:5" x14ac:dyDescent="0.25">
      <c r="A147">
        <v>108300</v>
      </c>
      <c r="B147" t="str">
        <f t="shared" si="7"/>
        <v>900142011</v>
      </c>
      <c r="C147">
        <f t="shared" si="8"/>
        <v>201912</v>
      </c>
      <c r="D147">
        <f>IF(OR(C147=1900,$D$144=0),0,VLOOKUP(A147,'Estados Financieros'!$A$11:$H$453,5,0))</f>
        <v>0</v>
      </c>
      <c r="E147" t="str">
        <f t="shared" si="6"/>
        <v>0,000</v>
      </c>
    </row>
    <row r="148" spans="1:5" x14ac:dyDescent="0.25">
      <c r="A148">
        <v>108400</v>
      </c>
      <c r="B148" t="str">
        <f t="shared" si="7"/>
        <v>900142011</v>
      </c>
      <c r="C148">
        <f t="shared" si="8"/>
        <v>201912</v>
      </c>
      <c r="D148">
        <f>IF(OR(C148=1900,$D$144=0),0,VLOOKUP(A148,'Estados Financieros'!$A$11:$H$453,5,0))</f>
        <v>0</v>
      </c>
      <c r="E148" t="str">
        <f t="shared" si="6"/>
        <v>0,000</v>
      </c>
    </row>
    <row r="149" spans="1:5" x14ac:dyDescent="0.25">
      <c r="A149">
        <v>108000</v>
      </c>
      <c r="B149" t="str">
        <f t="shared" si="7"/>
        <v>900142011</v>
      </c>
      <c r="C149">
        <f t="shared" si="8"/>
        <v>201912</v>
      </c>
      <c r="D149">
        <f>IF(OR(C149=1900,$D$144=0),0,VLOOKUP(A149,'Estados Financieros'!$A$11:$H$453,5,0))</f>
        <v>0</v>
      </c>
      <c r="E149" t="str">
        <f t="shared" si="6"/>
        <v>0,000</v>
      </c>
    </row>
    <row r="150" spans="1:5" x14ac:dyDescent="0.25">
      <c r="A150">
        <v>210500</v>
      </c>
      <c r="B150" t="str">
        <f t="shared" si="7"/>
        <v>900142011</v>
      </c>
      <c r="C150">
        <f t="shared" si="8"/>
        <v>201912</v>
      </c>
      <c r="D150">
        <f>IF(OR(C150=1900,$D$144=0),0,VLOOKUP(A150,'Estados Financieros'!$A$11:$H$453,5,0))</f>
        <v>10</v>
      </c>
      <c r="E150" t="str">
        <f t="shared" si="6"/>
        <v>10,000</v>
      </c>
    </row>
    <row r="151" spans="1:5" x14ac:dyDescent="0.25">
      <c r="A151">
        <v>211500</v>
      </c>
      <c r="B151" t="str">
        <f t="shared" si="7"/>
        <v>900142011</v>
      </c>
      <c r="C151">
        <f t="shared" si="8"/>
        <v>201912</v>
      </c>
      <c r="D151">
        <f>IF(OR(C151=1900,$D$144=0),0,VLOOKUP(A151,'Estados Financieros'!$A$11:$H$453,5,0))</f>
        <v>10</v>
      </c>
      <c r="E151" t="str">
        <f t="shared" si="6"/>
        <v>10,000</v>
      </c>
    </row>
    <row r="152" spans="1:5" x14ac:dyDescent="0.25">
      <c r="A152">
        <v>219500</v>
      </c>
      <c r="B152" t="str">
        <f t="shared" si="7"/>
        <v>900142011</v>
      </c>
      <c r="C152">
        <f t="shared" si="8"/>
        <v>201912</v>
      </c>
      <c r="D152">
        <f>IF(OR(C152=1900,$D$144=0),0,VLOOKUP(A152,'Estados Financieros'!$A$11:$H$453,5,0))</f>
        <v>10</v>
      </c>
      <c r="E152" t="str">
        <f t="shared" si="6"/>
        <v>10,000</v>
      </c>
    </row>
    <row r="153" spans="1:5" x14ac:dyDescent="0.25">
      <c r="A153">
        <v>2101</v>
      </c>
      <c r="B153" t="str">
        <f t="shared" si="7"/>
        <v>900142011</v>
      </c>
      <c r="C153">
        <f t="shared" si="8"/>
        <v>201912</v>
      </c>
      <c r="D153">
        <f>IF(OR(C153=1900,$D$144=0),0,VLOOKUP(A153,'Estados Financieros'!$A$11:$H$453,5,0))</f>
        <v>30</v>
      </c>
      <c r="E153" t="str">
        <f t="shared" si="6"/>
        <v>30,000</v>
      </c>
    </row>
    <row r="154" spans="1:5" x14ac:dyDescent="0.25">
      <c r="A154">
        <v>220500</v>
      </c>
      <c r="B154" t="str">
        <f t="shared" si="7"/>
        <v>900142011</v>
      </c>
      <c r="C154">
        <f t="shared" si="8"/>
        <v>201912</v>
      </c>
      <c r="D154">
        <f>IF(OR(C154=1900,$D$144=0),0,VLOOKUP(A154,'Estados Financieros'!$A$11:$H$453,5,0))</f>
        <v>10</v>
      </c>
      <c r="E154" t="str">
        <f t="shared" si="6"/>
        <v>10,000</v>
      </c>
    </row>
    <row r="155" spans="1:5" x14ac:dyDescent="0.25">
      <c r="A155">
        <v>221000</v>
      </c>
      <c r="B155" t="str">
        <f t="shared" si="7"/>
        <v>900142011</v>
      </c>
      <c r="C155">
        <f t="shared" si="8"/>
        <v>201912</v>
      </c>
      <c r="D155">
        <f>IF(OR(C155=1900,$D$144=0),0,VLOOKUP(A155,'Estados Financieros'!$A$11:$H$453,5,0))</f>
        <v>10</v>
      </c>
      <c r="E155" t="str">
        <f t="shared" si="6"/>
        <v>10,000</v>
      </c>
    </row>
    <row r="156" spans="1:5" x14ac:dyDescent="0.25">
      <c r="A156">
        <v>221500</v>
      </c>
      <c r="B156" t="str">
        <f t="shared" si="7"/>
        <v>900142011</v>
      </c>
      <c r="C156">
        <f t="shared" si="8"/>
        <v>201912</v>
      </c>
      <c r="D156">
        <f>IF(OR(C156=1900,$D$144=0),0,VLOOKUP(A156,'Estados Financieros'!$A$11:$H$453,5,0))</f>
        <v>10</v>
      </c>
      <c r="E156" t="str">
        <f t="shared" si="6"/>
        <v>10,000</v>
      </c>
    </row>
    <row r="157" spans="1:5" x14ac:dyDescent="0.25">
      <c r="A157">
        <v>2102</v>
      </c>
      <c r="B157" t="str">
        <f t="shared" si="7"/>
        <v>900142011</v>
      </c>
      <c r="C157">
        <f t="shared" si="8"/>
        <v>201912</v>
      </c>
      <c r="D157">
        <f>IF(OR(C157=1900,$D$144=0),0,VLOOKUP(A157,'Estados Financieros'!$A$11:$H$453,5,0))</f>
        <v>30</v>
      </c>
      <c r="E157" t="str">
        <f t="shared" si="6"/>
        <v>30,000</v>
      </c>
    </row>
    <row r="158" spans="1:5" x14ac:dyDescent="0.25">
      <c r="A158">
        <v>230500</v>
      </c>
      <c r="B158" t="str">
        <f t="shared" si="7"/>
        <v>900142011</v>
      </c>
      <c r="C158">
        <f t="shared" si="8"/>
        <v>201912</v>
      </c>
      <c r="D158">
        <f>IF(OR(C158=1900,$D$144=0),0,VLOOKUP(A158,'Estados Financieros'!$A$11:$H$453,5,0))</f>
        <v>10</v>
      </c>
      <c r="E158" t="str">
        <f t="shared" si="6"/>
        <v>10,000</v>
      </c>
    </row>
    <row r="159" spans="1:5" x14ac:dyDescent="0.25">
      <c r="A159">
        <v>231000</v>
      </c>
      <c r="B159" t="str">
        <f t="shared" si="7"/>
        <v>900142011</v>
      </c>
      <c r="C159">
        <f t="shared" si="8"/>
        <v>201912</v>
      </c>
      <c r="D159">
        <f>IF(OR(C159=1900,$D$144=0),0,VLOOKUP(A159,'Estados Financieros'!$A$11:$H$453,5,0))</f>
        <v>10</v>
      </c>
      <c r="E159" t="str">
        <f t="shared" si="6"/>
        <v>10,000</v>
      </c>
    </row>
    <row r="160" spans="1:5" x14ac:dyDescent="0.25">
      <c r="A160">
        <v>231500</v>
      </c>
      <c r="B160" t="str">
        <f t="shared" si="7"/>
        <v>900142011</v>
      </c>
      <c r="C160">
        <f t="shared" si="8"/>
        <v>201912</v>
      </c>
      <c r="D160">
        <f>IF(OR(C160=1900,$D$144=0),0,VLOOKUP(A160,'Estados Financieros'!$A$11:$H$453,5,0))</f>
        <v>10</v>
      </c>
      <c r="E160" t="str">
        <f t="shared" si="6"/>
        <v>10,000</v>
      </c>
    </row>
    <row r="161" spans="1:5" x14ac:dyDescent="0.25">
      <c r="A161">
        <v>232000</v>
      </c>
      <c r="B161" t="str">
        <f t="shared" si="7"/>
        <v>900142011</v>
      </c>
      <c r="C161">
        <f t="shared" si="8"/>
        <v>201912</v>
      </c>
      <c r="D161">
        <f>IF(OR(C161=1900,$D$144=0),0,VLOOKUP(A161,'Estados Financieros'!$A$11:$H$453,5,0))</f>
        <v>10</v>
      </c>
      <c r="E161" t="str">
        <f t="shared" si="6"/>
        <v>10,000</v>
      </c>
    </row>
    <row r="162" spans="1:5" x14ac:dyDescent="0.25">
      <c r="A162">
        <v>233500</v>
      </c>
      <c r="B162" t="str">
        <f t="shared" si="7"/>
        <v>900142011</v>
      </c>
      <c r="C162">
        <f t="shared" si="8"/>
        <v>201912</v>
      </c>
      <c r="D162">
        <f>IF(OR(C162=1900,$D$144=0),0,VLOOKUP(A162,'Estados Financieros'!$A$11:$H$453,5,0))</f>
        <v>10</v>
      </c>
      <c r="E162" t="str">
        <f t="shared" si="6"/>
        <v>10,000</v>
      </c>
    </row>
    <row r="163" spans="1:5" x14ac:dyDescent="0.25">
      <c r="A163">
        <v>234500</v>
      </c>
      <c r="B163" t="str">
        <f t="shared" si="7"/>
        <v>900142011</v>
      </c>
      <c r="C163">
        <f t="shared" si="8"/>
        <v>201912</v>
      </c>
      <c r="D163">
        <f>IF(OR(C163=1900,$D$144=0),0,VLOOKUP(A163,'Estados Financieros'!$A$11:$H$453,5,0))</f>
        <v>10</v>
      </c>
      <c r="E163" t="str">
        <f t="shared" si="6"/>
        <v>10,000</v>
      </c>
    </row>
    <row r="164" spans="1:5" x14ac:dyDescent="0.25">
      <c r="A164">
        <v>235000</v>
      </c>
      <c r="B164" t="str">
        <f t="shared" si="7"/>
        <v>900142011</v>
      </c>
      <c r="C164">
        <f t="shared" si="8"/>
        <v>201912</v>
      </c>
      <c r="D164">
        <f>IF(OR(C164=1900,$D$144=0),0,VLOOKUP(A164,'Estados Financieros'!$A$11:$H$453,5,0))</f>
        <v>10</v>
      </c>
      <c r="E164" t="str">
        <f t="shared" si="6"/>
        <v>10,000</v>
      </c>
    </row>
    <row r="165" spans="1:5" x14ac:dyDescent="0.25">
      <c r="A165">
        <v>235500</v>
      </c>
      <c r="B165" t="str">
        <f t="shared" si="7"/>
        <v>900142011</v>
      </c>
      <c r="C165">
        <f t="shared" si="8"/>
        <v>201912</v>
      </c>
      <c r="D165">
        <f>IF(OR(C165=1900,$D$144=0),0,VLOOKUP(A165,'Estados Financieros'!$A$11:$H$453,5,0))</f>
        <v>10</v>
      </c>
      <c r="E165" t="str">
        <f t="shared" si="6"/>
        <v>10,000</v>
      </c>
    </row>
    <row r="166" spans="1:5" x14ac:dyDescent="0.25">
      <c r="A166">
        <v>236000</v>
      </c>
      <c r="B166" t="str">
        <f t="shared" si="7"/>
        <v>900142011</v>
      </c>
      <c r="C166">
        <f t="shared" si="8"/>
        <v>201912</v>
      </c>
      <c r="D166">
        <f>IF(OR(C166=1900,$D$144=0),0,VLOOKUP(A166,'Estados Financieros'!$A$11:$H$453,5,0))</f>
        <v>10</v>
      </c>
      <c r="E166" t="str">
        <f t="shared" si="6"/>
        <v>10,000</v>
      </c>
    </row>
    <row r="167" spans="1:5" x14ac:dyDescent="0.25">
      <c r="A167">
        <v>236500</v>
      </c>
      <c r="B167" t="str">
        <f t="shared" si="7"/>
        <v>900142011</v>
      </c>
      <c r="C167">
        <f t="shared" si="8"/>
        <v>201912</v>
      </c>
      <c r="D167">
        <f>IF(OR(C167=1900,$D$144=0),0,VLOOKUP(A167,'Estados Financieros'!$A$11:$H$453,5,0))</f>
        <v>10</v>
      </c>
      <c r="E167" t="str">
        <f t="shared" si="6"/>
        <v>10,000</v>
      </c>
    </row>
    <row r="168" spans="1:5" x14ac:dyDescent="0.25">
      <c r="A168">
        <v>236700</v>
      </c>
      <c r="B168" t="str">
        <f t="shared" si="7"/>
        <v>900142011</v>
      </c>
      <c r="C168">
        <f t="shared" si="8"/>
        <v>201912</v>
      </c>
      <c r="D168">
        <f>IF(OR(C168=1900,$D$144=0),0,VLOOKUP(A168,'Estados Financieros'!$A$11:$H$453,5,0))</f>
        <v>10</v>
      </c>
      <c r="E168" t="str">
        <f t="shared" si="6"/>
        <v>10,000</v>
      </c>
    </row>
    <row r="169" spans="1:5" x14ac:dyDescent="0.25">
      <c r="A169">
        <v>236800</v>
      </c>
      <c r="B169" t="str">
        <f t="shared" si="7"/>
        <v>900142011</v>
      </c>
      <c r="C169">
        <f t="shared" si="8"/>
        <v>201912</v>
      </c>
      <c r="D169">
        <f>IF(OR(C169=1900,$D$144=0),0,VLOOKUP(A169,'Estados Financieros'!$A$11:$H$453,5,0))</f>
        <v>10</v>
      </c>
      <c r="E169" t="str">
        <f t="shared" si="6"/>
        <v>10,000</v>
      </c>
    </row>
    <row r="170" spans="1:5" x14ac:dyDescent="0.25">
      <c r="A170">
        <v>237000</v>
      </c>
      <c r="B170" t="str">
        <f t="shared" si="7"/>
        <v>900142011</v>
      </c>
      <c r="C170">
        <f t="shared" si="8"/>
        <v>201912</v>
      </c>
      <c r="D170">
        <f>IF(OR(C170=1900,$D$144=0),0,VLOOKUP(A170,'Estados Financieros'!$A$11:$H$453,5,0))</f>
        <v>10</v>
      </c>
      <c r="E170" t="str">
        <f t="shared" si="6"/>
        <v>10,000</v>
      </c>
    </row>
    <row r="171" spans="1:5" x14ac:dyDescent="0.25">
      <c r="A171">
        <v>238000</v>
      </c>
      <c r="B171" t="str">
        <f t="shared" si="7"/>
        <v>900142011</v>
      </c>
      <c r="C171">
        <f t="shared" si="8"/>
        <v>201912</v>
      </c>
      <c r="D171">
        <f>IF(OR(C171=1900,$D$144=0),0,VLOOKUP(A171,'Estados Financieros'!$A$11:$H$453,5,0))</f>
        <v>10</v>
      </c>
      <c r="E171" t="str">
        <f t="shared" si="6"/>
        <v>10,000</v>
      </c>
    </row>
    <row r="172" spans="1:5" x14ac:dyDescent="0.25">
      <c r="A172">
        <v>2103</v>
      </c>
      <c r="B172" t="str">
        <f t="shared" si="7"/>
        <v>900142011</v>
      </c>
      <c r="C172">
        <f t="shared" si="8"/>
        <v>201912</v>
      </c>
      <c r="D172">
        <f>IF(OR(C172=1900,$D$144=0),0,VLOOKUP(A172,'Estados Financieros'!$A$11:$H$453,5,0))</f>
        <v>140</v>
      </c>
      <c r="E172" t="str">
        <f t="shared" si="6"/>
        <v>140,000</v>
      </c>
    </row>
    <row r="173" spans="1:5" x14ac:dyDescent="0.25">
      <c r="A173">
        <v>240400</v>
      </c>
      <c r="B173" t="str">
        <f t="shared" si="7"/>
        <v>900142011</v>
      </c>
      <c r="C173">
        <f t="shared" si="8"/>
        <v>201912</v>
      </c>
      <c r="D173">
        <f>IF(OR(C173=1900,$D$144=0),0,VLOOKUP(A173,'Estados Financieros'!$A$11:$H$453,5,0))</f>
        <v>10</v>
      </c>
      <c r="E173" t="str">
        <f t="shared" si="6"/>
        <v>10,000</v>
      </c>
    </row>
    <row r="174" spans="1:5" x14ac:dyDescent="0.25">
      <c r="A174">
        <v>240800</v>
      </c>
      <c r="B174" t="str">
        <f t="shared" si="7"/>
        <v>900142011</v>
      </c>
      <c r="C174">
        <f t="shared" si="8"/>
        <v>201912</v>
      </c>
      <c r="D174">
        <f>IF(OR(C174=1900,$D$144=0),0,VLOOKUP(A174,'Estados Financieros'!$A$11:$H$453,5,0))</f>
        <v>10</v>
      </c>
      <c r="E174" t="str">
        <f t="shared" si="6"/>
        <v>10,000</v>
      </c>
    </row>
    <row r="175" spans="1:5" x14ac:dyDescent="0.25">
      <c r="A175">
        <v>241200</v>
      </c>
      <c r="B175" t="str">
        <f t="shared" si="7"/>
        <v>900142011</v>
      </c>
      <c r="C175">
        <f t="shared" si="8"/>
        <v>201912</v>
      </c>
      <c r="D175">
        <f>IF(OR(C175=1900,$D$144=0),0,VLOOKUP(A175,'Estados Financieros'!$A$11:$H$453,5,0))</f>
        <v>10</v>
      </c>
      <c r="E175" t="str">
        <f t="shared" si="6"/>
        <v>10,000</v>
      </c>
    </row>
    <row r="176" spans="1:5" x14ac:dyDescent="0.25">
      <c r="A176">
        <v>249500</v>
      </c>
      <c r="B176" t="str">
        <f t="shared" si="7"/>
        <v>900142011</v>
      </c>
      <c r="C176">
        <f t="shared" si="8"/>
        <v>201912</v>
      </c>
      <c r="D176">
        <f>IF(OR(C176=1900,$D$144=0),0,VLOOKUP(A176,'Estados Financieros'!$A$11:$H$453,5,0))</f>
        <v>10</v>
      </c>
      <c r="E176" t="str">
        <f t="shared" si="6"/>
        <v>10,000</v>
      </c>
    </row>
    <row r="177" spans="1:5" x14ac:dyDescent="0.25">
      <c r="A177">
        <v>2105</v>
      </c>
      <c r="B177" t="str">
        <f t="shared" si="7"/>
        <v>900142011</v>
      </c>
      <c r="C177">
        <f t="shared" si="8"/>
        <v>201912</v>
      </c>
      <c r="D177">
        <f>IF(OR(C177=1900,$D$144=0),0,VLOOKUP(A177,'Estados Financieros'!$A$11:$H$453,5,0))</f>
        <v>40</v>
      </c>
      <c r="E177" t="str">
        <f t="shared" si="6"/>
        <v>40,000</v>
      </c>
    </row>
    <row r="178" spans="1:5" x14ac:dyDescent="0.25">
      <c r="A178">
        <v>250500</v>
      </c>
      <c r="B178" t="str">
        <f t="shared" si="7"/>
        <v>900142011</v>
      </c>
      <c r="C178">
        <f t="shared" si="8"/>
        <v>201912</v>
      </c>
      <c r="D178">
        <f>IF(OR(C178=1900,$D$144=0),0,VLOOKUP(A178,'Estados Financieros'!$A$11:$H$453,5,0))</f>
        <v>10</v>
      </c>
      <c r="E178" t="str">
        <f t="shared" si="6"/>
        <v>10,000</v>
      </c>
    </row>
    <row r="179" spans="1:5" x14ac:dyDescent="0.25">
      <c r="A179">
        <v>251000</v>
      </c>
      <c r="B179" t="str">
        <f t="shared" si="7"/>
        <v>900142011</v>
      </c>
      <c r="C179">
        <f t="shared" si="8"/>
        <v>201912</v>
      </c>
      <c r="D179">
        <f>IF(OR(C179=1900,$D$144=0),0,VLOOKUP(A179,'Estados Financieros'!$A$11:$H$453,5,0))</f>
        <v>10</v>
      </c>
      <c r="E179" t="str">
        <f t="shared" si="6"/>
        <v>10,000</v>
      </c>
    </row>
    <row r="180" spans="1:5" x14ac:dyDescent="0.25">
      <c r="A180">
        <v>251500</v>
      </c>
      <c r="B180" t="str">
        <f t="shared" si="7"/>
        <v>900142011</v>
      </c>
      <c r="C180">
        <f t="shared" si="8"/>
        <v>201912</v>
      </c>
      <c r="D180">
        <f>IF(OR(C180=1900,$D$144=0),0,VLOOKUP(A180,'Estados Financieros'!$A$11:$H$453,5,0))</f>
        <v>10</v>
      </c>
      <c r="E180" t="str">
        <f t="shared" si="6"/>
        <v>10,000</v>
      </c>
    </row>
    <row r="181" spans="1:5" x14ac:dyDescent="0.25">
      <c r="A181">
        <v>252500</v>
      </c>
      <c r="B181" t="str">
        <f t="shared" si="7"/>
        <v>900142011</v>
      </c>
      <c r="C181">
        <f t="shared" si="8"/>
        <v>201912</v>
      </c>
      <c r="D181">
        <f>IF(OR(C181=1900,$D$144=0),0,VLOOKUP(A181,'Estados Financieros'!$A$11:$H$453,5,0))</f>
        <v>10</v>
      </c>
      <c r="E181" t="str">
        <f t="shared" si="6"/>
        <v>10,000</v>
      </c>
    </row>
    <row r="182" spans="1:5" x14ac:dyDescent="0.25">
      <c r="A182">
        <v>253000</v>
      </c>
      <c r="B182" t="str">
        <f t="shared" si="7"/>
        <v>900142011</v>
      </c>
      <c r="C182">
        <f t="shared" si="8"/>
        <v>201912</v>
      </c>
      <c r="D182">
        <f>IF(OR(C182=1900,$D$144=0),0,VLOOKUP(A182,'Estados Financieros'!$A$11:$H$453,5,0))</f>
        <v>10</v>
      </c>
      <c r="E182" t="str">
        <f t="shared" si="6"/>
        <v>10,000</v>
      </c>
    </row>
    <row r="183" spans="1:5" x14ac:dyDescent="0.25">
      <c r="A183">
        <v>259500</v>
      </c>
      <c r="B183" t="str">
        <f t="shared" si="7"/>
        <v>900142011</v>
      </c>
      <c r="C183">
        <f t="shared" si="8"/>
        <v>201912</v>
      </c>
      <c r="D183">
        <f>IF(OR(C183=1900,$D$144=0),0,VLOOKUP(A183,'Estados Financieros'!$A$11:$H$453,5,0))</f>
        <v>10</v>
      </c>
      <c r="E183" t="str">
        <f t="shared" si="6"/>
        <v>10,000</v>
      </c>
    </row>
    <row r="184" spans="1:5" x14ac:dyDescent="0.25">
      <c r="A184">
        <v>2104</v>
      </c>
      <c r="B184" t="str">
        <f t="shared" si="7"/>
        <v>900142011</v>
      </c>
      <c r="C184">
        <f t="shared" si="8"/>
        <v>201912</v>
      </c>
      <c r="D184">
        <f>IF(OR(C184=1900,$D$144=0),0,VLOOKUP(A184,'Estados Financieros'!$A$11:$H$453,5,0))</f>
        <v>60</v>
      </c>
      <c r="E184" t="str">
        <f t="shared" si="6"/>
        <v>60,000</v>
      </c>
    </row>
    <row r="185" spans="1:5" x14ac:dyDescent="0.25">
      <c r="A185">
        <v>260500</v>
      </c>
      <c r="B185" t="str">
        <f t="shared" si="7"/>
        <v>900142011</v>
      </c>
      <c r="C185">
        <f t="shared" si="8"/>
        <v>201912</v>
      </c>
      <c r="D185">
        <f>IF(OR(C185=1900,$D$144=0),0,VLOOKUP(A185,'Estados Financieros'!$A$11:$H$453,5,0))</f>
        <v>10</v>
      </c>
      <c r="E185" t="str">
        <f t="shared" si="6"/>
        <v>10,000</v>
      </c>
    </row>
    <row r="186" spans="1:5" x14ac:dyDescent="0.25">
      <c r="A186">
        <v>261000</v>
      </c>
      <c r="B186" t="str">
        <f t="shared" si="7"/>
        <v>900142011</v>
      </c>
      <c r="C186">
        <f t="shared" si="8"/>
        <v>201912</v>
      </c>
      <c r="D186">
        <f>IF(OR(C186=1900,$D$144=0),0,VLOOKUP(A186,'Estados Financieros'!$A$11:$H$453,5,0))</f>
        <v>10</v>
      </c>
      <c r="E186" t="str">
        <f t="shared" si="6"/>
        <v>10,000</v>
      </c>
    </row>
    <row r="187" spans="1:5" x14ac:dyDescent="0.25">
      <c r="A187">
        <v>261500</v>
      </c>
      <c r="B187" t="str">
        <f t="shared" si="7"/>
        <v>900142011</v>
      </c>
      <c r="C187">
        <f t="shared" si="8"/>
        <v>201912</v>
      </c>
      <c r="D187">
        <f>IF(OR(C187=1900,$D$144=0),0,VLOOKUP(A187,'Estados Financieros'!$A$11:$H$453,5,0))</f>
        <v>10</v>
      </c>
      <c r="E187" t="str">
        <f t="shared" si="6"/>
        <v>10,000</v>
      </c>
    </row>
    <row r="188" spans="1:5" x14ac:dyDescent="0.25">
      <c r="A188">
        <v>262000</v>
      </c>
      <c r="B188" t="str">
        <f t="shared" si="7"/>
        <v>900142011</v>
      </c>
      <c r="C188">
        <f t="shared" si="8"/>
        <v>201912</v>
      </c>
      <c r="D188">
        <f>IF(OR(C188=1900,$D$144=0),0,VLOOKUP(A188,'Estados Financieros'!$A$11:$H$453,5,0))</f>
        <v>10</v>
      </c>
      <c r="E188" t="str">
        <f t="shared" si="6"/>
        <v>10,000</v>
      </c>
    </row>
    <row r="189" spans="1:5" x14ac:dyDescent="0.25">
      <c r="A189">
        <v>262500</v>
      </c>
      <c r="B189" t="str">
        <f t="shared" si="7"/>
        <v>900142011</v>
      </c>
      <c r="C189">
        <f t="shared" si="8"/>
        <v>201912</v>
      </c>
      <c r="D189">
        <f>IF(OR(C189=1900,$D$144=0),0,VLOOKUP(A189,'Estados Financieros'!$A$11:$H$453,5,0))</f>
        <v>10</v>
      </c>
      <c r="E189" t="str">
        <f t="shared" si="6"/>
        <v>10,000</v>
      </c>
    </row>
    <row r="190" spans="1:5" x14ac:dyDescent="0.25">
      <c r="A190">
        <v>263000</v>
      </c>
      <c r="B190" t="str">
        <f t="shared" si="7"/>
        <v>900142011</v>
      </c>
      <c r="C190">
        <f t="shared" si="8"/>
        <v>201912</v>
      </c>
      <c r="D190">
        <f>IF(OR(C190=1900,$D$144=0),0,VLOOKUP(A190,'Estados Financieros'!$A$11:$H$453,5,0))</f>
        <v>10</v>
      </c>
      <c r="E190" t="str">
        <f t="shared" si="6"/>
        <v>10,000</v>
      </c>
    </row>
    <row r="191" spans="1:5" x14ac:dyDescent="0.25">
      <c r="A191">
        <v>263500</v>
      </c>
      <c r="B191" t="str">
        <f t="shared" si="7"/>
        <v>900142011</v>
      </c>
      <c r="C191">
        <f t="shared" si="8"/>
        <v>201912</v>
      </c>
      <c r="D191">
        <f>IF(OR(C191=1900,$D$144=0),0,VLOOKUP(A191,'Estados Financieros'!$A$11:$H$453,5,0))</f>
        <v>10</v>
      </c>
      <c r="E191" t="str">
        <f t="shared" si="6"/>
        <v>10,000</v>
      </c>
    </row>
    <row r="192" spans="1:5" x14ac:dyDescent="0.25">
      <c r="A192">
        <v>264000</v>
      </c>
      <c r="B192" t="str">
        <f t="shared" si="7"/>
        <v>900142011</v>
      </c>
      <c r="C192">
        <f t="shared" si="8"/>
        <v>201912</v>
      </c>
      <c r="D192">
        <f>IF(OR(C192=1900,$D$144=0),0,VLOOKUP(A192,'Estados Financieros'!$A$11:$H$453,5,0))</f>
        <v>10</v>
      </c>
      <c r="E192" t="str">
        <f t="shared" si="6"/>
        <v>10,000</v>
      </c>
    </row>
    <row r="193" spans="1:5" x14ac:dyDescent="0.25">
      <c r="A193">
        <v>269500</v>
      </c>
      <c r="B193" t="str">
        <f t="shared" si="7"/>
        <v>900142011</v>
      </c>
      <c r="C193">
        <f t="shared" si="8"/>
        <v>201912</v>
      </c>
      <c r="D193">
        <f>IF(OR(C193=1900,$D$144=0),0,VLOOKUP(A193,'Estados Financieros'!$A$11:$H$453,5,0))</f>
        <v>10</v>
      </c>
      <c r="E193" t="str">
        <f t="shared" si="6"/>
        <v>10,000</v>
      </c>
    </row>
    <row r="194" spans="1:5" x14ac:dyDescent="0.25">
      <c r="A194">
        <v>2106</v>
      </c>
      <c r="B194" t="str">
        <f t="shared" si="7"/>
        <v>900142011</v>
      </c>
      <c r="C194">
        <f t="shared" si="8"/>
        <v>201912</v>
      </c>
      <c r="D194">
        <f>IF(OR(C194=1900,$D$144=0),0,VLOOKUP(A194,'Estados Financieros'!$A$11:$H$453,5,0))</f>
        <v>90</v>
      </c>
      <c r="E194" t="str">
        <f t="shared" ref="E194:E257" si="9">IFERROR(FIXED(D194,3,1),0)</f>
        <v>90,000</v>
      </c>
    </row>
    <row r="195" spans="1:5" x14ac:dyDescent="0.25">
      <c r="A195">
        <v>270500</v>
      </c>
      <c r="B195" t="str">
        <f t="shared" ref="B195:B258" si="10">+B194</f>
        <v>900142011</v>
      </c>
      <c r="C195">
        <f t="shared" ref="C195:C258" si="11">+C194</f>
        <v>201912</v>
      </c>
      <c r="D195">
        <f>IF(OR(C195=1900,$D$144=0),0,VLOOKUP(A195,'Estados Financieros'!$A$11:$H$453,5,0))</f>
        <v>10</v>
      </c>
      <c r="E195" t="str">
        <f t="shared" si="9"/>
        <v>10,000</v>
      </c>
    </row>
    <row r="196" spans="1:5" x14ac:dyDescent="0.25">
      <c r="A196">
        <v>271000</v>
      </c>
      <c r="B196" t="str">
        <f t="shared" si="10"/>
        <v>900142011</v>
      </c>
      <c r="C196">
        <f t="shared" si="11"/>
        <v>201912</v>
      </c>
      <c r="D196">
        <f>IF(OR(C196=1900,$D$144=0),0,VLOOKUP(A196,'Estados Financieros'!$A$11:$H$453,5,0))</f>
        <v>10</v>
      </c>
      <c r="E196" t="str">
        <f t="shared" si="9"/>
        <v>10,000</v>
      </c>
    </row>
    <row r="197" spans="1:5" x14ac:dyDescent="0.25">
      <c r="A197">
        <v>272500</v>
      </c>
      <c r="B197" t="str">
        <f t="shared" si="10"/>
        <v>900142011</v>
      </c>
      <c r="C197">
        <f t="shared" si="11"/>
        <v>201912</v>
      </c>
      <c r="D197">
        <f>IF(OR(C197=1900,$D$144=0),0,VLOOKUP(A197,'Estados Financieros'!$A$11:$H$453,5,0))</f>
        <v>10</v>
      </c>
      <c r="E197" t="str">
        <f t="shared" si="9"/>
        <v>10,000</v>
      </c>
    </row>
    <row r="198" spans="1:5" x14ac:dyDescent="0.25">
      <c r="A198">
        <v>279500</v>
      </c>
      <c r="B198" t="str">
        <f t="shared" si="10"/>
        <v>900142011</v>
      </c>
      <c r="C198">
        <f t="shared" si="11"/>
        <v>201912</v>
      </c>
      <c r="D198">
        <f>IF(OR(C198=1900,$D$144=0),0,VLOOKUP(A198,'Estados Financieros'!$A$11:$H$453,5,0))</f>
        <v>10</v>
      </c>
      <c r="E198" t="str">
        <f t="shared" si="9"/>
        <v>10,000</v>
      </c>
    </row>
    <row r="199" spans="1:5" x14ac:dyDescent="0.25">
      <c r="A199">
        <v>2107</v>
      </c>
      <c r="B199" t="str">
        <f t="shared" si="10"/>
        <v>900142011</v>
      </c>
      <c r="C199">
        <f t="shared" si="11"/>
        <v>201912</v>
      </c>
      <c r="D199">
        <f>IF(OR(C199=1900,$D$144=0),0,VLOOKUP(A199,'Estados Financieros'!$A$11:$H$453,5,0))</f>
        <v>40</v>
      </c>
      <c r="E199" t="str">
        <f t="shared" si="9"/>
        <v>40,000</v>
      </c>
    </row>
    <row r="200" spans="1:5" x14ac:dyDescent="0.25">
      <c r="A200">
        <v>281000</v>
      </c>
      <c r="B200" t="str">
        <f t="shared" si="10"/>
        <v>900142011</v>
      </c>
      <c r="C200">
        <f t="shared" si="11"/>
        <v>201912</v>
      </c>
      <c r="D200">
        <f>IF(OR(C200=1900,$D$144=0),0,VLOOKUP(A200,'Estados Financieros'!$A$11:$H$453,5,0))</f>
        <v>10</v>
      </c>
      <c r="E200" t="str">
        <f t="shared" si="9"/>
        <v>10,000</v>
      </c>
    </row>
    <row r="201" spans="1:5" x14ac:dyDescent="0.25">
      <c r="A201">
        <v>282000</v>
      </c>
      <c r="B201" t="str">
        <f t="shared" si="10"/>
        <v>900142011</v>
      </c>
      <c r="C201">
        <f t="shared" si="11"/>
        <v>201912</v>
      </c>
      <c r="D201">
        <f>IF(OR(C201=1900,$D$144=0),0,VLOOKUP(A201,'Estados Financieros'!$A$11:$H$453,5,0))</f>
        <v>10</v>
      </c>
      <c r="E201" t="str">
        <f t="shared" si="9"/>
        <v>10,000</v>
      </c>
    </row>
    <row r="202" spans="1:5" x14ac:dyDescent="0.25">
      <c r="A202">
        <v>282500</v>
      </c>
      <c r="B202" t="str">
        <f t="shared" si="10"/>
        <v>900142011</v>
      </c>
      <c r="C202">
        <f t="shared" si="11"/>
        <v>201912</v>
      </c>
      <c r="D202">
        <f>IF(OR(C202=1900,$D$144=0),0,VLOOKUP(A202,'Estados Financieros'!$A$11:$H$453,5,0))</f>
        <v>10</v>
      </c>
      <c r="E202" t="str">
        <f t="shared" si="9"/>
        <v>10,000</v>
      </c>
    </row>
    <row r="203" spans="1:5" x14ac:dyDescent="0.25">
      <c r="A203">
        <v>284000</v>
      </c>
      <c r="B203" t="str">
        <f t="shared" si="10"/>
        <v>900142011</v>
      </c>
      <c r="C203">
        <f t="shared" si="11"/>
        <v>201912</v>
      </c>
      <c r="D203">
        <f>IF(OR(C203=1900,$D$144=0),0,VLOOKUP(A203,'Estados Financieros'!$A$11:$H$453,5,0))</f>
        <v>10</v>
      </c>
      <c r="E203" t="str">
        <f t="shared" si="9"/>
        <v>10,000</v>
      </c>
    </row>
    <row r="204" spans="1:5" x14ac:dyDescent="0.25">
      <c r="A204">
        <v>289500</v>
      </c>
      <c r="B204" t="str">
        <f t="shared" si="10"/>
        <v>900142011</v>
      </c>
      <c r="C204">
        <f t="shared" si="11"/>
        <v>201912</v>
      </c>
      <c r="D204">
        <f>IF(OR(C204=1900,$D$144=0),0,VLOOKUP(A204,'Estados Financieros'!$A$11:$H$453,5,0))</f>
        <v>10</v>
      </c>
      <c r="E204" t="str">
        <f t="shared" si="9"/>
        <v>10,000</v>
      </c>
    </row>
    <row r="205" spans="1:5" x14ac:dyDescent="0.25">
      <c r="A205">
        <v>2109</v>
      </c>
      <c r="B205" t="str">
        <f t="shared" si="10"/>
        <v>900142011</v>
      </c>
      <c r="C205">
        <f t="shared" si="11"/>
        <v>201912</v>
      </c>
      <c r="D205">
        <f>IF(OR(C205=1900,$D$144=0),0,VLOOKUP(A205,'Estados Financieros'!$A$11:$H$453,5,0))</f>
        <v>50</v>
      </c>
      <c r="E205" t="str">
        <f t="shared" si="9"/>
        <v>50,000</v>
      </c>
    </row>
    <row r="206" spans="1:5" x14ac:dyDescent="0.25">
      <c r="A206">
        <v>21</v>
      </c>
      <c r="B206" t="str">
        <f t="shared" si="10"/>
        <v>900142011</v>
      </c>
      <c r="C206">
        <f t="shared" si="11"/>
        <v>201912</v>
      </c>
      <c r="D206">
        <f>IF(OR(C206=1900,$D$144=0),0,VLOOKUP(A206,'Estados Financieros'!$A$11:$H$453,5,0))</f>
        <v>480</v>
      </c>
      <c r="E206" t="str">
        <f t="shared" si="9"/>
        <v>480,000</v>
      </c>
    </row>
    <row r="207" spans="1:5" x14ac:dyDescent="0.25">
      <c r="A207">
        <v>210501</v>
      </c>
      <c r="B207" t="str">
        <f t="shared" si="10"/>
        <v>900142011</v>
      </c>
      <c r="C207">
        <f t="shared" si="11"/>
        <v>201912</v>
      </c>
      <c r="D207">
        <f>IF(OR(C207=1900,$D$144=0),0,VLOOKUP(A207,'Estados Financieros'!$A$11:$H$453,5,0))</f>
        <v>10</v>
      </c>
      <c r="E207" t="str">
        <f t="shared" si="9"/>
        <v>10,000</v>
      </c>
    </row>
    <row r="208" spans="1:5" x14ac:dyDescent="0.25">
      <c r="A208">
        <v>211001</v>
      </c>
      <c r="B208" t="str">
        <f t="shared" si="10"/>
        <v>900142011</v>
      </c>
      <c r="C208">
        <f t="shared" si="11"/>
        <v>201912</v>
      </c>
      <c r="D208">
        <f>IF(OR(C208=1900,$D$144=0),0,VLOOKUP(A208,'Estados Financieros'!$A$11:$H$453,5,0))</f>
        <v>10</v>
      </c>
      <c r="E208" t="str">
        <f t="shared" si="9"/>
        <v>10,000</v>
      </c>
    </row>
    <row r="209" spans="1:5" x14ac:dyDescent="0.25">
      <c r="A209">
        <v>2201</v>
      </c>
      <c r="B209" t="str">
        <f t="shared" si="10"/>
        <v>900142011</v>
      </c>
      <c r="C209">
        <f t="shared" si="11"/>
        <v>201912</v>
      </c>
      <c r="D209">
        <f>IF(OR(C209=1900,$D$144=0),0,VLOOKUP(A209,'Estados Financieros'!$A$11:$H$453,5,0))</f>
        <v>20</v>
      </c>
      <c r="E209" t="str">
        <f t="shared" si="9"/>
        <v>20,000</v>
      </c>
    </row>
    <row r="210" spans="1:5" x14ac:dyDescent="0.25">
      <c r="A210">
        <v>220501</v>
      </c>
      <c r="B210" t="str">
        <f t="shared" si="10"/>
        <v>900142011</v>
      </c>
      <c r="C210">
        <f t="shared" si="11"/>
        <v>201912</v>
      </c>
      <c r="D210">
        <f>IF(OR(C210=1900,$D$144=0),0,VLOOKUP(A210,'Estados Financieros'!$A$11:$H$453,5,0))</f>
        <v>10</v>
      </c>
      <c r="E210" t="str">
        <f t="shared" si="9"/>
        <v>10,000</v>
      </c>
    </row>
    <row r="211" spans="1:5" x14ac:dyDescent="0.25">
      <c r="A211">
        <v>221001</v>
      </c>
      <c r="B211" t="str">
        <f t="shared" si="10"/>
        <v>900142011</v>
      </c>
      <c r="C211">
        <f t="shared" si="11"/>
        <v>201912</v>
      </c>
      <c r="D211">
        <f>IF(OR(C211=1900,$D$144=0),0,VLOOKUP(A211,'Estados Financieros'!$A$11:$H$453,5,0))</f>
        <v>10</v>
      </c>
      <c r="E211" t="str">
        <f t="shared" si="9"/>
        <v>10,000</v>
      </c>
    </row>
    <row r="212" spans="1:5" x14ac:dyDescent="0.25">
      <c r="A212">
        <v>230501</v>
      </c>
      <c r="B212" t="str">
        <f t="shared" si="10"/>
        <v>900142011</v>
      </c>
      <c r="C212">
        <f t="shared" si="11"/>
        <v>201912</v>
      </c>
      <c r="D212">
        <f>IF(OR(C212=1900,$D$144=0),0,VLOOKUP(A212,'Estados Financieros'!$A$11:$H$453,5,0))</f>
        <v>10</v>
      </c>
      <c r="E212" t="str">
        <f t="shared" si="9"/>
        <v>10,000</v>
      </c>
    </row>
    <row r="213" spans="1:5" x14ac:dyDescent="0.25">
      <c r="A213">
        <v>231001</v>
      </c>
      <c r="B213" t="str">
        <f t="shared" si="10"/>
        <v>900142011</v>
      </c>
      <c r="C213">
        <f t="shared" si="11"/>
        <v>201912</v>
      </c>
      <c r="D213">
        <f>IF(OR(C213=1900,$D$144=0),0,VLOOKUP(A213,'Estados Financieros'!$A$11:$H$453,5,0))</f>
        <v>10</v>
      </c>
      <c r="E213" t="str">
        <f t="shared" si="9"/>
        <v>10,000</v>
      </c>
    </row>
    <row r="214" spans="1:5" x14ac:dyDescent="0.25">
      <c r="A214">
        <v>231501</v>
      </c>
      <c r="B214" t="str">
        <f t="shared" si="10"/>
        <v>900142011</v>
      </c>
      <c r="C214">
        <f t="shared" si="11"/>
        <v>201912</v>
      </c>
      <c r="D214">
        <f>IF(OR(C214=1900,$D$144=0),0,VLOOKUP(A214,'Estados Financieros'!$A$11:$H$453,5,0))</f>
        <v>10</v>
      </c>
      <c r="E214" t="str">
        <f t="shared" si="9"/>
        <v>10,000</v>
      </c>
    </row>
    <row r="215" spans="1:5" x14ac:dyDescent="0.25">
      <c r="A215">
        <v>232001</v>
      </c>
      <c r="B215" t="str">
        <f t="shared" si="10"/>
        <v>900142011</v>
      </c>
      <c r="C215">
        <f t="shared" si="11"/>
        <v>201912</v>
      </c>
      <c r="D215">
        <f>IF(OR(C215=1900,$D$144=0),0,VLOOKUP(A215,'Estados Financieros'!$A$11:$H$453,5,0))</f>
        <v>10</v>
      </c>
      <c r="E215" t="str">
        <f t="shared" si="9"/>
        <v>10,000</v>
      </c>
    </row>
    <row r="216" spans="1:5" x14ac:dyDescent="0.25">
      <c r="A216">
        <v>233501</v>
      </c>
      <c r="B216" t="str">
        <f t="shared" si="10"/>
        <v>900142011</v>
      </c>
      <c r="C216">
        <f t="shared" si="11"/>
        <v>201912</v>
      </c>
      <c r="D216">
        <f>IF(OR(C216=1900,$D$144=0),0,VLOOKUP(A216,'Estados Financieros'!$A$11:$H$453,5,0))</f>
        <v>10</v>
      </c>
      <c r="E216" t="str">
        <f t="shared" si="9"/>
        <v>10,000</v>
      </c>
    </row>
    <row r="217" spans="1:5" x14ac:dyDescent="0.25">
      <c r="A217">
        <v>234501</v>
      </c>
      <c r="B217" t="str">
        <f t="shared" si="10"/>
        <v>900142011</v>
      </c>
      <c r="C217">
        <f t="shared" si="11"/>
        <v>201912</v>
      </c>
      <c r="D217">
        <f>IF(OR(C217=1900,$D$144=0),0,VLOOKUP(A217,'Estados Financieros'!$A$11:$H$453,5,0))</f>
        <v>10</v>
      </c>
      <c r="E217" t="str">
        <f t="shared" si="9"/>
        <v>10,000</v>
      </c>
    </row>
    <row r="218" spans="1:5" x14ac:dyDescent="0.25">
      <c r="A218">
        <v>235001</v>
      </c>
      <c r="B218" t="str">
        <f t="shared" si="10"/>
        <v>900142011</v>
      </c>
      <c r="C218">
        <f t="shared" si="11"/>
        <v>201912</v>
      </c>
      <c r="D218">
        <f>IF(OR(C218=1900,$D$144=0),0,VLOOKUP(A218,'Estados Financieros'!$A$11:$H$453,5,0))</f>
        <v>10</v>
      </c>
      <c r="E218" t="str">
        <f t="shared" si="9"/>
        <v>10,000</v>
      </c>
    </row>
    <row r="219" spans="1:5" x14ac:dyDescent="0.25">
      <c r="A219">
        <v>235501</v>
      </c>
      <c r="B219" t="str">
        <f t="shared" si="10"/>
        <v>900142011</v>
      </c>
      <c r="C219">
        <f t="shared" si="11"/>
        <v>201912</v>
      </c>
      <c r="D219">
        <f>IF(OR(C219=1900,$D$144=0),0,VLOOKUP(A219,'Estados Financieros'!$A$11:$H$453,5,0))</f>
        <v>10</v>
      </c>
      <c r="E219" t="str">
        <f t="shared" si="9"/>
        <v>10,000</v>
      </c>
    </row>
    <row r="220" spans="1:5" x14ac:dyDescent="0.25">
      <c r="A220">
        <v>236001</v>
      </c>
      <c r="B220" t="str">
        <f t="shared" si="10"/>
        <v>900142011</v>
      </c>
      <c r="C220">
        <f t="shared" si="11"/>
        <v>201912</v>
      </c>
      <c r="D220">
        <f>IF(OR(C220=1900,$D$144=0),0,VLOOKUP(A220,'Estados Financieros'!$A$11:$H$453,5,0))</f>
        <v>10</v>
      </c>
      <c r="E220" t="str">
        <f t="shared" si="9"/>
        <v>10,000</v>
      </c>
    </row>
    <row r="221" spans="1:5" x14ac:dyDescent="0.25">
      <c r="A221">
        <v>236501</v>
      </c>
      <c r="B221" t="str">
        <f t="shared" si="10"/>
        <v>900142011</v>
      </c>
      <c r="C221">
        <f t="shared" si="11"/>
        <v>201912</v>
      </c>
      <c r="D221">
        <f>IF(OR(C221=1900,$D$144=0),0,VLOOKUP(A221,'Estados Financieros'!$A$11:$H$453,5,0))</f>
        <v>10</v>
      </c>
      <c r="E221" t="str">
        <f t="shared" si="9"/>
        <v>10,000</v>
      </c>
    </row>
    <row r="222" spans="1:5" x14ac:dyDescent="0.25">
      <c r="A222">
        <v>236701</v>
      </c>
      <c r="B222" t="str">
        <f t="shared" si="10"/>
        <v>900142011</v>
      </c>
      <c r="C222">
        <f t="shared" si="11"/>
        <v>201912</v>
      </c>
      <c r="D222">
        <f>IF(OR(C222=1900,$D$144=0),0,VLOOKUP(A222,'Estados Financieros'!$A$11:$H$453,5,0))</f>
        <v>10</v>
      </c>
      <c r="E222" t="str">
        <f t="shared" si="9"/>
        <v>10,000</v>
      </c>
    </row>
    <row r="223" spans="1:5" x14ac:dyDescent="0.25">
      <c r="A223">
        <v>237001</v>
      </c>
      <c r="B223" t="str">
        <f t="shared" si="10"/>
        <v>900142011</v>
      </c>
      <c r="C223">
        <f t="shared" si="11"/>
        <v>201912</v>
      </c>
      <c r="D223">
        <f>IF(OR(C223=1900,$D$144=0),0,VLOOKUP(A223,'Estados Financieros'!$A$11:$H$453,5,0))</f>
        <v>10</v>
      </c>
      <c r="E223" t="str">
        <f t="shared" si="9"/>
        <v>10,000</v>
      </c>
    </row>
    <row r="224" spans="1:5" x14ac:dyDescent="0.25">
      <c r="A224">
        <v>238001</v>
      </c>
      <c r="B224" t="str">
        <f t="shared" si="10"/>
        <v>900142011</v>
      </c>
      <c r="C224">
        <f t="shared" si="11"/>
        <v>201912</v>
      </c>
      <c r="D224">
        <f>IF(OR(C224=1900,$D$144=0),0,VLOOKUP(A224,'Estados Financieros'!$A$11:$H$453,5,0))</f>
        <v>10</v>
      </c>
      <c r="E224" t="str">
        <f t="shared" si="9"/>
        <v>10,000</v>
      </c>
    </row>
    <row r="225" spans="1:5" x14ac:dyDescent="0.25">
      <c r="A225">
        <v>2203</v>
      </c>
      <c r="B225" t="str">
        <f t="shared" si="10"/>
        <v>900142011</v>
      </c>
      <c r="C225">
        <f t="shared" si="11"/>
        <v>201912</v>
      </c>
      <c r="D225">
        <f>IF(OR(C225=1900,$D$144=0),0,VLOOKUP(A225,'Estados Financieros'!$A$11:$H$453,5,0))</f>
        <v>150</v>
      </c>
      <c r="E225" t="str">
        <f t="shared" si="9"/>
        <v>150,000</v>
      </c>
    </row>
    <row r="226" spans="1:5" x14ac:dyDescent="0.25">
      <c r="A226">
        <v>240401</v>
      </c>
      <c r="B226" t="str">
        <f t="shared" si="10"/>
        <v>900142011</v>
      </c>
      <c r="C226">
        <f t="shared" si="11"/>
        <v>201912</v>
      </c>
      <c r="D226">
        <f>IF(OR(C226=1900,$D$144=0),0,VLOOKUP(A226,'Estados Financieros'!$A$11:$H$453,5,0))</f>
        <v>10</v>
      </c>
      <c r="E226" t="str">
        <f t="shared" si="9"/>
        <v>10,000</v>
      </c>
    </row>
    <row r="227" spans="1:5" x14ac:dyDescent="0.25">
      <c r="A227">
        <v>240801</v>
      </c>
      <c r="B227" t="str">
        <f t="shared" si="10"/>
        <v>900142011</v>
      </c>
      <c r="C227">
        <f t="shared" si="11"/>
        <v>201912</v>
      </c>
      <c r="D227">
        <f>IF(OR(C227=1900,$D$144=0),0,VLOOKUP(A227,'Estados Financieros'!$A$11:$H$453,5,0))</f>
        <v>10</v>
      </c>
      <c r="E227" t="str">
        <f t="shared" si="9"/>
        <v>10,000</v>
      </c>
    </row>
    <row r="228" spans="1:5" x14ac:dyDescent="0.25">
      <c r="A228">
        <v>241201</v>
      </c>
      <c r="B228" t="str">
        <f t="shared" si="10"/>
        <v>900142011</v>
      </c>
      <c r="C228">
        <f t="shared" si="11"/>
        <v>201912</v>
      </c>
      <c r="D228">
        <f>IF(OR(C228=1900,$D$144=0),0,VLOOKUP(A228,'Estados Financieros'!$A$11:$H$453,5,0))</f>
        <v>10</v>
      </c>
      <c r="E228" t="str">
        <f t="shared" si="9"/>
        <v>10,000</v>
      </c>
    </row>
    <row r="229" spans="1:5" x14ac:dyDescent="0.25">
      <c r="A229">
        <v>249501</v>
      </c>
      <c r="B229" t="str">
        <f t="shared" si="10"/>
        <v>900142011</v>
      </c>
      <c r="C229">
        <f t="shared" si="11"/>
        <v>201912</v>
      </c>
      <c r="D229">
        <f>IF(OR(C229=1900,$D$144=0),0,VLOOKUP(A229,'Estados Financieros'!$A$11:$H$453,5,0))</f>
        <v>10</v>
      </c>
      <c r="E229" t="str">
        <f t="shared" si="9"/>
        <v>10,000</v>
      </c>
    </row>
    <row r="230" spans="1:5" x14ac:dyDescent="0.25">
      <c r="A230">
        <v>240001</v>
      </c>
      <c r="B230" t="str">
        <f t="shared" si="10"/>
        <v>900142011</v>
      </c>
      <c r="C230">
        <f t="shared" si="11"/>
        <v>201912</v>
      </c>
      <c r="D230">
        <f>IF(OR(C230=1900,$D$144=0),0,VLOOKUP(A230,'Estados Financieros'!$A$11:$H$453,5,0))</f>
        <v>40</v>
      </c>
      <c r="E230" t="str">
        <f t="shared" si="9"/>
        <v>40,000</v>
      </c>
    </row>
    <row r="231" spans="1:5" x14ac:dyDescent="0.25">
      <c r="A231">
        <v>250501</v>
      </c>
      <c r="B231" t="str">
        <f t="shared" si="10"/>
        <v>900142011</v>
      </c>
      <c r="C231">
        <f t="shared" si="11"/>
        <v>201912</v>
      </c>
      <c r="D231">
        <f>IF(OR(C231=1900,$D$144=0),0,VLOOKUP(A231,'Estados Financieros'!$A$11:$H$453,5,0))</f>
        <v>10</v>
      </c>
      <c r="E231" t="str">
        <f t="shared" si="9"/>
        <v>10,000</v>
      </c>
    </row>
    <row r="232" spans="1:5" x14ac:dyDescent="0.25">
      <c r="A232">
        <v>251001</v>
      </c>
      <c r="B232" t="str">
        <f t="shared" si="10"/>
        <v>900142011</v>
      </c>
      <c r="C232">
        <f t="shared" si="11"/>
        <v>201912</v>
      </c>
      <c r="D232">
        <f>IF(OR(C232=1900,$D$144=0),0,VLOOKUP(A232,'Estados Financieros'!$A$11:$H$453,5,0))</f>
        <v>10</v>
      </c>
      <c r="E232" t="str">
        <f t="shared" si="9"/>
        <v>10,000</v>
      </c>
    </row>
    <row r="233" spans="1:5" x14ac:dyDescent="0.25">
      <c r="A233">
        <v>251501</v>
      </c>
      <c r="B233" t="str">
        <f t="shared" si="10"/>
        <v>900142011</v>
      </c>
      <c r="C233">
        <f t="shared" si="11"/>
        <v>201912</v>
      </c>
      <c r="D233">
        <f>IF(OR(C233=1900,$D$144=0),0,VLOOKUP(A233,'Estados Financieros'!$A$11:$H$453,5,0))</f>
        <v>10</v>
      </c>
      <c r="E233" t="str">
        <f t="shared" si="9"/>
        <v>10,000</v>
      </c>
    </row>
    <row r="234" spans="1:5" x14ac:dyDescent="0.25">
      <c r="A234">
        <v>252501</v>
      </c>
      <c r="B234" t="str">
        <f t="shared" si="10"/>
        <v>900142011</v>
      </c>
      <c r="C234">
        <f t="shared" si="11"/>
        <v>201912</v>
      </c>
      <c r="D234">
        <f>IF(OR(C234=1900,$D$144=0),0,VLOOKUP(A234,'Estados Financieros'!$A$11:$H$453,5,0))</f>
        <v>10</v>
      </c>
      <c r="E234" t="str">
        <f t="shared" si="9"/>
        <v>10,000</v>
      </c>
    </row>
    <row r="235" spans="1:5" x14ac:dyDescent="0.25">
      <c r="A235">
        <v>253001</v>
      </c>
      <c r="B235" t="str">
        <f t="shared" si="10"/>
        <v>900142011</v>
      </c>
      <c r="C235">
        <f t="shared" si="11"/>
        <v>201912</v>
      </c>
      <c r="D235">
        <f>IF(OR(C235=1900,$D$144=0),0,VLOOKUP(A235,'Estados Financieros'!$A$11:$H$453,5,0))</f>
        <v>10</v>
      </c>
      <c r="E235" t="str">
        <f t="shared" si="9"/>
        <v>10,000</v>
      </c>
    </row>
    <row r="236" spans="1:5" x14ac:dyDescent="0.25">
      <c r="A236">
        <v>259501</v>
      </c>
      <c r="B236" t="str">
        <f t="shared" si="10"/>
        <v>900142011</v>
      </c>
      <c r="C236">
        <f t="shared" si="11"/>
        <v>201912</v>
      </c>
      <c r="D236">
        <f>IF(OR(C236=1900,$D$144=0),0,VLOOKUP(A236,'Estados Financieros'!$A$11:$H$453,5,0))</f>
        <v>10</v>
      </c>
      <c r="E236" t="str">
        <f t="shared" si="9"/>
        <v>10,000</v>
      </c>
    </row>
    <row r="237" spans="1:5" x14ac:dyDescent="0.25">
      <c r="A237">
        <v>2204</v>
      </c>
      <c r="B237" t="str">
        <f t="shared" si="10"/>
        <v>900142011</v>
      </c>
      <c r="C237">
        <f t="shared" si="11"/>
        <v>201912</v>
      </c>
      <c r="D237">
        <f>IF(OR(C237=1900,$D$144=0),0,VLOOKUP(A237,'Estados Financieros'!$A$11:$H$453,5,0))</f>
        <v>60</v>
      </c>
      <c r="E237" t="str">
        <f t="shared" si="9"/>
        <v>60,000</v>
      </c>
    </row>
    <row r="238" spans="1:5" x14ac:dyDescent="0.25">
      <c r="A238">
        <v>260501</v>
      </c>
      <c r="B238" t="str">
        <f t="shared" si="10"/>
        <v>900142011</v>
      </c>
      <c r="C238">
        <f t="shared" si="11"/>
        <v>201912</v>
      </c>
      <c r="D238">
        <f>IF(OR(C238=1900,$D$144=0),0,VLOOKUP(A238,'Estados Financieros'!$A$11:$H$453,5,0))</f>
        <v>10</v>
      </c>
      <c r="E238" t="str">
        <f t="shared" si="9"/>
        <v>10,000</v>
      </c>
    </row>
    <row r="239" spans="1:5" x14ac:dyDescent="0.25">
      <c r="A239">
        <v>261001</v>
      </c>
      <c r="B239" t="str">
        <f t="shared" si="10"/>
        <v>900142011</v>
      </c>
      <c r="C239">
        <f t="shared" si="11"/>
        <v>201912</v>
      </c>
      <c r="D239">
        <f>IF(OR(C239=1900,$D$144=0),0,VLOOKUP(A239,'Estados Financieros'!$A$11:$H$453,5,0))</f>
        <v>10</v>
      </c>
      <c r="E239" t="str">
        <f t="shared" si="9"/>
        <v>10,000</v>
      </c>
    </row>
    <row r="240" spans="1:5" x14ac:dyDescent="0.25">
      <c r="A240">
        <v>261501</v>
      </c>
      <c r="B240" t="str">
        <f t="shared" si="10"/>
        <v>900142011</v>
      </c>
      <c r="C240">
        <f t="shared" si="11"/>
        <v>201912</v>
      </c>
      <c r="D240">
        <f>IF(OR(C240=1900,$D$144=0),0,VLOOKUP(A240,'Estados Financieros'!$A$11:$H$453,5,0))</f>
        <v>10</v>
      </c>
      <c r="E240" t="str">
        <f t="shared" si="9"/>
        <v>10,000</v>
      </c>
    </row>
    <row r="241" spans="1:5" x14ac:dyDescent="0.25">
      <c r="A241">
        <v>262001</v>
      </c>
      <c r="B241" t="str">
        <f t="shared" si="10"/>
        <v>900142011</v>
      </c>
      <c r="C241">
        <f t="shared" si="11"/>
        <v>201912</v>
      </c>
      <c r="D241">
        <f>IF(OR(C241=1900,$D$144=0),0,VLOOKUP(A241,'Estados Financieros'!$A$11:$H$453,5,0))</f>
        <v>10</v>
      </c>
      <c r="E241" t="str">
        <f t="shared" si="9"/>
        <v>10,000</v>
      </c>
    </row>
    <row r="242" spans="1:5" x14ac:dyDescent="0.25">
      <c r="A242">
        <v>262501</v>
      </c>
      <c r="B242" t="str">
        <f t="shared" si="10"/>
        <v>900142011</v>
      </c>
      <c r="C242">
        <f t="shared" si="11"/>
        <v>201912</v>
      </c>
      <c r="D242">
        <f>IF(OR(C242=1900,$D$144=0),0,VLOOKUP(A242,'Estados Financieros'!$A$11:$H$453,5,0))</f>
        <v>10</v>
      </c>
      <c r="E242" t="str">
        <f t="shared" si="9"/>
        <v>10,000</v>
      </c>
    </row>
    <row r="243" spans="1:5" x14ac:dyDescent="0.25">
      <c r="A243">
        <v>263001</v>
      </c>
      <c r="B243" t="str">
        <f t="shared" si="10"/>
        <v>900142011</v>
      </c>
      <c r="C243">
        <f t="shared" si="11"/>
        <v>201912</v>
      </c>
      <c r="D243">
        <f>IF(OR(C243=1900,$D$144=0),0,VLOOKUP(A243,'Estados Financieros'!$A$11:$H$453,5,0))</f>
        <v>10</v>
      </c>
      <c r="E243" t="str">
        <f t="shared" si="9"/>
        <v>10,000</v>
      </c>
    </row>
    <row r="244" spans="1:5" x14ac:dyDescent="0.25">
      <c r="A244">
        <v>263501</v>
      </c>
      <c r="B244" t="str">
        <f t="shared" si="10"/>
        <v>900142011</v>
      </c>
      <c r="C244">
        <f t="shared" si="11"/>
        <v>201912</v>
      </c>
      <c r="D244">
        <f>IF(OR(C244=1900,$D$144=0),0,VLOOKUP(A244,'Estados Financieros'!$A$11:$H$453,5,0))</f>
        <v>10</v>
      </c>
      <c r="E244" t="str">
        <f t="shared" si="9"/>
        <v>10,000</v>
      </c>
    </row>
    <row r="245" spans="1:5" x14ac:dyDescent="0.25">
      <c r="A245">
        <v>264001</v>
      </c>
      <c r="B245" t="str">
        <f t="shared" si="10"/>
        <v>900142011</v>
      </c>
      <c r="C245">
        <f t="shared" si="11"/>
        <v>201912</v>
      </c>
      <c r="D245">
        <f>IF(OR(C245=1900,$D$144=0),0,VLOOKUP(A245,'Estados Financieros'!$A$11:$H$453,5,0))</f>
        <v>10</v>
      </c>
      <c r="E245" t="str">
        <f t="shared" si="9"/>
        <v>10,000</v>
      </c>
    </row>
    <row r="246" spans="1:5" x14ac:dyDescent="0.25">
      <c r="A246">
        <v>269501</v>
      </c>
      <c r="B246" t="str">
        <f t="shared" si="10"/>
        <v>900142011</v>
      </c>
      <c r="C246">
        <f t="shared" si="11"/>
        <v>201912</v>
      </c>
      <c r="D246">
        <f>IF(OR(C246=1900,$D$144=0),0,VLOOKUP(A246,'Estados Financieros'!$A$11:$H$453,5,0))</f>
        <v>10</v>
      </c>
      <c r="E246" t="str">
        <f t="shared" si="9"/>
        <v>10,000</v>
      </c>
    </row>
    <row r="247" spans="1:5" x14ac:dyDescent="0.25">
      <c r="A247">
        <v>2206</v>
      </c>
      <c r="B247" t="str">
        <f t="shared" si="10"/>
        <v>900142011</v>
      </c>
      <c r="C247">
        <f t="shared" si="11"/>
        <v>201912</v>
      </c>
      <c r="D247">
        <f>IF(OR(C247=1900,$D$144=0),0,VLOOKUP(A247,'Estados Financieros'!$A$11:$H$453,5,0))</f>
        <v>90</v>
      </c>
      <c r="E247" t="str">
        <f t="shared" si="9"/>
        <v>90,000</v>
      </c>
    </row>
    <row r="248" spans="1:5" x14ac:dyDescent="0.25">
      <c r="A248">
        <v>270501</v>
      </c>
      <c r="B248" t="str">
        <f t="shared" si="10"/>
        <v>900142011</v>
      </c>
      <c r="C248">
        <f t="shared" si="11"/>
        <v>201912</v>
      </c>
      <c r="D248">
        <f>IF(OR(C248=1900,$D$144=0),0,VLOOKUP(A248,'Estados Financieros'!$A$11:$H$453,5,0))</f>
        <v>10</v>
      </c>
      <c r="E248" t="str">
        <f t="shared" si="9"/>
        <v>10,000</v>
      </c>
    </row>
    <row r="249" spans="1:5" x14ac:dyDescent="0.25">
      <c r="A249">
        <v>271001</v>
      </c>
      <c r="B249" t="str">
        <f t="shared" si="10"/>
        <v>900142011</v>
      </c>
      <c r="C249">
        <f t="shared" si="11"/>
        <v>201912</v>
      </c>
      <c r="D249">
        <f>IF(OR(C249=1900,$D$144=0),0,VLOOKUP(A249,'Estados Financieros'!$A$11:$H$453,5,0))</f>
        <v>10</v>
      </c>
      <c r="E249" t="str">
        <f t="shared" si="9"/>
        <v>10,000</v>
      </c>
    </row>
    <row r="250" spans="1:5" x14ac:dyDescent="0.25">
      <c r="A250">
        <v>272001</v>
      </c>
      <c r="B250" t="str">
        <f t="shared" si="10"/>
        <v>900142011</v>
      </c>
      <c r="C250">
        <f t="shared" si="11"/>
        <v>201912</v>
      </c>
      <c r="D250">
        <f>IF(OR(C250=1900,$D$144=0),0,VLOOKUP(A250,'Estados Financieros'!$A$11:$H$453,5,0))</f>
        <v>10</v>
      </c>
      <c r="E250" t="str">
        <f t="shared" si="9"/>
        <v>10,000</v>
      </c>
    </row>
    <row r="251" spans="1:5" x14ac:dyDescent="0.25">
      <c r="A251">
        <v>272501</v>
      </c>
      <c r="B251" t="str">
        <f t="shared" si="10"/>
        <v>900142011</v>
      </c>
      <c r="C251">
        <f t="shared" si="11"/>
        <v>201912</v>
      </c>
      <c r="D251">
        <f>IF(OR(C251=1900,$D$144=0),0,VLOOKUP(A251,'Estados Financieros'!$A$11:$H$453,5,0))</f>
        <v>10</v>
      </c>
      <c r="E251" t="str">
        <f t="shared" si="9"/>
        <v>10,000</v>
      </c>
    </row>
    <row r="252" spans="1:5" x14ac:dyDescent="0.25">
      <c r="A252">
        <v>279501</v>
      </c>
      <c r="B252" t="str">
        <f t="shared" si="10"/>
        <v>900142011</v>
      </c>
      <c r="C252">
        <f t="shared" si="11"/>
        <v>201912</v>
      </c>
      <c r="D252">
        <f>IF(OR(C252=1900,$D$144=0),0,VLOOKUP(A252,'Estados Financieros'!$A$11:$H$453,5,0))</f>
        <v>10</v>
      </c>
      <c r="E252" t="str">
        <f t="shared" si="9"/>
        <v>10,000</v>
      </c>
    </row>
    <row r="253" spans="1:5" x14ac:dyDescent="0.25">
      <c r="A253">
        <v>2207</v>
      </c>
      <c r="B253" t="str">
        <f t="shared" si="10"/>
        <v>900142011</v>
      </c>
      <c r="C253">
        <f t="shared" si="11"/>
        <v>201912</v>
      </c>
      <c r="D253">
        <f>IF(OR(C253=1900,$D$144=0),0,VLOOKUP(A253,'Estados Financieros'!$A$11:$H$453,5,0))</f>
        <v>50</v>
      </c>
      <c r="E253" t="str">
        <f t="shared" si="9"/>
        <v>50,000</v>
      </c>
    </row>
    <row r="254" spans="1:5" x14ac:dyDescent="0.25">
      <c r="A254">
        <v>290501</v>
      </c>
      <c r="B254" t="str">
        <f t="shared" si="10"/>
        <v>900142011</v>
      </c>
      <c r="C254">
        <f t="shared" si="11"/>
        <v>201912</v>
      </c>
      <c r="D254">
        <f>IF(OR(C254=1900,$D$144=0),0,VLOOKUP(A254,'Estados Financieros'!$A$11:$H$453,5,0))</f>
        <v>0</v>
      </c>
      <c r="E254" t="str">
        <f t="shared" si="9"/>
        <v>0,000</v>
      </c>
    </row>
    <row r="255" spans="1:5" x14ac:dyDescent="0.25">
      <c r="A255">
        <v>291991</v>
      </c>
      <c r="B255" t="str">
        <f t="shared" si="10"/>
        <v>900142011</v>
      </c>
      <c r="C255">
        <f t="shared" si="11"/>
        <v>201912</v>
      </c>
      <c r="D255">
        <f>IF(OR(C255=1900,$D$144=0),0,VLOOKUP(A255,'Estados Financieros'!$A$11:$H$453,5,0))</f>
        <v>10</v>
      </c>
      <c r="E255" t="str">
        <f t="shared" si="9"/>
        <v>10,000</v>
      </c>
    </row>
    <row r="256" spans="1:5" x14ac:dyDescent="0.25">
      <c r="A256">
        <v>291501</v>
      </c>
      <c r="B256" t="str">
        <f t="shared" si="10"/>
        <v>900142011</v>
      </c>
      <c r="C256">
        <f t="shared" si="11"/>
        <v>201912</v>
      </c>
      <c r="D256">
        <f>IF(OR(C256=1900,$D$144=0),0,VLOOKUP(A256,'Estados Financieros'!$A$11:$H$453,5,0))</f>
        <v>10</v>
      </c>
      <c r="E256" t="str">
        <f t="shared" si="9"/>
        <v>10,000</v>
      </c>
    </row>
    <row r="257" spans="1:5" x14ac:dyDescent="0.25">
      <c r="A257">
        <v>292001</v>
      </c>
      <c r="B257" t="str">
        <f t="shared" si="10"/>
        <v>900142011</v>
      </c>
      <c r="C257">
        <f t="shared" si="11"/>
        <v>201912</v>
      </c>
      <c r="D257">
        <f>IF(OR(C257=1900,$D$144=0),0,VLOOKUP(A257,'Estados Financieros'!$A$11:$H$453,5,0))</f>
        <v>10</v>
      </c>
      <c r="E257" t="str">
        <f t="shared" si="9"/>
        <v>10,000</v>
      </c>
    </row>
    <row r="258" spans="1:5" x14ac:dyDescent="0.25">
      <c r="A258">
        <v>299501</v>
      </c>
      <c r="B258" t="str">
        <f t="shared" si="10"/>
        <v>900142011</v>
      </c>
      <c r="C258">
        <f t="shared" si="11"/>
        <v>201912</v>
      </c>
      <c r="D258">
        <f>IF(OR(C258=1900,$D$144=0),0,VLOOKUP(A258,'Estados Financieros'!$A$11:$H$453,5,0))</f>
        <v>10</v>
      </c>
      <c r="E258" t="str">
        <f t="shared" ref="E258:E321" si="12">IFERROR(FIXED(D258,3,1),0)</f>
        <v>10,000</v>
      </c>
    </row>
    <row r="259" spans="1:5" x14ac:dyDescent="0.25">
      <c r="A259">
        <v>2209</v>
      </c>
      <c r="B259" t="str">
        <f t="shared" ref="B259:B322" si="13">+B258</f>
        <v>900142011</v>
      </c>
      <c r="C259">
        <f t="shared" ref="C259:C322" si="14">+C258</f>
        <v>201912</v>
      </c>
      <c r="D259">
        <f>IF(OR(C259=1900,$D$144=0),0,VLOOKUP(A259,'Estados Financieros'!$A$11:$H$453,5,0))</f>
        <v>40</v>
      </c>
      <c r="E259" t="str">
        <f t="shared" si="12"/>
        <v>40,000</v>
      </c>
    </row>
    <row r="260" spans="1:5" x14ac:dyDescent="0.25">
      <c r="A260">
        <v>22</v>
      </c>
      <c r="B260" t="str">
        <f t="shared" si="13"/>
        <v>900142011</v>
      </c>
      <c r="C260">
        <f t="shared" si="14"/>
        <v>201912</v>
      </c>
      <c r="D260">
        <f>IF(OR(C260=1900,$D$144=0),0,VLOOKUP(A260,'Estados Financieros'!$A$11:$H$453,5,0))</f>
        <v>450</v>
      </c>
      <c r="E260" t="str">
        <f t="shared" si="12"/>
        <v>450,000</v>
      </c>
    </row>
    <row r="261" spans="1:5" x14ac:dyDescent="0.25">
      <c r="A261">
        <v>2</v>
      </c>
      <c r="B261" t="str">
        <f t="shared" si="13"/>
        <v>900142011</v>
      </c>
      <c r="C261">
        <f t="shared" si="14"/>
        <v>201912</v>
      </c>
      <c r="D261">
        <f>IF(OR(C261=1900,$D$144=0),0,VLOOKUP(A261,'Estados Financieros'!$A$11:$H$453,5,0))</f>
        <v>930</v>
      </c>
      <c r="E261" t="str">
        <f t="shared" si="12"/>
        <v>930,000</v>
      </c>
    </row>
    <row r="262" spans="1:5" x14ac:dyDescent="0.25">
      <c r="A262">
        <v>310500</v>
      </c>
      <c r="B262" t="str">
        <f t="shared" si="13"/>
        <v>900142011</v>
      </c>
      <c r="C262">
        <f t="shared" si="14"/>
        <v>201912</v>
      </c>
      <c r="D262">
        <f>IF(OR(C262=1900,$D$144=0),0,VLOOKUP(A262,'Estados Financieros'!$A$11:$H$453,5,0))</f>
        <v>10</v>
      </c>
      <c r="E262" t="str">
        <f t="shared" si="12"/>
        <v>10,000</v>
      </c>
    </row>
    <row r="263" spans="1:5" x14ac:dyDescent="0.25">
      <c r="A263">
        <v>311500</v>
      </c>
      <c r="B263" t="str">
        <f t="shared" si="13"/>
        <v>900142011</v>
      </c>
      <c r="C263">
        <f t="shared" si="14"/>
        <v>201912</v>
      </c>
      <c r="D263">
        <f>IF(OR(C263=1900,$D$144=0),0,VLOOKUP(A263,'Estados Financieros'!$A$11:$H$453,5,0))</f>
        <v>10</v>
      </c>
      <c r="E263" t="str">
        <f t="shared" si="12"/>
        <v>10,000</v>
      </c>
    </row>
    <row r="264" spans="1:5" x14ac:dyDescent="0.25">
      <c r="A264">
        <v>312000</v>
      </c>
      <c r="B264" t="str">
        <f t="shared" si="13"/>
        <v>900142011</v>
      </c>
      <c r="C264">
        <f t="shared" si="14"/>
        <v>201912</v>
      </c>
      <c r="D264">
        <f>IF(OR(C264=1900,$D$144=0),0,VLOOKUP(A264,'Estados Financieros'!$A$11:$H$453,5,0))</f>
        <v>10</v>
      </c>
      <c r="E264" t="str">
        <f t="shared" si="12"/>
        <v>10,000</v>
      </c>
    </row>
    <row r="265" spans="1:5" x14ac:dyDescent="0.25">
      <c r="A265">
        <v>312500</v>
      </c>
      <c r="B265" t="str">
        <f t="shared" si="13"/>
        <v>900142011</v>
      </c>
      <c r="C265">
        <f t="shared" si="14"/>
        <v>201912</v>
      </c>
      <c r="D265">
        <f>IF(OR(C265=1900,$D$144=0),0,VLOOKUP(A265,'Estados Financieros'!$A$11:$H$453,5,0))</f>
        <v>10</v>
      </c>
      <c r="E265" t="str">
        <f t="shared" si="12"/>
        <v>10,000</v>
      </c>
    </row>
    <row r="266" spans="1:5" x14ac:dyDescent="0.25">
      <c r="A266">
        <v>313000</v>
      </c>
      <c r="B266" t="str">
        <f t="shared" si="13"/>
        <v>900142011</v>
      </c>
      <c r="C266">
        <f t="shared" si="14"/>
        <v>201912</v>
      </c>
      <c r="D266">
        <f>IF(OR(C266=1900,$D$144=0),0,VLOOKUP(A266,'Estados Financieros'!$A$11:$H$453,5,0))</f>
        <v>10</v>
      </c>
      <c r="E266" t="str">
        <f t="shared" si="12"/>
        <v>10,000</v>
      </c>
    </row>
    <row r="267" spans="1:5" x14ac:dyDescent="0.25">
      <c r="A267">
        <v>313500</v>
      </c>
      <c r="B267" t="str">
        <f t="shared" si="13"/>
        <v>900142011</v>
      </c>
      <c r="C267">
        <f t="shared" si="14"/>
        <v>201912</v>
      </c>
      <c r="D267">
        <f>IF(OR(C267=1900,$D$144=0),0,VLOOKUP(A267,'Estados Financieros'!$A$11:$H$453,5,0))</f>
        <v>10</v>
      </c>
      <c r="E267" t="str">
        <f t="shared" si="12"/>
        <v>10,000</v>
      </c>
    </row>
    <row r="268" spans="1:5" x14ac:dyDescent="0.25">
      <c r="A268">
        <v>314000</v>
      </c>
      <c r="B268" t="str">
        <f t="shared" si="13"/>
        <v>900142011</v>
      </c>
      <c r="C268">
        <f t="shared" si="14"/>
        <v>201912</v>
      </c>
      <c r="D268">
        <f>IF(OR(C268=1900,$D$144=0),0,VLOOKUP(A268,'Estados Financieros'!$A$11:$H$453,5,0))</f>
        <v>10</v>
      </c>
      <c r="E268" t="str">
        <f t="shared" si="12"/>
        <v>10,000</v>
      </c>
    </row>
    <row r="269" spans="1:5" x14ac:dyDescent="0.25">
      <c r="A269">
        <v>31</v>
      </c>
      <c r="B269" t="str">
        <f t="shared" si="13"/>
        <v>900142011</v>
      </c>
      <c r="C269">
        <f t="shared" si="14"/>
        <v>201912</v>
      </c>
      <c r="D269">
        <f>IF(OR(C269=1900,$D$144=0),0,VLOOKUP(A269,'Estados Financieros'!$A$11:$H$453,5,0))</f>
        <v>70</v>
      </c>
      <c r="E269" t="str">
        <f t="shared" si="12"/>
        <v>70,000</v>
      </c>
    </row>
    <row r="270" spans="1:5" x14ac:dyDescent="0.25">
      <c r="A270">
        <v>320500</v>
      </c>
      <c r="B270" t="str">
        <f t="shared" si="13"/>
        <v>900142011</v>
      </c>
      <c r="C270">
        <f t="shared" si="14"/>
        <v>201912</v>
      </c>
      <c r="D270">
        <f>IF(OR(C270=1900,$D$144=0),0,VLOOKUP(A270,'Estados Financieros'!$A$11:$H$453,5,0))</f>
        <v>10</v>
      </c>
      <c r="E270" t="str">
        <f t="shared" si="12"/>
        <v>10,000</v>
      </c>
    </row>
    <row r="271" spans="1:5" x14ac:dyDescent="0.25">
      <c r="A271">
        <v>321000</v>
      </c>
      <c r="B271" t="str">
        <f t="shared" si="13"/>
        <v>900142011</v>
      </c>
      <c r="C271">
        <f t="shared" si="14"/>
        <v>201912</v>
      </c>
      <c r="D271">
        <f>IF(OR(C271=1900,$D$144=0),0,VLOOKUP(A271,'Estados Financieros'!$A$11:$H$453,5,0))</f>
        <v>10</v>
      </c>
      <c r="E271" t="str">
        <f t="shared" si="12"/>
        <v>10,000</v>
      </c>
    </row>
    <row r="272" spans="1:5" x14ac:dyDescent="0.25">
      <c r="A272">
        <v>321500</v>
      </c>
      <c r="B272" t="str">
        <f t="shared" si="13"/>
        <v>900142011</v>
      </c>
      <c r="C272">
        <f t="shared" si="14"/>
        <v>201912</v>
      </c>
      <c r="D272">
        <f>IF(OR(C272=1900,$D$144=0),0,VLOOKUP(A272,'Estados Financieros'!$A$11:$H$453,5,0))</f>
        <v>10</v>
      </c>
      <c r="E272" t="str">
        <f t="shared" si="12"/>
        <v>10,000</v>
      </c>
    </row>
    <row r="273" spans="1:5" x14ac:dyDescent="0.25">
      <c r="A273">
        <v>322000</v>
      </c>
      <c r="B273" t="str">
        <f t="shared" si="13"/>
        <v>900142011</v>
      </c>
      <c r="C273">
        <f t="shared" si="14"/>
        <v>201912</v>
      </c>
      <c r="D273">
        <f>IF(OR(C273=1900,$D$144=0),0,VLOOKUP(A273,'Estados Financieros'!$A$11:$H$453,5,0))</f>
        <v>10</v>
      </c>
      <c r="E273" t="str">
        <f t="shared" si="12"/>
        <v>10,000</v>
      </c>
    </row>
    <row r="274" spans="1:5" x14ac:dyDescent="0.25">
      <c r="A274">
        <v>322500</v>
      </c>
      <c r="B274" t="str">
        <f t="shared" si="13"/>
        <v>900142011</v>
      </c>
      <c r="C274">
        <f t="shared" si="14"/>
        <v>201912</v>
      </c>
      <c r="D274">
        <f>IF(OR(C274=1900,$D$144=0),0,VLOOKUP(A274,'Estados Financieros'!$A$11:$H$453,5,0))</f>
        <v>10</v>
      </c>
      <c r="E274" t="str">
        <f t="shared" si="12"/>
        <v>10,000</v>
      </c>
    </row>
    <row r="275" spans="1:5" x14ac:dyDescent="0.25">
      <c r="A275">
        <v>32</v>
      </c>
      <c r="B275" t="str">
        <f t="shared" si="13"/>
        <v>900142011</v>
      </c>
      <c r="C275">
        <f t="shared" si="14"/>
        <v>201912</v>
      </c>
      <c r="D275">
        <f>IF(OR(C275=1900,$D$144=0),0,VLOOKUP(A275,'Estados Financieros'!$A$11:$H$453,5,0))</f>
        <v>50</v>
      </c>
      <c r="E275" t="str">
        <f t="shared" si="12"/>
        <v>50,000</v>
      </c>
    </row>
    <row r="276" spans="1:5" x14ac:dyDescent="0.25">
      <c r="A276">
        <v>330500</v>
      </c>
      <c r="B276" t="str">
        <f t="shared" si="13"/>
        <v>900142011</v>
      </c>
      <c r="C276">
        <f t="shared" si="14"/>
        <v>201912</v>
      </c>
      <c r="D276">
        <f>IF(OR(C276=1900,$D$144=0),0,VLOOKUP(A276,'Estados Financieros'!$A$11:$H$453,5,0))</f>
        <v>10</v>
      </c>
      <c r="E276" t="str">
        <f t="shared" si="12"/>
        <v>10,000</v>
      </c>
    </row>
    <row r="277" spans="1:5" x14ac:dyDescent="0.25">
      <c r="A277">
        <v>331000</v>
      </c>
      <c r="B277" t="str">
        <f t="shared" si="13"/>
        <v>900142011</v>
      </c>
      <c r="C277">
        <f t="shared" si="14"/>
        <v>201912</v>
      </c>
      <c r="D277">
        <f>IF(OR(C277=1900,$D$144=0),0,VLOOKUP(A277,'Estados Financieros'!$A$11:$H$453,5,0))</f>
        <v>10</v>
      </c>
      <c r="E277" t="str">
        <f t="shared" si="12"/>
        <v>10,000</v>
      </c>
    </row>
    <row r="278" spans="1:5" x14ac:dyDescent="0.25">
      <c r="A278">
        <v>331500</v>
      </c>
      <c r="B278" t="str">
        <f t="shared" si="13"/>
        <v>900142011</v>
      </c>
      <c r="C278">
        <f t="shared" si="14"/>
        <v>201912</v>
      </c>
      <c r="D278">
        <f>IF(OR(C278=1900,$D$144=0),0,VLOOKUP(A278,'Estados Financieros'!$A$11:$H$453,5,0))</f>
        <v>10</v>
      </c>
      <c r="E278" t="str">
        <f t="shared" si="12"/>
        <v>10,000</v>
      </c>
    </row>
    <row r="279" spans="1:5" x14ac:dyDescent="0.25">
      <c r="A279">
        <v>33</v>
      </c>
      <c r="B279" t="str">
        <f t="shared" si="13"/>
        <v>900142011</v>
      </c>
      <c r="C279">
        <f t="shared" si="14"/>
        <v>201912</v>
      </c>
      <c r="D279">
        <f>IF(OR(C279=1900,$D$144=0),0,VLOOKUP(A279,'Estados Financieros'!$A$11:$H$453,5,0))</f>
        <v>30</v>
      </c>
      <c r="E279" t="str">
        <f t="shared" si="12"/>
        <v>30,000</v>
      </c>
    </row>
    <row r="280" spans="1:5" x14ac:dyDescent="0.25">
      <c r="A280">
        <v>340505</v>
      </c>
      <c r="B280" t="str">
        <f t="shared" si="13"/>
        <v>900142011</v>
      </c>
      <c r="C280">
        <f t="shared" si="14"/>
        <v>201912</v>
      </c>
      <c r="D280">
        <f>IF(OR(C280=1900,$D$144=0),0,VLOOKUP(A280,'Estados Financieros'!$A$11:$H$453,5,0))</f>
        <v>10</v>
      </c>
      <c r="E280" t="str">
        <f t="shared" si="12"/>
        <v>10,000</v>
      </c>
    </row>
    <row r="281" spans="1:5" x14ac:dyDescent="0.25">
      <c r="A281">
        <v>340515</v>
      </c>
      <c r="B281" t="str">
        <f t="shared" si="13"/>
        <v>900142011</v>
      </c>
      <c r="C281">
        <f t="shared" si="14"/>
        <v>201912</v>
      </c>
      <c r="D281">
        <f>IF(OR(C281=1900,$D$144=0),0,VLOOKUP(A281,'Estados Financieros'!$A$11:$H$453,5,0))</f>
        <v>10</v>
      </c>
      <c r="E281" t="str">
        <f t="shared" si="12"/>
        <v>10,000</v>
      </c>
    </row>
    <row r="282" spans="1:5" x14ac:dyDescent="0.25">
      <c r="A282">
        <v>349500</v>
      </c>
      <c r="B282" t="str">
        <f t="shared" si="13"/>
        <v>900142011</v>
      </c>
      <c r="C282">
        <f t="shared" si="14"/>
        <v>201912</v>
      </c>
      <c r="D282">
        <f>IF(OR(C282=1900,$D$144=0),0,VLOOKUP(A282,'Estados Financieros'!$A$11:$H$453,5,0))</f>
        <v>10</v>
      </c>
      <c r="E282" t="str">
        <f t="shared" si="12"/>
        <v>10,000</v>
      </c>
    </row>
    <row r="283" spans="1:5" x14ac:dyDescent="0.25">
      <c r="A283">
        <v>34</v>
      </c>
      <c r="B283" t="str">
        <f t="shared" si="13"/>
        <v>900142011</v>
      </c>
      <c r="C283">
        <f t="shared" si="14"/>
        <v>201912</v>
      </c>
      <c r="D283">
        <f>IF(OR(C283=1900,$D$144=0),0,VLOOKUP(A283,'Estados Financieros'!$A$11:$H$453,5,0))</f>
        <v>40</v>
      </c>
      <c r="E283" t="str">
        <f t="shared" si="12"/>
        <v>40,000</v>
      </c>
    </row>
    <row r="284" spans="1:5" x14ac:dyDescent="0.25">
      <c r="A284">
        <v>35</v>
      </c>
      <c r="B284" t="str">
        <f t="shared" si="13"/>
        <v>900142011</v>
      </c>
      <c r="C284">
        <f t="shared" si="14"/>
        <v>201912</v>
      </c>
      <c r="D284">
        <f>IF(OR(C284=1900,$D$144=0),0,VLOOKUP(A284,'Estados Financieros'!$A$11:$H$453,5,0))</f>
        <v>10</v>
      </c>
      <c r="E284" t="str">
        <f t="shared" si="12"/>
        <v>10,000</v>
      </c>
    </row>
    <row r="285" spans="1:5" x14ac:dyDescent="0.25">
      <c r="A285">
        <v>36</v>
      </c>
      <c r="B285" t="str">
        <f t="shared" si="13"/>
        <v>900142011</v>
      </c>
      <c r="C285">
        <f t="shared" si="14"/>
        <v>201912</v>
      </c>
      <c r="D285">
        <f>IF(OR(C285=1900,$D$144=0),0,VLOOKUP(A285,'Estados Financieros'!$A$11:$H$453,5,0))</f>
        <v>2810</v>
      </c>
      <c r="E285" t="str">
        <f t="shared" si="12"/>
        <v>2810,000</v>
      </c>
    </row>
    <row r="286" spans="1:5" x14ac:dyDescent="0.25">
      <c r="A286">
        <v>37</v>
      </c>
      <c r="B286" t="str">
        <f t="shared" si="13"/>
        <v>900142011</v>
      </c>
      <c r="C286">
        <f t="shared" si="14"/>
        <v>201912</v>
      </c>
      <c r="D286">
        <f>IF(OR(C286=1900,$D$144=0),0,VLOOKUP(A286,'Estados Financieros'!$A$11:$H$453,5,0))</f>
        <v>10</v>
      </c>
      <c r="E286" t="str">
        <f t="shared" si="12"/>
        <v>10,000</v>
      </c>
    </row>
    <row r="287" spans="1:5" x14ac:dyDescent="0.25">
      <c r="A287">
        <v>38</v>
      </c>
      <c r="B287" t="str">
        <f t="shared" si="13"/>
        <v>900142011</v>
      </c>
      <c r="C287">
        <f t="shared" si="14"/>
        <v>201912</v>
      </c>
      <c r="D287">
        <f>IF(OR(C287=1900,$D$144=0),0,VLOOKUP(A287,'Estados Financieros'!$A$11:$H$453,5,0))</f>
        <v>10</v>
      </c>
      <c r="E287" t="str">
        <f t="shared" si="12"/>
        <v>10,000</v>
      </c>
    </row>
    <row r="288" spans="1:5" x14ac:dyDescent="0.25">
      <c r="A288">
        <v>3</v>
      </c>
      <c r="B288" t="str">
        <f t="shared" si="13"/>
        <v>900142011</v>
      </c>
      <c r="C288">
        <f t="shared" si="14"/>
        <v>201912</v>
      </c>
      <c r="D288">
        <f>IF(OR(C288=1900,$D$144=0),0,VLOOKUP(A288,'Estados Financieros'!$A$11:$H$453,5,0))</f>
        <v>3030</v>
      </c>
      <c r="E288" t="str">
        <f t="shared" si="12"/>
        <v>3030,000</v>
      </c>
    </row>
    <row r="289" spans="1:5" x14ac:dyDescent="0.25">
      <c r="A289">
        <v>0</v>
      </c>
      <c r="B289" t="str">
        <f t="shared" si="13"/>
        <v>900142011</v>
      </c>
      <c r="C289">
        <f t="shared" si="14"/>
        <v>201912</v>
      </c>
      <c r="D289">
        <f>IF(OR(C289=1900,$D$144=0),0,VLOOKUP(A289,'Estados Financieros'!$A$11:$H$453,5,0))</f>
        <v>3960</v>
      </c>
      <c r="E289" t="str">
        <f t="shared" si="12"/>
        <v>3960,000</v>
      </c>
    </row>
    <row r="290" spans="1:5" x14ac:dyDescent="0.25">
      <c r="A290">
        <v>291000</v>
      </c>
      <c r="B290" t="str">
        <f t="shared" si="13"/>
        <v>900142011</v>
      </c>
      <c r="C290">
        <f t="shared" si="14"/>
        <v>201912</v>
      </c>
      <c r="D290">
        <f>IF(OR(C290=1900,$D$144=0),0,VLOOKUP(A290,'Estados Financieros'!$A$11:$H$453,5,0))</f>
        <v>0</v>
      </c>
      <c r="E290" t="str">
        <f t="shared" si="12"/>
        <v>0,000</v>
      </c>
    </row>
    <row r="291" spans="1:5" x14ac:dyDescent="0.25">
      <c r="A291">
        <v>292000</v>
      </c>
      <c r="B291" t="str">
        <f t="shared" si="13"/>
        <v>900142011</v>
      </c>
      <c r="C291">
        <f t="shared" si="14"/>
        <v>201912</v>
      </c>
      <c r="D291">
        <f>IF(OR(C291=1900,$D$144=0),0,VLOOKUP(A291,'Estados Financieros'!$A$11:$H$453,5,0))</f>
        <v>0</v>
      </c>
      <c r="E291" t="str">
        <f t="shared" si="12"/>
        <v>0,000</v>
      </c>
    </row>
    <row r="292" spans="1:5" x14ac:dyDescent="0.25">
      <c r="A292">
        <v>293000</v>
      </c>
      <c r="B292" t="str">
        <f t="shared" si="13"/>
        <v>900142011</v>
      </c>
      <c r="C292">
        <f t="shared" si="14"/>
        <v>201912</v>
      </c>
      <c r="D292">
        <f>IF(OR(C292=1900,$D$144=0),0,VLOOKUP(A292,'Estados Financieros'!$A$11:$H$453,5,0))</f>
        <v>0</v>
      </c>
      <c r="E292" t="str">
        <f t="shared" si="12"/>
        <v>0,000</v>
      </c>
    </row>
    <row r="293" spans="1:5" x14ac:dyDescent="0.25">
      <c r="A293">
        <v>294000</v>
      </c>
      <c r="B293" t="str">
        <f t="shared" si="13"/>
        <v>900142011</v>
      </c>
      <c r="C293">
        <f t="shared" si="14"/>
        <v>201912</v>
      </c>
      <c r="D293">
        <f>IF(OR(C293=1900,$D$144=0),0,VLOOKUP(A293,'Estados Financieros'!$A$11:$H$453,5,0))</f>
        <v>0</v>
      </c>
      <c r="E293" t="str">
        <f t="shared" si="12"/>
        <v>0,000</v>
      </c>
    </row>
    <row r="294" spans="1:5" x14ac:dyDescent="0.25">
      <c r="A294">
        <v>190000</v>
      </c>
      <c r="B294" t="str">
        <f t="shared" si="13"/>
        <v>900142011</v>
      </c>
      <c r="C294">
        <f t="shared" si="14"/>
        <v>201912</v>
      </c>
      <c r="D294">
        <f>IF(OR(C294=1900,$D$144=0),0,VLOOKUP(A294,'Estados Financieros'!$A$11:$H$453,5,0))</f>
        <v>0</v>
      </c>
      <c r="E294" t="str">
        <f t="shared" si="12"/>
        <v>0,000</v>
      </c>
    </row>
    <row r="295" spans="1:5" x14ac:dyDescent="0.25">
      <c r="A295">
        <v>410500</v>
      </c>
      <c r="B295" t="str">
        <f t="shared" si="13"/>
        <v>900142011</v>
      </c>
      <c r="C295">
        <f t="shared" si="14"/>
        <v>201912</v>
      </c>
      <c r="D295">
        <f>IF(OR(C295=1900,$D$144=0),0,VLOOKUP(A295,'Estados Financieros'!$A$11:$H$453,5,0))</f>
        <v>2610</v>
      </c>
      <c r="E295" t="str">
        <f t="shared" si="12"/>
        <v>2610,000</v>
      </c>
    </row>
    <row r="296" spans="1:5" x14ac:dyDescent="0.25">
      <c r="A296">
        <v>411000</v>
      </c>
      <c r="B296" t="str">
        <f t="shared" si="13"/>
        <v>900142011</v>
      </c>
      <c r="C296">
        <f t="shared" si="14"/>
        <v>201912</v>
      </c>
      <c r="D296">
        <f>IF(OR(C296=1900,$D$144=0),0,VLOOKUP(A296,'Estados Financieros'!$A$11:$H$453,5,0))</f>
        <v>1000</v>
      </c>
      <c r="E296" t="str">
        <f t="shared" si="12"/>
        <v>1000,000</v>
      </c>
    </row>
    <row r="297" spans="1:5" x14ac:dyDescent="0.25">
      <c r="A297">
        <v>41</v>
      </c>
      <c r="B297" t="str">
        <f t="shared" si="13"/>
        <v>900142011</v>
      </c>
      <c r="C297">
        <f t="shared" si="14"/>
        <v>201912</v>
      </c>
      <c r="D297">
        <f>+D295+D296</f>
        <v>3610</v>
      </c>
      <c r="E297" t="str">
        <f t="shared" si="12"/>
        <v>3610,000</v>
      </c>
    </row>
    <row r="298" spans="1:5" x14ac:dyDescent="0.25">
      <c r="A298">
        <v>61</v>
      </c>
      <c r="B298" t="str">
        <f t="shared" si="13"/>
        <v>900142011</v>
      </c>
      <c r="C298">
        <f t="shared" si="14"/>
        <v>201912</v>
      </c>
      <c r="D298">
        <f>IF(OR(C298=1900,$D$144=0),0,VLOOKUP(A298,'Estados Financieros'!$A$11:$H$453,5,0))</f>
        <v>500</v>
      </c>
      <c r="E298" t="str">
        <f t="shared" si="12"/>
        <v>500,000</v>
      </c>
    </row>
    <row r="299" spans="1:5" x14ac:dyDescent="0.25">
      <c r="A299">
        <v>606000</v>
      </c>
      <c r="B299" t="str">
        <f t="shared" si="13"/>
        <v>900142011</v>
      </c>
      <c r="C299">
        <f t="shared" si="14"/>
        <v>201912</v>
      </c>
      <c r="D299">
        <f>IF(OR(C299=1900,$D$144=0),0,VLOOKUP(A299,'Estados Financieros'!$A$11:$H$453,5,0))</f>
        <v>0</v>
      </c>
      <c r="E299" t="str">
        <f t="shared" si="12"/>
        <v>0,000</v>
      </c>
    </row>
    <row r="300" spans="1:5" x14ac:dyDescent="0.25">
      <c r="A300">
        <v>95</v>
      </c>
      <c r="B300" t="str">
        <f t="shared" si="13"/>
        <v>900142011</v>
      </c>
      <c r="C300">
        <f t="shared" si="14"/>
        <v>201912</v>
      </c>
      <c r="D300">
        <f>IF(OR(C300=1900,$D$144=0),0,VLOOKUP(A300,'Estados Financieros'!$A$11:$H$453,5,0))</f>
        <v>3110</v>
      </c>
      <c r="E300" t="str">
        <f t="shared" si="12"/>
        <v>3110,000</v>
      </c>
    </row>
    <row r="301" spans="1:5" x14ac:dyDescent="0.25">
      <c r="A301">
        <v>510500</v>
      </c>
      <c r="B301" t="str">
        <f t="shared" si="13"/>
        <v>900142011</v>
      </c>
      <c r="C301">
        <f t="shared" si="14"/>
        <v>201912</v>
      </c>
      <c r="D301">
        <f>IF(OR(C301=1900,$D$144=0),0,VLOOKUP(A301,'Estados Financieros'!$A$11:$H$453,5,0))</f>
        <v>10</v>
      </c>
      <c r="E301" t="str">
        <f t="shared" si="12"/>
        <v>10,000</v>
      </c>
    </row>
    <row r="302" spans="1:5" x14ac:dyDescent="0.25">
      <c r="A302">
        <v>511000</v>
      </c>
      <c r="B302" t="str">
        <f t="shared" si="13"/>
        <v>900142011</v>
      </c>
      <c r="C302">
        <f t="shared" si="14"/>
        <v>201912</v>
      </c>
      <c r="D302">
        <f>IF(OR(C302=1900,$D$144=0),0,VLOOKUP(A302,'Estados Financieros'!$A$11:$H$453,5,0))</f>
        <v>10</v>
      </c>
      <c r="E302" t="str">
        <f t="shared" si="12"/>
        <v>10,000</v>
      </c>
    </row>
    <row r="303" spans="1:5" x14ac:dyDescent="0.25">
      <c r="A303">
        <v>511500</v>
      </c>
      <c r="B303" t="str">
        <f t="shared" si="13"/>
        <v>900142011</v>
      </c>
      <c r="C303">
        <f t="shared" si="14"/>
        <v>201912</v>
      </c>
      <c r="D303">
        <f>IF(OR(C303=1900,$D$144=0),0,VLOOKUP(A303,'Estados Financieros'!$A$11:$H$453,5,0))</f>
        <v>10</v>
      </c>
      <c r="E303" t="str">
        <f t="shared" si="12"/>
        <v>10,000</v>
      </c>
    </row>
    <row r="304" spans="1:5" x14ac:dyDescent="0.25">
      <c r="A304">
        <v>512000</v>
      </c>
      <c r="B304" t="str">
        <f t="shared" si="13"/>
        <v>900142011</v>
      </c>
      <c r="C304">
        <f t="shared" si="14"/>
        <v>201912</v>
      </c>
      <c r="D304">
        <f>IF(OR(C304=1900,$D$144=0),0,VLOOKUP(A304,'Estados Financieros'!$A$11:$H$453,5,0))</f>
        <v>10</v>
      </c>
      <c r="E304" t="str">
        <f t="shared" si="12"/>
        <v>10,000</v>
      </c>
    </row>
    <row r="305" spans="1:5" x14ac:dyDescent="0.25">
      <c r="A305">
        <v>512500</v>
      </c>
      <c r="B305" t="str">
        <f t="shared" si="13"/>
        <v>900142011</v>
      </c>
      <c r="C305">
        <f t="shared" si="14"/>
        <v>201912</v>
      </c>
      <c r="D305">
        <f>IF(OR(C305=1900,$D$144=0),0,VLOOKUP(A305,'Estados Financieros'!$A$11:$H$453,5,0))</f>
        <v>10</v>
      </c>
      <c r="E305" t="str">
        <f t="shared" si="12"/>
        <v>10,000</v>
      </c>
    </row>
    <row r="306" spans="1:5" x14ac:dyDescent="0.25">
      <c r="A306">
        <v>513000</v>
      </c>
      <c r="B306" t="str">
        <f t="shared" si="13"/>
        <v>900142011</v>
      </c>
      <c r="C306">
        <f t="shared" si="14"/>
        <v>201912</v>
      </c>
      <c r="D306">
        <f>IF(OR(C306=1900,$D$144=0),0,VLOOKUP(A306,'Estados Financieros'!$A$11:$H$453,5,0))</f>
        <v>10</v>
      </c>
      <c r="E306" t="str">
        <f t="shared" si="12"/>
        <v>10,000</v>
      </c>
    </row>
    <row r="307" spans="1:5" x14ac:dyDescent="0.25">
      <c r="A307">
        <v>513500</v>
      </c>
      <c r="B307" t="str">
        <f t="shared" si="13"/>
        <v>900142011</v>
      </c>
      <c r="C307">
        <f t="shared" si="14"/>
        <v>201912</v>
      </c>
      <c r="D307">
        <f>IF(OR(C307=1900,$D$144=0),0,VLOOKUP(A307,'Estados Financieros'!$A$11:$H$453,5,0))</f>
        <v>10</v>
      </c>
      <c r="E307" t="str">
        <f t="shared" si="12"/>
        <v>10,000</v>
      </c>
    </row>
    <row r="308" spans="1:5" x14ac:dyDescent="0.25">
      <c r="A308">
        <v>514000</v>
      </c>
      <c r="B308" t="str">
        <f t="shared" si="13"/>
        <v>900142011</v>
      </c>
      <c r="C308">
        <f t="shared" si="14"/>
        <v>201912</v>
      </c>
      <c r="D308">
        <f>IF(OR(C308=1900,$D$144=0),0,VLOOKUP(A308,'Estados Financieros'!$A$11:$H$453,5,0))</f>
        <v>10</v>
      </c>
      <c r="E308" t="str">
        <f t="shared" si="12"/>
        <v>10,000</v>
      </c>
    </row>
    <row r="309" spans="1:5" x14ac:dyDescent="0.25">
      <c r="A309">
        <v>514500</v>
      </c>
      <c r="B309" t="str">
        <f t="shared" si="13"/>
        <v>900142011</v>
      </c>
      <c r="C309">
        <f t="shared" si="14"/>
        <v>201912</v>
      </c>
      <c r="D309">
        <f>IF(OR(C309=1900,$D$144=0),0,VLOOKUP(A309,'Estados Financieros'!$A$11:$H$453,5,0))</f>
        <v>10</v>
      </c>
      <c r="E309" t="str">
        <f t="shared" si="12"/>
        <v>10,000</v>
      </c>
    </row>
    <row r="310" spans="1:5" x14ac:dyDescent="0.25">
      <c r="A310">
        <v>515000</v>
      </c>
      <c r="B310" t="str">
        <f t="shared" si="13"/>
        <v>900142011</v>
      </c>
      <c r="C310">
        <f t="shared" si="14"/>
        <v>201912</v>
      </c>
      <c r="D310">
        <f>IF(OR(C310=1900,$D$144=0),0,VLOOKUP(A310,'Estados Financieros'!$A$11:$H$453,5,0))</f>
        <v>10</v>
      </c>
      <c r="E310" t="str">
        <f t="shared" si="12"/>
        <v>10,000</v>
      </c>
    </row>
    <row r="311" spans="1:5" x14ac:dyDescent="0.25">
      <c r="A311">
        <v>515500</v>
      </c>
      <c r="B311" t="str">
        <f t="shared" si="13"/>
        <v>900142011</v>
      </c>
      <c r="C311">
        <f t="shared" si="14"/>
        <v>201912</v>
      </c>
      <c r="D311">
        <f>IF(OR(C311=1900,$D$144=0),0,VLOOKUP(A311,'Estados Financieros'!$A$11:$H$453,5,0))</f>
        <v>10</v>
      </c>
      <c r="E311" t="str">
        <f t="shared" si="12"/>
        <v>10,000</v>
      </c>
    </row>
    <row r="312" spans="1:5" x14ac:dyDescent="0.25">
      <c r="A312">
        <v>519500</v>
      </c>
      <c r="B312" t="str">
        <f t="shared" si="13"/>
        <v>900142011</v>
      </c>
      <c r="C312">
        <f t="shared" si="14"/>
        <v>201912</v>
      </c>
      <c r="D312">
        <f>IF(OR(C312=1900,$D$144=0),0,VLOOKUP(A312,'Estados Financieros'!$A$11:$H$453,5,0))</f>
        <v>10</v>
      </c>
      <c r="E312" t="str">
        <f t="shared" si="12"/>
        <v>10,000</v>
      </c>
    </row>
    <row r="313" spans="1:5" x14ac:dyDescent="0.25">
      <c r="A313">
        <v>516000</v>
      </c>
      <c r="B313" t="str">
        <f t="shared" si="13"/>
        <v>900142011</v>
      </c>
      <c r="C313">
        <f t="shared" si="14"/>
        <v>201912</v>
      </c>
      <c r="D313">
        <f>IF(OR(C313=1900,$D$144=0),0,VLOOKUP(A313,'Estados Financieros'!$A$11:$H$453,5,0))</f>
        <v>10</v>
      </c>
      <c r="E313" t="str">
        <f t="shared" si="12"/>
        <v>10,000</v>
      </c>
    </row>
    <row r="314" spans="1:5" x14ac:dyDescent="0.25">
      <c r="A314">
        <v>516500</v>
      </c>
      <c r="B314" t="str">
        <f t="shared" si="13"/>
        <v>900142011</v>
      </c>
      <c r="C314">
        <f t="shared" si="14"/>
        <v>201912</v>
      </c>
      <c r="D314">
        <f>IF(OR(C314=1900,$D$144=0),0,VLOOKUP(A314,'Estados Financieros'!$A$11:$H$453,5,0))</f>
        <v>10</v>
      </c>
      <c r="E314" t="str">
        <f t="shared" si="12"/>
        <v>10,000</v>
      </c>
    </row>
    <row r="315" spans="1:5" x14ac:dyDescent="0.25">
      <c r="A315">
        <v>519900</v>
      </c>
      <c r="B315" t="str">
        <f t="shared" si="13"/>
        <v>900142011</v>
      </c>
      <c r="C315">
        <f t="shared" si="14"/>
        <v>201912</v>
      </c>
      <c r="D315">
        <f>IF(OR(C315=1900,$D$144=0),0,VLOOKUP(A315,'Estados Financieros'!$A$11:$H$453,5,0))</f>
        <v>10</v>
      </c>
      <c r="E315" t="str">
        <f t="shared" si="12"/>
        <v>10,000</v>
      </c>
    </row>
    <row r="316" spans="1:5" x14ac:dyDescent="0.25">
      <c r="A316">
        <v>51</v>
      </c>
      <c r="B316" t="str">
        <f t="shared" si="13"/>
        <v>900142011</v>
      </c>
      <c r="C316">
        <f t="shared" si="14"/>
        <v>201912</v>
      </c>
      <c r="D316">
        <f>IF(OR(C316=1900,$D$144=0),0,VLOOKUP(A316,'Estados Financieros'!$A$11:$H$453,5,0))</f>
        <v>150</v>
      </c>
      <c r="E316" t="str">
        <f t="shared" si="12"/>
        <v>150,000</v>
      </c>
    </row>
    <row r="317" spans="1:5" x14ac:dyDescent="0.25">
      <c r="A317">
        <v>520500</v>
      </c>
      <c r="B317" t="str">
        <f t="shared" si="13"/>
        <v>900142011</v>
      </c>
      <c r="C317">
        <f t="shared" si="14"/>
        <v>201912</v>
      </c>
      <c r="D317">
        <f>IF(OR(C317=1900,$D$144=0),0,VLOOKUP(A317,'Estados Financieros'!$A$11:$H$453,5,0))</f>
        <v>10</v>
      </c>
      <c r="E317" t="str">
        <f t="shared" si="12"/>
        <v>10,000</v>
      </c>
    </row>
    <row r="318" spans="1:5" x14ac:dyDescent="0.25">
      <c r="A318">
        <v>521000</v>
      </c>
      <c r="B318" t="str">
        <f t="shared" si="13"/>
        <v>900142011</v>
      </c>
      <c r="C318">
        <f t="shared" si="14"/>
        <v>201912</v>
      </c>
      <c r="D318">
        <f>IF(OR(C318=1900,$D$144=0),0,VLOOKUP(A318,'Estados Financieros'!$A$11:$H$453,5,0))</f>
        <v>10</v>
      </c>
      <c r="E318" t="str">
        <f t="shared" si="12"/>
        <v>10,000</v>
      </c>
    </row>
    <row r="319" spans="1:5" x14ac:dyDescent="0.25">
      <c r="A319">
        <v>521500</v>
      </c>
      <c r="B319" t="str">
        <f t="shared" si="13"/>
        <v>900142011</v>
      </c>
      <c r="C319">
        <f t="shared" si="14"/>
        <v>201912</v>
      </c>
      <c r="D319">
        <f>IF(OR(C319=1900,$D$144=0),0,VLOOKUP(A319,'Estados Financieros'!$A$11:$H$453,5,0))</f>
        <v>10</v>
      </c>
      <c r="E319" t="str">
        <f t="shared" si="12"/>
        <v>10,000</v>
      </c>
    </row>
    <row r="320" spans="1:5" x14ac:dyDescent="0.25">
      <c r="A320">
        <v>522000</v>
      </c>
      <c r="B320" t="str">
        <f t="shared" si="13"/>
        <v>900142011</v>
      </c>
      <c r="C320">
        <f t="shared" si="14"/>
        <v>201912</v>
      </c>
      <c r="D320">
        <f>IF(OR(C320=1900,$D$144=0),0,VLOOKUP(A320,'Estados Financieros'!$A$11:$H$453,5,0))</f>
        <v>10</v>
      </c>
      <c r="E320" t="str">
        <f t="shared" si="12"/>
        <v>10,000</v>
      </c>
    </row>
    <row r="321" spans="1:5" x14ac:dyDescent="0.25">
      <c r="A321">
        <v>522500</v>
      </c>
      <c r="B321" t="str">
        <f t="shared" si="13"/>
        <v>900142011</v>
      </c>
      <c r="C321">
        <f t="shared" si="14"/>
        <v>201912</v>
      </c>
      <c r="D321">
        <f>IF(OR(C321=1900,$D$144=0),0,VLOOKUP(A321,'Estados Financieros'!$A$11:$H$453,5,0))</f>
        <v>10</v>
      </c>
      <c r="E321" t="str">
        <f t="shared" si="12"/>
        <v>10,000</v>
      </c>
    </row>
    <row r="322" spans="1:5" x14ac:dyDescent="0.25">
      <c r="A322">
        <v>523000</v>
      </c>
      <c r="B322" t="str">
        <f t="shared" si="13"/>
        <v>900142011</v>
      </c>
      <c r="C322">
        <f t="shared" si="14"/>
        <v>201912</v>
      </c>
      <c r="D322">
        <f>IF(OR(C322=1900,$D$144=0),0,VLOOKUP(A322,'Estados Financieros'!$A$11:$H$453,5,0))</f>
        <v>10</v>
      </c>
      <c r="E322" t="str">
        <f t="shared" ref="E322:E385" si="15">IFERROR(FIXED(D322,3,1),0)</f>
        <v>10,000</v>
      </c>
    </row>
    <row r="323" spans="1:5" x14ac:dyDescent="0.25">
      <c r="A323">
        <v>523500</v>
      </c>
      <c r="B323" t="str">
        <f t="shared" ref="B323:B363" si="16">+B322</f>
        <v>900142011</v>
      </c>
      <c r="C323">
        <f t="shared" ref="C323:C363" si="17">+C322</f>
        <v>201912</v>
      </c>
      <c r="D323">
        <f>IF(OR(C323=1900,$D$144=0),0,VLOOKUP(A323,'Estados Financieros'!$A$11:$H$453,5,0))</f>
        <v>10</v>
      </c>
      <c r="E323" t="str">
        <f t="shared" si="15"/>
        <v>10,000</v>
      </c>
    </row>
    <row r="324" spans="1:5" x14ac:dyDescent="0.25">
      <c r="A324">
        <v>524000</v>
      </c>
      <c r="B324" t="str">
        <f t="shared" si="16"/>
        <v>900142011</v>
      </c>
      <c r="C324">
        <f t="shared" si="17"/>
        <v>201912</v>
      </c>
      <c r="D324">
        <f>IF(OR(C324=1900,$D$144=0),0,VLOOKUP(A324,'Estados Financieros'!$A$11:$H$453,5,0))</f>
        <v>10</v>
      </c>
      <c r="E324" t="str">
        <f t="shared" si="15"/>
        <v>10,000</v>
      </c>
    </row>
    <row r="325" spans="1:5" x14ac:dyDescent="0.25">
      <c r="A325">
        <v>524500</v>
      </c>
      <c r="B325" t="str">
        <f t="shared" si="16"/>
        <v>900142011</v>
      </c>
      <c r="C325">
        <f t="shared" si="17"/>
        <v>201912</v>
      </c>
      <c r="D325">
        <f>IF(OR(C325=1900,$D$144=0),0,VLOOKUP(A325,'Estados Financieros'!$A$11:$H$453,5,0))</f>
        <v>10</v>
      </c>
      <c r="E325" t="str">
        <f t="shared" si="15"/>
        <v>10,000</v>
      </c>
    </row>
    <row r="326" spans="1:5" x14ac:dyDescent="0.25">
      <c r="A326">
        <v>525000</v>
      </c>
      <c r="B326" t="str">
        <f t="shared" si="16"/>
        <v>900142011</v>
      </c>
      <c r="C326">
        <f t="shared" si="17"/>
        <v>201912</v>
      </c>
      <c r="D326">
        <f>IF(OR(C326=1900,$D$144=0),0,VLOOKUP(A326,'Estados Financieros'!$A$11:$H$453,5,0))</f>
        <v>10</v>
      </c>
      <c r="E326" t="str">
        <f t="shared" si="15"/>
        <v>10,000</v>
      </c>
    </row>
    <row r="327" spans="1:5" x14ac:dyDescent="0.25">
      <c r="A327">
        <v>525500</v>
      </c>
      <c r="B327" t="str">
        <f t="shared" si="16"/>
        <v>900142011</v>
      </c>
      <c r="C327">
        <f t="shared" si="17"/>
        <v>201912</v>
      </c>
      <c r="D327">
        <f>IF(OR(C327=1900,$D$144=0),0,VLOOKUP(A327,'Estados Financieros'!$A$11:$H$453,5,0))</f>
        <v>10</v>
      </c>
      <c r="E327" t="str">
        <f t="shared" si="15"/>
        <v>10,000</v>
      </c>
    </row>
    <row r="328" spans="1:5" x14ac:dyDescent="0.25">
      <c r="A328">
        <v>529500</v>
      </c>
      <c r="B328" t="str">
        <f t="shared" si="16"/>
        <v>900142011</v>
      </c>
      <c r="C328">
        <f t="shared" si="17"/>
        <v>201912</v>
      </c>
      <c r="D328">
        <f>IF(OR(C328=1900,$D$144=0),0,VLOOKUP(A328,'Estados Financieros'!$A$11:$H$453,5,0))</f>
        <v>10</v>
      </c>
      <c r="E328" t="str">
        <f t="shared" si="15"/>
        <v>10,000</v>
      </c>
    </row>
    <row r="329" spans="1:5" x14ac:dyDescent="0.25">
      <c r="A329">
        <v>526000</v>
      </c>
      <c r="B329" t="str">
        <f t="shared" si="16"/>
        <v>900142011</v>
      </c>
      <c r="C329">
        <f t="shared" si="17"/>
        <v>201912</v>
      </c>
      <c r="D329">
        <f>IF(OR(C329=1900,$D$144=0),0,VLOOKUP(A329,'Estados Financieros'!$A$11:$H$453,5,0))</f>
        <v>10</v>
      </c>
      <c r="E329" t="str">
        <f t="shared" si="15"/>
        <v>10,000</v>
      </c>
    </row>
    <row r="330" spans="1:5" x14ac:dyDescent="0.25">
      <c r="A330">
        <v>526500</v>
      </c>
      <c r="B330" t="str">
        <f t="shared" si="16"/>
        <v>900142011</v>
      </c>
      <c r="C330">
        <f t="shared" si="17"/>
        <v>201912</v>
      </c>
      <c r="D330">
        <f>IF(OR(C330=1900,$D$144=0),0,VLOOKUP(A330,'Estados Financieros'!$A$11:$H$453,5,0))</f>
        <v>10</v>
      </c>
      <c r="E330" t="str">
        <f t="shared" si="15"/>
        <v>10,000</v>
      </c>
    </row>
    <row r="331" spans="1:5" x14ac:dyDescent="0.25">
      <c r="A331">
        <v>529900</v>
      </c>
      <c r="B331" t="str">
        <f t="shared" si="16"/>
        <v>900142011</v>
      </c>
      <c r="C331">
        <f t="shared" si="17"/>
        <v>201912</v>
      </c>
      <c r="D331">
        <f>IF(OR(C331=1900,$D$144=0),0,VLOOKUP(A331,'Estados Financieros'!$A$11:$H$453,5,0))</f>
        <v>10</v>
      </c>
      <c r="E331" t="str">
        <f t="shared" si="15"/>
        <v>10,000</v>
      </c>
    </row>
    <row r="332" spans="1:5" x14ac:dyDescent="0.25">
      <c r="A332">
        <v>52</v>
      </c>
      <c r="B332" t="str">
        <f t="shared" si="16"/>
        <v>900142011</v>
      </c>
      <c r="C332">
        <f t="shared" si="17"/>
        <v>201912</v>
      </c>
      <c r="D332">
        <f>IF(OR(C332=1900,$D$144=0),0,VLOOKUP(A332,'Estados Financieros'!$A$11:$H$453,5,0))</f>
        <v>150</v>
      </c>
      <c r="E332" t="str">
        <f t="shared" si="15"/>
        <v>150,000</v>
      </c>
    </row>
    <row r="333" spans="1:5" x14ac:dyDescent="0.25">
      <c r="A333">
        <v>96</v>
      </c>
      <c r="B333" t="str">
        <f t="shared" si="16"/>
        <v>900142011</v>
      </c>
      <c r="C333">
        <f t="shared" si="17"/>
        <v>201912</v>
      </c>
      <c r="D333">
        <f>IF(OR(C333=1900,$D$144=0),0,VLOOKUP(A333,'Estados Financieros'!$A$11:$H$453,5,0))</f>
        <v>2810</v>
      </c>
      <c r="E333" t="str">
        <f t="shared" si="15"/>
        <v>2810,000</v>
      </c>
    </row>
    <row r="334" spans="1:5" x14ac:dyDescent="0.25">
      <c r="A334">
        <v>421000</v>
      </c>
      <c r="B334" t="str">
        <f t="shared" si="16"/>
        <v>900142011</v>
      </c>
      <c r="C334">
        <f t="shared" si="17"/>
        <v>201912</v>
      </c>
      <c r="D334">
        <f>IF(OR(C334=1900,$D$144=0),0,VLOOKUP(A334,'Estados Financieros'!$A$11:$H$453,5,0))</f>
        <v>10</v>
      </c>
      <c r="E334" t="str">
        <f t="shared" si="15"/>
        <v>10,000</v>
      </c>
    </row>
    <row r="335" spans="1:5" x14ac:dyDescent="0.25">
      <c r="A335">
        <v>421020</v>
      </c>
      <c r="B335" t="str">
        <f t="shared" si="16"/>
        <v>900142011</v>
      </c>
      <c r="C335">
        <f t="shared" si="17"/>
        <v>201912</v>
      </c>
      <c r="D335">
        <f>IF(OR(C335=1900,$D$144=0),0,VLOOKUP(A335,'Estados Financieros'!$A$11:$H$453,5,0))</f>
        <v>10</v>
      </c>
      <c r="E335" t="str">
        <f t="shared" si="15"/>
        <v>10,000</v>
      </c>
    </row>
    <row r="336" spans="1:5" x14ac:dyDescent="0.25">
      <c r="A336">
        <v>420500</v>
      </c>
      <c r="B336" t="str">
        <f t="shared" si="16"/>
        <v>900142011</v>
      </c>
      <c r="C336">
        <f t="shared" si="17"/>
        <v>201912</v>
      </c>
      <c r="D336">
        <f>IF(OR(C336=1900,$D$144=0),0,VLOOKUP(A336,'Estados Financieros'!$A$11:$H$453,5,0))</f>
        <v>10</v>
      </c>
      <c r="E336" t="str">
        <f t="shared" si="15"/>
        <v>10,000</v>
      </c>
    </row>
    <row r="337" spans="1:5" x14ac:dyDescent="0.25">
      <c r="A337">
        <v>421040</v>
      </c>
      <c r="B337" t="str">
        <f t="shared" si="16"/>
        <v>900142011</v>
      </c>
      <c r="C337">
        <f t="shared" si="17"/>
        <v>201912</v>
      </c>
      <c r="D337">
        <f>IF(OR(C337=1900,$D$144=0),0,VLOOKUP(A337,'Estados Financieros'!$A$11:$H$453,5,0))</f>
        <v>10</v>
      </c>
      <c r="E337" t="str">
        <f t="shared" si="15"/>
        <v>10,000</v>
      </c>
    </row>
    <row r="338" spans="1:5" x14ac:dyDescent="0.25">
      <c r="A338">
        <v>421500</v>
      </c>
      <c r="B338" t="str">
        <f t="shared" si="16"/>
        <v>900142011</v>
      </c>
      <c r="C338">
        <f t="shared" si="17"/>
        <v>201912</v>
      </c>
      <c r="D338">
        <f>IF(OR(C338=1900,$D$144=0),0,VLOOKUP(A338,'Estados Financieros'!$A$11:$H$453,5,0))</f>
        <v>10</v>
      </c>
      <c r="E338" t="str">
        <f t="shared" si="15"/>
        <v>10,000</v>
      </c>
    </row>
    <row r="339" spans="1:5" x14ac:dyDescent="0.25">
      <c r="A339">
        <v>422000</v>
      </c>
      <c r="B339" t="str">
        <f t="shared" si="16"/>
        <v>900142011</v>
      </c>
      <c r="C339">
        <f t="shared" si="17"/>
        <v>201912</v>
      </c>
      <c r="D339">
        <f>IF(OR(C339=1900,$D$144=0),0,VLOOKUP(A339,'Estados Financieros'!$A$11:$H$453,5,0))</f>
        <v>10</v>
      </c>
      <c r="E339" t="str">
        <f t="shared" si="15"/>
        <v>10,000</v>
      </c>
    </row>
    <row r="340" spans="1:5" x14ac:dyDescent="0.25">
      <c r="A340">
        <v>422500</v>
      </c>
      <c r="B340" t="str">
        <f t="shared" si="16"/>
        <v>900142011</v>
      </c>
      <c r="C340">
        <f t="shared" si="17"/>
        <v>201912</v>
      </c>
      <c r="D340">
        <f>IF(OR(C340=1900,$D$144=0),0,VLOOKUP(A340,'Estados Financieros'!$A$11:$H$453,5,0))</f>
        <v>10</v>
      </c>
      <c r="E340" t="str">
        <f t="shared" si="15"/>
        <v>10,000</v>
      </c>
    </row>
    <row r="341" spans="1:5" x14ac:dyDescent="0.25">
      <c r="A341">
        <v>423500</v>
      </c>
      <c r="B341" t="str">
        <f t="shared" si="16"/>
        <v>900142011</v>
      </c>
      <c r="C341">
        <f t="shared" si="17"/>
        <v>201912</v>
      </c>
      <c r="D341">
        <f>IF(OR(C341=1900,$D$144=0),0,VLOOKUP(A341,'Estados Financieros'!$A$11:$H$453,5,0))</f>
        <v>10</v>
      </c>
      <c r="E341" t="str">
        <f t="shared" si="15"/>
        <v>10,000</v>
      </c>
    </row>
    <row r="342" spans="1:5" x14ac:dyDescent="0.25">
      <c r="A342">
        <v>424000</v>
      </c>
      <c r="B342" t="str">
        <f t="shared" si="16"/>
        <v>900142011</v>
      </c>
      <c r="C342">
        <f t="shared" si="17"/>
        <v>201912</v>
      </c>
      <c r="D342">
        <f>IF(OR(C342=1900,$D$144=0),0,VLOOKUP(A342,'Estados Financieros'!$A$11:$H$453,5,0))</f>
        <v>10</v>
      </c>
      <c r="E342" t="str">
        <f t="shared" si="15"/>
        <v>10,000</v>
      </c>
    </row>
    <row r="343" spans="1:5" x14ac:dyDescent="0.25">
      <c r="A343">
        <v>425000</v>
      </c>
      <c r="B343" t="str">
        <f t="shared" si="16"/>
        <v>900142011</v>
      </c>
      <c r="C343">
        <f t="shared" si="17"/>
        <v>201912</v>
      </c>
      <c r="D343">
        <f>IF(OR(C343=1900,$D$144=0),0,VLOOKUP(A343,'Estados Financieros'!$A$11:$H$453,5,0))</f>
        <v>10</v>
      </c>
      <c r="E343" t="str">
        <f t="shared" si="15"/>
        <v>10,000</v>
      </c>
    </row>
    <row r="344" spans="1:5" x14ac:dyDescent="0.25">
      <c r="A344">
        <v>426500</v>
      </c>
      <c r="B344" t="str">
        <f t="shared" si="16"/>
        <v>900142011</v>
      </c>
      <c r="C344">
        <f t="shared" si="17"/>
        <v>201912</v>
      </c>
      <c r="D344">
        <f>IF(OR(C344=1900,$D$144=0),0,VLOOKUP(A344,'Estados Financieros'!$A$11:$H$453,5,0))</f>
        <v>10</v>
      </c>
      <c r="E344" t="str">
        <f t="shared" si="15"/>
        <v>10,000</v>
      </c>
    </row>
    <row r="345" spans="1:5" x14ac:dyDescent="0.25">
      <c r="A345">
        <v>429500</v>
      </c>
      <c r="B345" t="str">
        <f t="shared" si="16"/>
        <v>900142011</v>
      </c>
      <c r="C345">
        <f t="shared" si="17"/>
        <v>201912</v>
      </c>
      <c r="D345">
        <f>IF(OR(C345=1900,$D$144=0),0,VLOOKUP(A345,'Estados Financieros'!$A$11:$H$453,5,0))</f>
        <v>10</v>
      </c>
      <c r="E345" t="str">
        <f t="shared" si="15"/>
        <v>10,000</v>
      </c>
    </row>
    <row r="346" spans="1:5" x14ac:dyDescent="0.25">
      <c r="A346">
        <v>42</v>
      </c>
      <c r="B346" t="str">
        <f t="shared" si="16"/>
        <v>900142011</v>
      </c>
      <c r="C346">
        <f t="shared" si="17"/>
        <v>201912</v>
      </c>
      <c r="D346">
        <f>IF(OR(C346=1900,$D$144=0),0,VLOOKUP(A346,'Estados Financieros'!$A$11:$H$453,5,0))</f>
        <v>120</v>
      </c>
      <c r="E346" t="str">
        <f t="shared" si="15"/>
        <v>120,000</v>
      </c>
    </row>
    <row r="347" spans="1:5" x14ac:dyDescent="0.25">
      <c r="A347">
        <v>5301</v>
      </c>
      <c r="B347" t="str">
        <f t="shared" si="16"/>
        <v>900142011</v>
      </c>
      <c r="C347">
        <f t="shared" si="17"/>
        <v>201912</v>
      </c>
      <c r="D347">
        <f>IF(OR(C347=1900,$D$144=0),0,VLOOKUP(A347,'Estados Financieros'!$A$11:$H$453,5,0))</f>
        <v>10</v>
      </c>
      <c r="E347" t="str">
        <f t="shared" si="15"/>
        <v>10,000</v>
      </c>
    </row>
    <row r="348" spans="1:5" x14ac:dyDescent="0.25">
      <c r="A348">
        <v>530525</v>
      </c>
      <c r="B348" t="str">
        <f t="shared" si="16"/>
        <v>900142011</v>
      </c>
      <c r="C348">
        <f t="shared" si="17"/>
        <v>201912</v>
      </c>
      <c r="D348">
        <f>IF(OR(C348=1900,$D$144=0),0,VLOOKUP(A348,'Estados Financieros'!$A$11:$H$453,5,0))</f>
        <v>10</v>
      </c>
      <c r="E348" t="str">
        <f t="shared" si="15"/>
        <v>10,000</v>
      </c>
    </row>
    <row r="349" spans="1:5" x14ac:dyDescent="0.25">
      <c r="A349">
        <v>530505</v>
      </c>
      <c r="B349" t="str">
        <f t="shared" si="16"/>
        <v>900142011</v>
      </c>
      <c r="C349">
        <f t="shared" si="17"/>
        <v>201912</v>
      </c>
      <c r="D349">
        <f>IF(OR(C349=1900,$D$144=0),0,VLOOKUP(A349,'Estados Financieros'!$A$11:$H$453,5,0))</f>
        <v>10</v>
      </c>
      <c r="E349" t="str">
        <f t="shared" si="15"/>
        <v>10,000</v>
      </c>
    </row>
    <row r="350" spans="1:5" x14ac:dyDescent="0.25">
      <c r="A350">
        <v>530515</v>
      </c>
      <c r="B350" t="str">
        <f t="shared" si="16"/>
        <v>900142011</v>
      </c>
      <c r="C350">
        <f t="shared" si="17"/>
        <v>201912</v>
      </c>
      <c r="D350">
        <f>IF(OR(C350=1900,$D$144=0),0,VLOOKUP(A350,'Estados Financieros'!$A$11:$H$453,5,0))</f>
        <v>10</v>
      </c>
      <c r="E350" t="str">
        <f t="shared" si="15"/>
        <v>10,000</v>
      </c>
    </row>
    <row r="351" spans="1:5" x14ac:dyDescent="0.25">
      <c r="A351">
        <v>530535</v>
      </c>
      <c r="B351" t="str">
        <f t="shared" si="16"/>
        <v>900142011</v>
      </c>
      <c r="C351">
        <f t="shared" si="17"/>
        <v>201912</v>
      </c>
      <c r="D351">
        <f>IF(OR(C351=1900,$D$144=0),0,VLOOKUP(A351,'Estados Financieros'!$A$11:$H$453,5,0))</f>
        <v>10</v>
      </c>
      <c r="E351" t="str">
        <f t="shared" si="15"/>
        <v>10,000</v>
      </c>
    </row>
    <row r="352" spans="1:5" x14ac:dyDescent="0.25">
      <c r="A352">
        <v>531000</v>
      </c>
      <c r="B352" t="str">
        <f t="shared" si="16"/>
        <v>900142011</v>
      </c>
      <c r="C352">
        <f t="shared" si="17"/>
        <v>201912</v>
      </c>
      <c r="D352">
        <f>IF(OR(C352=1900,$D$144=0),0,VLOOKUP(A352,'Estados Financieros'!$A$11:$H$453,5,0))</f>
        <v>10</v>
      </c>
      <c r="E352" t="str">
        <f t="shared" si="15"/>
        <v>10,000</v>
      </c>
    </row>
    <row r="353" spans="1:5" x14ac:dyDescent="0.25">
      <c r="A353">
        <v>531300</v>
      </c>
      <c r="B353" t="str">
        <f t="shared" si="16"/>
        <v>900142011</v>
      </c>
      <c r="C353">
        <f t="shared" si="17"/>
        <v>201912</v>
      </c>
      <c r="D353">
        <f>IF(OR(C353=1900,$D$144=0),0,VLOOKUP(A353,'Estados Financieros'!$A$11:$H$453,5,0))</f>
        <v>10</v>
      </c>
      <c r="E353" t="str">
        <f t="shared" si="15"/>
        <v>10,000</v>
      </c>
    </row>
    <row r="354" spans="1:5" x14ac:dyDescent="0.25">
      <c r="A354">
        <v>531500</v>
      </c>
      <c r="B354" t="str">
        <f t="shared" si="16"/>
        <v>900142011</v>
      </c>
      <c r="C354">
        <f t="shared" si="17"/>
        <v>201912</v>
      </c>
      <c r="D354">
        <f>IF(OR(C354=1900,$D$144=0),0,VLOOKUP(A354,'Estados Financieros'!$A$11:$H$453,5,0))</f>
        <v>10</v>
      </c>
      <c r="E354" t="str">
        <f t="shared" si="15"/>
        <v>10,000</v>
      </c>
    </row>
    <row r="355" spans="1:5" x14ac:dyDescent="0.25">
      <c r="A355">
        <v>531515</v>
      </c>
      <c r="B355" t="str">
        <f t="shared" si="16"/>
        <v>900142011</v>
      </c>
      <c r="C355">
        <f t="shared" si="17"/>
        <v>201912</v>
      </c>
      <c r="D355">
        <f>IF(OR(C355=1900,$D$144=0),0,VLOOKUP(A355,'Estados Financieros'!$A$11:$H$453,5,0))</f>
        <v>10</v>
      </c>
      <c r="E355" t="str">
        <f t="shared" si="15"/>
        <v>10,000</v>
      </c>
    </row>
    <row r="356" spans="1:5" x14ac:dyDescent="0.25">
      <c r="A356">
        <v>531520</v>
      </c>
      <c r="B356" t="str">
        <f t="shared" si="16"/>
        <v>900142011</v>
      </c>
      <c r="C356">
        <f t="shared" si="17"/>
        <v>201912</v>
      </c>
      <c r="D356">
        <f>IF(OR(C356=1900,$D$144=0),0,VLOOKUP(A356,'Estados Financieros'!$A$11:$H$453,5,0))</f>
        <v>10</v>
      </c>
      <c r="E356" t="str">
        <f t="shared" si="15"/>
        <v>10,000</v>
      </c>
    </row>
    <row r="357" spans="1:5" x14ac:dyDescent="0.25">
      <c r="A357">
        <v>539525</v>
      </c>
      <c r="B357" t="str">
        <f t="shared" si="16"/>
        <v>900142011</v>
      </c>
      <c r="C357">
        <f t="shared" si="17"/>
        <v>201912</v>
      </c>
      <c r="D357">
        <f>IF(OR(C357=1900,$D$144=0),0,VLOOKUP(A357,'Estados Financieros'!$A$11:$H$453,5,0))</f>
        <v>10</v>
      </c>
      <c r="E357" t="str">
        <f t="shared" si="15"/>
        <v>10,000</v>
      </c>
    </row>
    <row r="358" spans="1:5" x14ac:dyDescent="0.25">
      <c r="A358">
        <v>539595</v>
      </c>
      <c r="B358" t="str">
        <f t="shared" si="16"/>
        <v>900142011</v>
      </c>
      <c r="C358">
        <f t="shared" si="17"/>
        <v>201912</v>
      </c>
      <c r="D358">
        <f>IF(OR(C358=1900,$D$144=0),0,VLOOKUP(A358,'Estados Financieros'!$A$11:$H$453,5,0))</f>
        <v>10</v>
      </c>
      <c r="E358" t="str">
        <f t="shared" si="15"/>
        <v>10,000</v>
      </c>
    </row>
    <row r="359" spans="1:5" x14ac:dyDescent="0.25">
      <c r="A359">
        <v>53</v>
      </c>
      <c r="B359" t="str">
        <f t="shared" si="16"/>
        <v>900142011</v>
      </c>
      <c r="C359">
        <f t="shared" si="17"/>
        <v>201912</v>
      </c>
      <c r="D359">
        <f>IF(OR(C359=1900,$D$144=0),0,VLOOKUP(A359,'Estados Financieros'!$A$11:$H$453,5,0))</f>
        <v>120</v>
      </c>
      <c r="E359" t="str">
        <f t="shared" si="15"/>
        <v>120,000</v>
      </c>
    </row>
    <row r="360" spans="1:5" x14ac:dyDescent="0.25">
      <c r="A360">
        <v>98</v>
      </c>
      <c r="B360" t="str">
        <f t="shared" si="16"/>
        <v>900142011</v>
      </c>
      <c r="C360">
        <f t="shared" si="17"/>
        <v>201912</v>
      </c>
      <c r="D360">
        <f>IF(OR(C360=1900,$D$144=0),0,VLOOKUP(A360,'Estados Financieros'!$A$11:$H$453,5,0))</f>
        <v>0</v>
      </c>
      <c r="E360" t="str">
        <f t="shared" si="15"/>
        <v>0,000</v>
      </c>
    </row>
    <row r="361" spans="1:5" x14ac:dyDescent="0.25">
      <c r="A361">
        <v>97</v>
      </c>
      <c r="B361" t="str">
        <f t="shared" si="16"/>
        <v>900142011</v>
      </c>
      <c r="C361">
        <f t="shared" si="17"/>
        <v>201912</v>
      </c>
      <c r="D361">
        <f>IF(OR(C361=1900,$D$144=0),0,VLOOKUP(A361,'Estados Financieros'!$A$11:$H$453,5,0))</f>
        <v>2810</v>
      </c>
      <c r="E361" t="str">
        <f t="shared" si="15"/>
        <v>2810,000</v>
      </c>
    </row>
    <row r="362" spans="1:5" x14ac:dyDescent="0.25">
      <c r="A362">
        <v>54</v>
      </c>
      <c r="B362" t="str">
        <f t="shared" si="16"/>
        <v>900142011</v>
      </c>
      <c r="C362">
        <f t="shared" si="17"/>
        <v>201912</v>
      </c>
      <c r="D362">
        <f>IF(OR(C362=1900,$D$144=0),0,VLOOKUP(A362,'Estados Financieros'!$A$11:$H$453,5,0))</f>
        <v>0</v>
      </c>
      <c r="E362" t="str">
        <f t="shared" si="15"/>
        <v>0,000</v>
      </c>
    </row>
    <row r="363" spans="1:5" x14ac:dyDescent="0.25">
      <c r="A363">
        <v>99</v>
      </c>
      <c r="B363" t="str">
        <f t="shared" si="16"/>
        <v>900142011</v>
      </c>
      <c r="C363">
        <f t="shared" si="17"/>
        <v>201912</v>
      </c>
      <c r="D363">
        <f>IF(OR(C363=1900,$D$144=0),0,VLOOKUP(A363,'Estados Financieros'!$A$11:$H$453,5,0))</f>
        <v>2810</v>
      </c>
      <c r="E363" t="str">
        <f t="shared" si="15"/>
        <v>2810,000</v>
      </c>
    </row>
    <row r="364" spans="1:5" x14ac:dyDescent="0.25">
      <c r="A364">
        <v>110105</v>
      </c>
      <c r="B364" t="str">
        <f>IF(C364=1900,"",'RC'!$D$6)</f>
        <v>900142011</v>
      </c>
      <c r="C364">
        <f>IF(OR('RC'!$D$6=0,'RC'!$D$6=0,'Estados Financieros'!$F$178=0,'Estados Financieros'!$F$375&lt;&gt;"OK",'Estados Financieros'!$F$458&lt;&gt;"OK",'Estados Financieros'!$F$460&lt;&gt;"OK"),1900,'Estados Financieros'!$L$4+0)</f>
        <v>202012</v>
      </c>
      <c r="D364">
        <f>IF(OR(C364=1900,$D$506=0),0,VLOOKUP(A364,'Estados Financieros'!$A$11:$H$453,6,0))</f>
        <v>30</v>
      </c>
      <c r="E364" t="str">
        <f t="shared" si="15"/>
        <v>30,000</v>
      </c>
    </row>
    <row r="365" spans="1:5" x14ac:dyDescent="0.25">
      <c r="A365">
        <v>110110</v>
      </c>
      <c r="B365" t="str">
        <f t="shared" ref="B365:B396" si="18">+B364</f>
        <v>900142011</v>
      </c>
      <c r="C365">
        <f t="shared" ref="C365:C396" si="19">+C364</f>
        <v>202012</v>
      </c>
      <c r="D365">
        <f>IF(OR(C365=1900,$D$506=0),0,VLOOKUP(A365,'Estados Financieros'!$A$11:$H$453,6,0))</f>
        <v>30</v>
      </c>
      <c r="E365" t="str">
        <f t="shared" si="15"/>
        <v>30,000</v>
      </c>
    </row>
    <row r="366" spans="1:5" x14ac:dyDescent="0.25">
      <c r="A366">
        <v>111010</v>
      </c>
      <c r="B366" t="str">
        <f t="shared" si="18"/>
        <v>900142011</v>
      </c>
      <c r="C366">
        <f t="shared" si="19"/>
        <v>202012</v>
      </c>
      <c r="D366">
        <f>IF(OR(C366=1900,$D$506=0),0,VLOOKUP(A366,'Estados Financieros'!$A$11:$H$453,6,0))</f>
        <v>30</v>
      </c>
      <c r="E366" t="str">
        <f t="shared" si="15"/>
        <v>30,000</v>
      </c>
    </row>
    <row r="367" spans="1:5" x14ac:dyDescent="0.25">
      <c r="A367">
        <v>110130</v>
      </c>
      <c r="B367" t="str">
        <f t="shared" si="18"/>
        <v>900142011</v>
      </c>
      <c r="C367">
        <f t="shared" si="19"/>
        <v>202012</v>
      </c>
      <c r="D367">
        <f>IF(OR(C367=1900,$D$506=0),0,VLOOKUP(A367,'Estados Financieros'!$A$11:$H$453,6,0))</f>
        <v>30</v>
      </c>
      <c r="E367" t="str">
        <f t="shared" si="15"/>
        <v>30,000</v>
      </c>
    </row>
    <row r="368" spans="1:5" x14ac:dyDescent="0.25">
      <c r="A368">
        <v>110125</v>
      </c>
      <c r="B368" t="str">
        <f t="shared" si="18"/>
        <v>900142011</v>
      </c>
      <c r="C368">
        <f t="shared" si="19"/>
        <v>202012</v>
      </c>
      <c r="D368">
        <f>IF(OR(C368=1900,$D$506=0),0,VLOOKUP(A368,'Estados Financieros'!$A$11:$H$453,6,0))</f>
        <v>30</v>
      </c>
      <c r="E368" t="str">
        <f t="shared" si="15"/>
        <v>30,000</v>
      </c>
    </row>
    <row r="369" spans="1:5" x14ac:dyDescent="0.25">
      <c r="A369">
        <v>1101</v>
      </c>
      <c r="B369" t="str">
        <f t="shared" si="18"/>
        <v>900142011</v>
      </c>
      <c r="C369">
        <f t="shared" si="19"/>
        <v>202012</v>
      </c>
      <c r="D369">
        <f>IF(OR(C369=1900,$D$506=0),0,VLOOKUP(A369,'Estados Financieros'!$A$11:$H$453,6,0))</f>
        <v>150</v>
      </c>
      <c r="E369" t="str">
        <f t="shared" si="15"/>
        <v>150,000</v>
      </c>
    </row>
    <row r="370" spans="1:5" x14ac:dyDescent="0.25">
      <c r="A370">
        <v>110205</v>
      </c>
      <c r="B370" t="str">
        <f t="shared" si="18"/>
        <v>900142011</v>
      </c>
      <c r="C370">
        <f t="shared" si="19"/>
        <v>202012</v>
      </c>
      <c r="D370">
        <f>IF(OR(C370=1900,$D$506=0),0,VLOOKUP(A370,'Estados Financieros'!$A$11:$H$453,6,0))</f>
        <v>30</v>
      </c>
      <c r="E370" t="str">
        <f t="shared" si="15"/>
        <v>30,000</v>
      </c>
    </row>
    <row r="371" spans="1:5" x14ac:dyDescent="0.25">
      <c r="A371">
        <v>110210</v>
      </c>
      <c r="B371" t="str">
        <f t="shared" si="18"/>
        <v>900142011</v>
      </c>
      <c r="C371">
        <f t="shared" si="19"/>
        <v>202012</v>
      </c>
      <c r="D371">
        <f>IF(OR(C371=1900,$D$506=0),0,VLOOKUP(A371,'Estados Financieros'!$A$11:$H$453,6,0))</f>
        <v>30</v>
      </c>
      <c r="E371" t="str">
        <f t="shared" si="15"/>
        <v>30,000</v>
      </c>
    </row>
    <row r="372" spans="1:5" x14ac:dyDescent="0.25">
      <c r="A372">
        <v>110215</v>
      </c>
      <c r="B372" t="str">
        <f t="shared" si="18"/>
        <v>900142011</v>
      </c>
      <c r="C372">
        <f t="shared" si="19"/>
        <v>202012</v>
      </c>
      <c r="D372">
        <f>IF(OR(C372=1900,$D$506=0),0,VLOOKUP(A372,'Estados Financieros'!$A$11:$H$453,6,0))</f>
        <v>30</v>
      </c>
      <c r="E372" t="str">
        <f t="shared" si="15"/>
        <v>30,000</v>
      </c>
    </row>
    <row r="373" spans="1:5" x14ac:dyDescent="0.25">
      <c r="A373">
        <v>110225</v>
      </c>
      <c r="B373" t="str">
        <f t="shared" si="18"/>
        <v>900142011</v>
      </c>
      <c r="C373">
        <f t="shared" si="19"/>
        <v>202012</v>
      </c>
      <c r="D373">
        <f>IF(OR(C373=1900,$D$506=0),0,VLOOKUP(A373,'Estados Financieros'!$A$11:$H$453,6,0))</f>
        <v>30</v>
      </c>
      <c r="E373" t="str">
        <f t="shared" si="15"/>
        <v>30,000</v>
      </c>
    </row>
    <row r="374" spans="1:5" x14ac:dyDescent="0.25">
      <c r="A374">
        <v>110235</v>
      </c>
      <c r="B374" t="str">
        <f t="shared" si="18"/>
        <v>900142011</v>
      </c>
      <c r="C374">
        <f t="shared" si="19"/>
        <v>202012</v>
      </c>
      <c r="D374">
        <f>IF(OR(C374=1900,$D$506=0),0,VLOOKUP(A374,'Estados Financieros'!$A$11:$H$453,6,0))</f>
        <v>30</v>
      </c>
      <c r="E374" t="str">
        <f t="shared" si="15"/>
        <v>30,000</v>
      </c>
    </row>
    <row r="375" spans="1:5" x14ac:dyDescent="0.25">
      <c r="A375">
        <v>110255</v>
      </c>
      <c r="B375" t="str">
        <f t="shared" si="18"/>
        <v>900142011</v>
      </c>
      <c r="C375">
        <f t="shared" si="19"/>
        <v>202012</v>
      </c>
      <c r="D375">
        <f>IF(OR(C375=1900,$D$506=0),0,VLOOKUP(A375,'Estados Financieros'!$A$11:$H$453,6,0))</f>
        <v>30</v>
      </c>
      <c r="E375" t="str">
        <f t="shared" si="15"/>
        <v>30,000</v>
      </c>
    </row>
    <row r="376" spans="1:5" x14ac:dyDescent="0.25">
      <c r="A376">
        <v>129700</v>
      </c>
      <c r="B376" t="str">
        <f t="shared" si="18"/>
        <v>900142011</v>
      </c>
      <c r="C376">
        <f t="shared" si="19"/>
        <v>202012</v>
      </c>
      <c r="D376">
        <f>IF(OR(C376=1900,$D$506=0),0,VLOOKUP(A376,'Estados Financieros'!$A$11:$H$453,6,0))</f>
        <v>30</v>
      </c>
      <c r="E376" t="str">
        <f t="shared" si="15"/>
        <v>30,000</v>
      </c>
    </row>
    <row r="377" spans="1:5" x14ac:dyDescent="0.25">
      <c r="A377">
        <v>110260</v>
      </c>
      <c r="B377" t="str">
        <f t="shared" si="18"/>
        <v>900142011</v>
      </c>
      <c r="C377">
        <f t="shared" si="19"/>
        <v>202012</v>
      </c>
      <c r="D377">
        <f>IF(OR(C377=1900,$D$506=0),0,VLOOKUP(A377,'Estados Financieros'!$A$11:$H$453,6,0))</f>
        <v>30</v>
      </c>
      <c r="E377" t="str">
        <f t="shared" si="15"/>
        <v>30,000</v>
      </c>
    </row>
    <row r="378" spans="1:5" x14ac:dyDescent="0.25">
      <c r="A378">
        <v>1102</v>
      </c>
      <c r="B378" t="str">
        <f t="shared" si="18"/>
        <v>900142011</v>
      </c>
      <c r="C378">
        <f t="shared" si="19"/>
        <v>202012</v>
      </c>
      <c r="D378">
        <f>IF(OR(C378=1900,$D$506=0),0,VLOOKUP(A378,'Estados Financieros'!$A$11:$H$453,6,0))</f>
        <v>240</v>
      </c>
      <c r="E378" t="str">
        <f t="shared" si="15"/>
        <v>240,000</v>
      </c>
    </row>
    <row r="379" spans="1:5" x14ac:dyDescent="0.25">
      <c r="A379">
        <v>110305</v>
      </c>
      <c r="B379" t="str">
        <f t="shared" si="18"/>
        <v>900142011</v>
      </c>
      <c r="C379">
        <f t="shared" si="19"/>
        <v>202012</v>
      </c>
      <c r="D379">
        <f>IF(OR(C379=1900,$D$506=0),0,VLOOKUP(A379,'Estados Financieros'!$A$11:$H$453,6,0))</f>
        <v>30</v>
      </c>
      <c r="E379" t="str">
        <f t="shared" si="15"/>
        <v>30,000</v>
      </c>
    </row>
    <row r="380" spans="1:5" x14ac:dyDescent="0.25">
      <c r="A380">
        <v>130510</v>
      </c>
      <c r="B380" t="str">
        <f t="shared" si="18"/>
        <v>900142011</v>
      </c>
      <c r="C380">
        <f t="shared" si="19"/>
        <v>202012</v>
      </c>
      <c r="D380">
        <f>IF(OR(C380=1900,$D$506=0),0,VLOOKUP(A380,'Estados Financieros'!$A$11:$H$453,6,0))</f>
        <v>30</v>
      </c>
      <c r="E380" t="str">
        <f t="shared" si="15"/>
        <v>30,000</v>
      </c>
    </row>
    <row r="381" spans="1:5" x14ac:dyDescent="0.25">
      <c r="A381">
        <v>131000</v>
      </c>
      <c r="B381" t="str">
        <f t="shared" si="18"/>
        <v>900142011</v>
      </c>
      <c r="C381">
        <f t="shared" si="19"/>
        <v>202012</v>
      </c>
      <c r="D381">
        <f>IF(OR(C381=1900,$D$506=0),0,VLOOKUP(A381,'Estados Financieros'!$A$11:$H$453,6,0))</f>
        <v>30</v>
      </c>
      <c r="E381" t="str">
        <f t="shared" si="15"/>
        <v>30,000</v>
      </c>
    </row>
    <row r="382" spans="1:5" x14ac:dyDescent="0.25">
      <c r="A382">
        <v>110390</v>
      </c>
      <c r="B382" t="str">
        <f t="shared" si="18"/>
        <v>900142011</v>
      </c>
      <c r="C382">
        <f t="shared" si="19"/>
        <v>202012</v>
      </c>
      <c r="D382">
        <f>IF(OR(C382=1900,$D$506=0),0,VLOOKUP(A382,'Estados Financieros'!$A$11:$H$453,6,0))</f>
        <v>30</v>
      </c>
      <c r="E382" t="str">
        <f t="shared" si="15"/>
        <v>30,000</v>
      </c>
    </row>
    <row r="383" spans="1:5" x14ac:dyDescent="0.25">
      <c r="A383">
        <v>110395</v>
      </c>
      <c r="B383" t="str">
        <f t="shared" si="18"/>
        <v>900142011</v>
      </c>
      <c r="C383">
        <f t="shared" si="19"/>
        <v>202012</v>
      </c>
      <c r="D383">
        <f>IF(OR(C383=1900,$D$506=0),0,VLOOKUP(A383,'Estados Financieros'!$A$11:$H$453,6,0))</f>
        <v>30</v>
      </c>
      <c r="E383" t="str">
        <f t="shared" si="15"/>
        <v>30,000</v>
      </c>
    </row>
    <row r="384" spans="1:5" x14ac:dyDescent="0.25">
      <c r="A384">
        <v>1103</v>
      </c>
      <c r="B384" t="str">
        <f t="shared" si="18"/>
        <v>900142011</v>
      </c>
      <c r="C384">
        <f t="shared" si="19"/>
        <v>202012</v>
      </c>
      <c r="D384">
        <f>IF(OR(C384=1900,$D$506=0),0,VLOOKUP(A384,'Estados Financieros'!$A$11:$H$453,6,0))</f>
        <v>90</v>
      </c>
      <c r="E384" t="str">
        <f t="shared" si="15"/>
        <v>90,000</v>
      </c>
    </row>
    <row r="385" spans="1:5" x14ac:dyDescent="0.25">
      <c r="A385">
        <v>132000</v>
      </c>
      <c r="B385" t="str">
        <f t="shared" si="18"/>
        <v>900142011</v>
      </c>
      <c r="C385">
        <f t="shared" si="19"/>
        <v>202012</v>
      </c>
      <c r="D385">
        <f>IF(OR(C385=1900,$D$506=0),0,VLOOKUP(A385,'Estados Financieros'!$A$11:$H$453,6,0))</f>
        <v>30</v>
      </c>
      <c r="E385" t="str">
        <f t="shared" si="15"/>
        <v>30,000</v>
      </c>
    </row>
    <row r="386" spans="1:5" x14ac:dyDescent="0.25">
      <c r="A386">
        <v>132500</v>
      </c>
      <c r="B386" t="str">
        <f t="shared" si="18"/>
        <v>900142011</v>
      </c>
      <c r="C386">
        <f t="shared" si="19"/>
        <v>202012</v>
      </c>
      <c r="D386">
        <f>IF(OR(C386=1900,$D$506=0),0,VLOOKUP(A386,'Estados Financieros'!$A$11:$H$453,6,0))</f>
        <v>30</v>
      </c>
      <c r="E386" t="str">
        <f t="shared" ref="E386:E449" si="20">IFERROR(FIXED(D386,3,1),0)</f>
        <v>30,000</v>
      </c>
    </row>
    <row r="387" spans="1:5" x14ac:dyDescent="0.25">
      <c r="A387">
        <v>133000</v>
      </c>
      <c r="B387" t="str">
        <f t="shared" si="18"/>
        <v>900142011</v>
      </c>
      <c r="C387">
        <f t="shared" si="19"/>
        <v>202012</v>
      </c>
      <c r="D387">
        <f>IF(OR(C387=1900,$D$506=0),0,VLOOKUP(A387,'Estados Financieros'!$A$11:$H$453,6,0))</f>
        <v>30</v>
      </c>
      <c r="E387" t="str">
        <f t="shared" si="20"/>
        <v>30,000</v>
      </c>
    </row>
    <row r="388" spans="1:5" x14ac:dyDescent="0.25">
      <c r="A388">
        <v>133500</v>
      </c>
      <c r="B388" t="str">
        <f t="shared" si="18"/>
        <v>900142011</v>
      </c>
      <c r="C388">
        <f t="shared" si="19"/>
        <v>202012</v>
      </c>
      <c r="D388">
        <f>IF(OR(C388=1900,$D$506=0),0,VLOOKUP(A388,'Estados Financieros'!$A$11:$H$453,6,0))</f>
        <v>30</v>
      </c>
      <c r="E388" t="str">
        <f t="shared" si="20"/>
        <v>30,000</v>
      </c>
    </row>
    <row r="389" spans="1:5" x14ac:dyDescent="0.25">
      <c r="A389">
        <v>134000</v>
      </c>
      <c r="B389" t="str">
        <f t="shared" si="18"/>
        <v>900142011</v>
      </c>
      <c r="C389">
        <f t="shared" si="19"/>
        <v>202012</v>
      </c>
      <c r="D389">
        <f>IF(OR(C389=1900,$D$506=0),0,VLOOKUP(A389,'Estados Financieros'!$A$11:$H$453,6,0))</f>
        <v>30</v>
      </c>
      <c r="E389" t="str">
        <f t="shared" si="20"/>
        <v>30,000</v>
      </c>
    </row>
    <row r="390" spans="1:5" x14ac:dyDescent="0.25">
      <c r="A390">
        <v>134500</v>
      </c>
      <c r="B390" t="str">
        <f t="shared" si="18"/>
        <v>900142011</v>
      </c>
      <c r="C390">
        <f t="shared" si="19"/>
        <v>202012</v>
      </c>
      <c r="D390">
        <f>IF(OR(C390=1900,$D$506=0),0,VLOOKUP(A390,'Estados Financieros'!$A$11:$H$453,6,0))</f>
        <v>30</v>
      </c>
      <c r="E390" t="str">
        <f t="shared" si="20"/>
        <v>30,000</v>
      </c>
    </row>
    <row r="391" spans="1:5" x14ac:dyDescent="0.25">
      <c r="A391">
        <v>135000</v>
      </c>
      <c r="B391" t="str">
        <f t="shared" si="18"/>
        <v>900142011</v>
      </c>
      <c r="C391">
        <f t="shared" si="19"/>
        <v>202012</v>
      </c>
      <c r="D391">
        <f>IF(OR(C391=1900,$D$506=0),0,VLOOKUP(A391,'Estados Financieros'!$A$11:$H$453,6,0))</f>
        <v>30</v>
      </c>
      <c r="E391" t="str">
        <f t="shared" si="20"/>
        <v>30,000</v>
      </c>
    </row>
    <row r="392" spans="1:5" x14ac:dyDescent="0.25">
      <c r="A392">
        <v>135500</v>
      </c>
      <c r="B392" t="str">
        <f t="shared" si="18"/>
        <v>900142011</v>
      </c>
      <c r="C392">
        <f t="shared" si="19"/>
        <v>202012</v>
      </c>
      <c r="D392">
        <f>IF(OR(C392=1900,$D$506=0),0,VLOOKUP(A392,'Estados Financieros'!$A$11:$H$453,6,0))</f>
        <v>30</v>
      </c>
      <c r="E392" t="str">
        <f t="shared" si="20"/>
        <v>30,000</v>
      </c>
    </row>
    <row r="393" spans="1:5" x14ac:dyDescent="0.25">
      <c r="A393">
        <v>136000</v>
      </c>
      <c r="B393" t="str">
        <f t="shared" si="18"/>
        <v>900142011</v>
      </c>
      <c r="C393">
        <f t="shared" si="19"/>
        <v>202012</v>
      </c>
      <c r="D393">
        <f>IF(OR(C393=1900,$D$506=0),0,VLOOKUP(A393,'Estados Financieros'!$A$11:$H$453,6,0))</f>
        <v>30</v>
      </c>
      <c r="E393" t="str">
        <f t="shared" si="20"/>
        <v>30,000</v>
      </c>
    </row>
    <row r="394" spans="1:5" x14ac:dyDescent="0.25">
      <c r="A394">
        <v>136500</v>
      </c>
      <c r="B394" t="str">
        <f t="shared" si="18"/>
        <v>900142011</v>
      </c>
      <c r="C394">
        <f t="shared" si="19"/>
        <v>202012</v>
      </c>
      <c r="D394">
        <f>IF(OR(C394=1900,$D$506=0),0,VLOOKUP(A394,'Estados Financieros'!$A$11:$H$453,6,0))</f>
        <v>30</v>
      </c>
      <c r="E394" t="str">
        <f t="shared" si="20"/>
        <v>30,000</v>
      </c>
    </row>
    <row r="395" spans="1:5" x14ac:dyDescent="0.25">
      <c r="A395">
        <v>137000</v>
      </c>
      <c r="B395" t="str">
        <f t="shared" si="18"/>
        <v>900142011</v>
      </c>
      <c r="C395">
        <f t="shared" si="19"/>
        <v>202012</v>
      </c>
      <c r="D395">
        <f>IF(OR(C395=1900,$D$506=0),0,VLOOKUP(A395,'Estados Financieros'!$A$11:$H$453,6,0))</f>
        <v>30</v>
      </c>
      <c r="E395" t="str">
        <f t="shared" si="20"/>
        <v>30,000</v>
      </c>
    </row>
    <row r="396" spans="1:5" x14ac:dyDescent="0.25">
      <c r="A396">
        <v>139000</v>
      </c>
      <c r="B396" t="str">
        <f t="shared" si="18"/>
        <v>900142011</v>
      </c>
      <c r="C396">
        <f t="shared" si="19"/>
        <v>202012</v>
      </c>
      <c r="D396">
        <f>IF(OR(C396=1900,$D$506=0),0,VLOOKUP(A396,'Estados Financieros'!$A$11:$H$453,6,0))</f>
        <v>30</v>
      </c>
      <c r="E396" t="str">
        <f t="shared" si="20"/>
        <v>30,000</v>
      </c>
    </row>
    <row r="397" spans="1:5" x14ac:dyDescent="0.25">
      <c r="A397">
        <v>139500</v>
      </c>
      <c r="B397" t="str">
        <f t="shared" ref="B397:B418" si="21">+B396</f>
        <v>900142011</v>
      </c>
      <c r="C397">
        <f t="shared" ref="C397:C418" si="22">+C396</f>
        <v>202012</v>
      </c>
      <c r="D397">
        <f>IF(OR(C397=1900,$D$506=0),0,VLOOKUP(A397,'Estados Financieros'!$A$11:$H$453,6,0))</f>
        <v>30</v>
      </c>
      <c r="E397" t="str">
        <f t="shared" si="20"/>
        <v>30,000</v>
      </c>
    </row>
    <row r="398" spans="1:5" x14ac:dyDescent="0.25">
      <c r="A398">
        <v>139905</v>
      </c>
      <c r="B398" t="str">
        <f t="shared" si="21"/>
        <v>900142011</v>
      </c>
      <c r="C398">
        <f t="shared" si="22"/>
        <v>202012</v>
      </c>
      <c r="D398">
        <f>IF(OR(C398=1900,$D$506=0),0,VLOOKUP(A398,'Estados Financieros'!$A$11:$H$453,6,0))</f>
        <v>30</v>
      </c>
      <c r="E398" t="str">
        <f t="shared" si="20"/>
        <v>30,000</v>
      </c>
    </row>
    <row r="399" spans="1:5" x14ac:dyDescent="0.25">
      <c r="A399">
        <v>1106</v>
      </c>
      <c r="B399" t="str">
        <f t="shared" si="21"/>
        <v>900142011</v>
      </c>
      <c r="C399">
        <f t="shared" si="22"/>
        <v>202012</v>
      </c>
      <c r="D399">
        <f>IF(OR(C399=1900,$D$506=0),0,VLOOKUP(A399,'Estados Financieros'!$A$11:$H$453,6,0))</f>
        <v>420</v>
      </c>
      <c r="E399" t="str">
        <f t="shared" si="20"/>
        <v>420,000</v>
      </c>
    </row>
    <row r="400" spans="1:5" x14ac:dyDescent="0.25">
      <c r="A400">
        <v>110405</v>
      </c>
      <c r="B400" t="str">
        <f t="shared" si="21"/>
        <v>900142011</v>
      </c>
      <c r="C400">
        <f t="shared" si="22"/>
        <v>202012</v>
      </c>
      <c r="D400">
        <f>IF(OR(C400=1900,$D$506=0),0,VLOOKUP(A400,'Estados Financieros'!$A$11:$H$453,6,0))</f>
        <v>30</v>
      </c>
      <c r="E400" t="str">
        <f t="shared" si="20"/>
        <v>30,000</v>
      </c>
    </row>
    <row r="401" spans="1:5" x14ac:dyDescent="0.25">
      <c r="A401">
        <v>110410</v>
      </c>
      <c r="B401" t="str">
        <f t="shared" si="21"/>
        <v>900142011</v>
      </c>
      <c r="C401">
        <f t="shared" si="22"/>
        <v>202012</v>
      </c>
      <c r="D401">
        <f>IF(OR(C401=1900,$D$506=0),0,VLOOKUP(A401,'Estados Financieros'!$A$11:$H$453,6,0))</f>
        <v>30</v>
      </c>
      <c r="E401" t="str">
        <f t="shared" si="20"/>
        <v>30,000</v>
      </c>
    </row>
    <row r="402" spans="1:5" x14ac:dyDescent="0.25">
      <c r="A402">
        <v>142500</v>
      </c>
      <c r="B402" t="str">
        <f t="shared" si="21"/>
        <v>900142011</v>
      </c>
      <c r="C402">
        <f t="shared" si="22"/>
        <v>202012</v>
      </c>
      <c r="D402">
        <f>IF(OR(C402=1900,$D$506=0),0,VLOOKUP(A402,'Estados Financieros'!$A$11:$H$453,6,0))</f>
        <v>30</v>
      </c>
      <c r="E402" t="str">
        <f t="shared" si="20"/>
        <v>30,000</v>
      </c>
    </row>
    <row r="403" spans="1:5" x14ac:dyDescent="0.25">
      <c r="A403">
        <v>110415</v>
      </c>
      <c r="B403" t="str">
        <f t="shared" si="21"/>
        <v>900142011</v>
      </c>
      <c r="C403">
        <f t="shared" si="22"/>
        <v>202012</v>
      </c>
      <c r="D403">
        <f>IF(OR(C403=1900,$D$506=0),0,VLOOKUP(A403,'Estados Financieros'!$A$11:$H$453,6,0))</f>
        <v>30</v>
      </c>
      <c r="E403" t="str">
        <f t="shared" si="20"/>
        <v>30,000</v>
      </c>
    </row>
    <row r="404" spans="1:5" x14ac:dyDescent="0.25">
      <c r="A404">
        <v>143500</v>
      </c>
      <c r="B404" t="str">
        <f t="shared" si="21"/>
        <v>900142011</v>
      </c>
      <c r="C404">
        <f t="shared" si="22"/>
        <v>202012</v>
      </c>
      <c r="D404">
        <f>IF(OR(C404=1900,$D$506=0),0,VLOOKUP(A404,'Estados Financieros'!$A$11:$H$453,6,0))</f>
        <v>30</v>
      </c>
      <c r="E404" t="str">
        <f t="shared" si="20"/>
        <v>30,000</v>
      </c>
    </row>
    <row r="405" spans="1:5" x14ac:dyDescent="0.25">
      <c r="A405">
        <v>110420</v>
      </c>
      <c r="B405" t="str">
        <f t="shared" si="21"/>
        <v>900142011</v>
      </c>
      <c r="C405">
        <f t="shared" si="22"/>
        <v>202012</v>
      </c>
      <c r="D405">
        <f>IF(OR(C405=1900,$D$506=0),0,VLOOKUP(A405,'Estados Financieros'!$A$11:$H$453,6,0))</f>
        <v>30</v>
      </c>
      <c r="E405" t="str">
        <f t="shared" si="20"/>
        <v>30,000</v>
      </c>
    </row>
    <row r="406" spans="1:5" x14ac:dyDescent="0.25">
      <c r="A406">
        <v>110495</v>
      </c>
      <c r="B406" t="str">
        <f t="shared" si="21"/>
        <v>900142011</v>
      </c>
      <c r="C406">
        <f t="shared" si="22"/>
        <v>202012</v>
      </c>
      <c r="D406">
        <f>IF(OR(C406=1900,$D$506=0),0,VLOOKUP(A406,'Estados Financieros'!$A$11:$H$453,6,0))</f>
        <v>30</v>
      </c>
      <c r="E406" t="str">
        <f t="shared" si="20"/>
        <v>30,000</v>
      </c>
    </row>
    <row r="407" spans="1:5" x14ac:dyDescent="0.25">
      <c r="A407">
        <v>110490</v>
      </c>
      <c r="B407" t="str">
        <f t="shared" si="21"/>
        <v>900142011</v>
      </c>
      <c r="C407">
        <f t="shared" si="22"/>
        <v>202012</v>
      </c>
      <c r="D407">
        <f>IF(OR(C407=1900,$D$506=0),0,VLOOKUP(A407,'Estados Financieros'!$A$11:$H$453,6,0))</f>
        <v>30</v>
      </c>
      <c r="E407" t="str">
        <f t="shared" si="20"/>
        <v>30,000</v>
      </c>
    </row>
    <row r="408" spans="1:5" x14ac:dyDescent="0.25">
      <c r="A408">
        <v>110491</v>
      </c>
      <c r="B408" t="str">
        <f t="shared" si="21"/>
        <v>900142011</v>
      </c>
      <c r="C408">
        <f t="shared" si="22"/>
        <v>202012</v>
      </c>
      <c r="D408">
        <f>IF(OR(C408=1900,$D$506=0),0,VLOOKUP(A408,'Estados Financieros'!$A$11:$H$453,6,0))</f>
        <v>30</v>
      </c>
      <c r="E408" t="str">
        <f t="shared" si="20"/>
        <v>30,000</v>
      </c>
    </row>
    <row r="409" spans="1:5" x14ac:dyDescent="0.25">
      <c r="A409">
        <v>149900</v>
      </c>
      <c r="B409" t="str">
        <f t="shared" si="21"/>
        <v>900142011</v>
      </c>
      <c r="C409">
        <f t="shared" si="22"/>
        <v>202012</v>
      </c>
      <c r="D409">
        <f>IF(OR(C409=1900,$D$506=0),0,VLOOKUP(A409,'Estados Financieros'!$A$11:$H$453,6,0))</f>
        <v>30</v>
      </c>
      <c r="E409" t="str">
        <f t="shared" si="20"/>
        <v>30,000</v>
      </c>
    </row>
    <row r="410" spans="1:5" x14ac:dyDescent="0.25">
      <c r="A410">
        <v>140005</v>
      </c>
      <c r="B410" t="str">
        <f t="shared" si="21"/>
        <v>900142011</v>
      </c>
      <c r="C410">
        <f t="shared" si="22"/>
        <v>202012</v>
      </c>
      <c r="D410">
        <f>IF(OR(C410=1900,$D$506=0),0,VLOOKUP(A410,'Estados Financieros'!$A$11:$H$453,6,0))</f>
        <v>390</v>
      </c>
      <c r="E410" t="str">
        <f t="shared" si="20"/>
        <v>390,000</v>
      </c>
    </row>
    <row r="411" spans="1:5" x14ac:dyDescent="0.25">
      <c r="A411">
        <v>145500</v>
      </c>
      <c r="B411" t="str">
        <f t="shared" si="21"/>
        <v>900142011</v>
      </c>
      <c r="C411">
        <f t="shared" si="22"/>
        <v>202012</v>
      </c>
      <c r="D411">
        <f>IF(OR(C411=1900,$D$506=0),0,VLOOKUP(A411,'Estados Financieros'!$A$11:$H$453,6,0))</f>
        <v>30</v>
      </c>
      <c r="E411" t="str">
        <f t="shared" si="20"/>
        <v>30,000</v>
      </c>
    </row>
    <row r="412" spans="1:5" x14ac:dyDescent="0.25">
      <c r="A412">
        <v>146000</v>
      </c>
      <c r="B412" t="str">
        <f t="shared" si="21"/>
        <v>900142011</v>
      </c>
      <c r="C412">
        <f t="shared" si="22"/>
        <v>202012</v>
      </c>
      <c r="D412">
        <f>IF(OR(C412=1900,$D$506=0),0,VLOOKUP(A412,'Estados Financieros'!$A$11:$H$453,6,0))</f>
        <v>30</v>
      </c>
      <c r="E412" t="str">
        <f t="shared" si="20"/>
        <v>30,000</v>
      </c>
    </row>
    <row r="413" spans="1:5" x14ac:dyDescent="0.25">
      <c r="A413">
        <v>149510</v>
      </c>
      <c r="B413" t="str">
        <f t="shared" si="21"/>
        <v>900142011</v>
      </c>
      <c r="C413">
        <f t="shared" si="22"/>
        <v>202012</v>
      </c>
      <c r="D413">
        <f>IF(OR(C413=1900,$D$506=0),0,VLOOKUP(A413,'Estados Financieros'!$A$11:$H$453,6,0))</f>
        <v>30</v>
      </c>
      <c r="E413" t="str">
        <f t="shared" si="20"/>
        <v>30,000</v>
      </c>
    </row>
    <row r="414" spans="1:5" x14ac:dyDescent="0.25">
      <c r="A414">
        <v>149901</v>
      </c>
      <c r="B414" t="str">
        <f t="shared" si="21"/>
        <v>900142011</v>
      </c>
      <c r="C414">
        <f t="shared" si="22"/>
        <v>202012</v>
      </c>
      <c r="D414">
        <f>IF(OR(C414=1900,$D$506=0),0,VLOOKUP(A414,'Estados Financieros'!$A$11:$H$453,6,0))</f>
        <v>30</v>
      </c>
      <c r="E414" t="str">
        <f t="shared" si="20"/>
        <v>30,000</v>
      </c>
    </row>
    <row r="415" spans="1:5" x14ac:dyDescent="0.25">
      <c r="A415">
        <v>149902</v>
      </c>
      <c r="B415" t="str">
        <f t="shared" si="21"/>
        <v>900142011</v>
      </c>
      <c r="C415">
        <f t="shared" si="22"/>
        <v>202012</v>
      </c>
      <c r="D415">
        <f>IF(OR(C415=1900,$D$506=0),0,VLOOKUP(A415,'Estados Financieros'!$A$11:$H$453,6,0))</f>
        <v>30</v>
      </c>
      <c r="E415" t="str">
        <f t="shared" si="20"/>
        <v>30,000</v>
      </c>
    </row>
    <row r="416" spans="1:5" x14ac:dyDescent="0.25">
      <c r="A416">
        <v>149910</v>
      </c>
      <c r="B416" t="str">
        <f t="shared" si="21"/>
        <v>900142011</v>
      </c>
      <c r="C416">
        <f t="shared" si="22"/>
        <v>202012</v>
      </c>
      <c r="D416">
        <f>IF(OR(C416=1900,$D$506=0),0,VLOOKUP(A416,'Estados Financieros'!$A$11:$H$453,6,0))</f>
        <v>30</v>
      </c>
      <c r="E416" t="str">
        <f t="shared" si="20"/>
        <v>30,000</v>
      </c>
    </row>
    <row r="417" spans="1:5" x14ac:dyDescent="0.25">
      <c r="A417">
        <v>140010</v>
      </c>
      <c r="B417" t="str">
        <f t="shared" si="21"/>
        <v>900142011</v>
      </c>
      <c r="C417">
        <f t="shared" si="22"/>
        <v>202012</v>
      </c>
      <c r="D417">
        <f>IF(OR(C417=1900,$D$506=0),0,VLOOKUP(A417,'Estados Financieros'!$A$11:$H$453,6,0))</f>
        <v>300</v>
      </c>
      <c r="E417" t="str">
        <f t="shared" si="20"/>
        <v>300,000</v>
      </c>
    </row>
    <row r="418" spans="1:5" x14ac:dyDescent="0.25">
      <c r="A418">
        <v>1104</v>
      </c>
      <c r="B418" t="str">
        <f t="shared" si="21"/>
        <v>900142011</v>
      </c>
      <c r="C418">
        <f t="shared" si="22"/>
        <v>202012</v>
      </c>
      <c r="D418">
        <f>+D417+D410</f>
        <v>690</v>
      </c>
      <c r="E418" t="str">
        <f t="shared" si="20"/>
        <v>690,000</v>
      </c>
    </row>
    <row r="419" spans="1:5" x14ac:dyDescent="0.25">
      <c r="A419">
        <v>170500</v>
      </c>
      <c r="B419" t="str">
        <f>+B417</f>
        <v>900142011</v>
      </c>
      <c r="C419">
        <f>+C417</f>
        <v>202012</v>
      </c>
      <c r="D419">
        <f>IF(OR(C419=1900,$D$506=0),0,VLOOKUP(A419,'Estados Financieros'!$A$11:$H$453,6,0))</f>
        <v>30</v>
      </c>
      <c r="E419" t="str">
        <f t="shared" si="20"/>
        <v>30,000</v>
      </c>
    </row>
    <row r="420" spans="1:5" x14ac:dyDescent="0.25">
      <c r="A420">
        <v>171000</v>
      </c>
      <c r="B420" t="str">
        <f t="shared" ref="B420:B483" si="23">+B419</f>
        <v>900142011</v>
      </c>
      <c r="C420">
        <f t="shared" ref="C420:C483" si="24">+C419</f>
        <v>202012</v>
      </c>
      <c r="D420">
        <f>IF(OR(C420=1900,$D$506=0),0,VLOOKUP(A420,'Estados Financieros'!$A$11:$H$453,6,0))</f>
        <v>30</v>
      </c>
      <c r="E420" t="str">
        <f t="shared" si="20"/>
        <v>30,000</v>
      </c>
    </row>
    <row r="421" spans="1:5" x14ac:dyDescent="0.25">
      <c r="A421">
        <v>173000</v>
      </c>
      <c r="B421" t="str">
        <f t="shared" si="23"/>
        <v>900142011</v>
      </c>
      <c r="C421">
        <f t="shared" si="24"/>
        <v>202012</v>
      </c>
      <c r="D421">
        <f>IF(OR(C421=1900,$D$506=0),0,VLOOKUP(A421,'Estados Financieros'!$A$11:$H$453,6,0))</f>
        <v>30</v>
      </c>
      <c r="E421" t="str">
        <f t="shared" si="20"/>
        <v>30,000</v>
      </c>
    </row>
    <row r="422" spans="1:5" x14ac:dyDescent="0.25">
      <c r="A422">
        <v>179500</v>
      </c>
      <c r="B422" t="str">
        <f t="shared" si="23"/>
        <v>900142011</v>
      </c>
      <c r="C422">
        <f t="shared" si="24"/>
        <v>202012</v>
      </c>
      <c r="D422">
        <f>IF(OR(C422=1900,$D$506=0),0,VLOOKUP(A422,'Estados Financieros'!$A$11:$H$453,6,0))</f>
        <v>30</v>
      </c>
      <c r="E422" t="str">
        <f t="shared" si="20"/>
        <v>30,000</v>
      </c>
    </row>
    <row r="423" spans="1:5" x14ac:dyDescent="0.25">
      <c r="A423">
        <v>179700</v>
      </c>
      <c r="B423" t="str">
        <f t="shared" si="23"/>
        <v>900142011</v>
      </c>
      <c r="C423">
        <f t="shared" si="24"/>
        <v>202012</v>
      </c>
      <c r="D423">
        <f>IF(OR(C423=1900,$D$506=0),0,VLOOKUP(A423,'Estados Financieros'!$A$11:$H$453,6,0))</f>
        <v>30</v>
      </c>
      <c r="E423" t="str">
        <f t="shared" si="20"/>
        <v>30,000</v>
      </c>
    </row>
    <row r="424" spans="1:5" x14ac:dyDescent="0.25">
      <c r="A424">
        <v>1107</v>
      </c>
      <c r="B424" t="str">
        <f t="shared" si="23"/>
        <v>900142011</v>
      </c>
      <c r="C424">
        <f t="shared" si="24"/>
        <v>202012</v>
      </c>
      <c r="D424">
        <f>IF(OR(C424=1900,$D$506=0),0,VLOOKUP(A424,'Estados Financieros'!$A$11:$H$453,6,0))</f>
        <v>180</v>
      </c>
      <c r="E424" t="str">
        <f t="shared" si="20"/>
        <v>180,000</v>
      </c>
    </row>
    <row r="425" spans="1:5" x14ac:dyDescent="0.25">
      <c r="A425">
        <v>189500</v>
      </c>
      <c r="B425" t="str">
        <f t="shared" si="23"/>
        <v>900142011</v>
      </c>
      <c r="C425">
        <f t="shared" si="24"/>
        <v>202012</v>
      </c>
      <c r="D425">
        <f>IF(OR(C425=1900,$D$506=0),0,VLOOKUP(A425,'Estados Financieros'!$A$11:$H$453,6,0))</f>
        <v>30</v>
      </c>
      <c r="E425" t="str">
        <f t="shared" si="20"/>
        <v>30,000</v>
      </c>
    </row>
    <row r="426" spans="1:5" x14ac:dyDescent="0.25">
      <c r="A426">
        <v>181000</v>
      </c>
      <c r="B426" t="str">
        <f t="shared" si="23"/>
        <v>900142011</v>
      </c>
      <c r="C426">
        <f t="shared" si="24"/>
        <v>202012</v>
      </c>
      <c r="D426">
        <f>IF(OR(C426=1900,$D$506=0),0,VLOOKUP(A426,'Estados Financieros'!$A$11:$H$453,6,0))</f>
        <v>30</v>
      </c>
      <c r="E426" t="str">
        <f t="shared" si="20"/>
        <v>30,000</v>
      </c>
    </row>
    <row r="427" spans="1:5" x14ac:dyDescent="0.25">
      <c r="A427">
        <v>180000</v>
      </c>
      <c r="B427" t="str">
        <f t="shared" si="23"/>
        <v>900142011</v>
      </c>
      <c r="C427">
        <f t="shared" si="24"/>
        <v>202012</v>
      </c>
      <c r="D427">
        <f>IF(OR(C427=1900,$D$506=0),0,VLOOKUP(A427,'Estados Financieros'!$A$11:$H$453,6,0))</f>
        <v>90</v>
      </c>
      <c r="E427" t="str">
        <f t="shared" si="20"/>
        <v>90,000</v>
      </c>
    </row>
    <row r="428" spans="1:5" x14ac:dyDescent="0.25">
      <c r="A428">
        <v>11</v>
      </c>
      <c r="B428" t="str">
        <f t="shared" si="23"/>
        <v>900142011</v>
      </c>
      <c r="C428">
        <f t="shared" si="24"/>
        <v>202012</v>
      </c>
      <c r="D428">
        <f>IF(OR(C428=1900,$D$506=0),0,VLOOKUP(A428,'Estados Financieros'!$A$11:$H$453,6,0))</f>
        <v>1860</v>
      </c>
      <c r="E428" t="str">
        <f t="shared" si="20"/>
        <v>1860,000</v>
      </c>
    </row>
    <row r="429" spans="1:5" x14ac:dyDescent="0.25">
      <c r="A429">
        <v>120104</v>
      </c>
      <c r="B429" t="str">
        <f t="shared" si="23"/>
        <v>900142011</v>
      </c>
      <c r="C429">
        <f t="shared" si="24"/>
        <v>202012</v>
      </c>
      <c r="D429">
        <f>IF(OR(C429=1900,$D$506=0),0,VLOOKUP(A429,'Estados Financieros'!$A$11:$H$453,6,0))</f>
        <v>30</v>
      </c>
      <c r="E429" t="str">
        <f t="shared" si="20"/>
        <v>30,000</v>
      </c>
    </row>
    <row r="430" spans="1:5" x14ac:dyDescent="0.25">
      <c r="A430">
        <v>120108</v>
      </c>
      <c r="B430" t="str">
        <f t="shared" si="23"/>
        <v>900142011</v>
      </c>
      <c r="C430">
        <f t="shared" si="24"/>
        <v>202012</v>
      </c>
      <c r="D430">
        <f>IF(OR(C430=1900,$D$506=0),0,VLOOKUP(A430,'Estados Financieros'!$A$11:$H$453,6,0))</f>
        <v>30</v>
      </c>
      <c r="E430" t="str">
        <f t="shared" si="20"/>
        <v>30,000</v>
      </c>
    </row>
    <row r="431" spans="1:5" x14ac:dyDescent="0.25">
      <c r="A431">
        <v>151201</v>
      </c>
      <c r="B431" t="str">
        <f t="shared" si="23"/>
        <v>900142011</v>
      </c>
      <c r="C431">
        <f t="shared" si="24"/>
        <v>202012</v>
      </c>
      <c r="D431">
        <f>IF(OR(C431=1900,$D$506=0),0,VLOOKUP(A431,'Estados Financieros'!$A$11:$H$453,6,0))</f>
        <v>30</v>
      </c>
      <c r="E431" t="str">
        <f t="shared" si="20"/>
        <v>30,000</v>
      </c>
    </row>
    <row r="432" spans="1:5" x14ac:dyDescent="0.25">
      <c r="A432">
        <v>120116</v>
      </c>
      <c r="B432" t="str">
        <f t="shared" si="23"/>
        <v>900142011</v>
      </c>
      <c r="C432">
        <f t="shared" si="24"/>
        <v>202012</v>
      </c>
      <c r="D432">
        <f>IF(OR(C432=1900,$D$506=0),0,VLOOKUP(A432,'Estados Financieros'!$A$11:$H$453,6,0))</f>
        <v>30</v>
      </c>
      <c r="E432" t="str">
        <f t="shared" si="20"/>
        <v>30,000</v>
      </c>
    </row>
    <row r="433" spans="1:5" x14ac:dyDescent="0.25">
      <c r="A433">
        <v>120120</v>
      </c>
      <c r="B433" t="str">
        <f t="shared" si="23"/>
        <v>900142011</v>
      </c>
      <c r="C433">
        <f t="shared" si="24"/>
        <v>202012</v>
      </c>
      <c r="D433">
        <f>IF(OR(C433=1900,$D$506=0),0,VLOOKUP(A433,'Estados Financieros'!$A$11:$H$453,6,0))</f>
        <v>30</v>
      </c>
      <c r="E433" t="str">
        <f t="shared" si="20"/>
        <v>30,000</v>
      </c>
    </row>
    <row r="434" spans="1:5" x14ac:dyDescent="0.25">
      <c r="A434">
        <v>120124</v>
      </c>
      <c r="B434" t="str">
        <f t="shared" si="23"/>
        <v>900142011</v>
      </c>
      <c r="C434">
        <f t="shared" si="24"/>
        <v>202012</v>
      </c>
      <c r="D434">
        <f>IF(OR(C434=1900,$D$506=0),0,VLOOKUP(A434,'Estados Financieros'!$A$11:$H$453,6,0))</f>
        <v>30</v>
      </c>
      <c r="E434" t="str">
        <f t="shared" si="20"/>
        <v>30,000</v>
      </c>
    </row>
    <row r="435" spans="1:5" x14ac:dyDescent="0.25">
      <c r="A435">
        <v>120128</v>
      </c>
      <c r="B435" t="str">
        <f t="shared" si="23"/>
        <v>900142011</v>
      </c>
      <c r="C435">
        <f t="shared" si="24"/>
        <v>202012</v>
      </c>
      <c r="D435">
        <f>IF(OR(C435=1900,$D$506=0),0,VLOOKUP(A435,'Estados Financieros'!$A$11:$H$453,6,0))</f>
        <v>30</v>
      </c>
      <c r="E435" t="str">
        <f t="shared" si="20"/>
        <v>30,000</v>
      </c>
    </row>
    <row r="436" spans="1:5" x14ac:dyDescent="0.25">
      <c r="A436">
        <v>120140</v>
      </c>
      <c r="B436" t="str">
        <f t="shared" si="23"/>
        <v>900142011</v>
      </c>
      <c r="C436">
        <f t="shared" si="24"/>
        <v>202012</v>
      </c>
      <c r="D436">
        <f>IF(OR(C436=1900,$D$506=0),0,VLOOKUP(A436,'Estados Financieros'!$A$11:$H$453,6,0))</f>
        <v>30</v>
      </c>
      <c r="E436" t="str">
        <f t="shared" si="20"/>
        <v>30,000</v>
      </c>
    </row>
    <row r="437" spans="1:5" x14ac:dyDescent="0.25">
      <c r="A437">
        <v>155601</v>
      </c>
      <c r="B437" t="str">
        <f t="shared" si="23"/>
        <v>900142011</v>
      </c>
      <c r="C437">
        <f t="shared" si="24"/>
        <v>202012</v>
      </c>
      <c r="D437">
        <f>IF(OR(C437=1900,$D$506=0),0,VLOOKUP(A437,'Estados Financieros'!$A$11:$H$453,6,0))</f>
        <v>30</v>
      </c>
      <c r="E437" t="str">
        <f t="shared" si="20"/>
        <v>30,000</v>
      </c>
    </row>
    <row r="438" spans="1:5" x14ac:dyDescent="0.25">
      <c r="A438">
        <v>156001</v>
      </c>
      <c r="B438" t="str">
        <f t="shared" si="23"/>
        <v>900142011</v>
      </c>
      <c r="C438">
        <f t="shared" si="24"/>
        <v>202012</v>
      </c>
      <c r="D438">
        <f>IF(OR(C438=1900,$D$506=0),0,VLOOKUP(A438,'Estados Financieros'!$A$11:$H$453,6,0))</f>
        <v>30</v>
      </c>
      <c r="E438" t="str">
        <f t="shared" si="20"/>
        <v>30,000</v>
      </c>
    </row>
    <row r="439" spans="1:5" x14ac:dyDescent="0.25">
      <c r="A439">
        <v>156401</v>
      </c>
      <c r="B439" t="str">
        <f t="shared" si="23"/>
        <v>900142011</v>
      </c>
      <c r="C439">
        <f t="shared" si="24"/>
        <v>202012</v>
      </c>
      <c r="D439">
        <f>IF(OR(C439=1900,$D$506=0),0,VLOOKUP(A439,'Estados Financieros'!$A$11:$H$453,6,0))</f>
        <v>30</v>
      </c>
      <c r="E439" t="str">
        <f t="shared" si="20"/>
        <v>30,000</v>
      </c>
    </row>
    <row r="440" spans="1:5" x14ac:dyDescent="0.25">
      <c r="A440">
        <v>157201</v>
      </c>
      <c r="B440" t="str">
        <f t="shared" si="23"/>
        <v>900142011</v>
      </c>
      <c r="C440">
        <f t="shared" si="24"/>
        <v>202012</v>
      </c>
      <c r="D440">
        <f>IF(OR(C440=1900,$D$506=0),0,VLOOKUP(A440,'Estados Financieros'!$A$11:$H$453,6,0))</f>
        <v>30</v>
      </c>
      <c r="E440" t="str">
        <f t="shared" si="20"/>
        <v>30,000</v>
      </c>
    </row>
    <row r="441" spans="1:5" x14ac:dyDescent="0.25">
      <c r="A441">
        <v>157601</v>
      </c>
      <c r="B441" t="str">
        <f t="shared" si="23"/>
        <v>900142011</v>
      </c>
      <c r="C441">
        <f t="shared" si="24"/>
        <v>202012</v>
      </c>
      <c r="D441">
        <f>IF(OR(C441=1900,$D$506=0),0,VLOOKUP(A441,'Estados Financieros'!$A$11:$H$453,6,0))</f>
        <v>30</v>
      </c>
      <c r="E441" t="str">
        <f t="shared" si="20"/>
        <v>30,000</v>
      </c>
    </row>
    <row r="442" spans="1:5" x14ac:dyDescent="0.25">
      <c r="A442">
        <v>158401</v>
      </c>
      <c r="B442" t="str">
        <f t="shared" si="23"/>
        <v>900142011</v>
      </c>
      <c r="C442">
        <f t="shared" si="24"/>
        <v>202012</v>
      </c>
      <c r="D442">
        <f>IF(OR(C442=1900,$D$506=0),0,VLOOKUP(A442,'Estados Financieros'!$A$11:$H$453,6,0))</f>
        <v>30</v>
      </c>
      <c r="E442" t="str">
        <f t="shared" si="20"/>
        <v>30,000</v>
      </c>
    </row>
    <row r="443" spans="1:5" x14ac:dyDescent="0.25">
      <c r="A443">
        <v>158801</v>
      </c>
      <c r="B443" t="str">
        <f t="shared" si="23"/>
        <v>900142011</v>
      </c>
      <c r="C443">
        <f t="shared" si="24"/>
        <v>202012</v>
      </c>
      <c r="D443">
        <f>IF(OR(C443=1900,$D$506=0),0,VLOOKUP(A443,'Estados Financieros'!$A$11:$H$453,6,0))</f>
        <v>30</v>
      </c>
      <c r="E443" t="str">
        <f t="shared" si="20"/>
        <v>30,000</v>
      </c>
    </row>
    <row r="444" spans="1:5" x14ac:dyDescent="0.25">
      <c r="A444">
        <v>120145</v>
      </c>
      <c r="B444" t="str">
        <f t="shared" si="23"/>
        <v>900142011</v>
      </c>
      <c r="C444">
        <f t="shared" si="24"/>
        <v>202012</v>
      </c>
      <c r="D444">
        <f>IF(OR(C444=1900,$D$506=0),0,VLOOKUP(A444,'Estados Financieros'!$A$11:$H$453,6,0))</f>
        <v>30</v>
      </c>
      <c r="E444" t="str">
        <f t="shared" si="20"/>
        <v>30,000</v>
      </c>
    </row>
    <row r="445" spans="1:5" x14ac:dyDescent="0.25">
      <c r="A445">
        <v>120195</v>
      </c>
      <c r="B445" t="str">
        <f t="shared" si="23"/>
        <v>900142011</v>
      </c>
      <c r="C445">
        <f t="shared" si="24"/>
        <v>202012</v>
      </c>
      <c r="D445">
        <f>IF(OR(C445=1900,$D$506=0),0,VLOOKUP(A445,'Estados Financieros'!$A$11:$H$453,6,0))</f>
        <v>30</v>
      </c>
      <c r="E445" t="str">
        <f t="shared" si="20"/>
        <v>30,000</v>
      </c>
    </row>
    <row r="446" spans="1:5" x14ac:dyDescent="0.25">
      <c r="A446">
        <v>159701</v>
      </c>
      <c r="B446" t="str">
        <f t="shared" si="23"/>
        <v>900142011</v>
      </c>
      <c r="C446">
        <f t="shared" si="24"/>
        <v>202012</v>
      </c>
      <c r="D446">
        <f>IF(OR(C446=1900,$D$506=0),0,VLOOKUP(A446,'Estados Financieros'!$A$11:$H$453,6,0))</f>
        <v>30</v>
      </c>
      <c r="E446" t="str">
        <f t="shared" si="20"/>
        <v>30,000</v>
      </c>
    </row>
    <row r="447" spans="1:5" x14ac:dyDescent="0.25">
      <c r="A447">
        <v>159899</v>
      </c>
      <c r="B447" t="str">
        <f t="shared" si="23"/>
        <v>900142011</v>
      </c>
      <c r="C447">
        <f t="shared" si="24"/>
        <v>202012</v>
      </c>
      <c r="D447">
        <f>IF(OR(C447=1900,$D$506=0),0,VLOOKUP(A447,'Estados Financieros'!$A$11:$H$453,6,0))</f>
        <v>30</v>
      </c>
      <c r="E447" t="str">
        <f t="shared" si="20"/>
        <v>30,000</v>
      </c>
    </row>
    <row r="448" spans="1:5" x14ac:dyDescent="0.25">
      <c r="A448">
        <v>159901</v>
      </c>
      <c r="B448" t="str">
        <f t="shared" si="23"/>
        <v>900142011</v>
      </c>
      <c r="C448">
        <f t="shared" si="24"/>
        <v>202012</v>
      </c>
      <c r="D448">
        <f>IF(OR(C448=1900,$D$506=0),0,VLOOKUP(A448,'Estados Financieros'!$A$11:$H$453,6,0))</f>
        <v>30</v>
      </c>
      <c r="E448" t="str">
        <f t="shared" si="20"/>
        <v>30,000</v>
      </c>
    </row>
    <row r="449" spans="1:5" x14ac:dyDescent="0.25">
      <c r="A449">
        <v>1201</v>
      </c>
      <c r="B449" t="str">
        <f t="shared" si="23"/>
        <v>900142011</v>
      </c>
      <c r="C449">
        <f t="shared" si="24"/>
        <v>202012</v>
      </c>
      <c r="D449">
        <f>IF(OR(C449=1900,$D$506=0),0,VLOOKUP(A449,'Estados Financieros'!$A$11:$H$453,6,0))</f>
        <v>600</v>
      </c>
      <c r="E449" t="str">
        <f t="shared" si="20"/>
        <v>600,000</v>
      </c>
    </row>
    <row r="450" spans="1:5" x14ac:dyDescent="0.25">
      <c r="A450">
        <v>130506</v>
      </c>
      <c r="B450" t="str">
        <f t="shared" si="23"/>
        <v>900142011</v>
      </c>
      <c r="C450">
        <f t="shared" si="24"/>
        <v>202012</v>
      </c>
      <c r="D450">
        <f>IF(OR(C450=1900,$D$506=0),0,VLOOKUP(A450,'Estados Financieros'!$A$11:$H$453,6,0))</f>
        <v>30</v>
      </c>
      <c r="E450" t="str">
        <f t="shared" ref="E450:E513" si="25">IFERROR(FIXED(D450,3,1),0)</f>
        <v>30,000</v>
      </c>
    </row>
    <row r="451" spans="1:5" x14ac:dyDescent="0.25">
      <c r="A451">
        <v>130511</v>
      </c>
      <c r="B451" t="str">
        <f t="shared" si="23"/>
        <v>900142011</v>
      </c>
      <c r="C451">
        <f t="shared" si="24"/>
        <v>202012</v>
      </c>
      <c r="D451">
        <f>IF(OR(C451=1900,$D$506=0),0,VLOOKUP(A451,'Estados Financieros'!$A$11:$H$453,6,0))</f>
        <v>30</v>
      </c>
      <c r="E451" t="str">
        <f t="shared" si="25"/>
        <v>30,000</v>
      </c>
    </row>
    <row r="452" spans="1:5" x14ac:dyDescent="0.25">
      <c r="A452">
        <v>131001</v>
      </c>
      <c r="B452" t="str">
        <f t="shared" si="23"/>
        <v>900142011</v>
      </c>
      <c r="C452">
        <f t="shared" si="24"/>
        <v>202012</v>
      </c>
      <c r="D452">
        <f>IF(OR(C452=1900,$D$506=0),0,VLOOKUP(A452,'Estados Financieros'!$A$11:$H$453,6,0))</f>
        <v>30</v>
      </c>
      <c r="E452" t="str">
        <f t="shared" si="25"/>
        <v>30,000</v>
      </c>
    </row>
    <row r="453" spans="1:5" x14ac:dyDescent="0.25">
      <c r="A453">
        <v>131501</v>
      </c>
      <c r="B453" t="str">
        <f t="shared" si="23"/>
        <v>900142011</v>
      </c>
      <c r="C453">
        <f t="shared" si="24"/>
        <v>202012</v>
      </c>
      <c r="D453">
        <f>IF(OR(C453=1900,$D$506=0),0,VLOOKUP(A453,'Estados Financieros'!$A$11:$H$453,6,0))</f>
        <v>30</v>
      </c>
      <c r="E453" t="str">
        <f t="shared" si="25"/>
        <v>30,000</v>
      </c>
    </row>
    <row r="454" spans="1:5" x14ac:dyDescent="0.25">
      <c r="A454">
        <v>132001</v>
      </c>
      <c r="B454" t="str">
        <f t="shared" si="23"/>
        <v>900142011</v>
      </c>
      <c r="C454">
        <f t="shared" si="24"/>
        <v>202012</v>
      </c>
      <c r="D454">
        <f>IF(OR(C454=1900,$D$506=0),0,VLOOKUP(A454,'Estados Financieros'!$A$11:$H$453,6,0))</f>
        <v>30</v>
      </c>
      <c r="E454" t="str">
        <f t="shared" si="25"/>
        <v>30,000</v>
      </c>
    </row>
    <row r="455" spans="1:5" x14ac:dyDescent="0.25">
      <c r="A455">
        <v>132501</v>
      </c>
      <c r="B455" t="str">
        <f t="shared" si="23"/>
        <v>900142011</v>
      </c>
      <c r="C455">
        <f t="shared" si="24"/>
        <v>202012</v>
      </c>
      <c r="D455">
        <f>IF(OR(C455=1900,$D$506=0),0,VLOOKUP(A455,'Estados Financieros'!$A$11:$H$453,6,0))</f>
        <v>30</v>
      </c>
      <c r="E455" t="str">
        <f t="shared" si="25"/>
        <v>30,000</v>
      </c>
    </row>
    <row r="456" spans="1:5" x14ac:dyDescent="0.25">
      <c r="A456">
        <v>133001</v>
      </c>
      <c r="B456" t="str">
        <f t="shared" si="23"/>
        <v>900142011</v>
      </c>
      <c r="C456">
        <f t="shared" si="24"/>
        <v>202012</v>
      </c>
      <c r="D456">
        <f>IF(OR(C456=1900,$D$506=0),0,VLOOKUP(A456,'Estados Financieros'!$A$11:$H$453,6,0))</f>
        <v>30</v>
      </c>
      <c r="E456" t="str">
        <f t="shared" si="25"/>
        <v>30,000</v>
      </c>
    </row>
    <row r="457" spans="1:5" x14ac:dyDescent="0.25">
      <c r="A457">
        <v>133501</v>
      </c>
      <c r="B457" t="str">
        <f t="shared" si="23"/>
        <v>900142011</v>
      </c>
      <c r="C457">
        <f t="shared" si="24"/>
        <v>202012</v>
      </c>
      <c r="D457">
        <f>IF(OR(C457=1900,$D$506=0),0,VLOOKUP(A457,'Estados Financieros'!$A$11:$H$453,6,0))</f>
        <v>30</v>
      </c>
      <c r="E457" t="str">
        <f t="shared" si="25"/>
        <v>30,000</v>
      </c>
    </row>
    <row r="458" spans="1:5" x14ac:dyDescent="0.25">
      <c r="A458">
        <v>134001</v>
      </c>
      <c r="B458" t="str">
        <f t="shared" si="23"/>
        <v>900142011</v>
      </c>
      <c r="C458">
        <f t="shared" si="24"/>
        <v>202012</v>
      </c>
      <c r="D458">
        <f>IF(OR(C458=1900,$D$506=0),0,VLOOKUP(A458,'Estados Financieros'!$A$11:$H$453,6,0))</f>
        <v>30</v>
      </c>
      <c r="E458" t="str">
        <f t="shared" si="25"/>
        <v>30,000</v>
      </c>
    </row>
    <row r="459" spans="1:5" x14ac:dyDescent="0.25">
      <c r="A459">
        <v>134501</v>
      </c>
      <c r="B459" t="str">
        <f t="shared" si="23"/>
        <v>900142011</v>
      </c>
      <c r="C459">
        <f t="shared" si="24"/>
        <v>202012</v>
      </c>
      <c r="D459">
        <f>IF(OR(C459=1900,$D$506=0),0,VLOOKUP(A459,'Estados Financieros'!$A$11:$H$453,6,0))</f>
        <v>30</v>
      </c>
      <c r="E459" t="str">
        <f t="shared" si="25"/>
        <v>30,000</v>
      </c>
    </row>
    <row r="460" spans="1:5" x14ac:dyDescent="0.25">
      <c r="A460">
        <v>135001</v>
      </c>
      <c r="B460" t="str">
        <f t="shared" si="23"/>
        <v>900142011</v>
      </c>
      <c r="C460">
        <f t="shared" si="24"/>
        <v>202012</v>
      </c>
      <c r="D460">
        <f>IF(OR(C460=1900,$D$506=0),0,VLOOKUP(A460,'Estados Financieros'!$A$11:$H$453,6,0))</f>
        <v>30</v>
      </c>
      <c r="E460" t="str">
        <f t="shared" si="25"/>
        <v>30,000</v>
      </c>
    </row>
    <row r="461" spans="1:5" x14ac:dyDescent="0.25">
      <c r="A461">
        <v>135501</v>
      </c>
      <c r="B461" t="str">
        <f t="shared" si="23"/>
        <v>900142011</v>
      </c>
      <c r="C461">
        <f t="shared" si="24"/>
        <v>202012</v>
      </c>
      <c r="D461">
        <f>IF(OR(C461=1900,$D$506=0),0,VLOOKUP(A461,'Estados Financieros'!$A$11:$H$453,6,0))</f>
        <v>30</v>
      </c>
      <c r="E461" t="str">
        <f t="shared" si="25"/>
        <v>30,000</v>
      </c>
    </row>
    <row r="462" spans="1:5" x14ac:dyDescent="0.25">
      <c r="A462">
        <v>136001</v>
      </c>
      <c r="B462" t="str">
        <f t="shared" si="23"/>
        <v>900142011</v>
      </c>
      <c r="C462">
        <f t="shared" si="24"/>
        <v>202012</v>
      </c>
      <c r="D462">
        <f>IF(OR(C462=1900,$D$506=0),0,VLOOKUP(A462,'Estados Financieros'!$A$11:$H$453,6,0))</f>
        <v>30</v>
      </c>
      <c r="E462" t="str">
        <f t="shared" si="25"/>
        <v>30,000</v>
      </c>
    </row>
    <row r="463" spans="1:5" x14ac:dyDescent="0.25">
      <c r="A463">
        <v>136501</v>
      </c>
      <c r="B463" t="str">
        <f t="shared" si="23"/>
        <v>900142011</v>
      </c>
      <c r="C463">
        <f t="shared" si="24"/>
        <v>202012</v>
      </c>
      <c r="D463">
        <f>IF(OR(C463=1900,$D$506=0),0,VLOOKUP(A463,'Estados Financieros'!$A$11:$H$453,6,0))</f>
        <v>30</v>
      </c>
      <c r="E463" t="str">
        <f t="shared" si="25"/>
        <v>30,000</v>
      </c>
    </row>
    <row r="464" spans="1:5" x14ac:dyDescent="0.25">
      <c r="A464">
        <v>137001</v>
      </c>
      <c r="B464" t="str">
        <f t="shared" si="23"/>
        <v>900142011</v>
      </c>
      <c r="C464">
        <f t="shared" si="24"/>
        <v>202012</v>
      </c>
      <c r="D464">
        <f>IF(OR(C464=1900,$D$506=0),0,VLOOKUP(A464,'Estados Financieros'!$A$11:$H$453,6,0))</f>
        <v>30</v>
      </c>
      <c r="E464" t="str">
        <f t="shared" si="25"/>
        <v>30,000</v>
      </c>
    </row>
    <row r="465" spans="1:5" x14ac:dyDescent="0.25">
      <c r="A465">
        <v>138001</v>
      </c>
      <c r="B465" t="str">
        <f t="shared" si="23"/>
        <v>900142011</v>
      </c>
      <c r="C465">
        <f t="shared" si="24"/>
        <v>202012</v>
      </c>
      <c r="D465">
        <f>IF(OR(C465=1900,$D$506=0),0,VLOOKUP(A465,'Estados Financieros'!$A$11:$H$453,6,0))</f>
        <v>30</v>
      </c>
      <c r="E465" t="str">
        <f t="shared" si="25"/>
        <v>30,000</v>
      </c>
    </row>
    <row r="466" spans="1:5" x14ac:dyDescent="0.25">
      <c r="A466">
        <v>138501</v>
      </c>
      <c r="B466" t="str">
        <f t="shared" si="23"/>
        <v>900142011</v>
      </c>
      <c r="C466">
        <f t="shared" si="24"/>
        <v>202012</v>
      </c>
      <c r="D466">
        <f>IF(OR(C466=1900,$D$506=0),0,VLOOKUP(A466,'Estados Financieros'!$A$11:$H$453,6,0))</f>
        <v>30</v>
      </c>
      <c r="E466" t="str">
        <f t="shared" si="25"/>
        <v>30,000</v>
      </c>
    </row>
    <row r="467" spans="1:5" x14ac:dyDescent="0.25">
      <c r="A467">
        <v>139001</v>
      </c>
      <c r="B467" t="str">
        <f t="shared" si="23"/>
        <v>900142011</v>
      </c>
      <c r="C467">
        <f t="shared" si="24"/>
        <v>202012</v>
      </c>
      <c r="D467">
        <f>IF(OR(C467=1900,$D$506=0),0,VLOOKUP(A467,'Estados Financieros'!$A$11:$H$453,6,0))</f>
        <v>30</v>
      </c>
      <c r="E467" t="str">
        <f t="shared" si="25"/>
        <v>30,000</v>
      </c>
    </row>
    <row r="468" spans="1:5" x14ac:dyDescent="0.25">
      <c r="A468">
        <v>139901</v>
      </c>
      <c r="B468" t="str">
        <f t="shared" si="23"/>
        <v>900142011</v>
      </c>
      <c r="C468">
        <f t="shared" si="24"/>
        <v>202012</v>
      </c>
      <c r="D468">
        <f>IF(OR(C468=1900,$D$506=0),0,VLOOKUP(A468,'Estados Financieros'!$A$11:$H$453,6,0))</f>
        <v>30</v>
      </c>
      <c r="E468" t="str">
        <f t="shared" si="25"/>
        <v>30,000</v>
      </c>
    </row>
    <row r="469" spans="1:5" x14ac:dyDescent="0.25">
      <c r="A469">
        <v>1205</v>
      </c>
      <c r="B469" t="str">
        <f t="shared" si="23"/>
        <v>900142011</v>
      </c>
      <c r="C469">
        <f t="shared" si="24"/>
        <v>202012</v>
      </c>
      <c r="D469">
        <f>IF(OR(C469=1900,$D$506=0),0,VLOOKUP(A469,'Estados Financieros'!$A$11:$H$453,6,0))</f>
        <v>600</v>
      </c>
      <c r="E469" t="str">
        <f t="shared" si="25"/>
        <v>600,000</v>
      </c>
    </row>
    <row r="470" spans="1:5" x14ac:dyDescent="0.25">
      <c r="A470">
        <v>120501</v>
      </c>
      <c r="B470" t="str">
        <f t="shared" si="23"/>
        <v>900142011</v>
      </c>
      <c r="C470">
        <f t="shared" si="24"/>
        <v>202012</v>
      </c>
      <c r="D470">
        <f>IF(OR(C470=1900,$D$506=0),0,VLOOKUP(A470,'Estados Financieros'!$A$11:$H$453,6,0))</f>
        <v>30</v>
      </c>
      <c r="E470" t="str">
        <f t="shared" si="25"/>
        <v>30,000</v>
      </c>
    </row>
    <row r="471" spans="1:5" x14ac:dyDescent="0.25">
      <c r="A471">
        <v>121001</v>
      </c>
      <c r="B471" t="str">
        <f t="shared" si="23"/>
        <v>900142011</v>
      </c>
      <c r="C471">
        <f t="shared" si="24"/>
        <v>202012</v>
      </c>
      <c r="D471">
        <f>IF(OR(C471=1900,$D$506=0),0,VLOOKUP(A471,'Estados Financieros'!$A$11:$H$453,6,0))</f>
        <v>30</v>
      </c>
      <c r="E471" t="str">
        <f t="shared" si="25"/>
        <v>30,000</v>
      </c>
    </row>
    <row r="472" spans="1:5" x14ac:dyDescent="0.25">
      <c r="A472">
        <v>121501</v>
      </c>
      <c r="B472" t="str">
        <f t="shared" si="23"/>
        <v>900142011</v>
      </c>
      <c r="C472">
        <f t="shared" si="24"/>
        <v>202012</v>
      </c>
      <c r="D472">
        <f>IF(OR(C472=1900,$D$506=0),0,VLOOKUP(A472,'Estados Financieros'!$A$11:$H$453,6,0))</f>
        <v>30</v>
      </c>
      <c r="E472" t="str">
        <f t="shared" si="25"/>
        <v>30,000</v>
      </c>
    </row>
    <row r="473" spans="1:5" x14ac:dyDescent="0.25">
      <c r="A473">
        <v>123501</v>
      </c>
      <c r="B473" t="str">
        <f t="shared" si="23"/>
        <v>900142011</v>
      </c>
      <c r="C473">
        <f t="shared" si="24"/>
        <v>202012</v>
      </c>
      <c r="D473">
        <f>IF(OR(C473=1900,$D$506=0),0,VLOOKUP(A473,'Estados Financieros'!$A$11:$H$453,6,0))</f>
        <v>30</v>
      </c>
      <c r="E473" t="str">
        <f t="shared" si="25"/>
        <v>30,000</v>
      </c>
    </row>
    <row r="474" spans="1:5" x14ac:dyDescent="0.25">
      <c r="A474">
        <v>125501</v>
      </c>
      <c r="B474" t="str">
        <f t="shared" si="23"/>
        <v>900142011</v>
      </c>
      <c r="C474">
        <f t="shared" si="24"/>
        <v>202012</v>
      </c>
      <c r="D474">
        <f>IF(OR(C474=1900,$D$506=0),0,VLOOKUP(A474,'Estados Financieros'!$A$11:$H$453,6,0))</f>
        <v>30</v>
      </c>
      <c r="E474" t="str">
        <f t="shared" si="25"/>
        <v>30,000</v>
      </c>
    </row>
    <row r="475" spans="1:5" x14ac:dyDescent="0.25">
      <c r="A475">
        <v>126001</v>
      </c>
      <c r="B475" t="str">
        <f t="shared" si="23"/>
        <v>900142011</v>
      </c>
      <c r="C475">
        <f t="shared" si="24"/>
        <v>202012</v>
      </c>
      <c r="D475">
        <f>IF(OR(C475=1900,$D$506=0),0,VLOOKUP(A475,'Estados Financieros'!$A$11:$H$453,6,0))</f>
        <v>30</v>
      </c>
      <c r="E475" t="str">
        <f t="shared" si="25"/>
        <v>30,000</v>
      </c>
    </row>
    <row r="476" spans="1:5" x14ac:dyDescent="0.25">
      <c r="A476">
        <v>129501</v>
      </c>
      <c r="B476" t="str">
        <f t="shared" si="23"/>
        <v>900142011</v>
      </c>
      <c r="C476">
        <f t="shared" si="24"/>
        <v>202012</v>
      </c>
      <c r="D476">
        <f>IF(OR(C476=1900,$D$506=0),0,VLOOKUP(A476,'Estados Financieros'!$A$11:$H$453,6,0))</f>
        <v>30</v>
      </c>
      <c r="E476" t="str">
        <f t="shared" si="25"/>
        <v>30,000</v>
      </c>
    </row>
    <row r="477" spans="1:5" x14ac:dyDescent="0.25">
      <c r="A477">
        <v>129701</v>
      </c>
      <c r="B477" t="str">
        <f t="shared" si="23"/>
        <v>900142011</v>
      </c>
      <c r="C477">
        <f t="shared" si="24"/>
        <v>202012</v>
      </c>
      <c r="D477">
        <f>IF(OR(C477=1900,$D$506=0),0,VLOOKUP(A477,'Estados Financieros'!$A$11:$H$453,6,0))</f>
        <v>30</v>
      </c>
      <c r="E477" t="str">
        <f t="shared" si="25"/>
        <v>30,000</v>
      </c>
    </row>
    <row r="478" spans="1:5" x14ac:dyDescent="0.25">
      <c r="A478">
        <v>129901</v>
      </c>
      <c r="B478" t="str">
        <f t="shared" si="23"/>
        <v>900142011</v>
      </c>
      <c r="C478">
        <f t="shared" si="24"/>
        <v>202012</v>
      </c>
      <c r="D478">
        <f>IF(OR(C478=1900,$D$506=0),0,VLOOKUP(A478,'Estados Financieros'!$A$11:$H$453,6,0))</f>
        <v>30</v>
      </c>
      <c r="E478" t="str">
        <f t="shared" si="25"/>
        <v>30,000</v>
      </c>
    </row>
    <row r="479" spans="1:5" x14ac:dyDescent="0.25">
      <c r="A479">
        <v>1203</v>
      </c>
      <c r="B479" t="str">
        <f t="shared" si="23"/>
        <v>900142011</v>
      </c>
      <c r="C479">
        <f t="shared" si="24"/>
        <v>202012</v>
      </c>
      <c r="D479">
        <f>IF(OR(C479=1900,$D$506=0),0,VLOOKUP(A479,'Estados Financieros'!$A$11:$H$453,6,0))</f>
        <v>270</v>
      </c>
      <c r="E479" t="str">
        <f t="shared" si="25"/>
        <v>270,000</v>
      </c>
    </row>
    <row r="480" spans="1:5" x14ac:dyDescent="0.25">
      <c r="A480">
        <v>120610</v>
      </c>
      <c r="B480" t="str">
        <f t="shared" si="23"/>
        <v>900142011</v>
      </c>
      <c r="C480">
        <f t="shared" si="24"/>
        <v>202012</v>
      </c>
      <c r="D480">
        <f>IF(OR(C480=1900,$D$506=0),0,VLOOKUP(A480,'Estados Financieros'!$A$11:$H$453,6,0))</f>
        <v>30</v>
      </c>
      <c r="E480" t="str">
        <f t="shared" si="25"/>
        <v>30,000</v>
      </c>
    </row>
    <row r="481" spans="1:5" x14ac:dyDescent="0.25">
      <c r="A481">
        <v>120615</v>
      </c>
      <c r="B481" t="str">
        <f t="shared" si="23"/>
        <v>900142011</v>
      </c>
      <c r="C481">
        <f t="shared" si="24"/>
        <v>202012</v>
      </c>
      <c r="D481">
        <f>IF(OR(C481=1900,$D$506=0),0,VLOOKUP(A481,'Estados Financieros'!$A$11:$H$453,6,0))</f>
        <v>30</v>
      </c>
      <c r="E481" t="str">
        <f t="shared" si="25"/>
        <v>30,000</v>
      </c>
    </row>
    <row r="482" spans="1:5" x14ac:dyDescent="0.25">
      <c r="A482">
        <v>173001</v>
      </c>
      <c r="B482" t="str">
        <f t="shared" si="23"/>
        <v>900142011</v>
      </c>
      <c r="C482">
        <f t="shared" si="24"/>
        <v>202012</v>
      </c>
      <c r="D482">
        <f>IF(OR(C482=1900,$D$506=0),0,VLOOKUP(A482,'Estados Financieros'!$A$11:$H$453,6,0))</f>
        <v>30</v>
      </c>
      <c r="E482" t="str">
        <f t="shared" si="25"/>
        <v>30,000</v>
      </c>
    </row>
    <row r="483" spans="1:5" x14ac:dyDescent="0.25">
      <c r="A483">
        <v>120620</v>
      </c>
      <c r="B483" t="str">
        <f t="shared" si="23"/>
        <v>900142011</v>
      </c>
      <c r="C483">
        <f t="shared" si="24"/>
        <v>202012</v>
      </c>
      <c r="D483">
        <f>IF(OR(C483=1900,$D$506=0),0,VLOOKUP(A483,'Estados Financieros'!$A$11:$H$453,6,0))</f>
        <v>30</v>
      </c>
      <c r="E483" t="str">
        <f t="shared" si="25"/>
        <v>30,000</v>
      </c>
    </row>
    <row r="484" spans="1:5" x14ac:dyDescent="0.25">
      <c r="A484">
        <v>179701</v>
      </c>
      <c r="B484" t="str">
        <f t="shared" ref="B484:B547" si="26">+B483</f>
        <v>900142011</v>
      </c>
      <c r="C484">
        <f t="shared" ref="C484:C547" si="27">+C483</f>
        <v>202012</v>
      </c>
      <c r="D484">
        <f>IF(OR(C484=1900,$D$506=0),0,VLOOKUP(A484,'Estados Financieros'!$A$11:$H$453,6,0))</f>
        <v>30</v>
      </c>
      <c r="E484" t="str">
        <f t="shared" si="25"/>
        <v>30,000</v>
      </c>
    </row>
    <row r="485" spans="1:5" x14ac:dyDescent="0.25">
      <c r="A485">
        <v>179801</v>
      </c>
      <c r="B485" t="str">
        <f t="shared" si="26"/>
        <v>900142011</v>
      </c>
      <c r="C485">
        <f t="shared" si="27"/>
        <v>202012</v>
      </c>
      <c r="D485">
        <f>IF(OR(C485=1900,$D$506=0),0,VLOOKUP(A485,'Estados Financieros'!$A$11:$H$453,6,0))</f>
        <v>30</v>
      </c>
      <c r="E485" t="str">
        <f t="shared" si="25"/>
        <v>30,000</v>
      </c>
    </row>
    <row r="486" spans="1:5" x14ac:dyDescent="0.25">
      <c r="A486">
        <v>1206</v>
      </c>
      <c r="B486" t="str">
        <f t="shared" si="26"/>
        <v>900142011</v>
      </c>
      <c r="C486">
        <f t="shared" si="27"/>
        <v>202012</v>
      </c>
      <c r="D486">
        <f>IF(OR(C486=1900,$D$506=0),0,VLOOKUP(A486,'Estados Financieros'!$A$11:$H$453,6,0))</f>
        <v>180</v>
      </c>
      <c r="E486" t="str">
        <f t="shared" si="25"/>
        <v>180,000</v>
      </c>
    </row>
    <row r="487" spans="1:5" x14ac:dyDescent="0.25">
      <c r="A487">
        <v>160501</v>
      </c>
      <c r="B487" t="str">
        <f t="shared" si="26"/>
        <v>900142011</v>
      </c>
      <c r="C487">
        <f t="shared" si="27"/>
        <v>202012</v>
      </c>
      <c r="D487">
        <f>IF(OR(C487=1900,$D$506=0),0,VLOOKUP(A487,'Estados Financieros'!$A$11:$H$453,6,0))</f>
        <v>30</v>
      </c>
      <c r="E487" t="str">
        <f t="shared" si="25"/>
        <v>30,000</v>
      </c>
    </row>
    <row r="488" spans="1:5" x14ac:dyDescent="0.25">
      <c r="A488">
        <v>161001</v>
      </c>
      <c r="B488" t="str">
        <f t="shared" si="26"/>
        <v>900142011</v>
      </c>
      <c r="C488">
        <f t="shared" si="27"/>
        <v>202012</v>
      </c>
      <c r="D488">
        <f>IF(OR(C488=1900,$D$506=0),0,VLOOKUP(A488,'Estados Financieros'!$A$11:$H$453,6,0))</f>
        <v>30</v>
      </c>
      <c r="E488" t="str">
        <f t="shared" si="25"/>
        <v>30,000</v>
      </c>
    </row>
    <row r="489" spans="1:5" x14ac:dyDescent="0.25">
      <c r="A489">
        <v>163001</v>
      </c>
      <c r="B489" t="str">
        <f t="shared" si="26"/>
        <v>900142011</v>
      </c>
      <c r="C489">
        <f t="shared" si="27"/>
        <v>202012</v>
      </c>
      <c r="D489">
        <f>IF(OR(C489=1900,$D$506=0),0,VLOOKUP(A489,'Estados Financieros'!$A$11:$H$453,6,0))</f>
        <v>30</v>
      </c>
      <c r="E489" t="str">
        <f t="shared" si="25"/>
        <v>30,000</v>
      </c>
    </row>
    <row r="490" spans="1:5" x14ac:dyDescent="0.25">
      <c r="A490">
        <v>164001</v>
      </c>
      <c r="B490" t="str">
        <f t="shared" si="26"/>
        <v>900142011</v>
      </c>
      <c r="C490">
        <f t="shared" si="27"/>
        <v>202012</v>
      </c>
      <c r="D490">
        <f>IF(OR(C490=1900,$D$506=0),0,VLOOKUP(A490,'Estados Financieros'!$A$11:$H$453,6,0))</f>
        <v>30</v>
      </c>
      <c r="E490" t="str">
        <f t="shared" si="25"/>
        <v>30,000</v>
      </c>
    </row>
    <row r="491" spans="1:5" x14ac:dyDescent="0.25">
      <c r="A491">
        <v>109801</v>
      </c>
      <c r="B491" t="str">
        <f t="shared" si="26"/>
        <v>900142011</v>
      </c>
      <c r="C491">
        <f t="shared" si="27"/>
        <v>202012</v>
      </c>
      <c r="D491">
        <f>IF(OR(C491=1900,$D$506=0),0,VLOOKUP(A491,'Estados Financieros'!$A$11:$H$453,6,0))</f>
        <v>30</v>
      </c>
      <c r="E491" t="str">
        <f t="shared" si="25"/>
        <v>30,000</v>
      </c>
    </row>
    <row r="492" spans="1:5" x14ac:dyDescent="0.25">
      <c r="A492">
        <v>169899</v>
      </c>
      <c r="B492" t="str">
        <f t="shared" si="26"/>
        <v>900142011</v>
      </c>
      <c r="C492">
        <f t="shared" si="27"/>
        <v>202012</v>
      </c>
      <c r="D492">
        <f>IF(OR(C492=1900,$D$506=0),0,VLOOKUP(A492,'Estados Financieros'!$A$11:$H$453,6,0))</f>
        <v>30</v>
      </c>
      <c r="E492" t="str">
        <f t="shared" si="25"/>
        <v>30,000</v>
      </c>
    </row>
    <row r="493" spans="1:5" x14ac:dyDescent="0.25">
      <c r="A493">
        <v>169901</v>
      </c>
      <c r="B493" t="str">
        <f t="shared" si="26"/>
        <v>900142011</v>
      </c>
      <c r="C493">
        <f t="shared" si="27"/>
        <v>202012</v>
      </c>
      <c r="D493">
        <f>IF(OR(C493=1900,$D$506=0),0,VLOOKUP(A493,'Estados Financieros'!$A$11:$H$453,6,0))</f>
        <v>30</v>
      </c>
      <c r="E493" t="str">
        <f t="shared" si="25"/>
        <v>30,000</v>
      </c>
    </row>
    <row r="494" spans="1:5" x14ac:dyDescent="0.25">
      <c r="A494">
        <v>1202</v>
      </c>
      <c r="B494" t="str">
        <f t="shared" si="26"/>
        <v>900142011</v>
      </c>
      <c r="C494">
        <f t="shared" si="27"/>
        <v>202012</v>
      </c>
      <c r="D494">
        <f>IF(OR(C494=1900,$D$506=0),0,VLOOKUP(A494,'Estados Financieros'!$A$11:$H$453,6,0))</f>
        <v>210</v>
      </c>
      <c r="E494" t="str">
        <f t="shared" si="25"/>
        <v>210,000</v>
      </c>
    </row>
    <row r="495" spans="1:5" x14ac:dyDescent="0.25">
      <c r="A495">
        <v>180501</v>
      </c>
      <c r="B495" t="str">
        <f t="shared" si="26"/>
        <v>900142011</v>
      </c>
      <c r="C495">
        <f t="shared" si="27"/>
        <v>202012</v>
      </c>
      <c r="D495">
        <f>IF(OR(C495=1900,$D$506=0),0,VLOOKUP(A495,'Estados Financieros'!$A$11:$H$453,6,0))</f>
        <v>30</v>
      </c>
      <c r="E495" t="str">
        <f t="shared" si="25"/>
        <v>30,000</v>
      </c>
    </row>
    <row r="496" spans="1:5" x14ac:dyDescent="0.25">
      <c r="A496">
        <v>189501</v>
      </c>
      <c r="B496" t="str">
        <f t="shared" si="26"/>
        <v>900142011</v>
      </c>
      <c r="C496">
        <f t="shared" si="27"/>
        <v>202012</v>
      </c>
      <c r="D496">
        <f>IF(OR(C496=1900,$D$506=0),0,VLOOKUP(A496,'Estados Financieros'!$A$11:$H$453,6,0))</f>
        <v>30</v>
      </c>
      <c r="E496" t="str">
        <f t="shared" si="25"/>
        <v>30,000</v>
      </c>
    </row>
    <row r="497" spans="1:5" x14ac:dyDescent="0.25">
      <c r="A497">
        <v>189520</v>
      </c>
      <c r="B497" t="str">
        <f t="shared" si="26"/>
        <v>900142011</v>
      </c>
      <c r="C497">
        <f t="shared" si="27"/>
        <v>202012</v>
      </c>
      <c r="D497">
        <f>IF(OR(C497=1900,$D$506=0),0,VLOOKUP(A497,'Estados Financieros'!$A$11:$H$453,6,0))</f>
        <v>30</v>
      </c>
      <c r="E497" t="str">
        <f t="shared" si="25"/>
        <v>30,000</v>
      </c>
    </row>
    <row r="498" spans="1:5" x14ac:dyDescent="0.25">
      <c r="A498">
        <v>189701</v>
      </c>
      <c r="B498" t="str">
        <f t="shared" si="26"/>
        <v>900142011</v>
      </c>
      <c r="C498">
        <f t="shared" si="27"/>
        <v>202012</v>
      </c>
      <c r="D498">
        <f>IF(OR(C498=1900,$D$506=0),0,VLOOKUP(A498,'Estados Financieros'!$A$11:$H$453,6,0))</f>
        <v>30</v>
      </c>
      <c r="E498" t="str">
        <f t="shared" si="25"/>
        <v>30,000</v>
      </c>
    </row>
    <row r="499" spans="1:5" x14ac:dyDescent="0.25">
      <c r="A499">
        <v>189901</v>
      </c>
      <c r="B499" t="str">
        <f t="shared" si="26"/>
        <v>900142011</v>
      </c>
      <c r="C499">
        <f t="shared" si="27"/>
        <v>202012</v>
      </c>
      <c r="D499">
        <f>IF(OR(C499=1900,$D$506=0),0,VLOOKUP(A499,'Estados Financieros'!$A$11:$H$453,6,0))</f>
        <v>30</v>
      </c>
      <c r="E499" t="str">
        <f t="shared" si="25"/>
        <v>30,000</v>
      </c>
    </row>
    <row r="500" spans="1:5" x14ac:dyDescent="0.25">
      <c r="A500">
        <v>1207</v>
      </c>
      <c r="B500" t="str">
        <f t="shared" si="26"/>
        <v>900142011</v>
      </c>
      <c r="C500">
        <f t="shared" si="27"/>
        <v>202012</v>
      </c>
      <c r="D500">
        <f>IF(OR(C500=1900,$D$506=0),0,VLOOKUP(A500,'Estados Financieros'!$A$11:$H$453,6,0))</f>
        <v>150</v>
      </c>
      <c r="E500" t="str">
        <f t="shared" si="25"/>
        <v>150,000</v>
      </c>
    </row>
    <row r="501" spans="1:5" x14ac:dyDescent="0.25">
      <c r="A501">
        <v>190501</v>
      </c>
      <c r="B501" t="str">
        <f t="shared" si="26"/>
        <v>900142011</v>
      </c>
      <c r="C501">
        <f t="shared" si="27"/>
        <v>202012</v>
      </c>
      <c r="D501">
        <f>IF(OR(C501=1900,$D$506=0),0,VLOOKUP(A501,'Estados Financieros'!$A$11:$H$453,6,0))</f>
        <v>30</v>
      </c>
      <c r="E501" t="str">
        <f t="shared" si="25"/>
        <v>30,000</v>
      </c>
    </row>
    <row r="502" spans="1:5" x14ac:dyDescent="0.25">
      <c r="A502">
        <v>191001</v>
      </c>
      <c r="B502" t="str">
        <f t="shared" si="26"/>
        <v>900142011</v>
      </c>
      <c r="C502">
        <f t="shared" si="27"/>
        <v>202012</v>
      </c>
      <c r="D502">
        <f>IF(OR(C502=1900,$D$506=0),0,VLOOKUP(A502,'Estados Financieros'!$A$11:$H$453,6,0))</f>
        <v>30</v>
      </c>
      <c r="E502" t="str">
        <f t="shared" si="25"/>
        <v>30,000</v>
      </c>
    </row>
    <row r="503" spans="1:5" x14ac:dyDescent="0.25">
      <c r="A503">
        <v>199501</v>
      </c>
      <c r="B503" t="str">
        <f t="shared" si="26"/>
        <v>900142011</v>
      </c>
      <c r="C503">
        <f t="shared" si="27"/>
        <v>202012</v>
      </c>
      <c r="D503">
        <f>IF(OR(C503=1900,$D$506=0),0,VLOOKUP(A503,'Estados Financieros'!$A$11:$H$453,6,0))</f>
        <v>30</v>
      </c>
      <c r="E503" t="str">
        <f t="shared" si="25"/>
        <v>30,000</v>
      </c>
    </row>
    <row r="504" spans="1:5" x14ac:dyDescent="0.25">
      <c r="A504">
        <v>1208</v>
      </c>
      <c r="B504" t="str">
        <f t="shared" si="26"/>
        <v>900142011</v>
      </c>
      <c r="C504">
        <f t="shared" si="27"/>
        <v>202012</v>
      </c>
      <c r="D504">
        <f>IF(OR(C504=1900,$D$506=0),0,VLOOKUP(A504,'Estados Financieros'!$A$11:$H$453,6,0))</f>
        <v>90</v>
      </c>
      <c r="E504" t="str">
        <f t="shared" si="25"/>
        <v>90,000</v>
      </c>
    </row>
    <row r="505" spans="1:5" x14ac:dyDescent="0.25">
      <c r="A505">
        <v>12</v>
      </c>
      <c r="B505" t="str">
        <f t="shared" si="26"/>
        <v>900142011</v>
      </c>
      <c r="C505">
        <f t="shared" si="27"/>
        <v>202012</v>
      </c>
      <c r="D505">
        <f>IF(OR(C505=1900,$D$506=0),0,VLOOKUP(A505,'Estados Financieros'!$A$11:$H$453,6,0))</f>
        <v>2100</v>
      </c>
      <c r="E505" t="str">
        <f t="shared" si="25"/>
        <v>2100,000</v>
      </c>
    </row>
    <row r="506" spans="1:5" x14ac:dyDescent="0.25">
      <c r="A506">
        <v>1</v>
      </c>
      <c r="B506" t="str">
        <f t="shared" si="26"/>
        <v>900142011</v>
      </c>
      <c r="C506">
        <f t="shared" si="27"/>
        <v>202012</v>
      </c>
      <c r="D506">
        <f>IF(C506=1900,0,VLOOKUP(A506,'Estados Financieros'!$A$11:$H$453,6,0))</f>
        <v>3960</v>
      </c>
      <c r="E506" t="str">
        <f t="shared" si="25"/>
        <v>3960,000</v>
      </c>
    </row>
    <row r="507" spans="1:5" x14ac:dyDescent="0.25">
      <c r="A507">
        <v>108100</v>
      </c>
      <c r="B507" t="str">
        <f t="shared" si="26"/>
        <v>900142011</v>
      </c>
      <c r="C507">
        <f t="shared" si="27"/>
        <v>202012</v>
      </c>
      <c r="D507">
        <f>IF(OR(C507=1900,$D$506=0),0,VLOOKUP(A507,'Estados Financieros'!$A$11:$H$453,6,0))</f>
        <v>0</v>
      </c>
      <c r="E507" t="str">
        <f t="shared" si="25"/>
        <v>0,000</v>
      </c>
    </row>
    <row r="508" spans="1:5" x14ac:dyDescent="0.25">
      <c r="A508">
        <v>108200</v>
      </c>
      <c r="B508" t="str">
        <f t="shared" si="26"/>
        <v>900142011</v>
      </c>
      <c r="C508">
        <f t="shared" si="27"/>
        <v>202012</v>
      </c>
      <c r="D508">
        <f>IF(OR(C508=1900,$D$506=0),0,VLOOKUP(A508,'Estados Financieros'!$A$11:$H$453,6,0))</f>
        <v>0</v>
      </c>
      <c r="E508" t="str">
        <f t="shared" si="25"/>
        <v>0,000</v>
      </c>
    </row>
    <row r="509" spans="1:5" x14ac:dyDescent="0.25">
      <c r="A509">
        <v>108300</v>
      </c>
      <c r="B509" t="str">
        <f t="shared" si="26"/>
        <v>900142011</v>
      </c>
      <c r="C509">
        <f t="shared" si="27"/>
        <v>202012</v>
      </c>
      <c r="D509">
        <f>IF(OR(C509=1900,$D$506=0),0,VLOOKUP(A509,'Estados Financieros'!$A$11:$H$453,6,0))</f>
        <v>0</v>
      </c>
      <c r="E509" t="str">
        <f t="shared" si="25"/>
        <v>0,000</v>
      </c>
    </row>
    <row r="510" spans="1:5" x14ac:dyDescent="0.25">
      <c r="A510">
        <v>108400</v>
      </c>
      <c r="B510" t="str">
        <f t="shared" si="26"/>
        <v>900142011</v>
      </c>
      <c r="C510">
        <f t="shared" si="27"/>
        <v>202012</v>
      </c>
      <c r="D510">
        <f>IF(OR(C510=1900,$D$506=0),0,VLOOKUP(A510,'Estados Financieros'!$A$11:$H$453,6,0))</f>
        <v>0</v>
      </c>
      <c r="E510" t="str">
        <f t="shared" si="25"/>
        <v>0,000</v>
      </c>
    </row>
    <row r="511" spans="1:5" x14ac:dyDescent="0.25">
      <c r="A511">
        <v>108000</v>
      </c>
      <c r="B511" t="str">
        <f t="shared" si="26"/>
        <v>900142011</v>
      </c>
      <c r="C511">
        <f t="shared" si="27"/>
        <v>202012</v>
      </c>
      <c r="D511">
        <f>IF(OR(C511=1900,$D$506=0),0,VLOOKUP(A511,'Estados Financieros'!$A$11:$H$453,6,0))</f>
        <v>0</v>
      </c>
      <c r="E511" t="str">
        <f t="shared" si="25"/>
        <v>0,000</v>
      </c>
    </row>
    <row r="512" spans="1:5" x14ac:dyDescent="0.25">
      <c r="A512">
        <v>210500</v>
      </c>
      <c r="B512" t="str">
        <f t="shared" si="26"/>
        <v>900142011</v>
      </c>
      <c r="C512">
        <f t="shared" si="27"/>
        <v>202012</v>
      </c>
      <c r="D512">
        <f>IF(OR(C512=1900,$D$506=0),0,VLOOKUP(A512,'Estados Financieros'!$A$11:$H$453,6,0))</f>
        <v>10</v>
      </c>
      <c r="E512" t="str">
        <f t="shared" si="25"/>
        <v>10,000</v>
      </c>
    </row>
    <row r="513" spans="1:5" x14ac:dyDescent="0.25">
      <c r="A513">
        <v>211500</v>
      </c>
      <c r="B513" t="str">
        <f t="shared" si="26"/>
        <v>900142011</v>
      </c>
      <c r="C513">
        <f t="shared" si="27"/>
        <v>202012</v>
      </c>
      <c r="D513">
        <f>IF(OR(C513=1900,$D$506=0),0,VLOOKUP(A513,'Estados Financieros'!$A$11:$H$453,6,0))</f>
        <v>10</v>
      </c>
      <c r="E513" t="str">
        <f t="shared" si="25"/>
        <v>10,000</v>
      </c>
    </row>
    <row r="514" spans="1:5" x14ac:dyDescent="0.25">
      <c r="A514">
        <v>219500</v>
      </c>
      <c r="B514" t="str">
        <f t="shared" si="26"/>
        <v>900142011</v>
      </c>
      <c r="C514">
        <f t="shared" si="27"/>
        <v>202012</v>
      </c>
      <c r="D514">
        <f>IF(OR(C514=1900,$D$506=0),0,VLOOKUP(A514,'Estados Financieros'!$A$11:$H$453,6,0))</f>
        <v>10</v>
      </c>
      <c r="E514" t="str">
        <f t="shared" ref="E514:E577" si="28">IFERROR(FIXED(D514,3,1),0)</f>
        <v>10,000</v>
      </c>
    </row>
    <row r="515" spans="1:5" x14ac:dyDescent="0.25">
      <c r="A515">
        <v>2101</v>
      </c>
      <c r="B515" t="str">
        <f t="shared" si="26"/>
        <v>900142011</v>
      </c>
      <c r="C515">
        <f t="shared" si="27"/>
        <v>202012</v>
      </c>
      <c r="D515">
        <f>IF(OR(C515=1900,$D$506=0),0,VLOOKUP(A515,'Estados Financieros'!$A$11:$H$453,6,0))</f>
        <v>30</v>
      </c>
      <c r="E515" t="str">
        <f t="shared" si="28"/>
        <v>30,000</v>
      </c>
    </row>
    <row r="516" spans="1:5" x14ac:dyDescent="0.25">
      <c r="A516">
        <v>220500</v>
      </c>
      <c r="B516" t="str">
        <f t="shared" si="26"/>
        <v>900142011</v>
      </c>
      <c r="C516">
        <f t="shared" si="27"/>
        <v>202012</v>
      </c>
      <c r="D516">
        <f>IF(OR(C516=1900,$D$506=0),0,VLOOKUP(A516,'Estados Financieros'!$A$11:$H$453,6,0))</f>
        <v>10</v>
      </c>
      <c r="E516" t="str">
        <f t="shared" si="28"/>
        <v>10,000</v>
      </c>
    </row>
    <row r="517" spans="1:5" x14ac:dyDescent="0.25">
      <c r="A517">
        <v>221000</v>
      </c>
      <c r="B517" t="str">
        <f t="shared" si="26"/>
        <v>900142011</v>
      </c>
      <c r="C517">
        <f t="shared" si="27"/>
        <v>202012</v>
      </c>
      <c r="D517">
        <f>IF(OR(C517=1900,$D$506=0),0,VLOOKUP(A517,'Estados Financieros'!$A$11:$H$453,6,0))</f>
        <v>10</v>
      </c>
      <c r="E517" t="str">
        <f t="shared" si="28"/>
        <v>10,000</v>
      </c>
    </row>
    <row r="518" spans="1:5" x14ac:dyDescent="0.25">
      <c r="A518">
        <v>221500</v>
      </c>
      <c r="B518" t="str">
        <f t="shared" si="26"/>
        <v>900142011</v>
      </c>
      <c r="C518">
        <f t="shared" si="27"/>
        <v>202012</v>
      </c>
      <c r="D518">
        <f>IF(OR(C518=1900,$D$506=0),0,VLOOKUP(A518,'Estados Financieros'!$A$11:$H$453,6,0))</f>
        <v>10</v>
      </c>
      <c r="E518" t="str">
        <f t="shared" si="28"/>
        <v>10,000</v>
      </c>
    </row>
    <row r="519" spans="1:5" x14ac:dyDescent="0.25">
      <c r="A519">
        <v>2102</v>
      </c>
      <c r="B519" t="str">
        <f t="shared" si="26"/>
        <v>900142011</v>
      </c>
      <c r="C519">
        <f t="shared" si="27"/>
        <v>202012</v>
      </c>
      <c r="D519">
        <f>IF(OR(C519=1900,$D$506=0),0,VLOOKUP(A519,'Estados Financieros'!$A$11:$H$453,6,0))</f>
        <v>30</v>
      </c>
      <c r="E519" t="str">
        <f t="shared" si="28"/>
        <v>30,000</v>
      </c>
    </row>
    <row r="520" spans="1:5" x14ac:dyDescent="0.25">
      <c r="A520">
        <v>230500</v>
      </c>
      <c r="B520" t="str">
        <f t="shared" si="26"/>
        <v>900142011</v>
      </c>
      <c r="C520">
        <f t="shared" si="27"/>
        <v>202012</v>
      </c>
      <c r="D520">
        <f>IF(OR(C520=1900,$D$506=0),0,VLOOKUP(A520,'Estados Financieros'!$A$11:$H$453,6,0))</f>
        <v>10</v>
      </c>
      <c r="E520" t="str">
        <f t="shared" si="28"/>
        <v>10,000</v>
      </c>
    </row>
    <row r="521" spans="1:5" x14ac:dyDescent="0.25">
      <c r="A521">
        <v>231000</v>
      </c>
      <c r="B521" t="str">
        <f t="shared" si="26"/>
        <v>900142011</v>
      </c>
      <c r="C521">
        <f t="shared" si="27"/>
        <v>202012</v>
      </c>
      <c r="D521">
        <f>IF(OR(C521=1900,$D$506=0),0,VLOOKUP(A521,'Estados Financieros'!$A$11:$H$453,6,0))</f>
        <v>10</v>
      </c>
      <c r="E521" t="str">
        <f t="shared" si="28"/>
        <v>10,000</v>
      </c>
    </row>
    <row r="522" spans="1:5" x14ac:dyDescent="0.25">
      <c r="A522">
        <v>231500</v>
      </c>
      <c r="B522" t="str">
        <f t="shared" si="26"/>
        <v>900142011</v>
      </c>
      <c r="C522">
        <f t="shared" si="27"/>
        <v>202012</v>
      </c>
      <c r="D522">
        <f>IF(OR(C522=1900,$D$506=0),0,VLOOKUP(A522,'Estados Financieros'!$A$11:$H$453,6,0))</f>
        <v>10</v>
      </c>
      <c r="E522" t="str">
        <f t="shared" si="28"/>
        <v>10,000</v>
      </c>
    </row>
    <row r="523" spans="1:5" x14ac:dyDescent="0.25">
      <c r="A523">
        <v>232000</v>
      </c>
      <c r="B523" t="str">
        <f t="shared" si="26"/>
        <v>900142011</v>
      </c>
      <c r="C523">
        <f t="shared" si="27"/>
        <v>202012</v>
      </c>
      <c r="D523">
        <f>IF(OR(C523=1900,$D$506=0),0,VLOOKUP(A523,'Estados Financieros'!$A$11:$H$453,6,0))</f>
        <v>10</v>
      </c>
      <c r="E523" t="str">
        <f t="shared" si="28"/>
        <v>10,000</v>
      </c>
    </row>
    <row r="524" spans="1:5" x14ac:dyDescent="0.25">
      <c r="A524">
        <v>233500</v>
      </c>
      <c r="B524" t="str">
        <f t="shared" si="26"/>
        <v>900142011</v>
      </c>
      <c r="C524">
        <f t="shared" si="27"/>
        <v>202012</v>
      </c>
      <c r="D524">
        <f>IF(OR(C524=1900,$D$506=0),0,VLOOKUP(A524,'Estados Financieros'!$A$11:$H$453,6,0))</f>
        <v>10</v>
      </c>
      <c r="E524" t="str">
        <f t="shared" si="28"/>
        <v>10,000</v>
      </c>
    </row>
    <row r="525" spans="1:5" x14ac:dyDescent="0.25">
      <c r="A525">
        <v>234500</v>
      </c>
      <c r="B525" t="str">
        <f t="shared" si="26"/>
        <v>900142011</v>
      </c>
      <c r="C525">
        <f t="shared" si="27"/>
        <v>202012</v>
      </c>
      <c r="D525">
        <f>IF(OR(C525=1900,$D$506=0),0,VLOOKUP(A525,'Estados Financieros'!$A$11:$H$453,6,0))</f>
        <v>10</v>
      </c>
      <c r="E525" t="str">
        <f t="shared" si="28"/>
        <v>10,000</v>
      </c>
    </row>
    <row r="526" spans="1:5" x14ac:dyDescent="0.25">
      <c r="A526">
        <v>235000</v>
      </c>
      <c r="B526" t="str">
        <f t="shared" si="26"/>
        <v>900142011</v>
      </c>
      <c r="C526">
        <f t="shared" si="27"/>
        <v>202012</v>
      </c>
      <c r="D526">
        <f>IF(OR(C526=1900,$D$506=0),0,VLOOKUP(A526,'Estados Financieros'!$A$11:$H$453,6,0))</f>
        <v>10</v>
      </c>
      <c r="E526" t="str">
        <f t="shared" si="28"/>
        <v>10,000</v>
      </c>
    </row>
    <row r="527" spans="1:5" x14ac:dyDescent="0.25">
      <c r="A527">
        <v>235500</v>
      </c>
      <c r="B527" t="str">
        <f t="shared" si="26"/>
        <v>900142011</v>
      </c>
      <c r="C527">
        <f t="shared" si="27"/>
        <v>202012</v>
      </c>
      <c r="D527">
        <f>IF(OR(C527=1900,$D$506=0),0,VLOOKUP(A527,'Estados Financieros'!$A$11:$H$453,6,0))</f>
        <v>10</v>
      </c>
      <c r="E527" t="str">
        <f t="shared" si="28"/>
        <v>10,000</v>
      </c>
    </row>
    <row r="528" spans="1:5" x14ac:dyDescent="0.25">
      <c r="A528">
        <v>236000</v>
      </c>
      <c r="B528" t="str">
        <f t="shared" si="26"/>
        <v>900142011</v>
      </c>
      <c r="C528">
        <f t="shared" si="27"/>
        <v>202012</v>
      </c>
      <c r="D528">
        <f>IF(OR(C528=1900,$D$506=0),0,VLOOKUP(A528,'Estados Financieros'!$A$11:$H$453,6,0))</f>
        <v>10</v>
      </c>
      <c r="E528" t="str">
        <f t="shared" si="28"/>
        <v>10,000</v>
      </c>
    </row>
    <row r="529" spans="1:5" x14ac:dyDescent="0.25">
      <c r="A529">
        <v>236500</v>
      </c>
      <c r="B529" t="str">
        <f t="shared" si="26"/>
        <v>900142011</v>
      </c>
      <c r="C529">
        <f t="shared" si="27"/>
        <v>202012</v>
      </c>
      <c r="D529">
        <f>IF(OR(C529=1900,$D$506=0),0,VLOOKUP(A529,'Estados Financieros'!$A$11:$H$453,6,0))</f>
        <v>10</v>
      </c>
      <c r="E529" t="str">
        <f t="shared" si="28"/>
        <v>10,000</v>
      </c>
    </row>
    <row r="530" spans="1:5" x14ac:dyDescent="0.25">
      <c r="A530">
        <v>236700</v>
      </c>
      <c r="B530" t="str">
        <f t="shared" si="26"/>
        <v>900142011</v>
      </c>
      <c r="C530">
        <f t="shared" si="27"/>
        <v>202012</v>
      </c>
      <c r="D530">
        <f>IF(OR(C530=1900,$D$506=0),0,VLOOKUP(A530,'Estados Financieros'!$A$11:$H$453,6,0))</f>
        <v>10</v>
      </c>
      <c r="E530" t="str">
        <f t="shared" si="28"/>
        <v>10,000</v>
      </c>
    </row>
    <row r="531" spans="1:5" x14ac:dyDescent="0.25">
      <c r="A531">
        <v>236800</v>
      </c>
      <c r="B531" t="str">
        <f t="shared" si="26"/>
        <v>900142011</v>
      </c>
      <c r="C531">
        <f t="shared" si="27"/>
        <v>202012</v>
      </c>
      <c r="D531">
        <f>IF(OR(C531=1900,$D$506=0),0,VLOOKUP(A531,'Estados Financieros'!$A$11:$H$453,6,0))</f>
        <v>10</v>
      </c>
      <c r="E531" t="str">
        <f t="shared" si="28"/>
        <v>10,000</v>
      </c>
    </row>
    <row r="532" spans="1:5" x14ac:dyDescent="0.25">
      <c r="A532">
        <v>237000</v>
      </c>
      <c r="B532" t="str">
        <f t="shared" si="26"/>
        <v>900142011</v>
      </c>
      <c r="C532">
        <f t="shared" si="27"/>
        <v>202012</v>
      </c>
      <c r="D532">
        <f>IF(OR(C532=1900,$D$506=0),0,VLOOKUP(A532,'Estados Financieros'!$A$11:$H$453,6,0))</f>
        <v>10</v>
      </c>
      <c r="E532" t="str">
        <f t="shared" si="28"/>
        <v>10,000</v>
      </c>
    </row>
    <row r="533" spans="1:5" x14ac:dyDescent="0.25">
      <c r="A533">
        <v>238000</v>
      </c>
      <c r="B533" t="str">
        <f t="shared" si="26"/>
        <v>900142011</v>
      </c>
      <c r="C533">
        <f t="shared" si="27"/>
        <v>202012</v>
      </c>
      <c r="D533">
        <f>IF(OR(C533=1900,$D$506=0),0,VLOOKUP(A533,'Estados Financieros'!$A$11:$H$453,6,0))</f>
        <v>10</v>
      </c>
      <c r="E533" t="str">
        <f t="shared" si="28"/>
        <v>10,000</v>
      </c>
    </row>
    <row r="534" spans="1:5" x14ac:dyDescent="0.25">
      <c r="A534">
        <v>2103</v>
      </c>
      <c r="B534" t="str">
        <f t="shared" si="26"/>
        <v>900142011</v>
      </c>
      <c r="C534">
        <f t="shared" si="27"/>
        <v>202012</v>
      </c>
      <c r="D534">
        <f>IF(OR(C534=1900,$D$506=0),0,VLOOKUP(A534,'Estados Financieros'!$A$11:$H$453,6,0))</f>
        <v>140</v>
      </c>
      <c r="E534" t="str">
        <f t="shared" si="28"/>
        <v>140,000</v>
      </c>
    </row>
    <row r="535" spans="1:5" x14ac:dyDescent="0.25">
      <c r="A535">
        <v>240400</v>
      </c>
      <c r="B535" t="str">
        <f t="shared" si="26"/>
        <v>900142011</v>
      </c>
      <c r="C535">
        <f t="shared" si="27"/>
        <v>202012</v>
      </c>
      <c r="D535">
        <f>IF(OR(C535=1900,$D$506=0),0,VLOOKUP(A535,'Estados Financieros'!$A$11:$H$453,6,0))</f>
        <v>10</v>
      </c>
      <c r="E535" t="str">
        <f t="shared" si="28"/>
        <v>10,000</v>
      </c>
    </row>
    <row r="536" spans="1:5" x14ac:dyDescent="0.25">
      <c r="A536">
        <v>240800</v>
      </c>
      <c r="B536" t="str">
        <f t="shared" si="26"/>
        <v>900142011</v>
      </c>
      <c r="C536">
        <f t="shared" si="27"/>
        <v>202012</v>
      </c>
      <c r="D536">
        <f>IF(OR(C536=1900,$D$506=0),0,VLOOKUP(A536,'Estados Financieros'!$A$11:$H$453,6,0))</f>
        <v>10</v>
      </c>
      <c r="E536" t="str">
        <f t="shared" si="28"/>
        <v>10,000</v>
      </c>
    </row>
    <row r="537" spans="1:5" x14ac:dyDescent="0.25">
      <c r="A537">
        <v>241200</v>
      </c>
      <c r="B537" t="str">
        <f t="shared" si="26"/>
        <v>900142011</v>
      </c>
      <c r="C537">
        <f t="shared" si="27"/>
        <v>202012</v>
      </c>
      <c r="D537">
        <f>IF(OR(C537=1900,$D$506=0),0,VLOOKUP(A537,'Estados Financieros'!$A$11:$H$453,6,0))</f>
        <v>10</v>
      </c>
      <c r="E537" t="str">
        <f t="shared" si="28"/>
        <v>10,000</v>
      </c>
    </row>
    <row r="538" spans="1:5" x14ac:dyDescent="0.25">
      <c r="A538">
        <v>249500</v>
      </c>
      <c r="B538" t="str">
        <f t="shared" si="26"/>
        <v>900142011</v>
      </c>
      <c r="C538">
        <f t="shared" si="27"/>
        <v>202012</v>
      </c>
      <c r="D538">
        <f>IF(OR(C538=1900,$D$506=0),0,VLOOKUP(A538,'Estados Financieros'!$A$11:$H$453,6,0))</f>
        <v>10</v>
      </c>
      <c r="E538" t="str">
        <f t="shared" si="28"/>
        <v>10,000</v>
      </c>
    </row>
    <row r="539" spans="1:5" x14ac:dyDescent="0.25">
      <c r="A539">
        <v>2105</v>
      </c>
      <c r="B539" t="str">
        <f t="shared" si="26"/>
        <v>900142011</v>
      </c>
      <c r="C539">
        <f t="shared" si="27"/>
        <v>202012</v>
      </c>
      <c r="D539">
        <f>IF(OR(C539=1900,$D$506=0),0,VLOOKUP(A539,'Estados Financieros'!$A$11:$H$453,6,0))</f>
        <v>40</v>
      </c>
      <c r="E539" t="str">
        <f t="shared" si="28"/>
        <v>40,000</v>
      </c>
    </row>
    <row r="540" spans="1:5" x14ac:dyDescent="0.25">
      <c r="A540">
        <v>250500</v>
      </c>
      <c r="B540" t="str">
        <f t="shared" si="26"/>
        <v>900142011</v>
      </c>
      <c r="C540">
        <f t="shared" si="27"/>
        <v>202012</v>
      </c>
      <c r="D540">
        <f>IF(OR(C540=1900,$D$506=0),0,VLOOKUP(A540,'Estados Financieros'!$A$11:$H$453,6,0))</f>
        <v>10</v>
      </c>
      <c r="E540" t="str">
        <f t="shared" si="28"/>
        <v>10,000</v>
      </c>
    </row>
    <row r="541" spans="1:5" x14ac:dyDescent="0.25">
      <c r="A541">
        <v>251000</v>
      </c>
      <c r="B541" t="str">
        <f t="shared" si="26"/>
        <v>900142011</v>
      </c>
      <c r="C541">
        <f t="shared" si="27"/>
        <v>202012</v>
      </c>
      <c r="D541">
        <f>IF(OR(C541=1900,$D$506=0),0,VLOOKUP(A541,'Estados Financieros'!$A$11:$H$453,6,0))</f>
        <v>10</v>
      </c>
      <c r="E541" t="str">
        <f t="shared" si="28"/>
        <v>10,000</v>
      </c>
    </row>
    <row r="542" spans="1:5" x14ac:dyDescent="0.25">
      <c r="A542">
        <v>251500</v>
      </c>
      <c r="B542" t="str">
        <f t="shared" si="26"/>
        <v>900142011</v>
      </c>
      <c r="C542">
        <f t="shared" si="27"/>
        <v>202012</v>
      </c>
      <c r="D542">
        <f>IF(OR(C542=1900,$D$506=0),0,VLOOKUP(A542,'Estados Financieros'!$A$11:$H$453,6,0))</f>
        <v>10</v>
      </c>
      <c r="E542" t="str">
        <f t="shared" si="28"/>
        <v>10,000</v>
      </c>
    </row>
    <row r="543" spans="1:5" x14ac:dyDescent="0.25">
      <c r="A543">
        <v>252500</v>
      </c>
      <c r="B543" t="str">
        <f t="shared" si="26"/>
        <v>900142011</v>
      </c>
      <c r="C543">
        <f t="shared" si="27"/>
        <v>202012</v>
      </c>
      <c r="D543">
        <f>IF(OR(C543=1900,$D$506=0),0,VLOOKUP(A543,'Estados Financieros'!$A$11:$H$453,6,0))</f>
        <v>10</v>
      </c>
      <c r="E543" t="str">
        <f t="shared" si="28"/>
        <v>10,000</v>
      </c>
    </row>
    <row r="544" spans="1:5" x14ac:dyDescent="0.25">
      <c r="A544">
        <v>253000</v>
      </c>
      <c r="B544" t="str">
        <f t="shared" si="26"/>
        <v>900142011</v>
      </c>
      <c r="C544">
        <f t="shared" si="27"/>
        <v>202012</v>
      </c>
      <c r="D544">
        <f>IF(OR(C544=1900,$D$506=0),0,VLOOKUP(A544,'Estados Financieros'!$A$11:$H$453,6,0))</f>
        <v>10</v>
      </c>
      <c r="E544" t="str">
        <f t="shared" si="28"/>
        <v>10,000</v>
      </c>
    </row>
    <row r="545" spans="1:5" x14ac:dyDescent="0.25">
      <c r="A545">
        <v>259500</v>
      </c>
      <c r="B545" t="str">
        <f t="shared" si="26"/>
        <v>900142011</v>
      </c>
      <c r="C545">
        <f t="shared" si="27"/>
        <v>202012</v>
      </c>
      <c r="D545">
        <f>IF(OR(C545=1900,$D$506=0),0,VLOOKUP(A545,'Estados Financieros'!$A$11:$H$453,6,0))</f>
        <v>10</v>
      </c>
      <c r="E545" t="str">
        <f t="shared" si="28"/>
        <v>10,000</v>
      </c>
    </row>
    <row r="546" spans="1:5" x14ac:dyDescent="0.25">
      <c r="A546">
        <v>2104</v>
      </c>
      <c r="B546" t="str">
        <f t="shared" si="26"/>
        <v>900142011</v>
      </c>
      <c r="C546">
        <f t="shared" si="27"/>
        <v>202012</v>
      </c>
      <c r="D546">
        <f>IF(OR(C546=1900,$D$506=0),0,VLOOKUP(A546,'Estados Financieros'!$A$11:$H$453,6,0))</f>
        <v>60</v>
      </c>
      <c r="E546" t="str">
        <f t="shared" si="28"/>
        <v>60,000</v>
      </c>
    </row>
    <row r="547" spans="1:5" x14ac:dyDescent="0.25">
      <c r="A547">
        <v>260500</v>
      </c>
      <c r="B547" t="str">
        <f t="shared" si="26"/>
        <v>900142011</v>
      </c>
      <c r="C547">
        <f t="shared" si="27"/>
        <v>202012</v>
      </c>
      <c r="D547">
        <f>IF(OR(C547=1900,$D$506=0),0,VLOOKUP(A547,'Estados Financieros'!$A$11:$H$453,6,0))</f>
        <v>10</v>
      </c>
      <c r="E547" t="str">
        <f t="shared" si="28"/>
        <v>10,000</v>
      </c>
    </row>
    <row r="548" spans="1:5" x14ac:dyDescent="0.25">
      <c r="A548">
        <v>261000</v>
      </c>
      <c r="B548" t="str">
        <f t="shared" ref="B548:B611" si="29">+B547</f>
        <v>900142011</v>
      </c>
      <c r="C548">
        <f t="shared" ref="C548:C611" si="30">+C547</f>
        <v>202012</v>
      </c>
      <c r="D548">
        <f>IF(OR(C548=1900,$D$506=0),0,VLOOKUP(A548,'Estados Financieros'!$A$11:$H$453,6,0))</f>
        <v>10</v>
      </c>
      <c r="E548" t="str">
        <f t="shared" si="28"/>
        <v>10,000</v>
      </c>
    </row>
    <row r="549" spans="1:5" x14ac:dyDescent="0.25">
      <c r="A549">
        <v>261500</v>
      </c>
      <c r="B549" t="str">
        <f t="shared" si="29"/>
        <v>900142011</v>
      </c>
      <c r="C549">
        <f t="shared" si="30"/>
        <v>202012</v>
      </c>
      <c r="D549">
        <f>IF(OR(C549=1900,$D$506=0),0,VLOOKUP(A549,'Estados Financieros'!$A$11:$H$453,6,0))</f>
        <v>10</v>
      </c>
      <c r="E549" t="str">
        <f t="shared" si="28"/>
        <v>10,000</v>
      </c>
    </row>
    <row r="550" spans="1:5" x14ac:dyDescent="0.25">
      <c r="A550">
        <v>262000</v>
      </c>
      <c r="B550" t="str">
        <f t="shared" si="29"/>
        <v>900142011</v>
      </c>
      <c r="C550">
        <f t="shared" si="30"/>
        <v>202012</v>
      </c>
      <c r="D550">
        <f>IF(OR(C550=1900,$D$506=0),0,VLOOKUP(A550,'Estados Financieros'!$A$11:$H$453,6,0))</f>
        <v>10</v>
      </c>
      <c r="E550" t="str">
        <f t="shared" si="28"/>
        <v>10,000</v>
      </c>
    </row>
    <row r="551" spans="1:5" x14ac:dyDescent="0.25">
      <c r="A551">
        <v>262500</v>
      </c>
      <c r="B551" t="str">
        <f t="shared" si="29"/>
        <v>900142011</v>
      </c>
      <c r="C551">
        <f t="shared" si="30"/>
        <v>202012</v>
      </c>
      <c r="D551">
        <f>IF(OR(C551=1900,$D$506=0),0,VLOOKUP(A551,'Estados Financieros'!$A$11:$H$453,6,0))</f>
        <v>10</v>
      </c>
      <c r="E551" t="str">
        <f t="shared" si="28"/>
        <v>10,000</v>
      </c>
    </row>
    <row r="552" spans="1:5" x14ac:dyDescent="0.25">
      <c r="A552">
        <v>263000</v>
      </c>
      <c r="B552" t="str">
        <f t="shared" si="29"/>
        <v>900142011</v>
      </c>
      <c r="C552">
        <f t="shared" si="30"/>
        <v>202012</v>
      </c>
      <c r="D552">
        <f>IF(OR(C552=1900,$D$506=0),0,VLOOKUP(A552,'Estados Financieros'!$A$11:$H$453,6,0))</f>
        <v>10</v>
      </c>
      <c r="E552" t="str">
        <f t="shared" si="28"/>
        <v>10,000</v>
      </c>
    </row>
    <row r="553" spans="1:5" x14ac:dyDescent="0.25">
      <c r="A553">
        <v>263500</v>
      </c>
      <c r="B553" t="str">
        <f t="shared" si="29"/>
        <v>900142011</v>
      </c>
      <c r="C553">
        <f t="shared" si="30"/>
        <v>202012</v>
      </c>
      <c r="D553">
        <f>IF(OR(C553=1900,$D$506=0),0,VLOOKUP(A553,'Estados Financieros'!$A$11:$H$453,6,0))</f>
        <v>10</v>
      </c>
      <c r="E553" t="str">
        <f t="shared" si="28"/>
        <v>10,000</v>
      </c>
    </row>
    <row r="554" spans="1:5" x14ac:dyDescent="0.25">
      <c r="A554">
        <v>264000</v>
      </c>
      <c r="B554" t="str">
        <f t="shared" si="29"/>
        <v>900142011</v>
      </c>
      <c r="C554">
        <f t="shared" si="30"/>
        <v>202012</v>
      </c>
      <c r="D554">
        <f>IF(OR(C554=1900,$D$506=0),0,VLOOKUP(A554,'Estados Financieros'!$A$11:$H$453,6,0))</f>
        <v>10</v>
      </c>
      <c r="E554" t="str">
        <f t="shared" si="28"/>
        <v>10,000</v>
      </c>
    </row>
    <row r="555" spans="1:5" x14ac:dyDescent="0.25">
      <c r="A555">
        <v>269500</v>
      </c>
      <c r="B555" t="str">
        <f t="shared" si="29"/>
        <v>900142011</v>
      </c>
      <c r="C555">
        <f t="shared" si="30"/>
        <v>202012</v>
      </c>
      <c r="D555">
        <f>IF(OR(C555=1900,$D$506=0),0,VLOOKUP(A555,'Estados Financieros'!$A$11:$H$453,6,0))</f>
        <v>10</v>
      </c>
      <c r="E555" t="str">
        <f t="shared" si="28"/>
        <v>10,000</v>
      </c>
    </row>
    <row r="556" spans="1:5" x14ac:dyDescent="0.25">
      <c r="A556">
        <v>2106</v>
      </c>
      <c r="B556" t="str">
        <f t="shared" si="29"/>
        <v>900142011</v>
      </c>
      <c r="C556">
        <f t="shared" si="30"/>
        <v>202012</v>
      </c>
      <c r="D556">
        <f>IF(OR(C556=1900,$D$506=0),0,VLOOKUP(A556,'Estados Financieros'!$A$11:$H$453,6,0))</f>
        <v>90</v>
      </c>
      <c r="E556" t="str">
        <f t="shared" si="28"/>
        <v>90,000</v>
      </c>
    </row>
    <row r="557" spans="1:5" x14ac:dyDescent="0.25">
      <c r="A557">
        <v>270500</v>
      </c>
      <c r="B557" t="str">
        <f t="shared" si="29"/>
        <v>900142011</v>
      </c>
      <c r="C557">
        <f t="shared" si="30"/>
        <v>202012</v>
      </c>
      <c r="D557">
        <f>IF(OR(C557=1900,$D$506=0),0,VLOOKUP(A557,'Estados Financieros'!$A$11:$H$453,6,0))</f>
        <v>10</v>
      </c>
      <c r="E557" t="str">
        <f t="shared" si="28"/>
        <v>10,000</v>
      </c>
    </row>
    <row r="558" spans="1:5" x14ac:dyDescent="0.25">
      <c r="A558">
        <v>271000</v>
      </c>
      <c r="B558" t="str">
        <f t="shared" si="29"/>
        <v>900142011</v>
      </c>
      <c r="C558">
        <f t="shared" si="30"/>
        <v>202012</v>
      </c>
      <c r="D558">
        <f>IF(OR(C558=1900,$D$506=0),0,VLOOKUP(A558,'Estados Financieros'!$A$11:$H$453,6,0))</f>
        <v>10</v>
      </c>
      <c r="E558" t="str">
        <f t="shared" si="28"/>
        <v>10,000</v>
      </c>
    </row>
    <row r="559" spans="1:5" x14ac:dyDescent="0.25">
      <c r="A559">
        <v>272500</v>
      </c>
      <c r="B559" t="str">
        <f t="shared" si="29"/>
        <v>900142011</v>
      </c>
      <c r="C559">
        <f t="shared" si="30"/>
        <v>202012</v>
      </c>
      <c r="D559">
        <f>IF(OR(C559=1900,$D$506=0),0,VLOOKUP(A559,'Estados Financieros'!$A$11:$H$453,6,0))</f>
        <v>10</v>
      </c>
      <c r="E559" t="str">
        <f t="shared" si="28"/>
        <v>10,000</v>
      </c>
    </row>
    <row r="560" spans="1:5" x14ac:dyDescent="0.25">
      <c r="A560">
        <v>279500</v>
      </c>
      <c r="B560" t="str">
        <f t="shared" si="29"/>
        <v>900142011</v>
      </c>
      <c r="C560">
        <f t="shared" si="30"/>
        <v>202012</v>
      </c>
      <c r="D560">
        <f>IF(OR(C560=1900,$D$506=0),0,VLOOKUP(A560,'Estados Financieros'!$A$11:$H$453,6,0))</f>
        <v>10</v>
      </c>
      <c r="E560" t="str">
        <f t="shared" si="28"/>
        <v>10,000</v>
      </c>
    </row>
    <row r="561" spans="1:5" x14ac:dyDescent="0.25">
      <c r="A561">
        <v>2107</v>
      </c>
      <c r="B561" t="str">
        <f t="shared" si="29"/>
        <v>900142011</v>
      </c>
      <c r="C561">
        <f t="shared" si="30"/>
        <v>202012</v>
      </c>
      <c r="D561">
        <f>IF(OR(C561=1900,$D$506=0),0,VLOOKUP(A561,'Estados Financieros'!$A$11:$H$453,6,0))</f>
        <v>40</v>
      </c>
      <c r="E561" t="str">
        <f t="shared" si="28"/>
        <v>40,000</v>
      </c>
    </row>
    <row r="562" spans="1:5" x14ac:dyDescent="0.25">
      <c r="A562">
        <v>281000</v>
      </c>
      <c r="B562" t="str">
        <f t="shared" si="29"/>
        <v>900142011</v>
      </c>
      <c r="C562">
        <f t="shared" si="30"/>
        <v>202012</v>
      </c>
      <c r="D562">
        <f>IF(OR(C562=1900,$D$506=0),0,VLOOKUP(A562,'Estados Financieros'!$A$11:$H$453,6,0))</f>
        <v>10</v>
      </c>
      <c r="E562" t="str">
        <f t="shared" si="28"/>
        <v>10,000</v>
      </c>
    </row>
    <row r="563" spans="1:5" x14ac:dyDescent="0.25">
      <c r="A563">
        <v>282000</v>
      </c>
      <c r="B563" t="str">
        <f t="shared" si="29"/>
        <v>900142011</v>
      </c>
      <c r="C563">
        <f t="shared" si="30"/>
        <v>202012</v>
      </c>
      <c r="D563">
        <f>IF(OR(C563=1900,$D$506=0),0,VLOOKUP(A563,'Estados Financieros'!$A$11:$H$453,6,0))</f>
        <v>10</v>
      </c>
      <c r="E563" t="str">
        <f t="shared" si="28"/>
        <v>10,000</v>
      </c>
    </row>
    <row r="564" spans="1:5" x14ac:dyDescent="0.25">
      <c r="A564">
        <v>282500</v>
      </c>
      <c r="B564" t="str">
        <f t="shared" si="29"/>
        <v>900142011</v>
      </c>
      <c r="C564">
        <f t="shared" si="30"/>
        <v>202012</v>
      </c>
      <c r="D564">
        <f>IF(OR(C564=1900,$D$506=0),0,VLOOKUP(A564,'Estados Financieros'!$A$11:$H$453,6,0))</f>
        <v>10</v>
      </c>
      <c r="E564" t="str">
        <f t="shared" si="28"/>
        <v>10,000</v>
      </c>
    </row>
    <row r="565" spans="1:5" x14ac:dyDescent="0.25">
      <c r="A565">
        <v>284000</v>
      </c>
      <c r="B565" t="str">
        <f t="shared" si="29"/>
        <v>900142011</v>
      </c>
      <c r="C565">
        <f t="shared" si="30"/>
        <v>202012</v>
      </c>
      <c r="D565">
        <f>IF(OR(C565=1900,$D$506=0),0,VLOOKUP(A565,'Estados Financieros'!$A$11:$H$453,6,0))</f>
        <v>10</v>
      </c>
      <c r="E565" t="str">
        <f t="shared" si="28"/>
        <v>10,000</v>
      </c>
    </row>
    <row r="566" spans="1:5" x14ac:dyDescent="0.25">
      <c r="A566">
        <v>289500</v>
      </c>
      <c r="B566" t="str">
        <f t="shared" si="29"/>
        <v>900142011</v>
      </c>
      <c r="C566">
        <f t="shared" si="30"/>
        <v>202012</v>
      </c>
      <c r="D566">
        <f>IF(OR(C566=1900,$D$506=0),0,VLOOKUP(A566,'Estados Financieros'!$A$11:$H$453,6,0))</f>
        <v>10</v>
      </c>
      <c r="E566" t="str">
        <f t="shared" si="28"/>
        <v>10,000</v>
      </c>
    </row>
    <row r="567" spans="1:5" x14ac:dyDescent="0.25">
      <c r="A567">
        <v>2109</v>
      </c>
      <c r="B567" t="str">
        <f t="shared" si="29"/>
        <v>900142011</v>
      </c>
      <c r="C567">
        <f t="shared" si="30"/>
        <v>202012</v>
      </c>
      <c r="D567">
        <f>IF(OR(C567=1900,$D$506=0),0,VLOOKUP(A567,'Estados Financieros'!$A$11:$H$453,6,0))</f>
        <v>50</v>
      </c>
      <c r="E567" t="str">
        <f t="shared" si="28"/>
        <v>50,000</v>
      </c>
    </row>
    <row r="568" spans="1:5" x14ac:dyDescent="0.25">
      <c r="A568">
        <v>21</v>
      </c>
      <c r="B568" t="str">
        <f t="shared" si="29"/>
        <v>900142011</v>
      </c>
      <c r="C568">
        <f t="shared" si="30"/>
        <v>202012</v>
      </c>
      <c r="D568">
        <f>IF(OR(C568=1900,$D$506=0),0,VLOOKUP(A568,'Estados Financieros'!$A$11:$H$453,6,0))</f>
        <v>480</v>
      </c>
      <c r="E568" t="str">
        <f t="shared" si="28"/>
        <v>480,000</v>
      </c>
    </row>
    <row r="569" spans="1:5" x14ac:dyDescent="0.25">
      <c r="A569">
        <v>210501</v>
      </c>
      <c r="B569" t="str">
        <f t="shared" si="29"/>
        <v>900142011</v>
      </c>
      <c r="C569">
        <f t="shared" si="30"/>
        <v>202012</v>
      </c>
      <c r="D569">
        <f>IF(OR(C569=1900,$D$506=0),0,VLOOKUP(A569,'Estados Financieros'!$A$11:$H$453,6,0))</f>
        <v>10</v>
      </c>
      <c r="E569" t="str">
        <f t="shared" si="28"/>
        <v>10,000</v>
      </c>
    </row>
    <row r="570" spans="1:5" x14ac:dyDescent="0.25">
      <c r="A570">
        <v>211001</v>
      </c>
      <c r="B570" t="str">
        <f t="shared" si="29"/>
        <v>900142011</v>
      </c>
      <c r="C570">
        <f t="shared" si="30"/>
        <v>202012</v>
      </c>
      <c r="D570">
        <f>IF(OR(C570=1900,$D$506=0),0,VLOOKUP(A570,'Estados Financieros'!$A$11:$H$453,6,0))</f>
        <v>10</v>
      </c>
      <c r="E570" t="str">
        <f t="shared" si="28"/>
        <v>10,000</v>
      </c>
    </row>
    <row r="571" spans="1:5" x14ac:dyDescent="0.25">
      <c r="A571">
        <v>2201</v>
      </c>
      <c r="B571" t="str">
        <f t="shared" si="29"/>
        <v>900142011</v>
      </c>
      <c r="C571">
        <f t="shared" si="30"/>
        <v>202012</v>
      </c>
      <c r="D571">
        <f>IF(OR(C571=1900,$D$506=0),0,VLOOKUP(A571,'Estados Financieros'!$A$11:$H$453,6,0))</f>
        <v>20</v>
      </c>
      <c r="E571" t="str">
        <f t="shared" si="28"/>
        <v>20,000</v>
      </c>
    </row>
    <row r="572" spans="1:5" x14ac:dyDescent="0.25">
      <c r="A572">
        <v>220501</v>
      </c>
      <c r="B572" t="str">
        <f t="shared" si="29"/>
        <v>900142011</v>
      </c>
      <c r="C572">
        <f t="shared" si="30"/>
        <v>202012</v>
      </c>
      <c r="D572">
        <f>IF(OR(C572=1900,$D$506=0),0,VLOOKUP(A572,'Estados Financieros'!$A$11:$H$453,6,0))</f>
        <v>10</v>
      </c>
      <c r="E572" t="str">
        <f t="shared" si="28"/>
        <v>10,000</v>
      </c>
    </row>
    <row r="573" spans="1:5" x14ac:dyDescent="0.25">
      <c r="A573">
        <v>221001</v>
      </c>
      <c r="B573" t="str">
        <f t="shared" si="29"/>
        <v>900142011</v>
      </c>
      <c r="C573">
        <f t="shared" si="30"/>
        <v>202012</v>
      </c>
      <c r="D573">
        <f>IF(OR(C573=1900,$D$506=0),0,VLOOKUP(A573,'Estados Financieros'!$A$11:$H$453,6,0))</f>
        <v>10</v>
      </c>
      <c r="E573" t="str">
        <f t="shared" si="28"/>
        <v>10,000</v>
      </c>
    </row>
    <row r="574" spans="1:5" x14ac:dyDescent="0.25">
      <c r="A574">
        <v>230501</v>
      </c>
      <c r="B574" t="str">
        <f t="shared" si="29"/>
        <v>900142011</v>
      </c>
      <c r="C574">
        <f t="shared" si="30"/>
        <v>202012</v>
      </c>
      <c r="D574">
        <f>IF(OR(C574=1900,$D$506=0),0,VLOOKUP(A574,'Estados Financieros'!$A$11:$H$453,6,0))</f>
        <v>10</v>
      </c>
      <c r="E574" t="str">
        <f t="shared" si="28"/>
        <v>10,000</v>
      </c>
    </row>
    <row r="575" spans="1:5" x14ac:dyDescent="0.25">
      <c r="A575">
        <v>231001</v>
      </c>
      <c r="B575" t="str">
        <f t="shared" si="29"/>
        <v>900142011</v>
      </c>
      <c r="C575">
        <f t="shared" si="30"/>
        <v>202012</v>
      </c>
      <c r="D575">
        <f>IF(OR(C575=1900,$D$506=0),0,VLOOKUP(A575,'Estados Financieros'!$A$11:$H$453,6,0))</f>
        <v>10</v>
      </c>
      <c r="E575" t="str">
        <f t="shared" si="28"/>
        <v>10,000</v>
      </c>
    </row>
    <row r="576" spans="1:5" x14ac:dyDescent="0.25">
      <c r="A576">
        <v>231501</v>
      </c>
      <c r="B576" t="str">
        <f t="shared" si="29"/>
        <v>900142011</v>
      </c>
      <c r="C576">
        <f t="shared" si="30"/>
        <v>202012</v>
      </c>
      <c r="D576">
        <f>IF(OR(C576=1900,$D$506=0),0,VLOOKUP(A576,'Estados Financieros'!$A$11:$H$453,6,0))</f>
        <v>10</v>
      </c>
      <c r="E576" t="str">
        <f t="shared" si="28"/>
        <v>10,000</v>
      </c>
    </row>
    <row r="577" spans="1:5" x14ac:dyDescent="0.25">
      <c r="A577">
        <v>232001</v>
      </c>
      <c r="B577" t="str">
        <f t="shared" si="29"/>
        <v>900142011</v>
      </c>
      <c r="C577">
        <f t="shared" si="30"/>
        <v>202012</v>
      </c>
      <c r="D577">
        <f>IF(OR(C577=1900,$D$506=0),0,VLOOKUP(A577,'Estados Financieros'!$A$11:$H$453,6,0))</f>
        <v>10</v>
      </c>
      <c r="E577" t="str">
        <f t="shared" si="28"/>
        <v>10,000</v>
      </c>
    </row>
    <row r="578" spans="1:5" x14ac:dyDescent="0.25">
      <c r="A578">
        <v>233501</v>
      </c>
      <c r="B578" t="str">
        <f t="shared" si="29"/>
        <v>900142011</v>
      </c>
      <c r="C578">
        <f t="shared" si="30"/>
        <v>202012</v>
      </c>
      <c r="D578">
        <f>IF(OR(C578=1900,$D$506=0),0,VLOOKUP(A578,'Estados Financieros'!$A$11:$H$453,6,0))</f>
        <v>10</v>
      </c>
      <c r="E578" t="str">
        <f t="shared" ref="E578:E641" si="31">IFERROR(FIXED(D578,3,1),0)</f>
        <v>10,000</v>
      </c>
    </row>
    <row r="579" spans="1:5" x14ac:dyDescent="0.25">
      <c r="A579">
        <v>234501</v>
      </c>
      <c r="B579" t="str">
        <f t="shared" si="29"/>
        <v>900142011</v>
      </c>
      <c r="C579">
        <f t="shared" si="30"/>
        <v>202012</v>
      </c>
      <c r="D579">
        <f>IF(OR(C579=1900,$D$506=0),0,VLOOKUP(A579,'Estados Financieros'!$A$11:$H$453,6,0))</f>
        <v>10</v>
      </c>
      <c r="E579" t="str">
        <f t="shared" si="31"/>
        <v>10,000</v>
      </c>
    </row>
    <row r="580" spans="1:5" x14ac:dyDescent="0.25">
      <c r="A580">
        <v>235001</v>
      </c>
      <c r="B580" t="str">
        <f t="shared" si="29"/>
        <v>900142011</v>
      </c>
      <c r="C580">
        <f t="shared" si="30"/>
        <v>202012</v>
      </c>
      <c r="D580">
        <f>IF(OR(C580=1900,$D$506=0),0,VLOOKUP(A580,'Estados Financieros'!$A$11:$H$453,6,0))</f>
        <v>10</v>
      </c>
      <c r="E580" t="str">
        <f t="shared" si="31"/>
        <v>10,000</v>
      </c>
    </row>
    <row r="581" spans="1:5" x14ac:dyDescent="0.25">
      <c r="A581">
        <v>235501</v>
      </c>
      <c r="B581" t="str">
        <f t="shared" si="29"/>
        <v>900142011</v>
      </c>
      <c r="C581">
        <f t="shared" si="30"/>
        <v>202012</v>
      </c>
      <c r="D581">
        <f>IF(OR(C581=1900,$D$506=0),0,VLOOKUP(A581,'Estados Financieros'!$A$11:$H$453,6,0))</f>
        <v>10</v>
      </c>
      <c r="E581" t="str">
        <f t="shared" si="31"/>
        <v>10,000</v>
      </c>
    </row>
    <row r="582" spans="1:5" x14ac:dyDescent="0.25">
      <c r="A582">
        <v>236001</v>
      </c>
      <c r="B582" t="str">
        <f t="shared" si="29"/>
        <v>900142011</v>
      </c>
      <c r="C582">
        <f t="shared" si="30"/>
        <v>202012</v>
      </c>
      <c r="D582">
        <f>IF(OR(C582=1900,$D$506=0),0,VLOOKUP(A582,'Estados Financieros'!$A$11:$H$453,6,0))</f>
        <v>10</v>
      </c>
      <c r="E582" t="str">
        <f t="shared" si="31"/>
        <v>10,000</v>
      </c>
    </row>
    <row r="583" spans="1:5" x14ac:dyDescent="0.25">
      <c r="A583">
        <v>236501</v>
      </c>
      <c r="B583" t="str">
        <f t="shared" si="29"/>
        <v>900142011</v>
      </c>
      <c r="C583">
        <f t="shared" si="30"/>
        <v>202012</v>
      </c>
      <c r="D583">
        <f>IF(OR(C583=1900,$D$506=0),0,VLOOKUP(A583,'Estados Financieros'!$A$11:$H$453,6,0))</f>
        <v>10</v>
      </c>
      <c r="E583" t="str">
        <f t="shared" si="31"/>
        <v>10,000</v>
      </c>
    </row>
    <row r="584" spans="1:5" x14ac:dyDescent="0.25">
      <c r="A584">
        <v>236701</v>
      </c>
      <c r="B584" t="str">
        <f t="shared" si="29"/>
        <v>900142011</v>
      </c>
      <c r="C584">
        <f t="shared" si="30"/>
        <v>202012</v>
      </c>
      <c r="D584">
        <f>IF(OR(C584=1900,$D$506=0),0,VLOOKUP(A584,'Estados Financieros'!$A$11:$H$453,6,0))</f>
        <v>10</v>
      </c>
      <c r="E584" t="str">
        <f t="shared" si="31"/>
        <v>10,000</v>
      </c>
    </row>
    <row r="585" spans="1:5" x14ac:dyDescent="0.25">
      <c r="A585">
        <v>237001</v>
      </c>
      <c r="B585" t="str">
        <f t="shared" si="29"/>
        <v>900142011</v>
      </c>
      <c r="C585">
        <f t="shared" si="30"/>
        <v>202012</v>
      </c>
      <c r="D585">
        <f>IF(OR(C585=1900,$D$506=0),0,VLOOKUP(A585,'Estados Financieros'!$A$11:$H$453,6,0))</f>
        <v>10</v>
      </c>
      <c r="E585" t="str">
        <f t="shared" si="31"/>
        <v>10,000</v>
      </c>
    </row>
    <row r="586" spans="1:5" x14ac:dyDescent="0.25">
      <c r="A586">
        <v>238001</v>
      </c>
      <c r="B586" t="str">
        <f t="shared" si="29"/>
        <v>900142011</v>
      </c>
      <c r="C586">
        <f t="shared" si="30"/>
        <v>202012</v>
      </c>
      <c r="D586">
        <f>IF(OR(C586=1900,$D$506=0),0,VLOOKUP(A586,'Estados Financieros'!$A$11:$H$453,6,0))</f>
        <v>10</v>
      </c>
      <c r="E586" t="str">
        <f t="shared" si="31"/>
        <v>10,000</v>
      </c>
    </row>
    <row r="587" spans="1:5" x14ac:dyDescent="0.25">
      <c r="A587">
        <v>2203</v>
      </c>
      <c r="B587" t="str">
        <f t="shared" si="29"/>
        <v>900142011</v>
      </c>
      <c r="C587">
        <f t="shared" si="30"/>
        <v>202012</v>
      </c>
      <c r="D587">
        <f>IF(OR(C587=1900,$D$506=0),0,VLOOKUP(A587,'Estados Financieros'!$A$11:$H$453,6,0))</f>
        <v>150</v>
      </c>
      <c r="E587" t="str">
        <f t="shared" si="31"/>
        <v>150,000</v>
      </c>
    </row>
    <row r="588" spans="1:5" x14ac:dyDescent="0.25">
      <c r="A588">
        <v>240401</v>
      </c>
      <c r="B588" t="str">
        <f t="shared" si="29"/>
        <v>900142011</v>
      </c>
      <c r="C588">
        <f t="shared" si="30"/>
        <v>202012</v>
      </c>
      <c r="D588">
        <f>IF(OR(C588=1900,$D$506=0),0,VLOOKUP(A588,'Estados Financieros'!$A$11:$H$453,6,0))</f>
        <v>10</v>
      </c>
      <c r="E588" t="str">
        <f t="shared" si="31"/>
        <v>10,000</v>
      </c>
    </row>
    <row r="589" spans="1:5" x14ac:dyDescent="0.25">
      <c r="A589">
        <v>240801</v>
      </c>
      <c r="B589" t="str">
        <f t="shared" si="29"/>
        <v>900142011</v>
      </c>
      <c r="C589">
        <f t="shared" si="30"/>
        <v>202012</v>
      </c>
      <c r="D589">
        <f>IF(OR(C589=1900,$D$506=0),0,VLOOKUP(A589,'Estados Financieros'!$A$11:$H$453,6,0))</f>
        <v>10</v>
      </c>
      <c r="E589" t="str">
        <f t="shared" si="31"/>
        <v>10,000</v>
      </c>
    </row>
    <row r="590" spans="1:5" x14ac:dyDescent="0.25">
      <c r="A590">
        <v>241201</v>
      </c>
      <c r="B590" t="str">
        <f t="shared" si="29"/>
        <v>900142011</v>
      </c>
      <c r="C590">
        <f t="shared" si="30"/>
        <v>202012</v>
      </c>
      <c r="D590">
        <f>IF(OR(C590=1900,$D$506=0),0,VLOOKUP(A590,'Estados Financieros'!$A$11:$H$453,6,0))</f>
        <v>10</v>
      </c>
      <c r="E590" t="str">
        <f t="shared" si="31"/>
        <v>10,000</v>
      </c>
    </row>
    <row r="591" spans="1:5" x14ac:dyDescent="0.25">
      <c r="A591">
        <v>249501</v>
      </c>
      <c r="B591" t="str">
        <f t="shared" si="29"/>
        <v>900142011</v>
      </c>
      <c r="C591">
        <f t="shared" si="30"/>
        <v>202012</v>
      </c>
      <c r="D591">
        <f>IF(OR(C591=1900,$D$506=0),0,VLOOKUP(A591,'Estados Financieros'!$A$11:$H$453,6,0))</f>
        <v>10</v>
      </c>
      <c r="E591" t="str">
        <f t="shared" si="31"/>
        <v>10,000</v>
      </c>
    </row>
    <row r="592" spans="1:5" x14ac:dyDescent="0.25">
      <c r="A592">
        <v>240001</v>
      </c>
      <c r="B592" t="str">
        <f t="shared" si="29"/>
        <v>900142011</v>
      </c>
      <c r="C592">
        <f t="shared" si="30"/>
        <v>202012</v>
      </c>
      <c r="D592">
        <f>IF(OR(C592=1900,$D$506=0),0,VLOOKUP(A592,'Estados Financieros'!$A$11:$H$453,6,0))</f>
        <v>40</v>
      </c>
      <c r="E592" t="str">
        <f t="shared" si="31"/>
        <v>40,000</v>
      </c>
    </row>
    <row r="593" spans="1:5" x14ac:dyDescent="0.25">
      <c r="A593">
        <v>250501</v>
      </c>
      <c r="B593" t="str">
        <f t="shared" si="29"/>
        <v>900142011</v>
      </c>
      <c r="C593">
        <f t="shared" si="30"/>
        <v>202012</v>
      </c>
      <c r="D593">
        <f>IF(OR(C593=1900,$D$506=0),0,VLOOKUP(A593,'Estados Financieros'!$A$11:$H$453,6,0))</f>
        <v>10</v>
      </c>
      <c r="E593" t="str">
        <f t="shared" si="31"/>
        <v>10,000</v>
      </c>
    </row>
    <row r="594" spans="1:5" x14ac:dyDescent="0.25">
      <c r="A594">
        <v>251001</v>
      </c>
      <c r="B594" t="str">
        <f t="shared" si="29"/>
        <v>900142011</v>
      </c>
      <c r="C594">
        <f t="shared" si="30"/>
        <v>202012</v>
      </c>
      <c r="D594">
        <f>IF(OR(C594=1900,$D$506=0),0,VLOOKUP(A594,'Estados Financieros'!$A$11:$H$453,6,0))</f>
        <v>10</v>
      </c>
      <c r="E594" t="str">
        <f t="shared" si="31"/>
        <v>10,000</v>
      </c>
    </row>
    <row r="595" spans="1:5" x14ac:dyDescent="0.25">
      <c r="A595">
        <v>251501</v>
      </c>
      <c r="B595" t="str">
        <f t="shared" si="29"/>
        <v>900142011</v>
      </c>
      <c r="C595">
        <f t="shared" si="30"/>
        <v>202012</v>
      </c>
      <c r="D595">
        <f>IF(OR(C595=1900,$D$506=0),0,VLOOKUP(A595,'Estados Financieros'!$A$11:$H$453,6,0))</f>
        <v>10</v>
      </c>
      <c r="E595" t="str">
        <f t="shared" si="31"/>
        <v>10,000</v>
      </c>
    </row>
    <row r="596" spans="1:5" x14ac:dyDescent="0.25">
      <c r="A596">
        <v>252501</v>
      </c>
      <c r="B596" t="str">
        <f t="shared" si="29"/>
        <v>900142011</v>
      </c>
      <c r="C596">
        <f t="shared" si="30"/>
        <v>202012</v>
      </c>
      <c r="D596">
        <f>IF(OR(C596=1900,$D$506=0),0,VLOOKUP(A596,'Estados Financieros'!$A$11:$H$453,6,0))</f>
        <v>10</v>
      </c>
      <c r="E596" t="str">
        <f t="shared" si="31"/>
        <v>10,000</v>
      </c>
    </row>
    <row r="597" spans="1:5" x14ac:dyDescent="0.25">
      <c r="A597">
        <v>253001</v>
      </c>
      <c r="B597" t="str">
        <f t="shared" si="29"/>
        <v>900142011</v>
      </c>
      <c r="C597">
        <f t="shared" si="30"/>
        <v>202012</v>
      </c>
      <c r="D597">
        <f>IF(OR(C597=1900,$D$506=0),0,VLOOKUP(A597,'Estados Financieros'!$A$11:$H$453,6,0))</f>
        <v>10</v>
      </c>
      <c r="E597" t="str">
        <f t="shared" si="31"/>
        <v>10,000</v>
      </c>
    </row>
    <row r="598" spans="1:5" x14ac:dyDescent="0.25">
      <c r="A598">
        <v>259501</v>
      </c>
      <c r="B598" t="str">
        <f t="shared" si="29"/>
        <v>900142011</v>
      </c>
      <c r="C598">
        <f t="shared" si="30"/>
        <v>202012</v>
      </c>
      <c r="D598">
        <f>IF(OR(C598=1900,$D$506=0),0,VLOOKUP(A598,'Estados Financieros'!$A$11:$H$453,6,0))</f>
        <v>10</v>
      </c>
      <c r="E598" t="str">
        <f t="shared" si="31"/>
        <v>10,000</v>
      </c>
    </row>
    <row r="599" spans="1:5" x14ac:dyDescent="0.25">
      <c r="A599">
        <v>2204</v>
      </c>
      <c r="B599" t="str">
        <f t="shared" si="29"/>
        <v>900142011</v>
      </c>
      <c r="C599">
        <f t="shared" si="30"/>
        <v>202012</v>
      </c>
      <c r="D599">
        <f>IF(OR(C599=1900,$D$506=0),0,VLOOKUP(A599,'Estados Financieros'!$A$11:$H$453,6,0))</f>
        <v>60</v>
      </c>
      <c r="E599" t="str">
        <f t="shared" si="31"/>
        <v>60,000</v>
      </c>
    </row>
    <row r="600" spans="1:5" x14ac:dyDescent="0.25">
      <c r="A600">
        <v>260501</v>
      </c>
      <c r="B600" t="str">
        <f t="shared" si="29"/>
        <v>900142011</v>
      </c>
      <c r="C600">
        <f t="shared" si="30"/>
        <v>202012</v>
      </c>
      <c r="D600">
        <f>IF(OR(C600=1900,$D$506=0),0,VLOOKUP(A600,'Estados Financieros'!$A$11:$H$453,6,0))</f>
        <v>10</v>
      </c>
      <c r="E600" t="str">
        <f t="shared" si="31"/>
        <v>10,000</v>
      </c>
    </row>
    <row r="601" spans="1:5" x14ac:dyDescent="0.25">
      <c r="A601">
        <v>261001</v>
      </c>
      <c r="B601" t="str">
        <f t="shared" si="29"/>
        <v>900142011</v>
      </c>
      <c r="C601">
        <f t="shared" si="30"/>
        <v>202012</v>
      </c>
      <c r="D601">
        <f>IF(OR(C601=1900,$D$506=0),0,VLOOKUP(A601,'Estados Financieros'!$A$11:$H$453,6,0))</f>
        <v>10</v>
      </c>
      <c r="E601" t="str">
        <f t="shared" si="31"/>
        <v>10,000</v>
      </c>
    </row>
    <row r="602" spans="1:5" x14ac:dyDescent="0.25">
      <c r="A602">
        <v>261501</v>
      </c>
      <c r="B602" t="str">
        <f t="shared" si="29"/>
        <v>900142011</v>
      </c>
      <c r="C602">
        <f t="shared" si="30"/>
        <v>202012</v>
      </c>
      <c r="D602">
        <f>IF(OR(C602=1900,$D$506=0),0,VLOOKUP(A602,'Estados Financieros'!$A$11:$H$453,6,0))</f>
        <v>10</v>
      </c>
      <c r="E602" t="str">
        <f t="shared" si="31"/>
        <v>10,000</v>
      </c>
    </row>
    <row r="603" spans="1:5" x14ac:dyDescent="0.25">
      <c r="A603">
        <v>262001</v>
      </c>
      <c r="B603" t="str">
        <f t="shared" si="29"/>
        <v>900142011</v>
      </c>
      <c r="C603">
        <f t="shared" si="30"/>
        <v>202012</v>
      </c>
      <c r="D603">
        <f>IF(OR(C603=1900,$D$506=0),0,VLOOKUP(A603,'Estados Financieros'!$A$11:$H$453,6,0))</f>
        <v>10</v>
      </c>
      <c r="E603" t="str">
        <f t="shared" si="31"/>
        <v>10,000</v>
      </c>
    </row>
    <row r="604" spans="1:5" x14ac:dyDescent="0.25">
      <c r="A604">
        <v>262501</v>
      </c>
      <c r="B604" t="str">
        <f t="shared" si="29"/>
        <v>900142011</v>
      </c>
      <c r="C604">
        <f t="shared" si="30"/>
        <v>202012</v>
      </c>
      <c r="D604">
        <f>IF(OR(C604=1900,$D$506=0),0,VLOOKUP(A604,'Estados Financieros'!$A$11:$H$453,6,0))</f>
        <v>10</v>
      </c>
      <c r="E604" t="str">
        <f t="shared" si="31"/>
        <v>10,000</v>
      </c>
    </row>
    <row r="605" spans="1:5" x14ac:dyDescent="0.25">
      <c r="A605">
        <v>263001</v>
      </c>
      <c r="B605" t="str">
        <f t="shared" si="29"/>
        <v>900142011</v>
      </c>
      <c r="C605">
        <f t="shared" si="30"/>
        <v>202012</v>
      </c>
      <c r="D605">
        <f>IF(OR(C605=1900,$D$506=0),0,VLOOKUP(A605,'Estados Financieros'!$A$11:$H$453,6,0))</f>
        <v>10</v>
      </c>
      <c r="E605" t="str">
        <f t="shared" si="31"/>
        <v>10,000</v>
      </c>
    </row>
    <row r="606" spans="1:5" x14ac:dyDescent="0.25">
      <c r="A606">
        <v>263501</v>
      </c>
      <c r="B606" t="str">
        <f t="shared" si="29"/>
        <v>900142011</v>
      </c>
      <c r="C606">
        <f t="shared" si="30"/>
        <v>202012</v>
      </c>
      <c r="D606">
        <f>IF(OR(C606=1900,$D$506=0),0,VLOOKUP(A606,'Estados Financieros'!$A$11:$H$453,6,0))</f>
        <v>10</v>
      </c>
      <c r="E606" t="str">
        <f t="shared" si="31"/>
        <v>10,000</v>
      </c>
    </row>
    <row r="607" spans="1:5" x14ac:dyDescent="0.25">
      <c r="A607">
        <v>264001</v>
      </c>
      <c r="B607" t="str">
        <f t="shared" si="29"/>
        <v>900142011</v>
      </c>
      <c r="C607">
        <f t="shared" si="30"/>
        <v>202012</v>
      </c>
      <c r="D607">
        <f>IF(OR(C607=1900,$D$506=0),0,VLOOKUP(A607,'Estados Financieros'!$A$11:$H$453,6,0))</f>
        <v>10</v>
      </c>
      <c r="E607" t="str">
        <f t="shared" si="31"/>
        <v>10,000</v>
      </c>
    </row>
    <row r="608" spans="1:5" x14ac:dyDescent="0.25">
      <c r="A608">
        <v>269501</v>
      </c>
      <c r="B608" t="str">
        <f t="shared" si="29"/>
        <v>900142011</v>
      </c>
      <c r="C608">
        <f t="shared" si="30"/>
        <v>202012</v>
      </c>
      <c r="D608">
        <f>IF(OR(C608=1900,$D$506=0),0,VLOOKUP(A608,'Estados Financieros'!$A$11:$H$453,6,0))</f>
        <v>10</v>
      </c>
      <c r="E608" t="str">
        <f t="shared" si="31"/>
        <v>10,000</v>
      </c>
    </row>
    <row r="609" spans="1:5" x14ac:dyDescent="0.25">
      <c r="A609">
        <v>2206</v>
      </c>
      <c r="B609" t="str">
        <f t="shared" si="29"/>
        <v>900142011</v>
      </c>
      <c r="C609">
        <f t="shared" si="30"/>
        <v>202012</v>
      </c>
      <c r="D609">
        <f>IF(OR(C609=1900,$D$506=0),0,VLOOKUP(A609,'Estados Financieros'!$A$11:$H$453,6,0))</f>
        <v>90</v>
      </c>
      <c r="E609" t="str">
        <f t="shared" si="31"/>
        <v>90,000</v>
      </c>
    </row>
    <row r="610" spans="1:5" x14ac:dyDescent="0.25">
      <c r="A610">
        <v>270501</v>
      </c>
      <c r="B610" t="str">
        <f t="shared" si="29"/>
        <v>900142011</v>
      </c>
      <c r="C610">
        <f t="shared" si="30"/>
        <v>202012</v>
      </c>
      <c r="D610">
        <f>IF(OR(C610=1900,$D$506=0),0,VLOOKUP(A610,'Estados Financieros'!$A$11:$H$453,6,0))</f>
        <v>10</v>
      </c>
      <c r="E610" t="str">
        <f t="shared" si="31"/>
        <v>10,000</v>
      </c>
    </row>
    <row r="611" spans="1:5" x14ac:dyDescent="0.25">
      <c r="A611">
        <v>271001</v>
      </c>
      <c r="B611" t="str">
        <f t="shared" si="29"/>
        <v>900142011</v>
      </c>
      <c r="C611">
        <f t="shared" si="30"/>
        <v>202012</v>
      </c>
      <c r="D611">
        <f>IF(OR(C611=1900,$D$506=0),0,VLOOKUP(A611,'Estados Financieros'!$A$11:$H$453,6,0))</f>
        <v>10</v>
      </c>
      <c r="E611" t="str">
        <f t="shared" si="31"/>
        <v>10,000</v>
      </c>
    </row>
    <row r="612" spans="1:5" x14ac:dyDescent="0.25">
      <c r="A612">
        <v>272001</v>
      </c>
      <c r="B612" t="str">
        <f t="shared" ref="B612:B659" si="32">+B611</f>
        <v>900142011</v>
      </c>
      <c r="C612">
        <f t="shared" ref="C612:C659" si="33">+C611</f>
        <v>202012</v>
      </c>
      <c r="D612">
        <f>IF(OR(C612=1900,$D$506=0),0,VLOOKUP(A612,'Estados Financieros'!$A$11:$H$453,6,0))</f>
        <v>10</v>
      </c>
      <c r="E612" t="str">
        <f t="shared" si="31"/>
        <v>10,000</v>
      </c>
    </row>
    <row r="613" spans="1:5" x14ac:dyDescent="0.25">
      <c r="A613">
        <v>272501</v>
      </c>
      <c r="B613" t="str">
        <f t="shared" si="32"/>
        <v>900142011</v>
      </c>
      <c r="C613">
        <f t="shared" si="33"/>
        <v>202012</v>
      </c>
      <c r="D613">
        <f>IF(OR(C613=1900,$D$506=0),0,VLOOKUP(A613,'Estados Financieros'!$A$11:$H$453,6,0))</f>
        <v>10</v>
      </c>
      <c r="E613" t="str">
        <f t="shared" si="31"/>
        <v>10,000</v>
      </c>
    </row>
    <row r="614" spans="1:5" x14ac:dyDescent="0.25">
      <c r="A614">
        <v>279501</v>
      </c>
      <c r="B614" t="str">
        <f t="shared" si="32"/>
        <v>900142011</v>
      </c>
      <c r="C614">
        <f t="shared" si="33"/>
        <v>202012</v>
      </c>
      <c r="D614">
        <f>IF(OR(C614=1900,$D$506=0),0,VLOOKUP(A614,'Estados Financieros'!$A$11:$H$453,6,0))</f>
        <v>10</v>
      </c>
      <c r="E614" t="str">
        <f t="shared" si="31"/>
        <v>10,000</v>
      </c>
    </row>
    <row r="615" spans="1:5" x14ac:dyDescent="0.25">
      <c r="A615">
        <v>2207</v>
      </c>
      <c r="B615" t="str">
        <f t="shared" si="32"/>
        <v>900142011</v>
      </c>
      <c r="C615">
        <f t="shared" si="33"/>
        <v>202012</v>
      </c>
      <c r="D615">
        <f>IF(OR(C615=1900,$D$506=0),0,VLOOKUP(A615,'Estados Financieros'!$A$11:$H$453,6,0))</f>
        <v>50</v>
      </c>
      <c r="E615" t="str">
        <f t="shared" si="31"/>
        <v>50,000</v>
      </c>
    </row>
    <row r="616" spans="1:5" x14ac:dyDescent="0.25">
      <c r="A616">
        <v>290501</v>
      </c>
      <c r="B616" t="str">
        <f t="shared" si="32"/>
        <v>900142011</v>
      </c>
      <c r="C616">
        <f t="shared" si="33"/>
        <v>202012</v>
      </c>
      <c r="D616">
        <f>IF(OR(C616=1900,$D$506=0),0,VLOOKUP(A616,'Estados Financieros'!$A$11:$H$453,6,0))</f>
        <v>0</v>
      </c>
      <c r="E616" t="str">
        <f t="shared" si="31"/>
        <v>0,000</v>
      </c>
    </row>
    <row r="617" spans="1:5" x14ac:dyDescent="0.25">
      <c r="A617">
        <v>291991</v>
      </c>
      <c r="B617" t="str">
        <f t="shared" si="32"/>
        <v>900142011</v>
      </c>
      <c r="C617">
        <f t="shared" si="33"/>
        <v>202012</v>
      </c>
      <c r="D617">
        <f>IF(OR(C617=1900,$D$506=0),0,VLOOKUP(A617,'Estados Financieros'!$A$11:$H$453,6,0))</f>
        <v>10</v>
      </c>
      <c r="E617" t="str">
        <f t="shared" si="31"/>
        <v>10,000</v>
      </c>
    </row>
    <row r="618" spans="1:5" x14ac:dyDescent="0.25">
      <c r="A618">
        <v>291501</v>
      </c>
      <c r="B618" t="str">
        <f t="shared" si="32"/>
        <v>900142011</v>
      </c>
      <c r="C618">
        <f t="shared" si="33"/>
        <v>202012</v>
      </c>
      <c r="D618">
        <f>IF(OR(C618=1900,$D$506=0),0,VLOOKUP(A618,'Estados Financieros'!$A$11:$H$453,6,0))</f>
        <v>10</v>
      </c>
      <c r="E618" t="str">
        <f t="shared" si="31"/>
        <v>10,000</v>
      </c>
    </row>
    <row r="619" spans="1:5" x14ac:dyDescent="0.25">
      <c r="A619">
        <v>292001</v>
      </c>
      <c r="B619" t="str">
        <f t="shared" si="32"/>
        <v>900142011</v>
      </c>
      <c r="C619">
        <f t="shared" si="33"/>
        <v>202012</v>
      </c>
      <c r="D619">
        <f>IF(OR(C619=1900,$D$506=0),0,VLOOKUP(A619,'Estados Financieros'!$A$11:$H$453,6,0))</f>
        <v>10</v>
      </c>
      <c r="E619" t="str">
        <f t="shared" si="31"/>
        <v>10,000</v>
      </c>
    </row>
    <row r="620" spans="1:5" x14ac:dyDescent="0.25">
      <c r="A620">
        <v>299501</v>
      </c>
      <c r="B620" t="str">
        <f t="shared" si="32"/>
        <v>900142011</v>
      </c>
      <c r="C620">
        <f t="shared" si="33"/>
        <v>202012</v>
      </c>
      <c r="D620">
        <f>IF(OR(C620=1900,$D$506=0),0,VLOOKUP(A620,'Estados Financieros'!$A$11:$H$453,6,0))</f>
        <v>10</v>
      </c>
      <c r="E620" t="str">
        <f t="shared" si="31"/>
        <v>10,000</v>
      </c>
    </row>
    <row r="621" spans="1:5" x14ac:dyDescent="0.25">
      <c r="A621">
        <v>2209</v>
      </c>
      <c r="B621" t="str">
        <f t="shared" si="32"/>
        <v>900142011</v>
      </c>
      <c r="C621">
        <f t="shared" si="33"/>
        <v>202012</v>
      </c>
      <c r="D621">
        <f>IF(OR(C621=1900,$D$506=0),0,VLOOKUP(A621,'Estados Financieros'!$A$11:$H$453,6,0))</f>
        <v>40</v>
      </c>
      <c r="E621" t="str">
        <f t="shared" si="31"/>
        <v>40,000</v>
      </c>
    </row>
    <row r="622" spans="1:5" x14ac:dyDescent="0.25">
      <c r="A622">
        <v>22</v>
      </c>
      <c r="B622" t="str">
        <f t="shared" si="32"/>
        <v>900142011</v>
      </c>
      <c r="C622">
        <f t="shared" si="33"/>
        <v>202012</v>
      </c>
      <c r="D622">
        <f>IF(OR(C622=1900,$D$506=0),0,VLOOKUP(A622,'Estados Financieros'!$A$11:$H$453,6,0))</f>
        <v>450</v>
      </c>
      <c r="E622" t="str">
        <f t="shared" si="31"/>
        <v>450,000</v>
      </c>
    </row>
    <row r="623" spans="1:5" x14ac:dyDescent="0.25">
      <c r="A623">
        <v>2</v>
      </c>
      <c r="B623" t="str">
        <f t="shared" si="32"/>
        <v>900142011</v>
      </c>
      <c r="C623">
        <f t="shared" si="33"/>
        <v>202012</v>
      </c>
      <c r="D623">
        <f>IF(OR(C623=1900,$D$506=0),0,VLOOKUP(A623,'Estados Financieros'!$A$11:$H$453,6,0))</f>
        <v>930</v>
      </c>
      <c r="E623" t="str">
        <f t="shared" si="31"/>
        <v>930,000</v>
      </c>
    </row>
    <row r="624" spans="1:5" x14ac:dyDescent="0.25">
      <c r="A624">
        <v>310500</v>
      </c>
      <c r="B624" t="str">
        <f t="shared" si="32"/>
        <v>900142011</v>
      </c>
      <c r="C624">
        <f t="shared" si="33"/>
        <v>202012</v>
      </c>
      <c r="D624">
        <f>IF(OR(C624=1900,$D$506=0),0,VLOOKUP(A624,'Estados Financieros'!$A$11:$H$453,6,0))</f>
        <v>10</v>
      </c>
      <c r="E624" t="str">
        <f t="shared" si="31"/>
        <v>10,000</v>
      </c>
    </row>
    <row r="625" spans="1:5" x14ac:dyDescent="0.25">
      <c r="A625">
        <v>311500</v>
      </c>
      <c r="B625" t="str">
        <f t="shared" si="32"/>
        <v>900142011</v>
      </c>
      <c r="C625">
        <f t="shared" si="33"/>
        <v>202012</v>
      </c>
      <c r="D625">
        <f>IF(OR(C625=1900,$D$506=0),0,VLOOKUP(A625,'Estados Financieros'!$A$11:$H$453,6,0))</f>
        <v>10</v>
      </c>
      <c r="E625" t="str">
        <f t="shared" si="31"/>
        <v>10,000</v>
      </c>
    </row>
    <row r="626" spans="1:5" x14ac:dyDescent="0.25">
      <c r="A626">
        <v>312000</v>
      </c>
      <c r="B626" t="str">
        <f t="shared" si="32"/>
        <v>900142011</v>
      </c>
      <c r="C626">
        <f t="shared" si="33"/>
        <v>202012</v>
      </c>
      <c r="D626">
        <f>IF(OR(C626=1900,$D$506=0),0,VLOOKUP(A626,'Estados Financieros'!$A$11:$H$453,6,0))</f>
        <v>10</v>
      </c>
      <c r="E626" t="str">
        <f t="shared" si="31"/>
        <v>10,000</v>
      </c>
    </row>
    <row r="627" spans="1:5" x14ac:dyDescent="0.25">
      <c r="A627">
        <v>312500</v>
      </c>
      <c r="B627" t="str">
        <f t="shared" si="32"/>
        <v>900142011</v>
      </c>
      <c r="C627">
        <f t="shared" si="33"/>
        <v>202012</v>
      </c>
      <c r="D627">
        <f>IF(OR(C627=1900,$D$506=0),0,VLOOKUP(A627,'Estados Financieros'!$A$11:$H$453,6,0))</f>
        <v>10</v>
      </c>
      <c r="E627" t="str">
        <f t="shared" si="31"/>
        <v>10,000</v>
      </c>
    </row>
    <row r="628" spans="1:5" x14ac:dyDescent="0.25">
      <c r="A628">
        <v>313000</v>
      </c>
      <c r="B628" t="str">
        <f t="shared" si="32"/>
        <v>900142011</v>
      </c>
      <c r="C628">
        <f t="shared" si="33"/>
        <v>202012</v>
      </c>
      <c r="D628">
        <f>IF(OR(C628=1900,$D$506=0),0,VLOOKUP(A628,'Estados Financieros'!$A$11:$H$453,6,0))</f>
        <v>10</v>
      </c>
      <c r="E628" t="str">
        <f t="shared" si="31"/>
        <v>10,000</v>
      </c>
    </row>
    <row r="629" spans="1:5" x14ac:dyDescent="0.25">
      <c r="A629">
        <v>313500</v>
      </c>
      <c r="B629" t="str">
        <f t="shared" si="32"/>
        <v>900142011</v>
      </c>
      <c r="C629">
        <f t="shared" si="33"/>
        <v>202012</v>
      </c>
      <c r="D629">
        <f>IF(OR(C629=1900,$D$506=0),0,VLOOKUP(A629,'Estados Financieros'!$A$11:$H$453,6,0))</f>
        <v>10</v>
      </c>
      <c r="E629" t="str">
        <f t="shared" si="31"/>
        <v>10,000</v>
      </c>
    </row>
    <row r="630" spans="1:5" x14ac:dyDescent="0.25">
      <c r="A630">
        <v>314000</v>
      </c>
      <c r="B630" t="str">
        <f t="shared" si="32"/>
        <v>900142011</v>
      </c>
      <c r="C630">
        <f t="shared" si="33"/>
        <v>202012</v>
      </c>
      <c r="D630">
        <f>IF(OR(C630=1900,$D$506=0),0,VLOOKUP(A630,'Estados Financieros'!$A$11:$H$453,6,0))</f>
        <v>10</v>
      </c>
      <c r="E630" t="str">
        <f t="shared" si="31"/>
        <v>10,000</v>
      </c>
    </row>
    <row r="631" spans="1:5" x14ac:dyDescent="0.25">
      <c r="A631">
        <v>31</v>
      </c>
      <c r="B631" t="str">
        <f t="shared" si="32"/>
        <v>900142011</v>
      </c>
      <c r="C631">
        <f t="shared" si="33"/>
        <v>202012</v>
      </c>
      <c r="D631">
        <f>IF(OR(C631=1900,$D$506=0),0,VLOOKUP(A631,'Estados Financieros'!$A$11:$H$453,6,0))</f>
        <v>70</v>
      </c>
      <c r="E631" t="str">
        <f t="shared" si="31"/>
        <v>70,000</v>
      </c>
    </row>
    <row r="632" spans="1:5" x14ac:dyDescent="0.25">
      <c r="A632">
        <v>320500</v>
      </c>
      <c r="B632" t="str">
        <f t="shared" si="32"/>
        <v>900142011</v>
      </c>
      <c r="C632">
        <f t="shared" si="33"/>
        <v>202012</v>
      </c>
      <c r="D632">
        <f>IF(OR(C632=1900,$D$506=0),0,VLOOKUP(A632,'Estados Financieros'!$A$11:$H$453,6,0))</f>
        <v>10</v>
      </c>
      <c r="E632" t="str">
        <f t="shared" si="31"/>
        <v>10,000</v>
      </c>
    </row>
    <row r="633" spans="1:5" x14ac:dyDescent="0.25">
      <c r="A633">
        <v>321000</v>
      </c>
      <c r="B633" t="str">
        <f t="shared" si="32"/>
        <v>900142011</v>
      </c>
      <c r="C633">
        <f t="shared" si="33"/>
        <v>202012</v>
      </c>
      <c r="D633">
        <f>IF(OR(C633=1900,$D$506=0),0,VLOOKUP(A633,'Estados Financieros'!$A$11:$H$453,6,0))</f>
        <v>10</v>
      </c>
      <c r="E633" t="str">
        <f t="shared" si="31"/>
        <v>10,000</v>
      </c>
    </row>
    <row r="634" spans="1:5" x14ac:dyDescent="0.25">
      <c r="A634">
        <v>321500</v>
      </c>
      <c r="B634" t="str">
        <f t="shared" si="32"/>
        <v>900142011</v>
      </c>
      <c r="C634">
        <f t="shared" si="33"/>
        <v>202012</v>
      </c>
      <c r="D634">
        <f>IF(OR(C634=1900,$D$506=0),0,VLOOKUP(A634,'Estados Financieros'!$A$11:$H$453,6,0))</f>
        <v>10</v>
      </c>
      <c r="E634" t="str">
        <f t="shared" si="31"/>
        <v>10,000</v>
      </c>
    </row>
    <row r="635" spans="1:5" x14ac:dyDescent="0.25">
      <c r="A635">
        <v>322000</v>
      </c>
      <c r="B635" t="str">
        <f t="shared" si="32"/>
        <v>900142011</v>
      </c>
      <c r="C635">
        <f t="shared" si="33"/>
        <v>202012</v>
      </c>
      <c r="D635">
        <f>IF(OR(C635=1900,$D$506=0),0,VLOOKUP(A635,'Estados Financieros'!$A$11:$H$453,6,0))</f>
        <v>10</v>
      </c>
      <c r="E635" t="str">
        <f t="shared" si="31"/>
        <v>10,000</v>
      </c>
    </row>
    <row r="636" spans="1:5" x14ac:dyDescent="0.25">
      <c r="A636">
        <v>322500</v>
      </c>
      <c r="B636" t="str">
        <f t="shared" si="32"/>
        <v>900142011</v>
      </c>
      <c r="C636">
        <f t="shared" si="33"/>
        <v>202012</v>
      </c>
      <c r="D636">
        <f>IF(OR(C636=1900,$D$506=0),0,VLOOKUP(A636,'Estados Financieros'!$A$11:$H$453,6,0))</f>
        <v>10</v>
      </c>
      <c r="E636" t="str">
        <f t="shared" si="31"/>
        <v>10,000</v>
      </c>
    </row>
    <row r="637" spans="1:5" x14ac:dyDescent="0.25">
      <c r="A637">
        <v>32</v>
      </c>
      <c r="B637" t="str">
        <f t="shared" si="32"/>
        <v>900142011</v>
      </c>
      <c r="C637">
        <f t="shared" si="33"/>
        <v>202012</v>
      </c>
      <c r="D637">
        <f>IF(OR(C637=1900,$D$506=0),0,VLOOKUP(A637,'Estados Financieros'!$A$11:$H$453,6,0))</f>
        <v>50</v>
      </c>
      <c r="E637" t="str">
        <f t="shared" si="31"/>
        <v>50,000</v>
      </c>
    </row>
    <row r="638" spans="1:5" x14ac:dyDescent="0.25">
      <c r="A638">
        <v>330500</v>
      </c>
      <c r="B638" t="str">
        <f t="shared" si="32"/>
        <v>900142011</v>
      </c>
      <c r="C638">
        <f t="shared" si="33"/>
        <v>202012</v>
      </c>
      <c r="D638">
        <f>IF(OR(C638=1900,$D$506=0),0,VLOOKUP(A638,'Estados Financieros'!$A$11:$H$453,6,0))</f>
        <v>10</v>
      </c>
      <c r="E638" t="str">
        <f t="shared" si="31"/>
        <v>10,000</v>
      </c>
    </row>
    <row r="639" spans="1:5" x14ac:dyDescent="0.25">
      <c r="A639">
        <v>331000</v>
      </c>
      <c r="B639" t="str">
        <f t="shared" si="32"/>
        <v>900142011</v>
      </c>
      <c r="C639">
        <f t="shared" si="33"/>
        <v>202012</v>
      </c>
      <c r="D639">
        <f>IF(OR(C639=1900,$D$506=0),0,VLOOKUP(A639,'Estados Financieros'!$A$11:$H$453,6,0))</f>
        <v>10</v>
      </c>
      <c r="E639" t="str">
        <f t="shared" si="31"/>
        <v>10,000</v>
      </c>
    </row>
    <row r="640" spans="1:5" x14ac:dyDescent="0.25">
      <c r="A640">
        <v>331500</v>
      </c>
      <c r="B640" t="str">
        <f t="shared" si="32"/>
        <v>900142011</v>
      </c>
      <c r="C640">
        <f t="shared" si="33"/>
        <v>202012</v>
      </c>
      <c r="D640">
        <f>IF(OR(C640=1900,$D$506=0),0,VLOOKUP(A640,'Estados Financieros'!$A$11:$H$453,6,0))</f>
        <v>10</v>
      </c>
      <c r="E640" t="str">
        <f t="shared" si="31"/>
        <v>10,000</v>
      </c>
    </row>
    <row r="641" spans="1:5" x14ac:dyDescent="0.25">
      <c r="A641">
        <v>33</v>
      </c>
      <c r="B641" t="str">
        <f t="shared" si="32"/>
        <v>900142011</v>
      </c>
      <c r="C641">
        <f t="shared" si="33"/>
        <v>202012</v>
      </c>
      <c r="D641">
        <f>IF(OR(C641=1900,$D$506=0),0,VLOOKUP(A641,'Estados Financieros'!$A$11:$H$453,6,0))</f>
        <v>30</v>
      </c>
      <c r="E641" t="str">
        <f t="shared" si="31"/>
        <v>30,000</v>
      </c>
    </row>
    <row r="642" spans="1:5" x14ac:dyDescent="0.25">
      <c r="A642">
        <v>340505</v>
      </c>
      <c r="B642" t="str">
        <f t="shared" si="32"/>
        <v>900142011</v>
      </c>
      <c r="C642">
        <f t="shared" si="33"/>
        <v>202012</v>
      </c>
      <c r="D642">
        <f>IF(OR(C642=1900,$D$506=0),0,VLOOKUP(A642,'Estados Financieros'!$A$11:$H$453,6,0))</f>
        <v>10</v>
      </c>
      <c r="E642" t="str">
        <f t="shared" ref="E642:E705" si="34">IFERROR(FIXED(D642,3,1),0)</f>
        <v>10,000</v>
      </c>
    </row>
    <row r="643" spans="1:5" x14ac:dyDescent="0.25">
      <c r="A643">
        <v>340515</v>
      </c>
      <c r="B643" t="str">
        <f t="shared" si="32"/>
        <v>900142011</v>
      </c>
      <c r="C643">
        <f t="shared" si="33"/>
        <v>202012</v>
      </c>
      <c r="D643">
        <f>IF(OR(C643=1900,$D$506=0),0,VLOOKUP(A643,'Estados Financieros'!$A$11:$H$453,6,0))</f>
        <v>10</v>
      </c>
      <c r="E643" t="str">
        <f t="shared" si="34"/>
        <v>10,000</v>
      </c>
    </row>
    <row r="644" spans="1:5" x14ac:dyDescent="0.25">
      <c r="A644">
        <v>349500</v>
      </c>
      <c r="B644" t="str">
        <f t="shared" si="32"/>
        <v>900142011</v>
      </c>
      <c r="C644">
        <f t="shared" si="33"/>
        <v>202012</v>
      </c>
      <c r="D644">
        <f>IF(OR(C644=1900,$D$506=0),0,VLOOKUP(A644,'Estados Financieros'!$A$11:$H$453,6,0))</f>
        <v>10</v>
      </c>
      <c r="E644" t="str">
        <f t="shared" si="34"/>
        <v>10,000</v>
      </c>
    </row>
    <row r="645" spans="1:5" x14ac:dyDescent="0.25">
      <c r="A645">
        <v>34</v>
      </c>
      <c r="B645" t="str">
        <f t="shared" si="32"/>
        <v>900142011</v>
      </c>
      <c r="C645">
        <f t="shared" si="33"/>
        <v>202012</v>
      </c>
      <c r="D645">
        <f>IF(OR(C645=1900,$D$506=0),0,VLOOKUP(A645,'Estados Financieros'!$A$11:$H$453,6,0))</f>
        <v>40</v>
      </c>
      <c r="E645" t="str">
        <f t="shared" si="34"/>
        <v>40,000</v>
      </c>
    </row>
    <row r="646" spans="1:5" x14ac:dyDescent="0.25">
      <c r="A646">
        <v>35</v>
      </c>
      <c r="B646" t="str">
        <f t="shared" si="32"/>
        <v>900142011</v>
      </c>
      <c r="C646">
        <f t="shared" si="33"/>
        <v>202012</v>
      </c>
      <c r="D646">
        <f>IF(OR(C646=1900,$D$506=0),0,VLOOKUP(A646,'Estados Financieros'!$A$11:$H$453,6,0))</f>
        <v>10</v>
      </c>
      <c r="E646" t="str">
        <f t="shared" si="34"/>
        <v>10,000</v>
      </c>
    </row>
    <row r="647" spans="1:5" x14ac:dyDescent="0.25">
      <c r="A647">
        <v>36</v>
      </c>
      <c r="B647" t="str">
        <f t="shared" si="32"/>
        <v>900142011</v>
      </c>
      <c r="C647">
        <f t="shared" si="33"/>
        <v>202012</v>
      </c>
      <c r="D647">
        <f>IF(OR(C647=1900,$D$506=0),0,VLOOKUP(A647,'Estados Financieros'!$A$11:$H$453,6,0))</f>
        <v>2810</v>
      </c>
      <c r="E647" t="str">
        <f t="shared" si="34"/>
        <v>2810,000</v>
      </c>
    </row>
    <row r="648" spans="1:5" x14ac:dyDescent="0.25">
      <c r="A648">
        <v>37</v>
      </c>
      <c r="B648" t="str">
        <f t="shared" si="32"/>
        <v>900142011</v>
      </c>
      <c r="C648">
        <f t="shared" si="33"/>
        <v>202012</v>
      </c>
      <c r="D648">
        <f>IF(OR(C648=1900,$D$506=0),0,VLOOKUP(A648,'Estados Financieros'!$A$11:$H$453,6,0))</f>
        <v>10</v>
      </c>
      <c r="E648" t="str">
        <f t="shared" si="34"/>
        <v>10,000</v>
      </c>
    </row>
    <row r="649" spans="1:5" x14ac:dyDescent="0.25">
      <c r="A649">
        <v>38</v>
      </c>
      <c r="B649" t="str">
        <f t="shared" si="32"/>
        <v>900142011</v>
      </c>
      <c r="C649">
        <f t="shared" si="33"/>
        <v>202012</v>
      </c>
      <c r="D649">
        <f>IF(OR(C649=1900,$D$506=0),0,VLOOKUP(A649,'Estados Financieros'!$A$11:$H$453,6,0))</f>
        <v>10</v>
      </c>
      <c r="E649" t="str">
        <f t="shared" si="34"/>
        <v>10,000</v>
      </c>
    </row>
    <row r="650" spans="1:5" x14ac:dyDescent="0.25">
      <c r="A650">
        <v>3</v>
      </c>
      <c r="B650" t="str">
        <f t="shared" si="32"/>
        <v>900142011</v>
      </c>
      <c r="C650">
        <f t="shared" si="33"/>
        <v>202012</v>
      </c>
      <c r="D650">
        <f>IF(OR(C650=1900,$D$506=0),0,VLOOKUP(A650,'Estados Financieros'!$A$11:$H$453,6,0))</f>
        <v>3030</v>
      </c>
      <c r="E650" t="str">
        <f t="shared" si="34"/>
        <v>3030,000</v>
      </c>
    </row>
    <row r="651" spans="1:5" x14ac:dyDescent="0.25">
      <c r="A651">
        <v>0</v>
      </c>
      <c r="B651" t="str">
        <f t="shared" si="32"/>
        <v>900142011</v>
      </c>
      <c r="C651">
        <f t="shared" si="33"/>
        <v>202012</v>
      </c>
      <c r="D651">
        <f>IF(OR(C651=1900,$D$506=0),0,VLOOKUP(A651,'Estados Financieros'!$A$11:$H$453,6,0))</f>
        <v>3960</v>
      </c>
      <c r="E651" t="str">
        <f t="shared" si="34"/>
        <v>3960,000</v>
      </c>
    </row>
    <row r="652" spans="1:5" x14ac:dyDescent="0.25">
      <c r="A652">
        <v>291000</v>
      </c>
      <c r="B652" t="str">
        <f t="shared" si="32"/>
        <v>900142011</v>
      </c>
      <c r="C652">
        <f t="shared" si="33"/>
        <v>202012</v>
      </c>
      <c r="D652">
        <f>IF(OR(C652=1900,$D$506=0),0,VLOOKUP(A652,'Estados Financieros'!$A$11:$H$453,6,0))</f>
        <v>0</v>
      </c>
      <c r="E652" t="str">
        <f t="shared" si="34"/>
        <v>0,000</v>
      </c>
    </row>
    <row r="653" spans="1:5" x14ac:dyDescent="0.25">
      <c r="A653">
        <v>292000</v>
      </c>
      <c r="B653" t="str">
        <f t="shared" si="32"/>
        <v>900142011</v>
      </c>
      <c r="C653">
        <f t="shared" si="33"/>
        <v>202012</v>
      </c>
      <c r="D653">
        <f>IF(OR(C653=1900,$D$506=0),0,VLOOKUP(A653,'Estados Financieros'!$A$11:$H$453,6,0))</f>
        <v>0</v>
      </c>
      <c r="E653" t="str">
        <f t="shared" si="34"/>
        <v>0,000</v>
      </c>
    </row>
    <row r="654" spans="1:5" x14ac:dyDescent="0.25">
      <c r="A654">
        <v>293000</v>
      </c>
      <c r="B654" t="str">
        <f t="shared" si="32"/>
        <v>900142011</v>
      </c>
      <c r="C654">
        <f t="shared" si="33"/>
        <v>202012</v>
      </c>
      <c r="D654">
        <f>IF(OR(C654=1900,$D$506=0),0,VLOOKUP(A654,'Estados Financieros'!$A$11:$H$453,6,0))</f>
        <v>0</v>
      </c>
      <c r="E654" t="str">
        <f t="shared" si="34"/>
        <v>0,000</v>
      </c>
    </row>
    <row r="655" spans="1:5" x14ac:dyDescent="0.25">
      <c r="A655">
        <v>294000</v>
      </c>
      <c r="B655" t="str">
        <f t="shared" si="32"/>
        <v>900142011</v>
      </c>
      <c r="C655">
        <f t="shared" si="33"/>
        <v>202012</v>
      </c>
      <c r="D655">
        <f>IF(OR(C655=1900,$D$506=0),0,VLOOKUP(A655,'Estados Financieros'!$A$11:$H$453,6,0))</f>
        <v>0</v>
      </c>
      <c r="E655" t="str">
        <f t="shared" si="34"/>
        <v>0,000</v>
      </c>
    </row>
    <row r="656" spans="1:5" x14ac:dyDescent="0.25">
      <c r="A656">
        <v>190000</v>
      </c>
      <c r="B656" t="str">
        <f t="shared" si="32"/>
        <v>900142011</v>
      </c>
      <c r="C656">
        <f t="shared" si="33"/>
        <v>202012</v>
      </c>
      <c r="D656">
        <f>IF(OR(C656=1900,$D$506=0),0,VLOOKUP(A656,'Estados Financieros'!$A$11:$H$453,6,0))</f>
        <v>0</v>
      </c>
      <c r="E656" t="str">
        <f t="shared" si="34"/>
        <v>0,000</v>
      </c>
    </row>
    <row r="657" spans="1:5" x14ac:dyDescent="0.25">
      <c r="A657">
        <v>410500</v>
      </c>
      <c r="B657" t="str">
        <f t="shared" si="32"/>
        <v>900142011</v>
      </c>
      <c r="C657">
        <f t="shared" si="33"/>
        <v>202012</v>
      </c>
      <c r="D657">
        <f>IF(OR(C657=1900,$D$506=0),0,VLOOKUP(A657,'Estados Financieros'!$A$11:$H$453,6,0))</f>
        <v>2610</v>
      </c>
      <c r="E657" t="str">
        <f t="shared" si="34"/>
        <v>2610,000</v>
      </c>
    </row>
    <row r="658" spans="1:5" x14ac:dyDescent="0.25">
      <c r="A658">
        <v>411000</v>
      </c>
      <c r="B658" t="str">
        <f t="shared" si="32"/>
        <v>900142011</v>
      </c>
      <c r="C658">
        <f t="shared" si="33"/>
        <v>202012</v>
      </c>
      <c r="D658">
        <f>IF(OR(C658=1900,$D$506=0),0,VLOOKUP(A658,'Estados Financieros'!$A$11:$H$453,6,0))</f>
        <v>1000</v>
      </c>
      <c r="E658" t="str">
        <f t="shared" si="34"/>
        <v>1000,000</v>
      </c>
    </row>
    <row r="659" spans="1:5" x14ac:dyDescent="0.25">
      <c r="A659">
        <v>41</v>
      </c>
      <c r="B659" t="str">
        <f t="shared" si="32"/>
        <v>900142011</v>
      </c>
      <c r="C659">
        <f t="shared" si="33"/>
        <v>202012</v>
      </c>
      <c r="D659">
        <f>+D657+D658</f>
        <v>3610</v>
      </c>
      <c r="E659" t="str">
        <f t="shared" si="34"/>
        <v>3610,000</v>
      </c>
    </row>
    <row r="660" spans="1:5" x14ac:dyDescent="0.25">
      <c r="A660">
        <v>61</v>
      </c>
      <c r="B660" t="str">
        <f>+B658</f>
        <v>900142011</v>
      </c>
      <c r="C660">
        <f>+C658</f>
        <v>202012</v>
      </c>
      <c r="D660">
        <f>IF(OR(C660=1900,$D$506=0),0,VLOOKUP(A660,'Estados Financieros'!$A$11:$H$453,6,0))</f>
        <v>500</v>
      </c>
      <c r="E660" t="str">
        <f t="shared" si="34"/>
        <v>500,000</v>
      </c>
    </row>
    <row r="661" spans="1:5" x14ac:dyDescent="0.25">
      <c r="A661">
        <v>606000</v>
      </c>
      <c r="B661" t="str">
        <f t="shared" ref="B661:B692" si="35">+B660</f>
        <v>900142011</v>
      </c>
      <c r="C661">
        <f t="shared" ref="C661:C692" si="36">+C660</f>
        <v>202012</v>
      </c>
      <c r="D661">
        <f>IF(OR(C661=1900,$D$506=0),0,VLOOKUP(A661,'Estados Financieros'!$A$11:$H$453,6,0))</f>
        <v>0</v>
      </c>
      <c r="E661" t="str">
        <f t="shared" si="34"/>
        <v>0,000</v>
      </c>
    </row>
    <row r="662" spans="1:5" x14ac:dyDescent="0.25">
      <c r="A662">
        <v>95</v>
      </c>
      <c r="B662" t="str">
        <f t="shared" si="35"/>
        <v>900142011</v>
      </c>
      <c r="C662">
        <f t="shared" si="36"/>
        <v>202012</v>
      </c>
      <c r="D662">
        <f>IF(OR(C662=1900,$D$506=0),0,VLOOKUP(A662,'Estados Financieros'!$A$11:$H$453,6,0))</f>
        <v>3110</v>
      </c>
      <c r="E662" t="str">
        <f t="shared" si="34"/>
        <v>3110,000</v>
      </c>
    </row>
    <row r="663" spans="1:5" x14ac:dyDescent="0.25">
      <c r="A663">
        <v>510500</v>
      </c>
      <c r="B663" t="str">
        <f t="shared" si="35"/>
        <v>900142011</v>
      </c>
      <c r="C663">
        <f t="shared" si="36"/>
        <v>202012</v>
      </c>
      <c r="D663">
        <f>IF(OR(C663=1900,$D$506=0),0,VLOOKUP(A663,'Estados Financieros'!$A$11:$H$453,6,0))</f>
        <v>10</v>
      </c>
      <c r="E663" t="str">
        <f t="shared" si="34"/>
        <v>10,000</v>
      </c>
    </row>
    <row r="664" spans="1:5" x14ac:dyDescent="0.25">
      <c r="A664">
        <v>511000</v>
      </c>
      <c r="B664" t="str">
        <f t="shared" si="35"/>
        <v>900142011</v>
      </c>
      <c r="C664">
        <f t="shared" si="36"/>
        <v>202012</v>
      </c>
      <c r="D664">
        <f>IF(OR(C664=1900,$D$506=0),0,VLOOKUP(A664,'Estados Financieros'!$A$11:$H$453,6,0))</f>
        <v>10</v>
      </c>
      <c r="E664" t="str">
        <f t="shared" si="34"/>
        <v>10,000</v>
      </c>
    </row>
    <row r="665" spans="1:5" x14ac:dyDescent="0.25">
      <c r="A665">
        <v>511500</v>
      </c>
      <c r="B665" t="str">
        <f t="shared" si="35"/>
        <v>900142011</v>
      </c>
      <c r="C665">
        <f t="shared" si="36"/>
        <v>202012</v>
      </c>
      <c r="D665">
        <f>IF(OR(C665=1900,$D$506=0),0,VLOOKUP(A665,'Estados Financieros'!$A$11:$H$453,6,0))</f>
        <v>10</v>
      </c>
      <c r="E665" t="str">
        <f t="shared" si="34"/>
        <v>10,000</v>
      </c>
    </row>
    <row r="666" spans="1:5" x14ac:dyDescent="0.25">
      <c r="A666">
        <v>512000</v>
      </c>
      <c r="B666" t="str">
        <f t="shared" si="35"/>
        <v>900142011</v>
      </c>
      <c r="C666">
        <f t="shared" si="36"/>
        <v>202012</v>
      </c>
      <c r="D666">
        <f>IF(OR(C666=1900,$D$506=0),0,VLOOKUP(A666,'Estados Financieros'!$A$11:$H$453,6,0))</f>
        <v>10</v>
      </c>
      <c r="E666" t="str">
        <f t="shared" si="34"/>
        <v>10,000</v>
      </c>
    </row>
    <row r="667" spans="1:5" x14ac:dyDescent="0.25">
      <c r="A667">
        <v>512500</v>
      </c>
      <c r="B667" t="str">
        <f t="shared" si="35"/>
        <v>900142011</v>
      </c>
      <c r="C667">
        <f t="shared" si="36"/>
        <v>202012</v>
      </c>
      <c r="D667">
        <f>IF(OR(C667=1900,$D$506=0),0,VLOOKUP(A667,'Estados Financieros'!$A$11:$H$453,6,0))</f>
        <v>10</v>
      </c>
      <c r="E667" t="str">
        <f t="shared" si="34"/>
        <v>10,000</v>
      </c>
    </row>
    <row r="668" spans="1:5" x14ac:dyDescent="0.25">
      <c r="A668">
        <v>513000</v>
      </c>
      <c r="B668" t="str">
        <f t="shared" si="35"/>
        <v>900142011</v>
      </c>
      <c r="C668">
        <f t="shared" si="36"/>
        <v>202012</v>
      </c>
      <c r="D668">
        <f>IF(OR(C668=1900,$D$506=0),0,VLOOKUP(A668,'Estados Financieros'!$A$11:$H$453,6,0))</f>
        <v>10</v>
      </c>
      <c r="E668" t="str">
        <f t="shared" si="34"/>
        <v>10,000</v>
      </c>
    </row>
    <row r="669" spans="1:5" x14ac:dyDescent="0.25">
      <c r="A669">
        <v>513500</v>
      </c>
      <c r="B669" t="str">
        <f t="shared" si="35"/>
        <v>900142011</v>
      </c>
      <c r="C669">
        <f t="shared" si="36"/>
        <v>202012</v>
      </c>
      <c r="D669">
        <f>IF(OR(C669=1900,$D$506=0),0,VLOOKUP(A669,'Estados Financieros'!$A$11:$H$453,6,0))</f>
        <v>10</v>
      </c>
      <c r="E669" t="str">
        <f t="shared" si="34"/>
        <v>10,000</v>
      </c>
    </row>
    <row r="670" spans="1:5" x14ac:dyDescent="0.25">
      <c r="A670">
        <v>514000</v>
      </c>
      <c r="B670" t="str">
        <f t="shared" si="35"/>
        <v>900142011</v>
      </c>
      <c r="C670">
        <f t="shared" si="36"/>
        <v>202012</v>
      </c>
      <c r="D670">
        <f>IF(OR(C670=1900,$D$506=0),0,VLOOKUP(A670,'Estados Financieros'!$A$11:$H$453,6,0))</f>
        <v>10</v>
      </c>
      <c r="E670" t="str">
        <f t="shared" si="34"/>
        <v>10,000</v>
      </c>
    </row>
    <row r="671" spans="1:5" x14ac:dyDescent="0.25">
      <c r="A671">
        <v>514500</v>
      </c>
      <c r="B671" t="str">
        <f t="shared" si="35"/>
        <v>900142011</v>
      </c>
      <c r="C671">
        <f t="shared" si="36"/>
        <v>202012</v>
      </c>
      <c r="D671">
        <f>IF(OR(C671=1900,$D$506=0),0,VLOOKUP(A671,'Estados Financieros'!$A$11:$H$453,6,0))</f>
        <v>10</v>
      </c>
      <c r="E671" t="str">
        <f t="shared" si="34"/>
        <v>10,000</v>
      </c>
    </row>
    <row r="672" spans="1:5" x14ac:dyDescent="0.25">
      <c r="A672">
        <v>515000</v>
      </c>
      <c r="B672" t="str">
        <f t="shared" si="35"/>
        <v>900142011</v>
      </c>
      <c r="C672">
        <f t="shared" si="36"/>
        <v>202012</v>
      </c>
      <c r="D672">
        <f>IF(OR(C672=1900,$D$506=0),0,VLOOKUP(A672,'Estados Financieros'!$A$11:$H$453,6,0))</f>
        <v>10</v>
      </c>
      <c r="E672" t="str">
        <f t="shared" si="34"/>
        <v>10,000</v>
      </c>
    </row>
    <row r="673" spans="1:5" x14ac:dyDescent="0.25">
      <c r="A673">
        <v>515500</v>
      </c>
      <c r="B673" t="str">
        <f t="shared" si="35"/>
        <v>900142011</v>
      </c>
      <c r="C673">
        <f t="shared" si="36"/>
        <v>202012</v>
      </c>
      <c r="D673">
        <f>IF(OR(C673=1900,$D$506=0),0,VLOOKUP(A673,'Estados Financieros'!$A$11:$H$453,6,0))</f>
        <v>10</v>
      </c>
      <c r="E673" t="str">
        <f t="shared" si="34"/>
        <v>10,000</v>
      </c>
    </row>
    <row r="674" spans="1:5" x14ac:dyDescent="0.25">
      <c r="A674">
        <v>519500</v>
      </c>
      <c r="B674" t="str">
        <f t="shared" si="35"/>
        <v>900142011</v>
      </c>
      <c r="C674">
        <f t="shared" si="36"/>
        <v>202012</v>
      </c>
      <c r="D674">
        <f>IF(OR(C674=1900,$D$506=0),0,VLOOKUP(A674,'Estados Financieros'!$A$11:$H$453,6,0))</f>
        <v>10</v>
      </c>
      <c r="E674" t="str">
        <f t="shared" si="34"/>
        <v>10,000</v>
      </c>
    </row>
    <row r="675" spans="1:5" x14ac:dyDescent="0.25">
      <c r="A675">
        <v>516000</v>
      </c>
      <c r="B675" t="str">
        <f t="shared" si="35"/>
        <v>900142011</v>
      </c>
      <c r="C675">
        <f t="shared" si="36"/>
        <v>202012</v>
      </c>
      <c r="D675">
        <f>IF(OR(C675=1900,$D$506=0),0,VLOOKUP(A675,'Estados Financieros'!$A$11:$H$453,6,0))</f>
        <v>10</v>
      </c>
      <c r="E675" t="str">
        <f t="shared" si="34"/>
        <v>10,000</v>
      </c>
    </row>
    <row r="676" spans="1:5" x14ac:dyDescent="0.25">
      <c r="A676">
        <v>516500</v>
      </c>
      <c r="B676" t="str">
        <f t="shared" si="35"/>
        <v>900142011</v>
      </c>
      <c r="C676">
        <f t="shared" si="36"/>
        <v>202012</v>
      </c>
      <c r="D676">
        <f>IF(OR(C676=1900,$D$506=0),0,VLOOKUP(A676,'Estados Financieros'!$A$11:$H$453,6,0))</f>
        <v>10</v>
      </c>
      <c r="E676" t="str">
        <f t="shared" si="34"/>
        <v>10,000</v>
      </c>
    </row>
    <row r="677" spans="1:5" x14ac:dyDescent="0.25">
      <c r="A677">
        <v>519900</v>
      </c>
      <c r="B677" t="str">
        <f t="shared" si="35"/>
        <v>900142011</v>
      </c>
      <c r="C677">
        <f t="shared" si="36"/>
        <v>202012</v>
      </c>
      <c r="D677">
        <f>IF(OR(C677=1900,$D$506=0),0,VLOOKUP(A677,'Estados Financieros'!$A$11:$H$453,6,0))</f>
        <v>10</v>
      </c>
      <c r="E677" t="str">
        <f t="shared" si="34"/>
        <v>10,000</v>
      </c>
    </row>
    <row r="678" spans="1:5" x14ac:dyDescent="0.25">
      <c r="A678">
        <v>51</v>
      </c>
      <c r="B678" t="str">
        <f t="shared" si="35"/>
        <v>900142011</v>
      </c>
      <c r="C678">
        <f t="shared" si="36"/>
        <v>202012</v>
      </c>
      <c r="D678">
        <f>IF(OR(C678=1900,$D$506=0),0,VLOOKUP(A678,'Estados Financieros'!$A$11:$H$453,6,0))</f>
        <v>150</v>
      </c>
      <c r="E678" t="str">
        <f t="shared" si="34"/>
        <v>150,000</v>
      </c>
    </row>
    <row r="679" spans="1:5" x14ac:dyDescent="0.25">
      <c r="A679">
        <v>520500</v>
      </c>
      <c r="B679" t="str">
        <f t="shared" si="35"/>
        <v>900142011</v>
      </c>
      <c r="C679">
        <f t="shared" si="36"/>
        <v>202012</v>
      </c>
      <c r="D679">
        <f>IF(OR(C679=1900,$D$506=0),0,VLOOKUP(A679,'Estados Financieros'!$A$11:$H$453,6,0))</f>
        <v>10</v>
      </c>
      <c r="E679" t="str">
        <f t="shared" si="34"/>
        <v>10,000</v>
      </c>
    </row>
    <row r="680" spans="1:5" x14ac:dyDescent="0.25">
      <c r="A680">
        <v>521000</v>
      </c>
      <c r="B680" t="str">
        <f t="shared" si="35"/>
        <v>900142011</v>
      </c>
      <c r="C680">
        <f t="shared" si="36"/>
        <v>202012</v>
      </c>
      <c r="D680">
        <f>IF(OR(C680=1900,$D$506=0),0,VLOOKUP(A680,'Estados Financieros'!$A$11:$H$453,6,0))</f>
        <v>10</v>
      </c>
      <c r="E680" t="str">
        <f t="shared" si="34"/>
        <v>10,000</v>
      </c>
    </row>
    <row r="681" spans="1:5" x14ac:dyDescent="0.25">
      <c r="A681">
        <v>521500</v>
      </c>
      <c r="B681" t="str">
        <f t="shared" si="35"/>
        <v>900142011</v>
      </c>
      <c r="C681">
        <f t="shared" si="36"/>
        <v>202012</v>
      </c>
      <c r="D681">
        <f>IF(OR(C681=1900,$D$506=0),0,VLOOKUP(A681,'Estados Financieros'!$A$11:$H$453,6,0))</f>
        <v>10</v>
      </c>
      <c r="E681" t="str">
        <f t="shared" si="34"/>
        <v>10,000</v>
      </c>
    </row>
    <row r="682" spans="1:5" x14ac:dyDescent="0.25">
      <c r="A682">
        <v>522000</v>
      </c>
      <c r="B682" t="str">
        <f t="shared" si="35"/>
        <v>900142011</v>
      </c>
      <c r="C682">
        <f t="shared" si="36"/>
        <v>202012</v>
      </c>
      <c r="D682">
        <f>IF(OR(C682=1900,$D$506=0),0,VLOOKUP(A682,'Estados Financieros'!$A$11:$H$453,6,0))</f>
        <v>10</v>
      </c>
      <c r="E682" t="str">
        <f t="shared" si="34"/>
        <v>10,000</v>
      </c>
    </row>
    <row r="683" spans="1:5" x14ac:dyDescent="0.25">
      <c r="A683">
        <v>522500</v>
      </c>
      <c r="B683" t="str">
        <f t="shared" si="35"/>
        <v>900142011</v>
      </c>
      <c r="C683">
        <f t="shared" si="36"/>
        <v>202012</v>
      </c>
      <c r="D683">
        <f>IF(OR(C683=1900,$D$506=0),0,VLOOKUP(A683,'Estados Financieros'!$A$11:$H$453,6,0))</f>
        <v>10</v>
      </c>
      <c r="E683" t="str">
        <f t="shared" si="34"/>
        <v>10,000</v>
      </c>
    </row>
    <row r="684" spans="1:5" x14ac:dyDescent="0.25">
      <c r="A684">
        <v>523000</v>
      </c>
      <c r="B684" t="str">
        <f t="shared" si="35"/>
        <v>900142011</v>
      </c>
      <c r="C684">
        <f t="shared" si="36"/>
        <v>202012</v>
      </c>
      <c r="D684">
        <f>IF(OR(C684=1900,$D$506=0),0,VLOOKUP(A684,'Estados Financieros'!$A$11:$H$453,6,0))</f>
        <v>10</v>
      </c>
      <c r="E684" t="str">
        <f t="shared" si="34"/>
        <v>10,000</v>
      </c>
    </row>
    <row r="685" spans="1:5" x14ac:dyDescent="0.25">
      <c r="A685">
        <v>523500</v>
      </c>
      <c r="B685" t="str">
        <f t="shared" si="35"/>
        <v>900142011</v>
      </c>
      <c r="C685">
        <f t="shared" si="36"/>
        <v>202012</v>
      </c>
      <c r="D685">
        <f>IF(OR(C685=1900,$D$506=0),0,VLOOKUP(A685,'Estados Financieros'!$A$11:$H$453,6,0))</f>
        <v>10</v>
      </c>
      <c r="E685" t="str">
        <f t="shared" si="34"/>
        <v>10,000</v>
      </c>
    </row>
    <row r="686" spans="1:5" x14ac:dyDescent="0.25">
      <c r="A686">
        <v>524000</v>
      </c>
      <c r="B686" t="str">
        <f t="shared" si="35"/>
        <v>900142011</v>
      </c>
      <c r="C686">
        <f t="shared" si="36"/>
        <v>202012</v>
      </c>
      <c r="D686">
        <f>IF(OR(C686=1900,$D$506=0),0,VLOOKUP(A686,'Estados Financieros'!$A$11:$H$453,6,0))</f>
        <v>10</v>
      </c>
      <c r="E686" t="str">
        <f t="shared" si="34"/>
        <v>10,000</v>
      </c>
    </row>
    <row r="687" spans="1:5" x14ac:dyDescent="0.25">
      <c r="A687">
        <v>524500</v>
      </c>
      <c r="B687" t="str">
        <f t="shared" si="35"/>
        <v>900142011</v>
      </c>
      <c r="C687">
        <f t="shared" si="36"/>
        <v>202012</v>
      </c>
      <c r="D687">
        <f>IF(OR(C687=1900,$D$506=0),0,VLOOKUP(A687,'Estados Financieros'!$A$11:$H$453,6,0))</f>
        <v>10</v>
      </c>
      <c r="E687" t="str">
        <f t="shared" si="34"/>
        <v>10,000</v>
      </c>
    </row>
    <row r="688" spans="1:5" x14ac:dyDescent="0.25">
      <c r="A688">
        <v>525000</v>
      </c>
      <c r="B688" t="str">
        <f t="shared" si="35"/>
        <v>900142011</v>
      </c>
      <c r="C688">
        <f t="shared" si="36"/>
        <v>202012</v>
      </c>
      <c r="D688">
        <f>IF(OR(C688=1900,$D$506=0),0,VLOOKUP(A688,'Estados Financieros'!$A$11:$H$453,6,0))</f>
        <v>10</v>
      </c>
      <c r="E688" t="str">
        <f t="shared" si="34"/>
        <v>10,000</v>
      </c>
    </row>
    <row r="689" spans="1:5" x14ac:dyDescent="0.25">
      <c r="A689">
        <v>525500</v>
      </c>
      <c r="B689" t="str">
        <f t="shared" si="35"/>
        <v>900142011</v>
      </c>
      <c r="C689">
        <f t="shared" si="36"/>
        <v>202012</v>
      </c>
      <c r="D689">
        <f>IF(OR(C689=1900,$D$506=0),0,VLOOKUP(A689,'Estados Financieros'!$A$11:$H$453,6,0))</f>
        <v>10</v>
      </c>
      <c r="E689" t="str">
        <f t="shared" si="34"/>
        <v>10,000</v>
      </c>
    </row>
    <row r="690" spans="1:5" x14ac:dyDescent="0.25">
      <c r="A690">
        <v>529500</v>
      </c>
      <c r="B690" t="str">
        <f t="shared" si="35"/>
        <v>900142011</v>
      </c>
      <c r="C690">
        <f t="shared" si="36"/>
        <v>202012</v>
      </c>
      <c r="D690">
        <f>IF(OR(C690=1900,$D$506=0),0,VLOOKUP(A690,'Estados Financieros'!$A$11:$H$453,6,0))</f>
        <v>10</v>
      </c>
      <c r="E690" t="str">
        <f t="shared" si="34"/>
        <v>10,000</v>
      </c>
    </row>
    <row r="691" spans="1:5" x14ac:dyDescent="0.25">
      <c r="A691">
        <v>526000</v>
      </c>
      <c r="B691" t="str">
        <f t="shared" si="35"/>
        <v>900142011</v>
      </c>
      <c r="C691">
        <f t="shared" si="36"/>
        <v>202012</v>
      </c>
      <c r="D691">
        <f>IF(OR(C691=1900,$D$506=0),0,VLOOKUP(A691,'Estados Financieros'!$A$11:$H$453,6,0))</f>
        <v>10</v>
      </c>
      <c r="E691" t="str">
        <f t="shared" si="34"/>
        <v>10,000</v>
      </c>
    </row>
    <row r="692" spans="1:5" x14ac:dyDescent="0.25">
      <c r="A692">
        <v>526500</v>
      </c>
      <c r="B692" t="str">
        <f t="shared" si="35"/>
        <v>900142011</v>
      </c>
      <c r="C692">
        <f t="shared" si="36"/>
        <v>202012</v>
      </c>
      <c r="D692">
        <f>IF(OR(C692=1900,$D$506=0),0,VLOOKUP(A692,'Estados Financieros'!$A$11:$H$453,6,0))</f>
        <v>10</v>
      </c>
      <c r="E692" t="str">
        <f t="shared" si="34"/>
        <v>10,000</v>
      </c>
    </row>
    <row r="693" spans="1:5" x14ac:dyDescent="0.25">
      <c r="A693">
        <v>529900</v>
      </c>
      <c r="B693" t="str">
        <f t="shared" ref="B693:B725" si="37">+B692</f>
        <v>900142011</v>
      </c>
      <c r="C693">
        <f t="shared" ref="C693:C725" si="38">+C692</f>
        <v>202012</v>
      </c>
      <c r="D693">
        <f>IF(OR(C693=1900,$D$506=0),0,VLOOKUP(A693,'Estados Financieros'!$A$11:$H$453,6,0))</f>
        <v>10</v>
      </c>
      <c r="E693" t="str">
        <f t="shared" si="34"/>
        <v>10,000</v>
      </c>
    </row>
    <row r="694" spans="1:5" x14ac:dyDescent="0.25">
      <c r="A694">
        <v>52</v>
      </c>
      <c r="B694" t="str">
        <f t="shared" si="37"/>
        <v>900142011</v>
      </c>
      <c r="C694">
        <f t="shared" si="38"/>
        <v>202012</v>
      </c>
      <c r="D694">
        <f>IF(OR(C694=1900,$D$506=0),0,VLOOKUP(A694,'Estados Financieros'!$A$11:$H$453,6,0))</f>
        <v>150</v>
      </c>
      <c r="E694" t="str">
        <f t="shared" si="34"/>
        <v>150,000</v>
      </c>
    </row>
    <row r="695" spans="1:5" x14ac:dyDescent="0.25">
      <c r="A695">
        <v>96</v>
      </c>
      <c r="B695" t="str">
        <f t="shared" si="37"/>
        <v>900142011</v>
      </c>
      <c r="C695">
        <f t="shared" si="38"/>
        <v>202012</v>
      </c>
      <c r="D695">
        <f>IF(OR(C695=1900,$D$506=0),0,VLOOKUP(A695,'Estados Financieros'!$A$11:$H$453,6,0))</f>
        <v>2810</v>
      </c>
      <c r="E695" t="str">
        <f t="shared" si="34"/>
        <v>2810,000</v>
      </c>
    </row>
    <row r="696" spans="1:5" x14ac:dyDescent="0.25">
      <c r="A696">
        <v>421000</v>
      </c>
      <c r="B696" t="str">
        <f t="shared" si="37"/>
        <v>900142011</v>
      </c>
      <c r="C696">
        <f t="shared" si="38"/>
        <v>202012</v>
      </c>
      <c r="D696">
        <f>IF(OR(C696=1900,$D$506=0),0,VLOOKUP(A696,'Estados Financieros'!$A$11:$H$453,6,0))</f>
        <v>10</v>
      </c>
      <c r="E696" t="str">
        <f t="shared" si="34"/>
        <v>10,000</v>
      </c>
    </row>
    <row r="697" spans="1:5" x14ac:dyDescent="0.25">
      <c r="A697">
        <v>421020</v>
      </c>
      <c r="B697" t="str">
        <f t="shared" si="37"/>
        <v>900142011</v>
      </c>
      <c r="C697">
        <f t="shared" si="38"/>
        <v>202012</v>
      </c>
      <c r="D697">
        <f>IF(OR(C697=1900,$D$506=0),0,VLOOKUP(A697,'Estados Financieros'!$A$11:$H$453,6,0))</f>
        <v>10</v>
      </c>
      <c r="E697" t="str">
        <f t="shared" si="34"/>
        <v>10,000</v>
      </c>
    </row>
    <row r="698" spans="1:5" x14ac:dyDescent="0.25">
      <c r="A698">
        <v>420500</v>
      </c>
      <c r="B698" t="str">
        <f t="shared" si="37"/>
        <v>900142011</v>
      </c>
      <c r="C698">
        <f t="shared" si="38"/>
        <v>202012</v>
      </c>
      <c r="D698">
        <f>IF(OR(C698=1900,$D$506=0),0,VLOOKUP(A698,'Estados Financieros'!$A$11:$H$453,6,0))</f>
        <v>10</v>
      </c>
      <c r="E698" t="str">
        <f t="shared" si="34"/>
        <v>10,000</v>
      </c>
    </row>
    <row r="699" spans="1:5" x14ac:dyDescent="0.25">
      <c r="A699">
        <v>421040</v>
      </c>
      <c r="B699" t="str">
        <f t="shared" si="37"/>
        <v>900142011</v>
      </c>
      <c r="C699">
        <f t="shared" si="38"/>
        <v>202012</v>
      </c>
      <c r="D699">
        <f>IF(OR(C699=1900,$D$506=0),0,VLOOKUP(A699,'Estados Financieros'!$A$11:$H$453,6,0))</f>
        <v>10</v>
      </c>
      <c r="E699" t="str">
        <f t="shared" si="34"/>
        <v>10,000</v>
      </c>
    </row>
    <row r="700" spans="1:5" x14ac:dyDescent="0.25">
      <c r="A700">
        <v>421500</v>
      </c>
      <c r="B700" t="str">
        <f t="shared" si="37"/>
        <v>900142011</v>
      </c>
      <c r="C700">
        <f t="shared" si="38"/>
        <v>202012</v>
      </c>
      <c r="D700">
        <f>IF(OR(C700=1900,$D$506=0),0,VLOOKUP(A700,'Estados Financieros'!$A$11:$H$453,6,0))</f>
        <v>10</v>
      </c>
      <c r="E700" t="str">
        <f t="shared" si="34"/>
        <v>10,000</v>
      </c>
    </row>
    <row r="701" spans="1:5" x14ac:dyDescent="0.25">
      <c r="A701">
        <v>422000</v>
      </c>
      <c r="B701" t="str">
        <f t="shared" si="37"/>
        <v>900142011</v>
      </c>
      <c r="C701">
        <f t="shared" si="38"/>
        <v>202012</v>
      </c>
      <c r="D701">
        <f>IF(OR(C701=1900,$D$506=0),0,VLOOKUP(A701,'Estados Financieros'!$A$11:$H$453,6,0))</f>
        <v>10</v>
      </c>
      <c r="E701" t="str">
        <f t="shared" si="34"/>
        <v>10,000</v>
      </c>
    </row>
    <row r="702" spans="1:5" x14ac:dyDescent="0.25">
      <c r="A702">
        <v>422500</v>
      </c>
      <c r="B702" t="str">
        <f t="shared" si="37"/>
        <v>900142011</v>
      </c>
      <c r="C702">
        <f t="shared" si="38"/>
        <v>202012</v>
      </c>
      <c r="D702">
        <f>IF(OR(C702=1900,$D$506=0),0,VLOOKUP(A702,'Estados Financieros'!$A$11:$H$453,6,0))</f>
        <v>10</v>
      </c>
      <c r="E702" t="str">
        <f t="shared" si="34"/>
        <v>10,000</v>
      </c>
    </row>
    <row r="703" spans="1:5" x14ac:dyDescent="0.25">
      <c r="A703">
        <v>423500</v>
      </c>
      <c r="B703" t="str">
        <f t="shared" si="37"/>
        <v>900142011</v>
      </c>
      <c r="C703">
        <f t="shared" si="38"/>
        <v>202012</v>
      </c>
      <c r="D703">
        <f>IF(OR(C703=1900,$D$506=0),0,VLOOKUP(A703,'Estados Financieros'!$A$11:$H$453,6,0))</f>
        <v>10</v>
      </c>
      <c r="E703" t="str">
        <f t="shared" si="34"/>
        <v>10,000</v>
      </c>
    </row>
    <row r="704" spans="1:5" x14ac:dyDescent="0.25">
      <c r="A704">
        <v>424000</v>
      </c>
      <c r="B704" t="str">
        <f t="shared" si="37"/>
        <v>900142011</v>
      </c>
      <c r="C704">
        <f t="shared" si="38"/>
        <v>202012</v>
      </c>
      <c r="D704">
        <f>IF(OR(C704=1900,$D$506=0),0,VLOOKUP(A704,'Estados Financieros'!$A$11:$H$453,6,0))</f>
        <v>10</v>
      </c>
      <c r="E704" t="str">
        <f t="shared" si="34"/>
        <v>10,000</v>
      </c>
    </row>
    <row r="705" spans="1:5" x14ac:dyDescent="0.25">
      <c r="A705">
        <v>425000</v>
      </c>
      <c r="B705" t="str">
        <f t="shared" si="37"/>
        <v>900142011</v>
      </c>
      <c r="C705">
        <f t="shared" si="38"/>
        <v>202012</v>
      </c>
      <c r="D705">
        <f>IF(OR(C705=1900,$D$506=0),0,VLOOKUP(A705,'Estados Financieros'!$A$11:$H$453,6,0))</f>
        <v>10</v>
      </c>
      <c r="E705" t="str">
        <f t="shared" si="34"/>
        <v>10,000</v>
      </c>
    </row>
    <row r="706" spans="1:5" x14ac:dyDescent="0.25">
      <c r="A706">
        <v>426500</v>
      </c>
      <c r="B706" t="str">
        <f t="shared" si="37"/>
        <v>900142011</v>
      </c>
      <c r="C706">
        <f t="shared" si="38"/>
        <v>202012</v>
      </c>
      <c r="D706">
        <f>IF(OR(C706=1900,$D$506=0),0,VLOOKUP(A706,'Estados Financieros'!$A$11:$H$453,6,0))</f>
        <v>10</v>
      </c>
      <c r="E706" t="str">
        <f t="shared" ref="E706:E769" si="39">IFERROR(FIXED(D706,3,1),0)</f>
        <v>10,000</v>
      </c>
    </row>
    <row r="707" spans="1:5" x14ac:dyDescent="0.25">
      <c r="A707">
        <v>429500</v>
      </c>
      <c r="B707" t="str">
        <f t="shared" si="37"/>
        <v>900142011</v>
      </c>
      <c r="C707">
        <f t="shared" si="38"/>
        <v>202012</v>
      </c>
      <c r="D707">
        <f>IF(OR(C707=1900,$D$506=0),0,VLOOKUP(A707,'Estados Financieros'!$A$11:$H$453,6,0))</f>
        <v>10</v>
      </c>
      <c r="E707" t="str">
        <f t="shared" si="39"/>
        <v>10,000</v>
      </c>
    </row>
    <row r="708" spans="1:5" x14ac:dyDescent="0.25">
      <c r="A708">
        <v>42</v>
      </c>
      <c r="B708" t="str">
        <f t="shared" si="37"/>
        <v>900142011</v>
      </c>
      <c r="C708">
        <f t="shared" si="38"/>
        <v>202012</v>
      </c>
      <c r="D708">
        <f>IF(OR(C708=1900,$D$506=0),0,VLOOKUP(A708,'Estados Financieros'!$A$11:$H$453,6,0))</f>
        <v>120</v>
      </c>
      <c r="E708" t="str">
        <f t="shared" si="39"/>
        <v>120,000</v>
      </c>
    </row>
    <row r="709" spans="1:5" x14ac:dyDescent="0.25">
      <c r="A709">
        <v>5301</v>
      </c>
      <c r="B709" t="str">
        <f t="shared" si="37"/>
        <v>900142011</v>
      </c>
      <c r="C709">
        <f t="shared" si="38"/>
        <v>202012</v>
      </c>
      <c r="D709">
        <f>IF(OR(C709=1900,$D$506=0),0,VLOOKUP(A709,'Estados Financieros'!$A$11:$H$453,6,0))</f>
        <v>10</v>
      </c>
      <c r="E709" t="str">
        <f t="shared" si="39"/>
        <v>10,000</v>
      </c>
    </row>
    <row r="710" spans="1:5" x14ac:dyDescent="0.25">
      <c r="A710">
        <v>530525</v>
      </c>
      <c r="B710" t="str">
        <f t="shared" si="37"/>
        <v>900142011</v>
      </c>
      <c r="C710">
        <f t="shared" si="38"/>
        <v>202012</v>
      </c>
      <c r="D710">
        <f>IF(OR(C710=1900,$D$506=0),0,VLOOKUP(A710,'Estados Financieros'!$A$11:$H$453,6,0))</f>
        <v>10</v>
      </c>
      <c r="E710" t="str">
        <f t="shared" si="39"/>
        <v>10,000</v>
      </c>
    </row>
    <row r="711" spans="1:5" x14ac:dyDescent="0.25">
      <c r="A711">
        <v>530505</v>
      </c>
      <c r="B711" t="str">
        <f t="shared" si="37"/>
        <v>900142011</v>
      </c>
      <c r="C711">
        <f t="shared" si="38"/>
        <v>202012</v>
      </c>
      <c r="D711">
        <f>IF(OR(C711=1900,$D$506=0),0,VLOOKUP(A711,'Estados Financieros'!$A$11:$H$453,6,0))</f>
        <v>10</v>
      </c>
      <c r="E711" t="str">
        <f t="shared" si="39"/>
        <v>10,000</v>
      </c>
    </row>
    <row r="712" spans="1:5" x14ac:dyDescent="0.25">
      <c r="A712">
        <v>530515</v>
      </c>
      <c r="B712" t="str">
        <f t="shared" si="37"/>
        <v>900142011</v>
      </c>
      <c r="C712">
        <f t="shared" si="38"/>
        <v>202012</v>
      </c>
      <c r="D712">
        <f>IF(OR(C712=1900,$D$506=0),0,VLOOKUP(A712,'Estados Financieros'!$A$11:$H$453,6,0))</f>
        <v>10</v>
      </c>
      <c r="E712" t="str">
        <f t="shared" si="39"/>
        <v>10,000</v>
      </c>
    </row>
    <row r="713" spans="1:5" x14ac:dyDescent="0.25">
      <c r="A713">
        <v>530535</v>
      </c>
      <c r="B713" t="str">
        <f t="shared" si="37"/>
        <v>900142011</v>
      </c>
      <c r="C713">
        <f t="shared" si="38"/>
        <v>202012</v>
      </c>
      <c r="D713">
        <f>IF(OR(C713=1900,$D$506=0),0,VLOOKUP(A713,'Estados Financieros'!$A$11:$H$453,6,0))</f>
        <v>10</v>
      </c>
      <c r="E713" t="str">
        <f t="shared" si="39"/>
        <v>10,000</v>
      </c>
    </row>
    <row r="714" spans="1:5" x14ac:dyDescent="0.25">
      <c r="A714">
        <v>531000</v>
      </c>
      <c r="B714" t="str">
        <f t="shared" si="37"/>
        <v>900142011</v>
      </c>
      <c r="C714">
        <f t="shared" si="38"/>
        <v>202012</v>
      </c>
      <c r="D714">
        <f>IF(OR(C714=1900,$D$506=0),0,VLOOKUP(A714,'Estados Financieros'!$A$11:$H$453,6,0))</f>
        <v>10</v>
      </c>
      <c r="E714" t="str">
        <f t="shared" si="39"/>
        <v>10,000</v>
      </c>
    </row>
    <row r="715" spans="1:5" x14ac:dyDescent="0.25">
      <c r="A715">
        <v>531300</v>
      </c>
      <c r="B715" t="str">
        <f t="shared" si="37"/>
        <v>900142011</v>
      </c>
      <c r="C715">
        <f t="shared" si="38"/>
        <v>202012</v>
      </c>
      <c r="D715">
        <f>IF(OR(C715=1900,$D$506=0),0,VLOOKUP(A715,'Estados Financieros'!$A$11:$H$453,6,0))</f>
        <v>10</v>
      </c>
      <c r="E715" t="str">
        <f t="shared" si="39"/>
        <v>10,000</v>
      </c>
    </row>
    <row r="716" spans="1:5" x14ac:dyDescent="0.25">
      <c r="A716">
        <v>531500</v>
      </c>
      <c r="B716" t="str">
        <f t="shared" si="37"/>
        <v>900142011</v>
      </c>
      <c r="C716">
        <f t="shared" si="38"/>
        <v>202012</v>
      </c>
      <c r="D716">
        <f>IF(OR(C716=1900,$D$506=0),0,VLOOKUP(A716,'Estados Financieros'!$A$11:$H$453,6,0))</f>
        <v>10</v>
      </c>
      <c r="E716" t="str">
        <f t="shared" si="39"/>
        <v>10,000</v>
      </c>
    </row>
    <row r="717" spans="1:5" x14ac:dyDescent="0.25">
      <c r="A717">
        <v>531515</v>
      </c>
      <c r="B717" t="str">
        <f t="shared" si="37"/>
        <v>900142011</v>
      </c>
      <c r="C717">
        <f t="shared" si="38"/>
        <v>202012</v>
      </c>
      <c r="D717">
        <f>IF(OR(C717=1900,$D$506=0),0,VLOOKUP(A717,'Estados Financieros'!$A$11:$H$453,6,0))</f>
        <v>10</v>
      </c>
      <c r="E717" t="str">
        <f t="shared" si="39"/>
        <v>10,000</v>
      </c>
    </row>
    <row r="718" spans="1:5" x14ac:dyDescent="0.25">
      <c r="A718">
        <v>531520</v>
      </c>
      <c r="B718" t="str">
        <f t="shared" si="37"/>
        <v>900142011</v>
      </c>
      <c r="C718">
        <f t="shared" si="38"/>
        <v>202012</v>
      </c>
      <c r="D718">
        <f>IF(OR(C718=1900,$D$506=0),0,VLOOKUP(A718,'Estados Financieros'!$A$11:$H$453,6,0))</f>
        <v>10</v>
      </c>
      <c r="E718" t="str">
        <f t="shared" si="39"/>
        <v>10,000</v>
      </c>
    </row>
    <row r="719" spans="1:5" x14ac:dyDescent="0.25">
      <c r="A719">
        <v>539525</v>
      </c>
      <c r="B719" t="str">
        <f t="shared" si="37"/>
        <v>900142011</v>
      </c>
      <c r="C719">
        <f t="shared" si="38"/>
        <v>202012</v>
      </c>
      <c r="D719">
        <f>IF(OR(C719=1900,$D$506=0),0,VLOOKUP(A719,'Estados Financieros'!$A$11:$H$453,6,0))</f>
        <v>10</v>
      </c>
      <c r="E719" t="str">
        <f t="shared" si="39"/>
        <v>10,000</v>
      </c>
    </row>
    <row r="720" spans="1:5" x14ac:dyDescent="0.25">
      <c r="A720">
        <v>539595</v>
      </c>
      <c r="B720" t="str">
        <f t="shared" si="37"/>
        <v>900142011</v>
      </c>
      <c r="C720">
        <f t="shared" si="38"/>
        <v>202012</v>
      </c>
      <c r="D720">
        <f>IF(OR(C720=1900,$D$506=0),0,VLOOKUP(A720,'Estados Financieros'!$A$11:$H$453,6,0))</f>
        <v>10</v>
      </c>
      <c r="E720" t="str">
        <f t="shared" si="39"/>
        <v>10,000</v>
      </c>
    </row>
    <row r="721" spans="1:5" x14ac:dyDescent="0.25">
      <c r="A721">
        <v>53</v>
      </c>
      <c r="B721" t="str">
        <f t="shared" si="37"/>
        <v>900142011</v>
      </c>
      <c r="C721">
        <f t="shared" si="38"/>
        <v>202012</v>
      </c>
      <c r="D721">
        <f>IF(OR(C721=1900,$D$506=0),0,VLOOKUP(A721,'Estados Financieros'!$A$11:$H$453,6,0))</f>
        <v>120</v>
      </c>
      <c r="E721" t="str">
        <f t="shared" si="39"/>
        <v>120,000</v>
      </c>
    </row>
    <row r="722" spans="1:5" x14ac:dyDescent="0.25">
      <c r="A722">
        <v>98</v>
      </c>
      <c r="B722" t="str">
        <f t="shared" si="37"/>
        <v>900142011</v>
      </c>
      <c r="C722">
        <f t="shared" si="38"/>
        <v>202012</v>
      </c>
      <c r="D722">
        <f>IF(OR(C722=1900,$D$506=0),0,VLOOKUP(A722,'Estados Financieros'!$A$11:$H$453,6,0))</f>
        <v>0</v>
      </c>
      <c r="E722" t="str">
        <f t="shared" si="39"/>
        <v>0,000</v>
      </c>
    </row>
    <row r="723" spans="1:5" x14ac:dyDescent="0.25">
      <c r="A723">
        <v>97</v>
      </c>
      <c r="B723" t="str">
        <f t="shared" si="37"/>
        <v>900142011</v>
      </c>
      <c r="C723">
        <f t="shared" si="38"/>
        <v>202012</v>
      </c>
      <c r="D723">
        <f>IF(OR(C723=1900,$D$506=0),0,VLOOKUP(A723,'Estados Financieros'!$A$11:$H$453,6,0))</f>
        <v>2810</v>
      </c>
      <c r="E723" t="str">
        <f t="shared" si="39"/>
        <v>2810,000</v>
      </c>
    </row>
    <row r="724" spans="1:5" x14ac:dyDescent="0.25">
      <c r="A724">
        <v>54</v>
      </c>
      <c r="B724" t="str">
        <f t="shared" si="37"/>
        <v>900142011</v>
      </c>
      <c r="C724">
        <f t="shared" si="38"/>
        <v>202012</v>
      </c>
      <c r="D724">
        <f>IF(OR(C724=1900,$D$506=0),0,VLOOKUP(A724,'Estados Financieros'!$A$11:$H$453,6,0))</f>
        <v>0</v>
      </c>
      <c r="E724" t="str">
        <f t="shared" si="39"/>
        <v>0,000</v>
      </c>
    </row>
    <row r="725" spans="1:5" x14ac:dyDescent="0.25">
      <c r="A725">
        <v>99</v>
      </c>
      <c r="B725" t="str">
        <f t="shared" si="37"/>
        <v>900142011</v>
      </c>
      <c r="C725">
        <f t="shared" si="38"/>
        <v>202012</v>
      </c>
      <c r="D725">
        <f>IF(OR(C725=1900,$D$506=0),0,VLOOKUP(A725,'Estados Financieros'!$A$11:$H$453,6,0))</f>
        <v>2810</v>
      </c>
      <c r="E725" t="str">
        <f t="shared" si="39"/>
        <v>2810,000</v>
      </c>
    </row>
    <row r="726" spans="1:5" x14ac:dyDescent="0.25">
      <c r="A726">
        <v>110105</v>
      </c>
      <c r="B726" t="str">
        <f>IF(C726=1900,"",'RC'!$D$6)</f>
        <v>900142011</v>
      </c>
      <c r="C726">
        <f>IF(OR('RC'!$D$6=0,'RC'!$D$6=0,'Estados Financieros'!$G$178=0,'Estados Financieros'!$G$375&lt;&gt;"OK",'Estados Financieros'!$G$458&lt;&gt;"OK",'Estados Financieros'!$G$460&lt;&gt;"OK"),1900,'Estados Financieros'!$M$4+0)</f>
        <v>202112</v>
      </c>
      <c r="D726">
        <f>IF(OR(C726=1900,$D$868=0),0,VLOOKUP(A726,'Estados Financieros'!$A$11:$H$453,7,0))</f>
        <v>30</v>
      </c>
      <c r="E726" t="str">
        <f t="shared" si="39"/>
        <v>30,000</v>
      </c>
    </row>
    <row r="727" spans="1:5" x14ac:dyDescent="0.25">
      <c r="A727">
        <v>110110</v>
      </c>
      <c r="B727" t="str">
        <f t="shared" ref="B727:B758" si="40">+B726</f>
        <v>900142011</v>
      </c>
      <c r="C727">
        <f t="shared" ref="C727:C758" si="41">+C726</f>
        <v>202112</v>
      </c>
      <c r="D727">
        <f>IF(OR(C727=1900,$D$868=0),0,VLOOKUP(A727,'Estados Financieros'!$A$11:$H$453,7,0))</f>
        <v>30</v>
      </c>
      <c r="E727" t="str">
        <f t="shared" si="39"/>
        <v>30,000</v>
      </c>
    </row>
    <row r="728" spans="1:5" x14ac:dyDescent="0.25">
      <c r="A728">
        <v>111010</v>
      </c>
      <c r="B728" t="str">
        <f t="shared" si="40"/>
        <v>900142011</v>
      </c>
      <c r="C728">
        <f t="shared" si="41"/>
        <v>202112</v>
      </c>
      <c r="D728">
        <f>IF(OR(C728=1900,$D$868=0),0,VLOOKUP(A728,'Estados Financieros'!$A$11:$H$453,7,0))</f>
        <v>30</v>
      </c>
      <c r="E728" t="str">
        <f t="shared" si="39"/>
        <v>30,000</v>
      </c>
    </row>
    <row r="729" spans="1:5" x14ac:dyDescent="0.25">
      <c r="A729">
        <v>110130</v>
      </c>
      <c r="B729" t="str">
        <f t="shared" si="40"/>
        <v>900142011</v>
      </c>
      <c r="C729">
        <f t="shared" si="41"/>
        <v>202112</v>
      </c>
      <c r="D729">
        <f>IF(OR(C729=1900,$D$868=0),0,VLOOKUP(A729,'Estados Financieros'!$A$11:$H$453,7,0))</f>
        <v>30</v>
      </c>
      <c r="E729" t="str">
        <f t="shared" si="39"/>
        <v>30,000</v>
      </c>
    </row>
    <row r="730" spans="1:5" x14ac:dyDescent="0.25">
      <c r="A730">
        <v>110125</v>
      </c>
      <c r="B730" t="str">
        <f t="shared" si="40"/>
        <v>900142011</v>
      </c>
      <c r="C730">
        <f t="shared" si="41"/>
        <v>202112</v>
      </c>
      <c r="D730">
        <f>IF(OR(C730=1900,$D$868=0),0,VLOOKUP(A730,'Estados Financieros'!$A$11:$H$453,7,0))</f>
        <v>30</v>
      </c>
      <c r="E730" t="str">
        <f t="shared" si="39"/>
        <v>30,000</v>
      </c>
    </row>
    <row r="731" spans="1:5" x14ac:dyDescent="0.25">
      <c r="A731">
        <v>1101</v>
      </c>
      <c r="B731" t="str">
        <f t="shared" si="40"/>
        <v>900142011</v>
      </c>
      <c r="C731">
        <f t="shared" si="41"/>
        <v>202112</v>
      </c>
      <c r="D731">
        <f>IF(OR(C731=1900,$D$868=0),0,VLOOKUP(A731,'Estados Financieros'!$A$11:$H$453,7,0))</f>
        <v>150</v>
      </c>
      <c r="E731" t="str">
        <f t="shared" si="39"/>
        <v>150,000</v>
      </c>
    </row>
    <row r="732" spans="1:5" x14ac:dyDescent="0.25">
      <c r="A732">
        <v>110205</v>
      </c>
      <c r="B732" t="str">
        <f t="shared" si="40"/>
        <v>900142011</v>
      </c>
      <c r="C732">
        <f t="shared" si="41"/>
        <v>202112</v>
      </c>
      <c r="D732">
        <f>IF(OR(C732=1900,$D$868=0),0,VLOOKUP(A732,'Estados Financieros'!$A$11:$H$453,7,0))</f>
        <v>30</v>
      </c>
      <c r="E732" t="str">
        <f t="shared" si="39"/>
        <v>30,000</v>
      </c>
    </row>
    <row r="733" spans="1:5" x14ac:dyDescent="0.25">
      <c r="A733">
        <v>110210</v>
      </c>
      <c r="B733" t="str">
        <f t="shared" si="40"/>
        <v>900142011</v>
      </c>
      <c r="C733">
        <f t="shared" si="41"/>
        <v>202112</v>
      </c>
      <c r="D733">
        <f>IF(OR(C733=1900,$D$868=0),0,VLOOKUP(A733,'Estados Financieros'!$A$11:$H$453,7,0))</f>
        <v>30</v>
      </c>
      <c r="E733" t="str">
        <f t="shared" si="39"/>
        <v>30,000</v>
      </c>
    </row>
    <row r="734" spans="1:5" x14ac:dyDescent="0.25">
      <c r="A734">
        <v>110215</v>
      </c>
      <c r="B734" t="str">
        <f t="shared" si="40"/>
        <v>900142011</v>
      </c>
      <c r="C734">
        <f t="shared" si="41"/>
        <v>202112</v>
      </c>
      <c r="D734">
        <f>IF(OR(C734=1900,$D$868=0),0,VLOOKUP(A734,'Estados Financieros'!$A$11:$H$453,7,0))</f>
        <v>30</v>
      </c>
      <c r="E734" t="str">
        <f t="shared" si="39"/>
        <v>30,000</v>
      </c>
    </row>
    <row r="735" spans="1:5" x14ac:dyDescent="0.25">
      <c r="A735">
        <v>110225</v>
      </c>
      <c r="B735" t="str">
        <f t="shared" si="40"/>
        <v>900142011</v>
      </c>
      <c r="C735">
        <f t="shared" si="41"/>
        <v>202112</v>
      </c>
      <c r="D735">
        <f>IF(OR(C735=1900,$D$868=0),0,VLOOKUP(A735,'Estados Financieros'!$A$11:$H$453,7,0))</f>
        <v>30</v>
      </c>
      <c r="E735" t="str">
        <f t="shared" si="39"/>
        <v>30,000</v>
      </c>
    </row>
    <row r="736" spans="1:5" x14ac:dyDescent="0.25">
      <c r="A736">
        <v>110235</v>
      </c>
      <c r="B736" t="str">
        <f t="shared" si="40"/>
        <v>900142011</v>
      </c>
      <c r="C736">
        <f t="shared" si="41"/>
        <v>202112</v>
      </c>
      <c r="D736">
        <f>IF(OR(C736=1900,$D$868=0),0,VLOOKUP(A736,'Estados Financieros'!$A$11:$H$453,7,0))</f>
        <v>30</v>
      </c>
      <c r="E736" t="str">
        <f t="shared" si="39"/>
        <v>30,000</v>
      </c>
    </row>
    <row r="737" spans="1:5" x14ac:dyDescent="0.25">
      <c r="A737">
        <v>110255</v>
      </c>
      <c r="B737" t="str">
        <f t="shared" si="40"/>
        <v>900142011</v>
      </c>
      <c r="C737">
        <f t="shared" si="41"/>
        <v>202112</v>
      </c>
      <c r="D737">
        <f>IF(OR(C737=1900,$D$868=0),0,VLOOKUP(A737,'Estados Financieros'!$A$11:$H$453,7,0))</f>
        <v>30</v>
      </c>
      <c r="E737" t="str">
        <f t="shared" si="39"/>
        <v>30,000</v>
      </c>
    </row>
    <row r="738" spans="1:5" x14ac:dyDescent="0.25">
      <c r="A738">
        <v>129700</v>
      </c>
      <c r="B738" t="str">
        <f t="shared" si="40"/>
        <v>900142011</v>
      </c>
      <c r="C738">
        <f t="shared" si="41"/>
        <v>202112</v>
      </c>
      <c r="D738">
        <f>IF(OR(C738=1900,$D$868=0),0,VLOOKUP(A738,'Estados Financieros'!$A$11:$H$453,7,0))</f>
        <v>30</v>
      </c>
      <c r="E738" t="str">
        <f t="shared" si="39"/>
        <v>30,000</v>
      </c>
    </row>
    <row r="739" spans="1:5" x14ac:dyDescent="0.25">
      <c r="A739">
        <v>110260</v>
      </c>
      <c r="B739" t="str">
        <f t="shared" si="40"/>
        <v>900142011</v>
      </c>
      <c r="C739">
        <f t="shared" si="41"/>
        <v>202112</v>
      </c>
      <c r="D739">
        <f>IF(OR(C739=1900,$D$868=0),0,VLOOKUP(A739,'Estados Financieros'!$A$11:$H$453,7,0))</f>
        <v>30</v>
      </c>
      <c r="E739" t="str">
        <f t="shared" si="39"/>
        <v>30,000</v>
      </c>
    </row>
    <row r="740" spans="1:5" x14ac:dyDescent="0.25">
      <c r="A740">
        <v>1102</v>
      </c>
      <c r="B740" t="str">
        <f t="shared" si="40"/>
        <v>900142011</v>
      </c>
      <c r="C740">
        <f t="shared" si="41"/>
        <v>202112</v>
      </c>
      <c r="D740">
        <f>IF(OR(C740=1900,$D$868=0),0,VLOOKUP(A740,'Estados Financieros'!$A$11:$H$453,7,0))</f>
        <v>240</v>
      </c>
      <c r="E740" t="str">
        <f t="shared" si="39"/>
        <v>240,000</v>
      </c>
    </row>
    <row r="741" spans="1:5" x14ac:dyDescent="0.25">
      <c r="A741">
        <v>110305</v>
      </c>
      <c r="B741" t="str">
        <f t="shared" si="40"/>
        <v>900142011</v>
      </c>
      <c r="C741">
        <f t="shared" si="41"/>
        <v>202112</v>
      </c>
      <c r="D741">
        <f>IF(OR(C741=1900,$D$868=0),0,VLOOKUP(A741,'Estados Financieros'!$A$11:$H$453,7,0))</f>
        <v>30</v>
      </c>
      <c r="E741" t="str">
        <f t="shared" si="39"/>
        <v>30,000</v>
      </c>
    </row>
    <row r="742" spans="1:5" x14ac:dyDescent="0.25">
      <c r="A742">
        <v>130510</v>
      </c>
      <c r="B742" t="str">
        <f t="shared" si="40"/>
        <v>900142011</v>
      </c>
      <c r="C742">
        <f t="shared" si="41"/>
        <v>202112</v>
      </c>
      <c r="D742">
        <f>IF(OR(C742=1900,$D$868=0),0,VLOOKUP(A742,'Estados Financieros'!$A$11:$H$453,7,0))</f>
        <v>30</v>
      </c>
      <c r="E742" t="str">
        <f t="shared" si="39"/>
        <v>30,000</v>
      </c>
    </row>
    <row r="743" spans="1:5" x14ac:dyDescent="0.25">
      <c r="A743">
        <v>131000</v>
      </c>
      <c r="B743" t="str">
        <f t="shared" si="40"/>
        <v>900142011</v>
      </c>
      <c r="C743">
        <f t="shared" si="41"/>
        <v>202112</v>
      </c>
      <c r="D743">
        <f>IF(OR(C743=1900,$D$868=0),0,VLOOKUP(A743,'Estados Financieros'!$A$11:$H$453,7,0))</f>
        <v>30</v>
      </c>
      <c r="E743" t="str">
        <f t="shared" si="39"/>
        <v>30,000</v>
      </c>
    </row>
    <row r="744" spans="1:5" x14ac:dyDescent="0.25">
      <c r="A744">
        <v>110390</v>
      </c>
      <c r="B744" t="str">
        <f t="shared" si="40"/>
        <v>900142011</v>
      </c>
      <c r="C744">
        <f t="shared" si="41"/>
        <v>202112</v>
      </c>
      <c r="D744">
        <f>IF(OR(C744=1900,$D$868=0),0,VLOOKUP(A744,'Estados Financieros'!$A$11:$H$453,7,0))</f>
        <v>30</v>
      </c>
      <c r="E744" t="str">
        <f t="shared" si="39"/>
        <v>30,000</v>
      </c>
    </row>
    <row r="745" spans="1:5" x14ac:dyDescent="0.25">
      <c r="A745">
        <v>110395</v>
      </c>
      <c r="B745" t="str">
        <f t="shared" si="40"/>
        <v>900142011</v>
      </c>
      <c r="C745">
        <f t="shared" si="41"/>
        <v>202112</v>
      </c>
      <c r="D745">
        <f>IF(OR(C745=1900,$D$868=0),0,VLOOKUP(A745,'Estados Financieros'!$A$11:$H$453,7,0))</f>
        <v>30</v>
      </c>
      <c r="E745" t="str">
        <f t="shared" si="39"/>
        <v>30,000</v>
      </c>
    </row>
    <row r="746" spans="1:5" x14ac:dyDescent="0.25">
      <c r="A746">
        <v>1103</v>
      </c>
      <c r="B746" t="str">
        <f t="shared" si="40"/>
        <v>900142011</v>
      </c>
      <c r="C746">
        <f t="shared" si="41"/>
        <v>202112</v>
      </c>
      <c r="D746">
        <f>IF(OR(C746=1900,$D$868=0),0,VLOOKUP(A746,'Estados Financieros'!$A$11:$H$453,7,0))</f>
        <v>90</v>
      </c>
      <c r="E746" t="str">
        <f t="shared" si="39"/>
        <v>90,000</v>
      </c>
    </row>
    <row r="747" spans="1:5" x14ac:dyDescent="0.25">
      <c r="A747">
        <v>132000</v>
      </c>
      <c r="B747" t="str">
        <f t="shared" si="40"/>
        <v>900142011</v>
      </c>
      <c r="C747">
        <f t="shared" si="41"/>
        <v>202112</v>
      </c>
      <c r="D747">
        <f>IF(OR(C747=1900,$D$868=0),0,VLOOKUP(A747,'Estados Financieros'!$A$11:$H$453,7,0))</f>
        <v>30</v>
      </c>
      <c r="E747" t="str">
        <f t="shared" si="39"/>
        <v>30,000</v>
      </c>
    </row>
    <row r="748" spans="1:5" x14ac:dyDescent="0.25">
      <c r="A748">
        <v>132500</v>
      </c>
      <c r="B748" t="str">
        <f t="shared" si="40"/>
        <v>900142011</v>
      </c>
      <c r="C748">
        <f t="shared" si="41"/>
        <v>202112</v>
      </c>
      <c r="D748">
        <f>IF(OR(C748=1900,$D$868=0),0,VLOOKUP(A748,'Estados Financieros'!$A$11:$H$453,7,0))</f>
        <v>30</v>
      </c>
      <c r="E748" t="str">
        <f t="shared" si="39"/>
        <v>30,000</v>
      </c>
    </row>
    <row r="749" spans="1:5" x14ac:dyDescent="0.25">
      <c r="A749">
        <v>133000</v>
      </c>
      <c r="B749" t="str">
        <f t="shared" si="40"/>
        <v>900142011</v>
      </c>
      <c r="C749">
        <f t="shared" si="41"/>
        <v>202112</v>
      </c>
      <c r="D749">
        <f>IF(OR(C749=1900,$D$868=0),0,VLOOKUP(A749,'Estados Financieros'!$A$11:$H$453,7,0))</f>
        <v>30</v>
      </c>
      <c r="E749" t="str">
        <f t="shared" si="39"/>
        <v>30,000</v>
      </c>
    </row>
    <row r="750" spans="1:5" x14ac:dyDescent="0.25">
      <c r="A750">
        <v>133500</v>
      </c>
      <c r="B750" t="str">
        <f t="shared" si="40"/>
        <v>900142011</v>
      </c>
      <c r="C750">
        <f t="shared" si="41"/>
        <v>202112</v>
      </c>
      <c r="D750">
        <f>IF(OR(C750=1900,$D$868=0),0,VLOOKUP(A750,'Estados Financieros'!$A$11:$H$453,7,0))</f>
        <v>30</v>
      </c>
      <c r="E750" t="str">
        <f t="shared" si="39"/>
        <v>30,000</v>
      </c>
    </row>
    <row r="751" spans="1:5" x14ac:dyDescent="0.25">
      <c r="A751">
        <v>134000</v>
      </c>
      <c r="B751" t="str">
        <f t="shared" si="40"/>
        <v>900142011</v>
      </c>
      <c r="C751">
        <f t="shared" si="41"/>
        <v>202112</v>
      </c>
      <c r="D751">
        <f>IF(OR(C751=1900,$D$868=0),0,VLOOKUP(A751,'Estados Financieros'!$A$11:$H$453,7,0))</f>
        <v>30</v>
      </c>
      <c r="E751" t="str">
        <f t="shared" si="39"/>
        <v>30,000</v>
      </c>
    </row>
    <row r="752" spans="1:5" x14ac:dyDescent="0.25">
      <c r="A752">
        <v>134500</v>
      </c>
      <c r="B752" t="str">
        <f t="shared" si="40"/>
        <v>900142011</v>
      </c>
      <c r="C752">
        <f t="shared" si="41"/>
        <v>202112</v>
      </c>
      <c r="D752">
        <f>IF(OR(C752=1900,$D$868=0),0,VLOOKUP(A752,'Estados Financieros'!$A$11:$H$453,7,0))</f>
        <v>30</v>
      </c>
      <c r="E752" t="str">
        <f t="shared" si="39"/>
        <v>30,000</v>
      </c>
    </row>
    <row r="753" spans="1:5" x14ac:dyDescent="0.25">
      <c r="A753">
        <v>135000</v>
      </c>
      <c r="B753" t="str">
        <f t="shared" si="40"/>
        <v>900142011</v>
      </c>
      <c r="C753">
        <f t="shared" si="41"/>
        <v>202112</v>
      </c>
      <c r="D753">
        <f>IF(OR(C753=1900,$D$868=0),0,VLOOKUP(A753,'Estados Financieros'!$A$11:$H$453,7,0))</f>
        <v>30</v>
      </c>
      <c r="E753" t="str">
        <f t="shared" si="39"/>
        <v>30,000</v>
      </c>
    </row>
    <row r="754" spans="1:5" x14ac:dyDescent="0.25">
      <c r="A754">
        <v>135500</v>
      </c>
      <c r="B754" t="str">
        <f t="shared" si="40"/>
        <v>900142011</v>
      </c>
      <c r="C754">
        <f t="shared" si="41"/>
        <v>202112</v>
      </c>
      <c r="D754">
        <f>IF(OR(C754=1900,$D$868=0),0,VLOOKUP(A754,'Estados Financieros'!$A$11:$H$453,7,0))</f>
        <v>30</v>
      </c>
      <c r="E754" t="str">
        <f t="shared" si="39"/>
        <v>30,000</v>
      </c>
    </row>
    <row r="755" spans="1:5" x14ac:dyDescent="0.25">
      <c r="A755">
        <v>136000</v>
      </c>
      <c r="B755" t="str">
        <f t="shared" si="40"/>
        <v>900142011</v>
      </c>
      <c r="C755">
        <f t="shared" si="41"/>
        <v>202112</v>
      </c>
      <c r="D755">
        <f>IF(OR(C755=1900,$D$868=0),0,VLOOKUP(A755,'Estados Financieros'!$A$11:$H$453,7,0))</f>
        <v>30</v>
      </c>
      <c r="E755" t="str">
        <f t="shared" si="39"/>
        <v>30,000</v>
      </c>
    </row>
    <row r="756" spans="1:5" x14ac:dyDescent="0.25">
      <c r="A756">
        <v>136500</v>
      </c>
      <c r="B756" t="str">
        <f t="shared" si="40"/>
        <v>900142011</v>
      </c>
      <c r="C756">
        <f t="shared" si="41"/>
        <v>202112</v>
      </c>
      <c r="D756">
        <f>IF(OR(C756=1900,$D$868=0),0,VLOOKUP(A756,'Estados Financieros'!$A$11:$H$453,7,0))</f>
        <v>30</v>
      </c>
      <c r="E756" t="str">
        <f t="shared" si="39"/>
        <v>30,000</v>
      </c>
    </row>
    <row r="757" spans="1:5" x14ac:dyDescent="0.25">
      <c r="A757">
        <v>137000</v>
      </c>
      <c r="B757" t="str">
        <f t="shared" si="40"/>
        <v>900142011</v>
      </c>
      <c r="C757">
        <f t="shared" si="41"/>
        <v>202112</v>
      </c>
      <c r="D757">
        <f>IF(OR(C757=1900,$D$868=0),0,VLOOKUP(A757,'Estados Financieros'!$A$11:$H$453,7,0))</f>
        <v>30</v>
      </c>
      <c r="E757" t="str">
        <f t="shared" si="39"/>
        <v>30,000</v>
      </c>
    </row>
    <row r="758" spans="1:5" x14ac:dyDescent="0.25">
      <c r="A758">
        <v>139000</v>
      </c>
      <c r="B758" t="str">
        <f t="shared" si="40"/>
        <v>900142011</v>
      </c>
      <c r="C758">
        <f t="shared" si="41"/>
        <v>202112</v>
      </c>
      <c r="D758">
        <f>IF(OR(C758=1900,$D$868=0),0,VLOOKUP(A758,'Estados Financieros'!$A$11:$H$453,7,0))</f>
        <v>30</v>
      </c>
      <c r="E758" t="str">
        <f t="shared" si="39"/>
        <v>30,000</v>
      </c>
    </row>
    <row r="759" spans="1:5" x14ac:dyDescent="0.25">
      <c r="A759">
        <v>139500</v>
      </c>
      <c r="B759" t="str">
        <f t="shared" ref="B759:B780" si="42">+B758</f>
        <v>900142011</v>
      </c>
      <c r="C759">
        <f t="shared" ref="C759:C780" si="43">+C758</f>
        <v>202112</v>
      </c>
      <c r="D759">
        <f>IF(OR(C759=1900,$D$868=0),0,VLOOKUP(A759,'Estados Financieros'!$A$11:$H$453,7,0))</f>
        <v>30</v>
      </c>
      <c r="E759" t="str">
        <f t="shared" si="39"/>
        <v>30,000</v>
      </c>
    </row>
    <row r="760" spans="1:5" x14ac:dyDescent="0.25">
      <c r="A760">
        <v>139905</v>
      </c>
      <c r="B760" t="str">
        <f t="shared" si="42"/>
        <v>900142011</v>
      </c>
      <c r="C760">
        <f t="shared" si="43"/>
        <v>202112</v>
      </c>
      <c r="D760">
        <f>IF(OR(C760=1900,$D$868=0),0,VLOOKUP(A760,'Estados Financieros'!$A$11:$H$453,7,0))</f>
        <v>30</v>
      </c>
      <c r="E760" t="str">
        <f t="shared" si="39"/>
        <v>30,000</v>
      </c>
    </row>
    <row r="761" spans="1:5" x14ac:dyDescent="0.25">
      <c r="A761">
        <v>1106</v>
      </c>
      <c r="B761" t="str">
        <f t="shared" si="42"/>
        <v>900142011</v>
      </c>
      <c r="C761">
        <f t="shared" si="43"/>
        <v>202112</v>
      </c>
      <c r="D761">
        <f>IF(OR(C761=1900,$D$868=0),0,VLOOKUP(A761,'Estados Financieros'!$A$11:$H$453,7,0))</f>
        <v>420</v>
      </c>
      <c r="E761" t="str">
        <f t="shared" si="39"/>
        <v>420,000</v>
      </c>
    </row>
    <row r="762" spans="1:5" x14ac:dyDescent="0.25">
      <c r="A762">
        <v>110405</v>
      </c>
      <c r="B762" t="str">
        <f t="shared" si="42"/>
        <v>900142011</v>
      </c>
      <c r="C762">
        <f t="shared" si="43"/>
        <v>202112</v>
      </c>
      <c r="D762">
        <f>IF(OR(C762=1900,$D$868=0),0,VLOOKUP(A762,'Estados Financieros'!$A$11:$H$453,7,0))</f>
        <v>30</v>
      </c>
      <c r="E762" t="str">
        <f t="shared" si="39"/>
        <v>30,000</v>
      </c>
    </row>
    <row r="763" spans="1:5" x14ac:dyDescent="0.25">
      <c r="A763">
        <v>110410</v>
      </c>
      <c r="B763" t="str">
        <f t="shared" si="42"/>
        <v>900142011</v>
      </c>
      <c r="C763">
        <f t="shared" si="43"/>
        <v>202112</v>
      </c>
      <c r="D763">
        <f>IF(OR(C763=1900,$D$868=0),0,VLOOKUP(A763,'Estados Financieros'!$A$11:$H$453,7,0))</f>
        <v>30</v>
      </c>
      <c r="E763" t="str">
        <f t="shared" si="39"/>
        <v>30,000</v>
      </c>
    </row>
    <row r="764" spans="1:5" x14ac:dyDescent="0.25">
      <c r="A764">
        <v>142500</v>
      </c>
      <c r="B764" t="str">
        <f t="shared" si="42"/>
        <v>900142011</v>
      </c>
      <c r="C764">
        <f t="shared" si="43"/>
        <v>202112</v>
      </c>
      <c r="D764">
        <f>IF(OR(C764=1900,$D$868=0),0,VLOOKUP(A764,'Estados Financieros'!$A$11:$H$453,7,0))</f>
        <v>30</v>
      </c>
      <c r="E764" t="str">
        <f t="shared" si="39"/>
        <v>30,000</v>
      </c>
    </row>
    <row r="765" spans="1:5" x14ac:dyDescent="0.25">
      <c r="A765">
        <v>110415</v>
      </c>
      <c r="B765" t="str">
        <f t="shared" si="42"/>
        <v>900142011</v>
      </c>
      <c r="C765">
        <f t="shared" si="43"/>
        <v>202112</v>
      </c>
      <c r="D765">
        <f>IF(OR(C765=1900,$D$868=0),0,VLOOKUP(A765,'Estados Financieros'!$A$11:$H$453,7,0))</f>
        <v>30</v>
      </c>
      <c r="E765" t="str">
        <f t="shared" si="39"/>
        <v>30,000</v>
      </c>
    </row>
    <row r="766" spans="1:5" x14ac:dyDescent="0.25">
      <c r="A766">
        <v>143500</v>
      </c>
      <c r="B766" t="str">
        <f t="shared" si="42"/>
        <v>900142011</v>
      </c>
      <c r="C766">
        <f t="shared" si="43"/>
        <v>202112</v>
      </c>
      <c r="D766">
        <f>IF(OR(C766=1900,$D$868=0),0,VLOOKUP(A766,'Estados Financieros'!$A$11:$H$453,7,0))</f>
        <v>30</v>
      </c>
      <c r="E766" t="str">
        <f t="shared" si="39"/>
        <v>30,000</v>
      </c>
    </row>
    <row r="767" spans="1:5" x14ac:dyDescent="0.25">
      <c r="A767">
        <v>110420</v>
      </c>
      <c r="B767" t="str">
        <f t="shared" si="42"/>
        <v>900142011</v>
      </c>
      <c r="C767">
        <f t="shared" si="43"/>
        <v>202112</v>
      </c>
      <c r="D767">
        <f>IF(OR(C767=1900,$D$868=0),0,VLOOKUP(A767,'Estados Financieros'!$A$11:$H$453,7,0))</f>
        <v>30</v>
      </c>
      <c r="E767" t="str">
        <f t="shared" si="39"/>
        <v>30,000</v>
      </c>
    </row>
    <row r="768" spans="1:5" x14ac:dyDescent="0.25">
      <c r="A768">
        <v>110495</v>
      </c>
      <c r="B768" t="str">
        <f t="shared" si="42"/>
        <v>900142011</v>
      </c>
      <c r="C768">
        <f t="shared" si="43"/>
        <v>202112</v>
      </c>
      <c r="D768">
        <f>IF(OR(C768=1900,$D$868=0),0,VLOOKUP(A768,'Estados Financieros'!$A$11:$H$453,7,0))</f>
        <v>30</v>
      </c>
      <c r="E768" t="str">
        <f t="shared" si="39"/>
        <v>30,000</v>
      </c>
    </row>
    <row r="769" spans="1:5" x14ac:dyDescent="0.25">
      <c r="A769">
        <v>110490</v>
      </c>
      <c r="B769" t="str">
        <f t="shared" si="42"/>
        <v>900142011</v>
      </c>
      <c r="C769">
        <f t="shared" si="43"/>
        <v>202112</v>
      </c>
      <c r="D769">
        <f>IF(OR(C769=1900,$D$868=0),0,VLOOKUP(A769,'Estados Financieros'!$A$11:$H$453,7,0))</f>
        <v>30</v>
      </c>
      <c r="E769" t="str">
        <f t="shared" si="39"/>
        <v>30,000</v>
      </c>
    </row>
    <row r="770" spans="1:5" x14ac:dyDescent="0.25">
      <c r="A770">
        <v>110491</v>
      </c>
      <c r="B770" t="str">
        <f t="shared" si="42"/>
        <v>900142011</v>
      </c>
      <c r="C770">
        <f t="shared" si="43"/>
        <v>202112</v>
      </c>
      <c r="D770">
        <f>IF(OR(C770=1900,$D$868=0),0,VLOOKUP(A770,'Estados Financieros'!$A$11:$H$453,7,0))</f>
        <v>30</v>
      </c>
      <c r="E770" t="str">
        <f t="shared" ref="E770:E833" si="44">IFERROR(FIXED(D770,3,1),0)</f>
        <v>30,000</v>
      </c>
    </row>
    <row r="771" spans="1:5" x14ac:dyDescent="0.25">
      <c r="A771">
        <v>149900</v>
      </c>
      <c r="B771" t="str">
        <f t="shared" si="42"/>
        <v>900142011</v>
      </c>
      <c r="C771">
        <f t="shared" si="43"/>
        <v>202112</v>
      </c>
      <c r="D771">
        <f>IF(OR(C771=1900,$D$868=0),0,VLOOKUP(A771,'Estados Financieros'!$A$11:$H$453,7,0))</f>
        <v>30</v>
      </c>
      <c r="E771" t="str">
        <f t="shared" si="44"/>
        <v>30,000</v>
      </c>
    </row>
    <row r="772" spans="1:5" x14ac:dyDescent="0.25">
      <c r="A772">
        <v>140005</v>
      </c>
      <c r="B772" t="str">
        <f t="shared" si="42"/>
        <v>900142011</v>
      </c>
      <c r="C772">
        <f t="shared" si="43"/>
        <v>202112</v>
      </c>
      <c r="D772">
        <f>IF(OR(C772=1900,$D$868=0),0,VLOOKUP(A772,'Estados Financieros'!$A$11:$H$453,7,0))</f>
        <v>390</v>
      </c>
      <c r="E772" t="str">
        <f t="shared" si="44"/>
        <v>390,000</v>
      </c>
    </row>
    <row r="773" spans="1:5" x14ac:dyDescent="0.25">
      <c r="A773">
        <v>145500</v>
      </c>
      <c r="B773" t="str">
        <f t="shared" si="42"/>
        <v>900142011</v>
      </c>
      <c r="C773">
        <f t="shared" si="43"/>
        <v>202112</v>
      </c>
      <c r="D773">
        <f>IF(OR(C773=1900,$D$868=0),0,VLOOKUP(A773,'Estados Financieros'!$A$11:$H$453,7,0))</f>
        <v>30</v>
      </c>
      <c r="E773" t="str">
        <f t="shared" si="44"/>
        <v>30,000</v>
      </c>
    </row>
    <row r="774" spans="1:5" x14ac:dyDescent="0.25">
      <c r="A774">
        <v>146000</v>
      </c>
      <c r="B774" t="str">
        <f t="shared" si="42"/>
        <v>900142011</v>
      </c>
      <c r="C774">
        <f t="shared" si="43"/>
        <v>202112</v>
      </c>
      <c r="D774">
        <f>IF(OR(C774=1900,$D$868=0),0,VLOOKUP(A774,'Estados Financieros'!$A$11:$H$453,7,0))</f>
        <v>30</v>
      </c>
      <c r="E774" t="str">
        <f t="shared" si="44"/>
        <v>30,000</v>
      </c>
    </row>
    <row r="775" spans="1:5" x14ac:dyDescent="0.25">
      <c r="A775">
        <v>149510</v>
      </c>
      <c r="B775" t="str">
        <f t="shared" si="42"/>
        <v>900142011</v>
      </c>
      <c r="C775">
        <f t="shared" si="43"/>
        <v>202112</v>
      </c>
      <c r="D775">
        <f>IF(OR(C775=1900,$D$868=0),0,VLOOKUP(A775,'Estados Financieros'!$A$11:$H$453,7,0))</f>
        <v>30</v>
      </c>
      <c r="E775" t="str">
        <f t="shared" si="44"/>
        <v>30,000</v>
      </c>
    </row>
    <row r="776" spans="1:5" x14ac:dyDescent="0.25">
      <c r="A776">
        <v>149901</v>
      </c>
      <c r="B776" t="str">
        <f t="shared" si="42"/>
        <v>900142011</v>
      </c>
      <c r="C776">
        <f t="shared" si="43"/>
        <v>202112</v>
      </c>
      <c r="D776">
        <f>IF(OR(C776=1900,$D$868=0),0,VLOOKUP(A776,'Estados Financieros'!$A$11:$H$453,7,0))</f>
        <v>30</v>
      </c>
      <c r="E776" t="str">
        <f t="shared" si="44"/>
        <v>30,000</v>
      </c>
    </row>
    <row r="777" spans="1:5" x14ac:dyDescent="0.25">
      <c r="A777">
        <v>149902</v>
      </c>
      <c r="B777" t="str">
        <f t="shared" si="42"/>
        <v>900142011</v>
      </c>
      <c r="C777">
        <f t="shared" si="43"/>
        <v>202112</v>
      </c>
      <c r="D777">
        <f>IF(OR(C777=1900,$D$868=0),0,VLOOKUP(A777,'Estados Financieros'!$A$11:$H$453,7,0))</f>
        <v>30</v>
      </c>
      <c r="E777" t="str">
        <f t="shared" si="44"/>
        <v>30,000</v>
      </c>
    </row>
    <row r="778" spans="1:5" x14ac:dyDescent="0.25">
      <c r="A778">
        <v>149910</v>
      </c>
      <c r="B778" t="str">
        <f t="shared" si="42"/>
        <v>900142011</v>
      </c>
      <c r="C778">
        <f t="shared" si="43"/>
        <v>202112</v>
      </c>
      <c r="D778">
        <f>IF(OR(C778=1900,$D$868=0),0,VLOOKUP(A778,'Estados Financieros'!$A$11:$H$453,7,0))</f>
        <v>30</v>
      </c>
      <c r="E778" t="str">
        <f t="shared" si="44"/>
        <v>30,000</v>
      </c>
    </row>
    <row r="779" spans="1:5" x14ac:dyDescent="0.25">
      <c r="A779">
        <v>140010</v>
      </c>
      <c r="B779" t="str">
        <f t="shared" si="42"/>
        <v>900142011</v>
      </c>
      <c r="C779">
        <f t="shared" si="43"/>
        <v>202112</v>
      </c>
      <c r="D779">
        <f>IF(OR(C779=1900,$D$868=0),0,VLOOKUP(A779,'Estados Financieros'!$A$11:$H$453,7,0))</f>
        <v>300</v>
      </c>
      <c r="E779" t="str">
        <f t="shared" si="44"/>
        <v>300,000</v>
      </c>
    </row>
    <row r="780" spans="1:5" x14ac:dyDescent="0.25">
      <c r="A780">
        <v>1104</v>
      </c>
      <c r="B780" t="str">
        <f t="shared" si="42"/>
        <v>900142011</v>
      </c>
      <c r="C780">
        <f t="shared" si="43"/>
        <v>202112</v>
      </c>
      <c r="D780">
        <f>+D779+D772</f>
        <v>690</v>
      </c>
      <c r="E780" t="str">
        <f t="shared" si="44"/>
        <v>690,000</v>
      </c>
    </row>
    <row r="781" spans="1:5" x14ac:dyDescent="0.25">
      <c r="A781">
        <v>170500</v>
      </c>
      <c r="B781" t="str">
        <f>+B779</f>
        <v>900142011</v>
      </c>
      <c r="C781">
        <f>+C779</f>
        <v>202112</v>
      </c>
      <c r="D781">
        <f>IF(OR(C781=1900,$D$868=0),0,VLOOKUP(A781,'Estados Financieros'!$A$11:$H$453,7,0))</f>
        <v>30</v>
      </c>
      <c r="E781" t="str">
        <f t="shared" si="44"/>
        <v>30,000</v>
      </c>
    </row>
    <row r="782" spans="1:5" x14ac:dyDescent="0.25">
      <c r="A782">
        <v>171000</v>
      </c>
      <c r="B782" t="str">
        <f t="shared" ref="B782:B845" si="45">+B781</f>
        <v>900142011</v>
      </c>
      <c r="C782">
        <f t="shared" ref="C782:C845" si="46">+C781</f>
        <v>202112</v>
      </c>
      <c r="D782">
        <f>IF(OR(C782=1900,$D$868=0),0,VLOOKUP(A782,'Estados Financieros'!$A$11:$H$453,7,0))</f>
        <v>30</v>
      </c>
      <c r="E782" t="str">
        <f t="shared" si="44"/>
        <v>30,000</v>
      </c>
    </row>
    <row r="783" spans="1:5" x14ac:dyDescent="0.25">
      <c r="A783">
        <v>173000</v>
      </c>
      <c r="B783" t="str">
        <f t="shared" si="45"/>
        <v>900142011</v>
      </c>
      <c r="C783">
        <f t="shared" si="46"/>
        <v>202112</v>
      </c>
      <c r="D783">
        <f>IF(OR(C783=1900,$D$868=0),0,VLOOKUP(A783,'Estados Financieros'!$A$11:$H$453,7,0))</f>
        <v>30</v>
      </c>
      <c r="E783" t="str">
        <f t="shared" si="44"/>
        <v>30,000</v>
      </c>
    </row>
    <row r="784" spans="1:5" x14ac:dyDescent="0.25">
      <c r="A784">
        <v>179500</v>
      </c>
      <c r="B784" t="str">
        <f t="shared" si="45"/>
        <v>900142011</v>
      </c>
      <c r="C784">
        <f t="shared" si="46"/>
        <v>202112</v>
      </c>
      <c r="D784">
        <f>IF(OR(C784=1900,$D$868=0),0,VLOOKUP(A784,'Estados Financieros'!$A$11:$H$453,7,0))</f>
        <v>30</v>
      </c>
      <c r="E784" t="str">
        <f t="shared" si="44"/>
        <v>30,000</v>
      </c>
    </row>
    <row r="785" spans="1:5" x14ac:dyDescent="0.25">
      <c r="A785">
        <v>179700</v>
      </c>
      <c r="B785" t="str">
        <f t="shared" si="45"/>
        <v>900142011</v>
      </c>
      <c r="C785">
        <f t="shared" si="46"/>
        <v>202112</v>
      </c>
      <c r="D785">
        <f>IF(OR(C785=1900,$D$868=0),0,VLOOKUP(A785,'Estados Financieros'!$A$11:$H$453,7,0))</f>
        <v>30</v>
      </c>
      <c r="E785" t="str">
        <f t="shared" si="44"/>
        <v>30,000</v>
      </c>
    </row>
    <row r="786" spans="1:5" x14ac:dyDescent="0.25">
      <c r="A786">
        <v>1107</v>
      </c>
      <c r="B786" t="str">
        <f t="shared" si="45"/>
        <v>900142011</v>
      </c>
      <c r="C786">
        <f t="shared" si="46"/>
        <v>202112</v>
      </c>
      <c r="D786">
        <f>IF(OR(C786=1900,$D$868=0),0,VLOOKUP(A786,'Estados Financieros'!$A$11:$H$453,7,0))</f>
        <v>180</v>
      </c>
      <c r="E786" t="str">
        <f t="shared" si="44"/>
        <v>180,000</v>
      </c>
    </row>
    <row r="787" spans="1:5" x14ac:dyDescent="0.25">
      <c r="A787">
        <v>189500</v>
      </c>
      <c r="B787" t="str">
        <f t="shared" si="45"/>
        <v>900142011</v>
      </c>
      <c r="C787">
        <f t="shared" si="46"/>
        <v>202112</v>
      </c>
      <c r="D787">
        <f>IF(OR(C787=1900,$D$868=0),0,VLOOKUP(A787,'Estados Financieros'!$A$11:$H$453,7,0))</f>
        <v>30</v>
      </c>
      <c r="E787" t="str">
        <f t="shared" si="44"/>
        <v>30,000</v>
      </c>
    </row>
    <row r="788" spans="1:5" x14ac:dyDescent="0.25">
      <c r="A788">
        <v>181000</v>
      </c>
      <c r="B788" t="str">
        <f t="shared" si="45"/>
        <v>900142011</v>
      </c>
      <c r="C788">
        <f t="shared" si="46"/>
        <v>202112</v>
      </c>
      <c r="D788">
        <f>IF(OR(C788=1900,$D$868=0),0,VLOOKUP(A788,'Estados Financieros'!$A$11:$H$453,7,0))</f>
        <v>30</v>
      </c>
      <c r="E788" t="str">
        <f t="shared" si="44"/>
        <v>30,000</v>
      </c>
    </row>
    <row r="789" spans="1:5" x14ac:dyDescent="0.25">
      <c r="A789">
        <v>180000</v>
      </c>
      <c r="B789" t="str">
        <f t="shared" si="45"/>
        <v>900142011</v>
      </c>
      <c r="C789">
        <f t="shared" si="46"/>
        <v>202112</v>
      </c>
      <c r="D789">
        <f>IF(OR(C789=1900,$D$868=0),0,VLOOKUP(A789,'Estados Financieros'!$A$11:$H$453,7,0))</f>
        <v>90</v>
      </c>
      <c r="E789" t="str">
        <f t="shared" si="44"/>
        <v>90,000</v>
      </c>
    </row>
    <row r="790" spans="1:5" x14ac:dyDescent="0.25">
      <c r="A790">
        <v>11</v>
      </c>
      <c r="B790" t="str">
        <f t="shared" si="45"/>
        <v>900142011</v>
      </c>
      <c r="C790">
        <f t="shared" si="46"/>
        <v>202112</v>
      </c>
      <c r="D790">
        <f>IF(OR(C790=1900,$D$868=0),0,VLOOKUP(A790,'Estados Financieros'!$A$11:$H$453,7,0))</f>
        <v>1860</v>
      </c>
      <c r="E790" t="str">
        <f t="shared" si="44"/>
        <v>1860,000</v>
      </c>
    </row>
    <row r="791" spans="1:5" x14ac:dyDescent="0.25">
      <c r="A791">
        <v>120104</v>
      </c>
      <c r="B791" t="str">
        <f t="shared" si="45"/>
        <v>900142011</v>
      </c>
      <c r="C791">
        <f t="shared" si="46"/>
        <v>202112</v>
      </c>
      <c r="D791">
        <f>IF(OR(C791=1900,$D$868=0),0,VLOOKUP(A791,'Estados Financieros'!$A$11:$H$453,7,0))</f>
        <v>30</v>
      </c>
      <c r="E791" t="str">
        <f t="shared" si="44"/>
        <v>30,000</v>
      </c>
    </row>
    <row r="792" spans="1:5" x14ac:dyDescent="0.25">
      <c r="A792">
        <v>120108</v>
      </c>
      <c r="B792" t="str">
        <f t="shared" si="45"/>
        <v>900142011</v>
      </c>
      <c r="C792">
        <f t="shared" si="46"/>
        <v>202112</v>
      </c>
      <c r="D792">
        <f>IF(OR(C792=1900,$D$868=0),0,VLOOKUP(A792,'Estados Financieros'!$A$11:$H$453,7,0))</f>
        <v>30</v>
      </c>
      <c r="E792" t="str">
        <f t="shared" si="44"/>
        <v>30,000</v>
      </c>
    </row>
    <row r="793" spans="1:5" x14ac:dyDescent="0.25">
      <c r="A793">
        <v>151201</v>
      </c>
      <c r="B793" t="str">
        <f t="shared" si="45"/>
        <v>900142011</v>
      </c>
      <c r="C793">
        <f t="shared" si="46"/>
        <v>202112</v>
      </c>
      <c r="D793">
        <f>IF(OR(C793=1900,$D$868=0),0,VLOOKUP(A793,'Estados Financieros'!$A$11:$H$453,7,0))</f>
        <v>30</v>
      </c>
      <c r="E793" t="str">
        <f t="shared" si="44"/>
        <v>30,000</v>
      </c>
    </row>
    <row r="794" spans="1:5" x14ac:dyDescent="0.25">
      <c r="A794">
        <v>120116</v>
      </c>
      <c r="B794" t="str">
        <f t="shared" si="45"/>
        <v>900142011</v>
      </c>
      <c r="C794">
        <f t="shared" si="46"/>
        <v>202112</v>
      </c>
      <c r="D794">
        <f>IF(OR(C794=1900,$D$868=0),0,VLOOKUP(A794,'Estados Financieros'!$A$11:$H$453,7,0))</f>
        <v>30</v>
      </c>
      <c r="E794" t="str">
        <f t="shared" si="44"/>
        <v>30,000</v>
      </c>
    </row>
    <row r="795" spans="1:5" x14ac:dyDescent="0.25">
      <c r="A795">
        <v>120120</v>
      </c>
      <c r="B795" t="str">
        <f t="shared" si="45"/>
        <v>900142011</v>
      </c>
      <c r="C795">
        <f t="shared" si="46"/>
        <v>202112</v>
      </c>
      <c r="D795">
        <f>IF(OR(C795=1900,$D$868=0),0,VLOOKUP(A795,'Estados Financieros'!$A$11:$H$453,7,0))</f>
        <v>30</v>
      </c>
      <c r="E795" t="str">
        <f t="shared" si="44"/>
        <v>30,000</v>
      </c>
    </row>
    <row r="796" spans="1:5" x14ac:dyDescent="0.25">
      <c r="A796">
        <v>120124</v>
      </c>
      <c r="B796" t="str">
        <f t="shared" si="45"/>
        <v>900142011</v>
      </c>
      <c r="C796">
        <f t="shared" si="46"/>
        <v>202112</v>
      </c>
      <c r="D796">
        <f>IF(OR(C796=1900,$D$868=0),0,VLOOKUP(A796,'Estados Financieros'!$A$11:$H$453,7,0))</f>
        <v>30</v>
      </c>
      <c r="E796" t="str">
        <f t="shared" si="44"/>
        <v>30,000</v>
      </c>
    </row>
    <row r="797" spans="1:5" x14ac:dyDescent="0.25">
      <c r="A797">
        <v>120128</v>
      </c>
      <c r="B797" t="str">
        <f t="shared" si="45"/>
        <v>900142011</v>
      </c>
      <c r="C797">
        <f t="shared" si="46"/>
        <v>202112</v>
      </c>
      <c r="D797">
        <f>IF(OR(C797=1900,$D$868=0),0,VLOOKUP(A797,'Estados Financieros'!$A$11:$H$453,7,0))</f>
        <v>30</v>
      </c>
      <c r="E797" t="str">
        <f t="shared" si="44"/>
        <v>30,000</v>
      </c>
    </row>
    <row r="798" spans="1:5" x14ac:dyDescent="0.25">
      <c r="A798">
        <v>120140</v>
      </c>
      <c r="B798" t="str">
        <f t="shared" si="45"/>
        <v>900142011</v>
      </c>
      <c r="C798">
        <f t="shared" si="46"/>
        <v>202112</v>
      </c>
      <c r="D798">
        <f>IF(OR(C798=1900,$D$868=0),0,VLOOKUP(A798,'Estados Financieros'!$A$11:$H$453,7,0))</f>
        <v>30</v>
      </c>
      <c r="E798" t="str">
        <f t="shared" si="44"/>
        <v>30,000</v>
      </c>
    </row>
    <row r="799" spans="1:5" x14ac:dyDescent="0.25">
      <c r="A799">
        <v>155601</v>
      </c>
      <c r="B799" t="str">
        <f t="shared" si="45"/>
        <v>900142011</v>
      </c>
      <c r="C799">
        <f t="shared" si="46"/>
        <v>202112</v>
      </c>
      <c r="D799">
        <f>IF(OR(C799=1900,$D$868=0),0,VLOOKUP(A799,'Estados Financieros'!$A$11:$H$453,7,0))</f>
        <v>30</v>
      </c>
      <c r="E799" t="str">
        <f t="shared" si="44"/>
        <v>30,000</v>
      </c>
    </row>
    <row r="800" spans="1:5" x14ac:dyDescent="0.25">
      <c r="A800">
        <v>156001</v>
      </c>
      <c r="B800" t="str">
        <f t="shared" si="45"/>
        <v>900142011</v>
      </c>
      <c r="C800">
        <f t="shared" si="46"/>
        <v>202112</v>
      </c>
      <c r="D800">
        <f>IF(OR(C800=1900,$D$868=0),0,VLOOKUP(A800,'Estados Financieros'!$A$11:$H$453,7,0))</f>
        <v>30</v>
      </c>
      <c r="E800" t="str">
        <f t="shared" si="44"/>
        <v>30,000</v>
      </c>
    </row>
    <row r="801" spans="1:5" x14ac:dyDescent="0.25">
      <c r="A801">
        <v>156401</v>
      </c>
      <c r="B801" t="str">
        <f t="shared" si="45"/>
        <v>900142011</v>
      </c>
      <c r="C801">
        <f t="shared" si="46"/>
        <v>202112</v>
      </c>
      <c r="D801">
        <f>IF(OR(C801=1900,$D$868=0),0,VLOOKUP(A801,'Estados Financieros'!$A$11:$H$453,7,0))</f>
        <v>30</v>
      </c>
      <c r="E801" t="str">
        <f t="shared" si="44"/>
        <v>30,000</v>
      </c>
    </row>
    <row r="802" spans="1:5" x14ac:dyDescent="0.25">
      <c r="A802">
        <v>157201</v>
      </c>
      <c r="B802" t="str">
        <f t="shared" si="45"/>
        <v>900142011</v>
      </c>
      <c r="C802">
        <f t="shared" si="46"/>
        <v>202112</v>
      </c>
      <c r="D802">
        <f>IF(OR(C802=1900,$D$868=0),0,VLOOKUP(A802,'Estados Financieros'!$A$11:$H$453,7,0))</f>
        <v>30</v>
      </c>
      <c r="E802" t="str">
        <f t="shared" si="44"/>
        <v>30,000</v>
      </c>
    </row>
    <row r="803" spans="1:5" x14ac:dyDescent="0.25">
      <c r="A803">
        <v>157601</v>
      </c>
      <c r="B803" t="str">
        <f t="shared" si="45"/>
        <v>900142011</v>
      </c>
      <c r="C803">
        <f t="shared" si="46"/>
        <v>202112</v>
      </c>
      <c r="D803">
        <f>IF(OR(C803=1900,$D$868=0),0,VLOOKUP(A803,'Estados Financieros'!$A$11:$H$453,7,0))</f>
        <v>30</v>
      </c>
      <c r="E803" t="str">
        <f t="shared" si="44"/>
        <v>30,000</v>
      </c>
    </row>
    <row r="804" spans="1:5" x14ac:dyDescent="0.25">
      <c r="A804">
        <v>158401</v>
      </c>
      <c r="B804" t="str">
        <f t="shared" si="45"/>
        <v>900142011</v>
      </c>
      <c r="C804">
        <f t="shared" si="46"/>
        <v>202112</v>
      </c>
      <c r="D804">
        <f>IF(OR(C804=1900,$D$868=0),0,VLOOKUP(A804,'Estados Financieros'!$A$11:$H$453,7,0))</f>
        <v>30</v>
      </c>
      <c r="E804" t="str">
        <f t="shared" si="44"/>
        <v>30,000</v>
      </c>
    </row>
    <row r="805" spans="1:5" x14ac:dyDescent="0.25">
      <c r="A805">
        <v>158801</v>
      </c>
      <c r="B805" t="str">
        <f t="shared" si="45"/>
        <v>900142011</v>
      </c>
      <c r="C805">
        <f t="shared" si="46"/>
        <v>202112</v>
      </c>
      <c r="D805">
        <f>IF(OR(C805=1900,$D$868=0),0,VLOOKUP(A805,'Estados Financieros'!$A$11:$H$453,7,0))</f>
        <v>30</v>
      </c>
      <c r="E805" t="str">
        <f t="shared" si="44"/>
        <v>30,000</v>
      </c>
    </row>
    <row r="806" spans="1:5" x14ac:dyDescent="0.25">
      <c r="A806">
        <v>120145</v>
      </c>
      <c r="B806" t="str">
        <f t="shared" si="45"/>
        <v>900142011</v>
      </c>
      <c r="C806">
        <f t="shared" si="46"/>
        <v>202112</v>
      </c>
      <c r="D806">
        <f>IF(OR(C806=1900,$D$868=0),0,VLOOKUP(A806,'Estados Financieros'!$A$11:$H$453,7,0))</f>
        <v>30</v>
      </c>
      <c r="E806" t="str">
        <f t="shared" si="44"/>
        <v>30,000</v>
      </c>
    </row>
    <row r="807" spans="1:5" x14ac:dyDescent="0.25">
      <c r="A807">
        <v>120195</v>
      </c>
      <c r="B807" t="str">
        <f t="shared" si="45"/>
        <v>900142011</v>
      </c>
      <c r="C807">
        <f t="shared" si="46"/>
        <v>202112</v>
      </c>
      <c r="D807">
        <f>IF(OR(C807=1900,$D$868=0),0,VLOOKUP(A807,'Estados Financieros'!$A$11:$H$453,7,0))</f>
        <v>30</v>
      </c>
      <c r="E807" t="str">
        <f t="shared" si="44"/>
        <v>30,000</v>
      </c>
    </row>
    <row r="808" spans="1:5" x14ac:dyDescent="0.25">
      <c r="A808">
        <v>159701</v>
      </c>
      <c r="B808" t="str">
        <f t="shared" si="45"/>
        <v>900142011</v>
      </c>
      <c r="C808">
        <f t="shared" si="46"/>
        <v>202112</v>
      </c>
      <c r="D808">
        <f>IF(OR(C808=1900,$D$868=0),0,VLOOKUP(A808,'Estados Financieros'!$A$11:$H$453,7,0))</f>
        <v>30</v>
      </c>
      <c r="E808" t="str">
        <f t="shared" si="44"/>
        <v>30,000</v>
      </c>
    </row>
    <row r="809" spans="1:5" x14ac:dyDescent="0.25">
      <c r="A809">
        <v>159899</v>
      </c>
      <c r="B809" t="str">
        <f t="shared" si="45"/>
        <v>900142011</v>
      </c>
      <c r="C809">
        <f t="shared" si="46"/>
        <v>202112</v>
      </c>
      <c r="D809">
        <f>IF(OR(C809=1900,$D$868=0),0,VLOOKUP(A809,'Estados Financieros'!$A$11:$H$453,7,0))</f>
        <v>30</v>
      </c>
      <c r="E809" t="str">
        <f t="shared" si="44"/>
        <v>30,000</v>
      </c>
    </row>
    <row r="810" spans="1:5" x14ac:dyDescent="0.25">
      <c r="A810">
        <v>159901</v>
      </c>
      <c r="B810" t="str">
        <f t="shared" si="45"/>
        <v>900142011</v>
      </c>
      <c r="C810">
        <f t="shared" si="46"/>
        <v>202112</v>
      </c>
      <c r="D810">
        <f>IF(OR(C810=1900,$D$868=0),0,VLOOKUP(A810,'Estados Financieros'!$A$11:$H$453,7,0))</f>
        <v>30</v>
      </c>
      <c r="E810" t="str">
        <f t="shared" si="44"/>
        <v>30,000</v>
      </c>
    </row>
    <row r="811" spans="1:5" x14ac:dyDescent="0.25">
      <c r="A811">
        <v>1201</v>
      </c>
      <c r="B811" t="str">
        <f t="shared" si="45"/>
        <v>900142011</v>
      </c>
      <c r="C811">
        <f t="shared" si="46"/>
        <v>202112</v>
      </c>
      <c r="D811">
        <f>IF(OR(C811=1900,$D$868=0),0,VLOOKUP(A811,'Estados Financieros'!$A$11:$H$453,7,0))</f>
        <v>600</v>
      </c>
      <c r="E811" t="str">
        <f t="shared" si="44"/>
        <v>600,000</v>
      </c>
    </row>
    <row r="812" spans="1:5" x14ac:dyDescent="0.25">
      <c r="A812">
        <v>130506</v>
      </c>
      <c r="B812" t="str">
        <f t="shared" si="45"/>
        <v>900142011</v>
      </c>
      <c r="C812">
        <f t="shared" si="46"/>
        <v>202112</v>
      </c>
      <c r="D812">
        <f>IF(OR(C812=1900,$D$868=0),0,VLOOKUP(A812,'Estados Financieros'!$A$11:$H$453,7,0))</f>
        <v>30</v>
      </c>
      <c r="E812" t="str">
        <f t="shared" si="44"/>
        <v>30,000</v>
      </c>
    </row>
    <row r="813" spans="1:5" x14ac:dyDescent="0.25">
      <c r="A813">
        <v>130511</v>
      </c>
      <c r="B813" t="str">
        <f t="shared" si="45"/>
        <v>900142011</v>
      </c>
      <c r="C813">
        <f t="shared" si="46"/>
        <v>202112</v>
      </c>
      <c r="D813">
        <f>IF(OR(C813=1900,$D$868=0),0,VLOOKUP(A813,'Estados Financieros'!$A$11:$H$453,7,0))</f>
        <v>30</v>
      </c>
      <c r="E813" t="str">
        <f t="shared" si="44"/>
        <v>30,000</v>
      </c>
    </row>
    <row r="814" spans="1:5" x14ac:dyDescent="0.25">
      <c r="A814">
        <v>131001</v>
      </c>
      <c r="B814" t="str">
        <f t="shared" si="45"/>
        <v>900142011</v>
      </c>
      <c r="C814">
        <f t="shared" si="46"/>
        <v>202112</v>
      </c>
      <c r="D814">
        <f>IF(OR(C814=1900,$D$868=0),0,VLOOKUP(A814,'Estados Financieros'!$A$11:$H$453,7,0))</f>
        <v>30</v>
      </c>
      <c r="E814" t="str">
        <f t="shared" si="44"/>
        <v>30,000</v>
      </c>
    </row>
    <row r="815" spans="1:5" x14ac:dyDescent="0.25">
      <c r="A815">
        <v>131501</v>
      </c>
      <c r="B815" t="str">
        <f t="shared" si="45"/>
        <v>900142011</v>
      </c>
      <c r="C815">
        <f t="shared" si="46"/>
        <v>202112</v>
      </c>
      <c r="D815">
        <f>IF(OR(C815=1900,$D$868=0),0,VLOOKUP(A815,'Estados Financieros'!$A$11:$H$453,7,0))</f>
        <v>30</v>
      </c>
      <c r="E815" t="str">
        <f t="shared" si="44"/>
        <v>30,000</v>
      </c>
    </row>
    <row r="816" spans="1:5" x14ac:dyDescent="0.25">
      <c r="A816">
        <v>132001</v>
      </c>
      <c r="B816" t="str">
        <f t="shared" si="45"/>
        <v>900142011</v>
      </c>
      <c r="C816">
        <f t="shared" si="46"/>
        <v>202112</v>
      </c>
      <c r="D816">
        <f>IF(OR(C816=1900,$D$868=0),0,VLOOKUP(A816,'Estados Financieros'!$A$11:$H$453,7,0))</f>
        <v>30</v>
      </c>
      <c r="E816" t="str">
        <f t="shared" si="44"/>
        <v>30,000</v>
      </c>
    </row>
    <row r="817" spans="1:5" x14ac:dyDescent="0.25">
      <c r="A817">
        <v>132501</v>
      </c>
      <c r="B817" t="str">
        <f t="shared" si="45"/>
        <v>900142011</v>
      </c>
      <c r="C817">
        <f t="shared" si="46"/>
        <v>202112</v>
      </c>
      <c r="D817">
        <f>IF(OR(C817=1900,$D$868=0),0,VLOOKUP(A817,'Estados Financieros'!$A$11:$H$453,7,0))</f>
        <v>30</v>
      </c>
      <c r="E817" t="str">
        <f t="shared" si="44"/>
        <v>30,000</v>
      </c>
    </row>
    <row r="818" spans="1:5" x14ac:dyDescent="0.25">
      <c r="A818">
        <v>133001</v>
      </c>
      <c r="B818" t="str">
        <f t="shared" si="45"/>
        <v>900142011</v>
      </c>
      <c r="C818">
        <f t="shared" si="46"/>
        <v>202112</v>
      </c>
      <c r="D818">
        <f>IF(OR(C818=1900,$D$868=0),0,VLOOKUP(A818,'Estados Financieros'!$A$11:$H$453,7,0))</f>
        <v>30</v>
      </c>
      <c r="E818" t="str">
        <f t="shared" si="44"/>
        <v>30,000</v>
      </c>
    </row>
    <row r="819" spans="1:5" x14ac:dyDescent="0.25">
      <c r="A819">
        <v>133501</v>
      </c>
      <c r="B819" t="str">
        <f t="shared" si="45"/>
        <v>900142011</v>
      </c>
      <c r="C819">
        <f t="shared" si="46"/>
        <v>202112</v>
      </c>
      <c r="D819">
        <f>IF(OR(C819=1900,$D$868=0),0,VLOOKUP(A819,'Estados Financieros'!$A$11:$H$453,7,0))</f>
        <v>30</v>
      </c>
      <c r="E819" t="str">
        <f t="shared" si="44"/>
        <v>30,000</v>
      </c>
    </row>
    <row r="820" spans="1:5" x14ac:dyDescent="0.25">
      <c r="A820">
        <v>134001</v>
      </c>
      <c r="B820" t="str">
        <f t="shared" si="45"/>
        <v>900142011</v>
      </c>
      <c r="C820">
        <f t="shared" si="46"/>
        <v>202112</v>
      </c>
      <c r="D820">
        <f>IF(OR(C820=1900,$D$868=0),0,VLOOKUP(A820,'Estados Financieros'!$A$11:$H$453,7,0))</f>
        <v>30</v>
      </c>
      <c r="E820" t="str">
        <f t="shared" si="44"/>
        <v>30,000</v>
      </c>
    </row>
    <row r="821" spans="1:5" x14ac:dyDescent="0.25">
      <c r="A821">
        <v>134501</v>
      </c>
      <c r="B821" t="str">
        <f t="shared" si="45"/>
        <v>900142011</v>
      </c>
      <c r="C821">
        <f t="shared" si="46"/>
        <v>202112</v>
      </c>
      <c r="D821">
        <f>IF(OR(C821=1900,$D$868=0),0,VLOOKUP(A821,'Estados Financieros'!$A$11:$H$453,7,0))</f>
        <v>30</v>
      </c>
      <c r="E821" t="str">
        <f t="shared" si="44"/>
        <v>30,000</v>
      </c>
    </row>
    <row r="822" spans="1:5" x14ac:dyDescent="0.25">
      <c r="A822">
        <v>135001</v>
      </c>
      <c r="B822" t="str">
        <f t="shared" si="45"/>
        <v>900142011</v>
      </c>
      <c r="C822">
        <f t="shared" si="46"/>
        <v>202112</v>
      </c>
      <c r="D822">
        <f>IF(OR(C822=1900,$D$868=0),0,VLOOKUP(A822,'Estados Financieros'!$A$11:$H$453,7,0))</f>
        <v>30</v>
      </c>
      <c r="E822" t="str">
        <f t="shared" si="44"/>
        <v>30,000</v>
      </c>
    </row>
    <row r="823" spans="1:5" x14ac:dyDescent="0.25">
      <c r="A823">
        <v>135501</v>
      </c>
      <c r="B823" t="str">
        <f t="shared" si="45"/>
        <v>900142011</v>
      </c>
      <c r="C823">
        <f t="shared" si="46"/>
        <v>202112</v>
      </c>
      <c r="D823">
        <f>IF(OR(C823=1900,$D$868=0),0,VLOOKUP(A823,'Estados Financieros'!$A$11:$H$453,7,0))</f>
        <v>30</v>
      </c>
      <c r="E823" t="str">
        <f t="shared" si="44"/>
        <v>30,000</v>
      </c>
    </row>
    <row r="824" spans="1:5" x14ac:dyDescent="0.25">
      <c r="A824">
        <v>136001</v>
      </c>
      <c r="B824" t="str">
        <f t="shared" si="45"/>
        <v>900142011</v>
      </c>
      <c r="C824">
        <f t="shared" si="46"/>
        <v>202112</v>
      </c>
      <c r="D824">
        <f>IF(OR(C824=1900,$D$868=0),0,VLOOKUP(A824,'Estados Financieros'!$A$11:$H$453,7,0))</f>
        <v>30</v>
      </c>
      <c r="E824" t="str">
        <f t="shared" si="44"/>
        <v>30,000</v>
      </c>
    </row>
    <row r="825" spans="1:5" x14ac:dyDescent="0.25">
      <c r="A825">
        <v>136501</v>
      </c>
      <c r="B825" t="str">
        <f t="shared" si="45"/>
        <v>900142011</v>
      </c>
      <c r="C825">
        <f t="shared" si="46"/>
        <v>202112</v>
      </c>
      <c r="D825">
        <f>IF(OR(C825=1900,$D$868=0),0,VLOOKUP(A825,'Estados Financieros'!$A$11:$H$453,7,0))</f>
        <v>30</v>
      </c>
      <c r="E825" t="str">
        <f t="shared" si="44"/>
        <v>30,000</v>
      </c>
    </row>
    <row r="826" spans="1:5" x14ac:dyDescent="0.25">
      <c r="A826">
        <v>137001</v>
      </c>
      <c r="B826" t="str">
        <f t="shared" si="45"/>
        <v>900142011</v>
      </c>
      <c r="C826">
        <f t="shared" si="46"/>
        <v>202112</v>
      </c>
      <c r="D826">
        <f>IF(OR(C826=1900,$D$868=0),0,VLOOKUP(A826,'Estados Financieros'!$A$11:$H$453,7,0))</f>
        <v>30</v>
      </c>
      <c r="E826" t="str">
        <f t="shared" si="44"/>
        <v>30,000</v>
      </c>
    </row>
    <row r="827" spans="1:5" x14ac:dyDescent="0.25">
      <c r="A827">
        <v>138001</v>
      </c>
      <c r="B827" t="str">
        <f t="shared" si="45"/>
        <v>900142011</v>
      </c>
      <c r="C827">
        <f t="shared" si="46"/>
        <v>202112</v>
      </c>
      <c r="D827">
        <f>IF(OR(C827=1900,$D$868=0),0,VLOOKUP(A827,'Estados Financieros'!$A$11:$H$453,7,0))</f>
        <v>30</v>
      </c>
      <c r="E827" t="str">
        <f t="shared" si="44"/>
        <v>30,000</v>
      </c>
    </row>
    <row r="828" spans="1:5" x14ac:dyDescent="0.25">
      <c r="A828">
        <v>138501</v>
      </c>
      <c r="B828" t="str">
        <f t="shared" si="45"/>
        <v>900142011</v>
      </c>
      <c r="C828">
        <f t="shared" si="46"/>
        <v>202112</v>
      </c>
      <c r="D828">
        <f>IF(OR(C828=1900,$D$868=0),0,VLOOKUP(A828,'Estados Financieros'!$A$11:$H$453,7,0))</f>
        <v>30</v>
      </c>
      <c r="E828" t="str">
        <f t="shared" si="44"/>
        <v>30,000</v>
      </c>
    </row>
    <row r="829" spans="1:5" x14ac:dyDescent="0.25">
      <c r="A829">
        <v>139001</v>
      </c>
      <c r="B829" t="str">
        <f t="shared" si="45"/>
        <v>900142011</v>
      </c>
      <c r="C829">
        <f t="shared" si="46"/>
        <v>202112</v>
      </c>
      <c r="D829">
        <f>IF(OR(C829=1900,$D$868=0),0,VLOOKUP(A829,'Estados Financieros'!$A$11:$H$453,7,0))</f>
        <v>30</v>
      </c>
      <c r="E829" t="str">
        <f t="shared" si="44"/>
        <v>30,000</v>
      </c>
    </row>
    <row r="830" spans="1:5" x14ac:dyDescent="0.25">
      <c r="A830">
        <v>139901</v>
      </c>
      <c r="B830" t="str">
        <f t="shared" si="45"/>
        <v>900142011</v>
      </c>
      <c r="C830">
        <f t="shared" si="46"/>
        <v>202112</v>
      </c>
      <c r="D830">
        <f>IF(OR(C830=1900,$D$868=0),0,VLOOKUP(A830,'Estados Financieros'!$A$11:$H$453,7,0))</f>
        <v>30</v>
      </c>
      <c r="E830" t="str">
        <f t="shared" si="44"/>
        <v>30,000</v>
      </c>
    </row>
    <row r="831" spans="1:5" x14ac:dyDescent="0.25">
      <c r="A831">
        <v>1205</v>
      </c>
      <c r="B831" t="str">
        <f t="shared" si="45"/>
        <v>900142011</v>
      </c>
      <c r="C831">
        <f t="shared" si="46"/>
        <v>202112</v>
      </c>
      <c r="D831">
        <f>IF(OR(C831=1900,$D$868=0),0,VLOOKUP(A831,'Estados Financieros'!$A$11:$H$453,7,0))</f>
        <v>600</v>
      </c>
      <c r="E831" t="str">
        <f t="shared" si="44"/>
        <v>600,000</v>
      </c>
    </row>
    <row r="832" spans="1:5" x14ac:dyDescent="0.25">
      <c r="A832">
        <v>120501</v>
      </c>
      <c r="B832" t="str">
        <f t="shared" si="45"/>
        <v>900142011</v>
      </c>
      <c r="C832">
        <f t="shared" si="46"/>
        <v>202112</v>
      </c>
      <c r="D832">
        <f>IF(OR(C832=1900,$D$868=0),0,VLOOKUP(A832,'Estados Financieros'!$A$11:$H$453,7,0))</f>
        <v>30</v>
      </c>
      <c r="E832" t="str">
        <f t="shared" si="44"/>
        <v>30,000</v>
      </c>
    </row>
    <row r="833" spans="1:5" x14ac:dyDescent="0.25">
      <c r="A833">
        <v>121001</v>
      </c>
      <c r="B833" t="str">
        <f t="shared" si="45"/>
        <v>900142011</v>
      </c>
      <c r="C833">
        <f t="shared" si="46"/>
        <v>202112</v>
      </c>
      <c r="D833">
        <f>IF(OR(C833=1900,$D$868=0),0,VLOOKUP(A833,'Estados Financieros'!$A$11:$H$453,7,0))</f>
        <v>30</v>
      </c>
      <c r="E833" t="str">
        <f t="shared" si="44"/>
        <v>30,000</v>
      </c>
    </row>
    <row r="834" spans="1:5" x14ac:dyDescent="0.25">
      <c r="A834">
        <v>121501</v>
      </c>
      <c r="B834" t="str">
        <f t="shared" si="45"/>
        <v>900142011</v>
      </c>
      <c r="C834">
        <f t="shared" si="46"/>
        <v>202112</v>
      </c>
      <c r="D834">
        <f>IF(OR(C834=1900,$D$868=0),0,VLOOKUP(A834,'Estados Financieros'!$A$11:$H$453,7,0))</f>
        <v>30</v>
      </c>
      <c r="E834" t="str">
        <f t="shared" ref="E834:E897" si="47">IFERROR(FIXED(D834,3,1),0)</f>
        <v>30,000</v>
      </c>
    </row>
    <row r="835" spans="1:5" x14ac:dyDescent="0.25">
      <c r="A835">
        <v>123501</v>
      </c>
      <c r="B835" t="str">
        <f t="shared" si="45"/>
        <v>900142011</v>
      </c>
      <c r="C835">
        <f t="shared" si="46"/>
        <v>202112</v>
      </c>
      <c r="D835">
        <f>IF(OR(C835=1900,$D$868=0),0,VLOOKUP(A835,'Estados Financieros'!$A$11:$H$453,7,0))</f>
        <v>30</v>
      </c>
      <c r="E835" t="str">
        <f t="shared" si="47"/>
        <v>30,000</v>
      </c>
    </row>
    <row r="836" spans="1:5" x14ac:dyDescent="0.25">
      <c r="A836">
        <v>125501</v>
      </c>
      <c r="B836" t="str">
        <f t="shared" si="45"/>
        <v>900142011</v>
      </c>
      <c r="C836">
        <f t="shared" si="46"/>
        <v>202112</v>
      </c>
      <c r="D836">
        <f>IF(OR(C836=1900,$D$868=0),0,VLOOKUP(A836,'Estados Financieros'!$A$11:$H$453,7,0))</f>
        <v>30</v>
      </c>
      <c r="E836" t="str">
        <f t="shared" si="47"/>
        <v>30,000</v>
      </c>
    </row>
    <row r="837" spans="1:5" x14ac:dyDescent="0.25">
      <c r="A837">
        <v>126001</v>
      </c>
      <c r="B837" t="str">
        <f t="shared" si="45"/>
        <v>900142011</v>
      </c>
      <c r="C837">
        <f t="shared" si="46"/>
        <v>202112</v>
      </c>
      <c r="D837">
        <f>IF(OR(C837=1900,$D$868=0),0,VLOOKUP(A837,'Estados Financieros'!$A$11:$H$453,7,0))</f>
        <v>30</v>
      </c>
      <c r="E837" t="str">
        <f t="shared" si="47"/>
        <v>30,000</v>
      </c>
    </row>
    <row r="838" spans="1:5" x14ac:dyDescent="0.25">
      <c r="A838">
        <v>129501</v>
      </c>
      <c r="B838" t="str">
        <f t="shared" si="45"/>
        <v>900142011</v>
      </c>
      <c r="C838">
        <f t="shared" si="46"/>
        <v>202112</v>
      </c>
      <c r="D838">
        <f>IF(OR(C838=1900,$D$868=0),0,VLOOKUP(A838,'Estados Financieros'!$A$11:$H$453,7,0))</f>
        <v>30</v>
      </c>
      <c r="E838" t="str">
        <f t="shared" si="47"/>
        <v>30,000</v>
      </c>
    </row>
    <row r="839" spans="1:5" x14ac:dyDescent="0.25">
      <c r="A839">
        <v>129701</v>
      </c>
      <c r="B839" t="str">
        <f t="shared" si="45"/>
        <v>900142011</v>
      </c>
      <c r="C839">
        <f t="shared" si="46"/>
        <v>202112</v>
      </c>
      <c r="D839">
        <f>IF(OR(C839=1900,$D$868=0),0,VLOOKUP(A839,'Estados Financieros'!$A$11:$H$453,7,0))</f>
        <v>30</v>
      </c>
      <c r="E839" t="str">
        <f t="shared" si="47"/>
        <v>30,000</v>
      </c>
    </row>
    <row r="840" spans="1:5" x14ac:dyDescent="0.25">
      <c r="A840">
        <v>129901</v>
      </c>
      <c r="B840" t="str">
        <f t="shared" si="45"/>
        <v>900142011</v>
      </c>
      <c r="C840">
        <f t="shared" si="46"/>
        <v>202112</v>
      </c>
      <c r="D840">
        <f>IF(OR(C840=1900,$D$868=0),0,VLOOKUP(A840,'Estados Financieros'!$A$11:$H$453,7,0))</f>
        <v>30</v>
      </c>
      <c r="E840" t="str">
        <f t="shared" si="47"/>
        <v>30,000</v>
      </c>
    </row>
    <row r="841" spans="1:5" x14ac:dyDescent="0.25">
      <c r="A841">
        <v>1203</v>
      </c>
      <c r="B841" t="str">
        <f t="shared" si="45"/>
        <v>900142011</v>
      </c>
      <c r="C841">
        <f t="shared" si="46"/>
        <v>202112</v>
      </c>
      <c r="D841">
        <f>IF(OR(C841=1900,$D$868=0),0,VLOOKUP(A841,'Estados Financieros'!$A$11:$H$453,7,0))</f>
        <v>270</v>
      </c>
      <c r="E841" t="str">
        <f t="shared" si="47"/>
        <v>270,000</v>
      </c>
    </row>
    <row r="842" spans="1:5" x14ac:dyDescent="0.25">
      <c r="A842">
        <v>120610</v>
      </c>
      <c r="B842" t="str">
        <f t="shared" si="45"/>
        <v>900142011</v>
      </c>
      <c r="C842">
        <f t="shared" si="46"/>
        <v>202112</v>
      </c>
      <c r="D842">
        <f>IF(OR(C842=1900,$D$868=0),0,VLOOKUP(A842,'Estados Financieros'!$A$11:$H$453,7,0))</f>
        <v>30</v>
      </c>
      <c r="E842" t="str">
        <f t="shared" si="47"/>
        <v>30,000</v>
      </c>
    </row>
    <row r="843" spans="1:5" x14ac:dyDescent="0.25">
      <c r="A843">
        <v>120615</v>
      </c>
      <c r="B843" t="str">
        <f t="shared" si="45"/>
        <v>900142011</v>
      </c>
      <c r="C843">
        <f t="shared" si="46"/>
        <v>202112</v>
      </c>
      <c r="D843">
        <f>IF(OR(C843=1900,$D$868=0),0,VLOOKUP(A843,'Estados Financieros'!$A$11:$H$453,7,0))</f>
        <v>30</v>
      </c>
      <c r="E843" t="str">
        <f t="shared" si="47"/>
        <v>30,000</v>
      </c>
    </row>
    <row r="844" spans="1:5" x14ac:dyDescent="0.25">
      <c r="A844">
        <v>173001</v>
      </c>
      <c r="B844" t="str">
        <f t="shared" si="45"/>
        <v>900142011</v>
      </c>
      <c r="C844">
        <f t="shared" si="46"/>
        <v>202112</v>
      </c>
      <c r="D844">
        <f>IF(OR(C844=1900,$D$868=0),0,VLOOKUP(A844,'Estados Financieros'!$A$11:$H$453,7,0))</f>
        <v>30</v>
      </c>
      <c r="E844" t="str">
        <f t="shared" si="47"/>
        <v>30,000</v>
      </c>
    </row>
    <row r="845" spans="1:5" x14ac:dyDescent="0.25">
      <c r="A845">
        <v>120620</v>
      </c>
      <c r="B845" t="str">
        <f t="shared" si="45"/>
        <v>900142011</v>
      </c>
      <c r="C845">
        <f t="shared" si="46"/>
        <v>202112</v>
      </c>
      <c r="D845">
        <f>IF(OR(C845=1900,$D$868=0),0,VLOOKUP(A845,'Estados Financieros'!$A$11:$H$453,7,0))</f>
        <v>30</v>
      </c>
      <c r="E845" t="str">
        <f t="shared" si="47"/>
        <v>30,000</v>
      </c>
    </row>
    <row r="846" spans="1:5" x14ac:dyDescent="0.25">
      <c r="A846">
        <v>179701</v>
      </c>
      <c r="B846" t="str">
        <f t="shared" ref="B846:B909" si="48">+B845</f>
        <v>900142011</v>
      </c>
      <c r="C846">
        <f t="shared" ref="C846:C909" si="49">+C845</f>
        <v>202112</v>
      </c>
      <c r="D846">
        <f>IF(OR(C846=1900,$D$868=0),0,VLOOKUP(A846,'Estados Financieros'!$A$11:$H$453,7,0))</f>
        <v>30</v>
      </c>
      <c r="E846" t="str">
        <f t="shared" si="47"/>
        <v>30,000</v>
      </c>
    </row>
    <row r="847" spans="1:5" x14ac:dyDescent="0.25">
      <c r="A847">
        <v>179801</v>
      </c>
      <c r="B847" t="str">
        <f t="shared" si="48"/>
        <v>900142011</v>
      </c>
      <c r="C847">
        <f t="shared" si="49"/>
        <v>202112</v>
      </c>
      <c r="D847">
        <f>IF(OR(C847=1900,$D$868=0),0,VLOOKUP(A847,'Estados Financieros'!$A$11:$H$453,7,0))</f>
        <v>30</v>
      </c>
      <c r="E847" t="str">
        <f t="shared" si="47"/>
        <v>30,000</v>
      </c>
    </row>
    <row r="848" spans="1:5" x14ac:dyDescent="0.25">
      <c r="A848">
        <v>1206</v>
      </c>
      <c r="B848" t="str">
        <f t="shared" si="48"/>
        <v>900142011</v>
      </c>
      <c r="C848">
        <f t="shared" si="49"/>
        <v>202112</v>
      </c>
      <c r="D848">
        <f>IF(OR(C848=1900,$D$868=0),0,VLOOKUP(A848,'Estados Financieros'!$A$11:$H$453,7,0))</f>
        <v>180</v>
      </c>
      <c r="E848" t="str">
        <f t="shared" si="47"/>
        <v>180,000</v>
      </c>
    </row>
    <row r="849" spans="1:5" x14ac:dyDescent="0.25">
      <c r="A849">
        <v>160501</v>
      </c>
      <c r="B849" t="str">
        <f t="shared" si="48"/>
        <v>900142011</v>
      </c>
      <c r="C849">
        <f t="shared" si="49"/>
        <v>202112</v>
      </c>
      <c r="D849">
        <f>IF(OR(C849=1900,$D$868=0),0,VLOOKUP(A849,'Estados Financieros'!$A$11:$H$453,7,0))</f>
        <v>30</v>
      </c>
      <c r="E849" t="str">
        <f t="shared" si="47"/>
        <v>30,000</v>
      </c>
    </row>
    <row r="850" spans="1:5" x14ac:dyDescent="0.25">
      <c r="A850">
        <v>161001</v>
      </c>
      <c r="B850" t="str">
        <f t="shared" si="48"/>
        <v>900142011</v>
      </c>
      <c r="C850">
        <f t="shared" si="49"/>
        <v>202112</v>
      </c>
      <c r="D850">
        <f>IF(OR(C850=1900,$D$868=0),0,VLOOKUP(A850,'Estados Financieros'!$A$11:$H$453,7,0))</f>
        <v>30</v>
      </c>
      <c r="E850" t="str">
        <f t="shared" si="47"/>
        <v>30,000</v>
      </c>
    </row>
    <row r="851" spans="1:5" x14ac:dyDescent="0.25">
      <c r="A851">
        <v>163001</v>
      </c>
      <c r="B851" t="str">
        <f t="shared" si="48"/>
        <v>900142011</v>
      </c>
      <c r="C851">
        <f t="shared" si="49"/>
        <v>202112</v>
      </c>
      <c r="D851">
        <f>IF(OR(C851=1900,$D$868=0),0,VLOOKUP(A851,'Estados Financieros'!$A$11:$H$453,7,0))</f>
        <v>30</v>
      </c>
      <c r="E851" t="str">
        <f t="shared" si="47"/>
        <v>30,000</v>
      </c>
    </row>
    <row r="852" spans="1:5" x14ac:dyDescent="0.25">
      <c r="A852">
        <v>164001</v>
      </c>
      <c r="B852" t="str">
        <f t="shared" si="48"/>
        <v>900142011</v>
      </c>
      <c r="C852">
        <f t="shared" si="49"/>
        <v>202112</v>
      </c>
      <c r="D852">
        <f>IF(OR(C852=1900,$D$868=0),0,VLOOKUP(A852,'Estados Financieros'!$A$11:$H$453,7,0))</f>
        <v>30</v>
      </c>
      <c r="E852" t="str">
        <f t="shared" si="47"/>
        <v>30,000</v>
      </c>
    </row>
    <row r="853" spans="1:5" x14ac:dyDescent="0.25">
      <c r="A853">
        <v>109801</v>
      </c>
      <c r="B853" t="str">
        <f t="shared" si="48"/>
        <v>900142011</v>
      </c>
      <c r="C853">
        <f t="shared" si="49"/>
        <v>202112</v>
      </c>
      <c r="D853">
        <f>IF(OR(C853=1900,$D$868=0),0,VLOOKUP(A853,'Estados Financieros'!$A$11:$H$453,7,0))</f>
        <v>30</v>
      </c>
      <c r="E853" t="str">
        <f t="shared" si="47"/>
        <v>30,000</v>
      </c>
    </row>
    <row r="854" spans="1:5" x14ac:dyDescent="0.25">
      <c r="A854">
        <v>169899</v>
      </c>
      <c r="B854" t="str">
        <f t="shared" si="48"/>
        <v>900142011</v>
      </c>
      <c r="C854">
        <f t="shared" si="49"/>
        <v>202112</v>
      </c>
      <c r="D854">
        <f>IF(OR(C854=1900,$D$868=0),0,VLOOKUP(A854,'Estados Financieros'!$A$11:$H$453,7,0))</f>
        <v>30</v>
      </c>
      <c r="E854" t="str">
        <f t="shared" si="47"/>
        <v>30,000</v>
      </c>
    </row>
    <row r="855" spans="1:5" x14ac:dyDescent="0.25">
      <c r="A855">
        <v>169901</v>
      </c>
      <c r="B855" t="str">
        <f t="shared" si="48"/>
        <v>900142011</v>
      </c>
      <c r="C855">
        <f t="shared" si="49"/>
        <v>202112</v>
      </c>
      <c r="D855">
        <f>IF(OR(C855=1900,$D$868=0),0,VLOOKUP(A855,'Estados Financieros'!$A$11:$H$453,7,0))</f>
        <v>30</v>
      </c>
      <c r="E855" t="str">
        <f t="shared" si="47"/>
        <v>30,000</v>
      </c>
    </row>
    <row r="856" spans="1:5" x14ac:dyDescent="0.25">
      <c r="A856">
        <v>1202</v>
      </c>
      <c r="B856" t="str">
        <f t="shared" si="48"/>
        <v>900142011</v>
      </c>
      <c r="C856">
        <f t="shared" si="49"/>
        <v>202112</v>
      </c>
      <c r="D856">
        <f>IF(OR(C856=1900,$D$868=0),0,VLOOKUP(A856,'Estados Financieros'!$A$11:$H$453,7,0))</f>
        <v>210</v>
      </c>
      <c r="E856" t="str">
        <f t="shared" si="47"/>
        <v>210,000</v>
      </c>
    </row>
    <row r="857" spans="1:5" x14ac:dyDescent="0.25">
      <c r="A857">
        <v>180501</v>
      </c>
      <c r="B857" t="str">
        <f t="shared" si="48"/>
        <v>900142011</v>
      </c>
      <c r="C857">
        <f t="shared" si="49"/>
        <v>202112</v>
      </c>
      <c r="D857">
        <f>IF(OR(C857=1900,$D$868=0),0,VLOOKUP(A857,'Estados Financieros'!$A$11:$H$453,7,0))</f>
        <v>30</v>
      </c>
      <c r="E857" t="str">
        <f t="shared" si="47"/>
        <v>30,000</v>
      </c>
    </row>
    <row r="858" spans="1:5" x14ac:dyDescent="0.25">
      <c r="A858">
        <v>189501</v>
      </c>
      <c r="B858" t="str">
        <f t="shared" si="48"/>
        <v>900142011</v>
      </c>
      <c r="C858">
        <f t="shared" si="49"/>
        <v>202112</v>
      </c>
      <c r="D858">
        <f>IF(OR(C858=1900,$D$868=0),0,VLOOKUP(A858,'Estados Financieros'!$A$11:$H$453,7,0))</f>
        <v>30</v>
      </c>
      <c r="E858" t="str">
        <f t="shared" si="47"/>
        <v>30,000</v>
      </c>
    </row>
    <row r="859" spans="1:5" x14ac:dyDescent="0.25">
      <c r="A859">
        <v>189520</v>
      </c>
      <c r="B859" t="str">
        <f t="shared" si="48"/>
        <v>900142011</v>
      </c>
      <c r="C859">
        <f t="shared" si="49"/>
        <v>202112</v>
      </c>
      <c r="D859">
        <f>IF(OR(C859=1900,$D$868=0),0,VLOOKUP(A859,'Estados Financieros'!$A$11:$H$453,7,0))</f>
        <v>30</v>
      </c>
      <c r="E859" t="str">
        <f t="shared" si="47"/>
        <v>30,000</v>
      </c>
    </row>
    <row r="860" spans="1:5" x14ac:dyDescent="0.25">
      <c r="A860">
        <v>189701</v>
      </c>
      <c r="B860" t="str">
        <f t="shared" si="48"/>
        <v>900142011</v>
      </c>
      <c r="C860">
        <f t="shared" si="49"/>
        <v>202112</v>
      </c>
      <c r="D860">
        <f>IF(OR(C860=1900,$D$868=0),0,VLOOKUP(A860,'Estados Financieros'!$A$11:$H$453,7,0))</f>
        <v>30</v>
      </c>
      <c r="E860" t="str">
        <f t="shared" si="47"/>
        <v>30,000</v>
      </c>
    </row>
    <row r="861" spans="1:5" x14ac:dyDescent="0.25">
      <c r="A861">
        <v>189901</v>
      </c>
      <c r="B861" t="str">
        <f t="shared" si="48"/>
        <v>900142011</v>
      </c>
      <c r="C861">
        <f t="shared" si="49"/>
        <v>202112</v>
      </c>
      <c r="D861">
        <f>IF(OR(C861=1900,$D$868=0),0,VLOOKUP(A861,'Estados Financieros'!$A$11:$H$453,7,0))</f>
        <v>30</v>
      </c>
      <c r="E861" t="str">
        <f t="shared" si="47"/>
        <v>30,000</v>
      </c>
    </row>
    <row r="862" spans="1:5" x14ac:dyDescent="0.25">
      <c r="A862">
        <v>1207</v>
      </c>
      <c r="B862" t="str">
        <f t="shared" si="48"/>
        <v>900142011</v>
      </c>
      <c r="C862">
        <f t="shared" si="49"/>
        <v>202112</v>
      </c>
      <c r="D862">
        <f>IF(OR(C862=1900,$D$868=0),0,VLOOKUP(A862,'Estados Financieros'!$A$11:$H$453,7,0))</f>
        <v>150</v>
      </c>
      <c r="E862" t="str">
        <f t="shared" si="47"/>
        <v>150,000</v>
      </c>
    </row>
    <row r="863" spans="1:5" x14ac:dyDescent="0.25">
      <c r="A863">
        <v>190501</v>
      </c>
      <c r="B863" t="str">
        <f t="shared" si="48"/>
        <v>900142011</v>
      </c>
      <c r="C863">
        <f t="shared" si="49"/>
        <v>202112</v>
      </c>
      <c r="D863">
        <f>IF(OR(C863=1900,$D$868=0),0,VLOOKUP(A863,'Estados Financieros'!$A$11:$H$453,7,0))</f>
        <v>30</v>
      </c>
      <c r="E863" t="str">
        <f t="shared" si="47"/>
        <v>30,000</v>
      </c>
    </row>
    <row r="864" spans="1:5" x14ac:dyDescent="0.25">
      <c r="A864">
        <v>191001</v>
      </c>
      <c r="B864" t="str">
        <f t="shared" si="48"/>
        <v>900142011</v>
      </c>
      <c r="C864">
        <f t="shared" si="49"/>
        <v>202112</v>
      </c>
      <c r="D864">
        <f>IF(OR(C864=1900,$D$868=0),0,VLOOKUP(A864,'Estados Financieros'!$A$11:$H$453,7,0))</f>
        <v>30</v>
      </c>
      <c r="E864" t="str">
        <f t="shared" si="47"/>
        <v>30,000</v>
      </c>
    </row>
    <row r="865" spans="1:5" x14ac:dyDescent="0.25">
      <c r="A865">
        <v>199501</v>
      </c>
      <c r="B865" t="str">
        <f t="shared" si="48"/>
        <v>900142011</v>
      </c>
      <c r="C865">
        <f t="shared" si="49"/>
        <v>202112</v>
      </c>
      <c r="D865">
        <f>IF(OR(C865=1900,$D$868=0),0,VLOOKUP(A865,'Estados Financieros'!$A$11:$H$453,7,0))</f>
        <v>30</v>
      </c>
      <c r="E865" t="str">
        <f t="shared" si="47"/>
        <v>30,000</v>
      </c>
    </row>
    <row r="866" spans="1:5" x14ac:dyDescent="0.25">
      <c r="A866">
        <v>1208</v>
      </c>
      <c r="B866" t="str">
        <f t="shared" si="48"/>
        <v>900142011</v>
      </c>
      <c r="C866">
        <f t="shared" si="49"/>
        <v>202112</v>
      </c>
      <c r="D866">
        <f>IF(OR(C866=1900,$D$868=0),0,VLOOKUP(A866,'Estados Financieros'!$A$11:$H$453,7,0))</f>
        <v>90</v>
      </c>
      <c r="E866" t="str">
        <f t="shared" si="47"/>
        <v>90,000</v>
      </c>
    </row>
    <row r="867" spans="1:5" x14ac:dyDescent="0.25">
      <c r="A867">
        <v>12</v>
      </c>
      <c r="B867" t="str">
        <f t="shared" si="48"/>
        <v>900142011</v>
      </c>
      <c r="C867">
        <f t="shared" si="49"/>
        <v>202112</v>
      </c>
      <c r="D867">
        <f>IF(OR(C867=1900,$D$868=0),0,VLOOKUP(A867,'Estados Financieros'!$A$11:$H$453,7,0))</f>
        <v>2100</v>
      </c>
      <c r="E867" t="str">
        <f t="shared" si="47"/>
        <v>2100,000</v>
      </c>
    </row>
    <row r="868" spans="1:5" x14ac:dyDescent="0.25">
      <c r="A868">
        <v>1</v>
      </c>
      <c r="B868" t="str">
        <f t="shared" si="48"/>
        <v>900142011</v>
      </c>
      <c r="C868">
        <f t="shared" si="49"/>
        <v>202112</v>
      </c>
      <c r="D868">
        <f>IF(C868=1900,0,VLOOKUP(A868,'Estados Financieros'!$A$11:$H$453,7,0))</f>
        <v>3960</v>
      </c>
      <c r="E868" t="str">
        <f t="shared" si="47"/>
        <v>3960,000</v>
      </c>
    </row>
    <row r="869" spans="1:5" x14ac:dyDescent="0.25">
      <c r="A869">
        <v>108100</v>
      </c>
      <c r="B869" t="str">
        <f t="shared" si="48"/>
        <v>900142011</v>
      </c>
      <c r="C869">
        <f t="shared" si="49"/>
        <v>202112</v>
      </c>
      <c r="D869">
        <f>IF(OR(C869=1900,$D$868=0),0,VLOOKUP(A869,'Estados Financieros'!$A$11:$H$453,7,0))</f>
        <v>0</v>
      </c>
      <c r="E869" t="str">
        <f t="shared" si="47"/>
        <v>0,000</v>
      </c>
    </row>
    <row r="870" spans="1:5" x14ac:dyDescent="0.25">
      <c r="A870">
        <v>108200</v>
      </c>
      <c r="B870" t="str">
        <f t="shared" si="48"/>
        <v>900142011</v>
      </c>
      <c r="C870">
        <f t="shared" si="49"/>
        <v>202112</v>
      </c>
      <c r="D870">
        <f>IF(OR(C870=1900,$D$868=0),0,VLOOKUP(A870,'Estados Financieros'!$A$11:$H$453,7,0))</f>
        <v>0</v>
      </c>
      <c r="E870" t="str">
        <f t="shared" si="47"/>
        <v>0,000</v>
      </c>
    </row>
    <row r="871" spans="1:5" x14ac:dyDescent="0.25">
      <c r="A871">
        <v>108300</v>
      </c>
      <c r="B871" t="str">
        <f t="shared" si="48"/>
        <v>900142011</v>
      </c>
      <c r="C871">
        <f t="shared" si="49"/>
        <v>202112</v>
      </c>
      <c r="D871">
        <f>IF(OR(C871=1900,$D$868=0),0,VLOOKUP(A871,'Estados Financieros'!$A$11:$H$453,7,0))</f>
        <v>0</v>
      </c>
      <c r="E871" t="str">
        <f t="shared" si="47"/>
        <v>0,000</v>
      </c>
    </row>
    <row r="872" spans="1:5" x14ac:dyDescent="0.25">
      <c r="A872">
        <v>108400</v>
      </c>
      <c r="B872" t="str">
        <f t="shared" si="48"/>
        <v>900142011</v>
      </c>
      <c r="C872">
        <f t="shared" si="49"/>
        <v>202112</v>
      </c>
      <c r="D872">
        <f>IF(OR(C872=1900,$D$868=0),0,VLOOKUP(A872,'Estados Financieros'!$A$11:$H$453,7,0))</f>
        <v>0</v>
      </c>
      <c r="E872" t="str">
        <f t="shared" si="47"/>
        <v>0,000</v>
      </c>
    </row>
    <row r="873" spans="1:5" x14ac:dyDescent="0.25">
      <c r="A873">
        <v>108000</v>
      </c>
      <c r="B873" t="str">
        <f t="shared" si="48"/>
        <v>900142011</v>
      </c>
      <c r="C873">
        <f t="shared" si="49"/>
        <v>202112</v>
      </c>
      <c r="D873">
        <f>IF(OR(C873=1900,$D$868=0),0,VLOOKUP(A873,'Estados Financieros'!$A$11:$H$453,7,0))</f>
        <v>0</v>
      </c>
      <c r="E873" t="str">
        <f t="shared" si="47"/>
        <v>0,000</v>
      </c>
    </row>
    <row r="874" spans="1:5" x14ac:dyDescent="0.25">
      <c r="A874">
        <v>210500</v>
      </c>
      <c r="B874" t="str">
        <f t="shared" si="48"/>
        <v>900142011</v>
      </c>
      <c r="C874">
        <f t="shared" si="49"/>
        <v>202112</v>
      </c>
      <c r="D874">
        <f>IF(OR(C874=1900,$D$868=0),0,VLOOKUP(A874,'Estados Financieros'!$A$11:$H$453,7,0))</f>
        <v>10</v>
      </c>
      <c r="E874" t="str">
        <f t="shared" si="47"/>
        <v>10,000</v>
      </c>
    </row>
    <row r="875" spans="1:5" x14ac:dyDescent="0.25">
      <c r="A875">
        <v>211500</v>
      </c>
      <c r="B875" t="str">
        <f t="shared" si="48"/>
        <v>900142011</v>
      </c>
      <c r="C875">
        <f t="shared" si="49"/>
        <v>202112</v>
      </c>
      <c r="D875">
        <f>IF(OR(C875=1900,$D$868=0),0,VLOOKUP(A875,'Estados Financieros'!$A$11:$H$453,7,0))</f>
        <v>10</v>
      </c>
      <c r="E875" t="str">
        <f t="shared" si="47"/>
        <v>10,000</v>
      </c>
    </row>
    <row r="876" spans="1:5" x14ac:dyDescent="0.25">
      <c r="A876">
        <v>219500</v>
      </c>
      <c r="B876" t="str">
        <f t="shared" si="48"/>
        <v>900142011</v>
      </c>
      <c r="C876">
        <f t="shared" si="49"/>
        <v>202112</v>
      </c>
      <c r="D876">
        <f>IF(OR(C876=1900,$D$868=0),0,VLOOKUP(A876,'Estados Financieros'!$A$11:$H$453,7,0))</f>
        <v>10</v>
      </c>
      <c r="E876" t="str">
        <f t="shared" si="47"/>
        <v>10,000</v>
      </c>
    </row>
    <row r="877" spans="1:5" x14ac:dyDescent="0.25">
      <c r="A877">
        <v>2101</v>
      </c>
      <c r="B877" t="str">
        <f t="shared" si="48"/>
        <v>900142011</v>
      </c>
      <c r="C877">
        <f t="shared" si="49"/>
        <v>202112</v>
      </c>
      <c r="D877">
        <f>IF(OR(C877=1900,$D$868=0),0,VLOOKUP(A877,'Estados Financieros'!$A$11:$H$453,7,0))</f>
        <v>30</v>
      </c>
      <c r="E877" t="str">
        <f t="shared" si="47"/>
        <v>30,000</v>
      </c>
    </row>
    <row r="878" spans="1:5" x14ac:dyDescent="0.25">
      <c r="A878">
        <v>220500</v>
      </c>
      <c r="B878" t="str">
        <f t="shared" si="48"/>
        <v>900142011</v>
      </c>
      <c r="C878">
        <f t="shared" si="49"/>
        <v>202112</v>
      </c>
      <c r="D878">
        <f>IF(OR(C878=1900,$D$868=0),0,VLOOKUP(A878,'Estados Financieros'!$A$11:$H$453,7,0))</f>
        <v>10</v>
      </c>
      <c r="E878" t="str">
        <f t="shared" si="47"/>
        <v>10,000</v>
      </c>
    </row>
    <row r="879" spans="1:5" x14ac:dyDescent="0.25">
      <c r="A879">
        <v>221000</v>
      </c>
      <c r="B879" t="str">
        <f t="shared" si="48"/>
        <v>900142011</v>
      </c>
      <c r="C879">
        <f t="shared" si="49"/>
        <v>202112</v>
      </c>
      <c r="D879">
        <f>IF(OR(C879=1900,$D$868=0),0,VLOOKUP(A879,'Estados Financieros'!$A$11:$H$453,7,0))</f>
        <v>10</v>
      </c>
      <c r="E879" t="str">
        <f t="shared" si="47"/>
        <v>10,000</v>
      </c>
    </row>
    <row r="880" spans="1:5" x14ac:dyDescent="0.25">
      <c r="A880">
        <v>221500</v>
      </c>
      <c r="B880" t="str">
        <f t="shared" si="48"/>
        <v>900142011</v>
      </c>
      <c r="C880">
        <f t="shared" si="49"/>
        <v>202112</v>
      </c>
      <c r="D880">
        <f>IF(OR(C880=1900,$D$868=0),0,VLOOKUP(A880,'Estados Financieros'!$A$11:$H$453,7,0))</f>
        <v>10</v>
      </c>
      <c r="E880" t="str">
        <f t="shared" si="47"/>
        <v>10,000</v>
      </c>
    </row>
    <row r="881" spans="1:5" x14ac:dyDescent="0.25">
      <c r="A881">
        <v>2102</v>
      </c>
      <c r="B881" t="str">
        <f t="shared" si="48"/>
        <v>900142011</v>
      </c>
      <c r="C881">
        <f t="shared" si="49"/>
        <v>202112</v>
      </c>
      <c r="D881">
        <f>IF(OR(C881=1900,$D$868=0),0,VLOOKUP(A881,'Estados Financieros'!$A$11:$H$453,7,0))</f>
        <v>30</v>
      </c>
      <c r="E881" t="str">
        <f t="shared" si="47"/>
        <v>30,000</v>
      </c>
    </row>
    <row r="882" spans="1:5" x14ac:dyDescent="0.25">
      <c r="A882">
        <v>230500</v>
      </c>
      <c r="B882" t="str">
        <f t="shared" si="48"/>
        <v>900142011</v>
      </c>
      <c r="C882">
        <f t="shared" si="49"/>
        <v>202112</v>
      </c>
      <c r="D882">
        <f>IF(OR(C882=1900,$D$868=0),0,VLOOKUP(A882,'Estados Financieros'!$A$11:$H$453,7,0))</f>
        <v>10</v>
      </c>
      <c r="E882" t="str">
        <f t="shared" si="47"/>
        <v>10,000</v>
      </c>
    </row>
    <row r="883" spans="1:5" x14ac:dyDescent="0.25">
      <c r="A883">
        <v>231000</v>
      </c>
      <c r="B883" t="str">
        <f t="shared" si="48"/>
        <v>900142011</v>
      </c>
      <c r="C883">
        <f t="shared" si="49"/>
        <v>202112</v>
      </c>
      <c r="D883">
        <f>IF(OR(C883=1900,$D$868=0),0,VLOOKUP(A883,'Estados Financieros'!$A$11:$H$453,7,0))</f>
        <v>10</v>
      </c>
      <c r="E883" t="str">
        <f t="shared" si="47"/>
        <v>10,000</v>
      </c>
    </row>
    <row r="884" spans="1:5" x14ac:dyDescent="0.25">
      <c r="A884">
        <v>231500</v>
      </c>
      <c r="B884" t="str">
        <f t="shared" si="48"/>
        <v>900142011</v>
      </c>
      <c r="C884">
        <f t="shared" si="49"/>
        <v>202112</v>
      </c>
      <c r="D884">
        <f>IF(OR(C884=1900,$D$868=0),0,VLOOKUP(A884,'Estados Financieros'!$A$11:$H$453,7,0))</f>
        <v>10</v>
      </c>
      <c r="E884" t="str">
        <f t="shared" si="47"/>
        <v>10,000</v>
      </c>
    </row>
    <row r="885" spans="1:5" x14ac:dyDescent="0.25">
      <c r="A885">
        <v>232000</v>
      </c>
      <c r="B885" t="str">
        <f t="shared" si="48"/>
        <v>900142011</v>
      </c>
      <c r="C885">
        <f t="shared" si="49"/>
        <v>202112</v>
      </c>
      <c r="D885">
        <f>IF(OR(C885=1900,$D$868=0),0,VLOOKUP(A885,'Estados Financieros'!$A$11:$H$453,7,0))</f>
        <v>10</v>
      </c>
      <c r="E885" t="str">
        <f t="shared" si="47"/>
        <v>10,000</v>
      </c>
    </row>
    <row r="886" spans="1:5" x14ac:dyDescent="0.25">
      <c r="A886">
        <v>233500</v>
      </c>
      <c r="B886" t="str">
        <f t="shared" si="48"/>
        <v>900142011</v>
      </c>
      <c r="C886">
        <f t="shared" si="49"/>
        <v>202112</v>
      </c>
      <c r="D886">
        <f>IF(OR(C886=1900,$D$868=0),0,VLOOKUP(A886,'Estados Financieros'!$A$11:$H$453,7,0))</f>
        <v>10</v>
      </c>
      <c r="E886" t="str">
        <f t="shared" si="47"/>
        <v>10,000</v>
      </c>
    </row>
    <row r="887" spans="1:5" x14ac:dyDescent="0.25">
      <c r="A887">
        <v>234500</v>
      </c>
      <c r="B887" t="str">
        <f t="shared" si="48"/>
        <v>900142011</v>
      </c>
      <c r="C887">
        <f t="shared" si="49"/>
        <v>202112</v>
      </c>
      <c r="D887">
        <f>IF(OR(C887=1900,$D$868=0),0,VLOOKUP(A887,'Estados Financieros'!$A$11:$H$453,7,0))</f>
        <v>10</v>
      </c>
      <c r="E887" t="str">
        <f t="shared" si="47"/>
        <v>10,000</v>
      </c>
    </row>
    <row r="888" spans="1:5" x14ac:dyDescent="0.25">
      <c r="A888">
        <v>235000</v>
      </c>
      <c r="B888" t="str">
        <f t="shared" si="48"/>
        <v>900142011</v>
      </c>
      <c r="C888">
        <f t="shared" si="49"/>
        <v>202112</v>
      </c>
      <c r="D888">
        <f>IF(OR(C888=1900,$D$868=0),0,VLOOKUP(A888,'Estados Financieros'!$A$11:$H$453,7,0))</f>
        <v>10</v>
      </c>
      <c r="E888" t="str">
        <f t="shared" si="47"/>
        <v>10,000</v>
      </c>
    </row>
    <row r="889" spans="1:5" x14ac:dyDescent="0.25">
      <c r="A889">
        <v>235500</v>
      </c>
      <c r="B889" t="str">
        <f t="shared" si="48"/>
        <v>900142011</v>
      </c>
      <c r="C889">
        <f t="shared" si="49"/>
        <v>202112</v>
      </c>
      <c r="D889">
        <f>IF(OR(C889=1900,$D$868=0),0,VLOOKUP(A889,'Estados Financieros'!$A$11:$H$453,7,0))</f>
        <v>10</v>
      </c>
      <c r="E889" t="str">
        <f t="shared" si="47"/>
        <v>10,000</v>
      </c>
    </row>
    <row r="890" spans="1:5" x14ac:dyDescent="0.25">
      <c r="A890">
        <v>236000</v>
      </c>
      <c r="B890" t="str">
        <f t="shared" si="48"/>
        <v>900142011</v>
      </c>
      <c r="C890">
        <f t="shared" si="49"/>
        <v>202112</v>
      </c>
      <c r="D890">
        <f>IF(OR(C890=1900,$D$868=0),0,VLOOKUP(A890,'Estados Financieros'!$A$11:$H$453,7,0))</f>
        <v>10</v>
      </c>
      <c r="E890" t="str">
        <f t="shared" si="47"/>
        <v>10,000</v>
      </c>
    </row>
    <row r="891" spans="1:5" x14ac:dyDescent="0.25">
      <c r="A891">
        <v>236500</v>
      </c>
      <c r="B891" t="str">
        <f t="shared" si="48"/>
        <v>900142011</v>
      </c>
      <c r="C891">
        <f t="shared" si="49"/>
        <v>202112</v>
      </c>
      <c r="D891">
        <f>IF(OR(C891=1900,$D$868=0),0,VLOOKUP(A891,'Estados Financieros'!$A$11:$H$453,7,0))</f>
        <v>10</v>
      </c>
      <c r="E891" t="str">
        <f t="shared" si="47"/>
        <v>10,000</v>
      </c>
    </row>
    <row r="892" spans="1:5" x14ac:dyDescent="0.25">
      <c r="A892">
        <v>236700</v>
      </c>
      <c r="B892" t="str">
        <f t="shared" si="48"/>
        <v>900142011</v>
      </c>
      <c r="C892">
        <f t="shared" si="49"/>
        <v>202112</v>
      </c>
      <c r="D892">
        <f>IF(OR(C892=1900,$D$868=0),0,VLOOKUP(A892,'Estados Financieros'!$A$11:$H$453,7,0))</f>
        <v>10</v>
      </c>
      <c r="E892" t="str">
        <f t="shared" si="47"/>
        <v>10,000</v>
      </c>
    </row>
    <row r="893" spans="1:5" x14ac:dyDescent="0.25">
      <c r="A893">
        <v>236800</v>
      </c>
      <c r="B893" t="str">
        <f t="shared" si="48"/>
        <v>900142011</v>
      </c>
      <c r="C893">
        <f t="shared" si="49"/>
        <v>202112</v>
      </c>
      <c r="D893">
        <f>IF(OR(C893=1900,$D$868=0),0,VLOOKUP(A893,'Estados Financieros'!$A$11:$H$453,7,0))</f>
        <v>10</v>
      </c>
      <c r="E893" t="str">
        <f t="shared" si="47"/>
        <v>10,000</v>
      </c>
    </row>
    <row r="894" spans="1:5" x14ac:dyDescent="0.25">
      <c r="A894">
        <v>237000</v>
      </c>
      <c r="B894" t="str">
        <f t="shared" si="48"/>
        <v>900142011</v>
      </c>
      <c r="C894">
        <f t="shared" si="49"/>
        <v>202112</v>
      </c>
      <c r="D894">
        <f>IF(OR(C894=1900,$D$868=0),0,VLOOKUP(A894,'Estados Financieros'!$A$11:$H$453,7,0))</f>
        <v>10</v>
      </c>
      <c r="E894" t="str">
        <f t="shared" si="47"/>
        <v>10,000</v>
      </c>
    </row>
    <row r="895" spans="1:5" x14ac:dyDescent="0.25">
      <c r="A895">
        <v>238000</v>
      </c>
      <c r="B895" t="str">
        <f t="shared" si="48"/>
        <v>900142011</v>
      </c>
      <c r="C895">
        <f t="shared" si="49"/>
        <v>202112</v>
      </c>
      <c r="D895">
        <f>IF(OR(C895=1900,$D$868=0),0,VLOOKUP(A895,'Estados Financieros'!$A$11:$H$453,7,0))</f>
        <v>10</v>
      </c>
      <c r="E895" t="str">
        <f t="shared" si="47"/>
        <v>10,000</v>
      </c>
    </row>
    <row r="896" spans="1:5" x14ac:dyDescent="0.25">
      <c r="A896">
        <v>2103</v>
      </c>
      <c r="B896" t="str">
        <f t="shared" si="48"/>
        <v>900142011</v>
      </c>
      <c r="C896">
        <f t="shared" si="49"/>
        <v>202112</v>
      </c>
      <c r="D896">
        <f>IF(OR(C896=1900,$D$868=0),0,VLOOKUP(A896,'Estados Financieros'!$A$11:$H$453,7,0))</f>
        <v>140</v>
      </c>
      <c r="E896" t="str">
        <f t="shared" si="47"/>
        <v>140,000</v>
      </c>
    </row>
    <row r="897" spans="1:5" x14ac:dyDescent="0.25">
      <c r="A897">
        <v>240400</v>
      </c>
      <c r="B897" t="str">
        <f t="shared" si="48"/>
        <v>900142011</v>
      </c>
      <c r="C897">
        <f t="shared" si="49"/>
        <v>202112</v>
      </c>
      <c r="D897">
        <f>IF(OR(C897=1900,$D$868=0),0,VLOOKUP(A897,'Estados Financieros'!$A$11:$H$453,7,0))</f>
        <v>10</v>
      </c>
      <c r="E897" t="str">
        <f t="shared" si="47"/>
        <v>10,000</v>
      </c>
    </row>
    <row r="898" spans="1:5" x14ac:dyDescent="0.25">
      <c r="A898">
        <v>240800</v>
      </c>
      <c r="B898" t="str">
        <f t="shared" si="48"/>
        <v>900142011</v>
      </c>
      <c r="C898">
        <f t="shared" si="49"/>
        <v>202112</v>
      </c>
      <c r="D898">
        <f>IF(OR(C898=1900,$D$868=0),0,VLOOKUP(A898,'Estados Financieros'!$A$11:$H$453,7,0))</f>
        <v>10</v>
      </c>
      <c r="E898" t="str">
        <f t="shared" ref="E898:E961" si="50">IFERROR(FIXED(D898,3,1),0)</f>
        <v>10,000</v>
      </c>
    </row>
    <row r="899" spans="1:5" x14ac:dyDescent="0.25">
      <c r="A899">
        <v>241200</v>
      </c>
      <c r="B899" t="str">
        <f t="shared" si="48"/>
        <v>900142011</v>
      </c>
      <c r="C899">
        <f t="shared" si="49"/>
        <v>202112</v>
      </c>
      <c r="D899">
        <f>IF(OR(C899=1900,$D$868=0),0,VLOOKUP(A899,'Estados Financieros'!$A$11:$H$453,7,0))</f>
        <v>10</v>
      </c>
      <c r="E899" t="str">
        <f t="shared" si="50"/>
        <v>10,000</v>
      </c>
    </row>
    <row r="900" spans="1:5" x14ac:dyDescent="0.25">
      <c r="A900">
        <v>249500</v>
      </c>
      <c r="B900" t="str">
        <f t="shared" si="48"/>
        <v>900142011</v>
      </c>
      <c r="C900">
        <f t="shared" si="49"/>
        <v>202112</v>
      </c>
      <c r="D900">
        <f>IF(OR(C900=1900,$D$868=0),0,VLOOKUP(A900,'Estados Financieros'!$A$11:$H$453,7,0))</f>
        <v>10</v>
      </c>
      <c r="E900" t="str">
        <f t="shared" si="50"/>
        <v>10,000</v>
      </c>
    </row>
    <row r="901" spans="1:5" x14ac:dyDescent="0.25">
      <c r="A901">
        <v>2105</v>
      </c>
      <c r="B901" t="str">
        <f t="shared" si="48"/>
        <v>900142011</v>
      </c>
      <c r="C901">
        <f t="shared" si="49"/>
        <v>202112</v>
      </c>
      <c r="D901">
        <f>IF(OR(C901=1900,$D$868=0),0,VLOOKUP(A901,'Estados Financieros'!$A$11:$H$453,7,0))</f>
        <v>40</v>
      </c>
      <c r="E901" t="str">
        <f t="shared" si="50"/>
        <v>40,000</v>
      </c>
    </row>
    <row r="902" spans="1:5" x14ac:dyDescent="0.25">
      <c r="A902">
        <v>250500</v>
      </c>
      <c r="B902" t="str">
        <f t="shared" si="48"/>
        <v>900142011</v>
      </c>
      <c r="C902">
        <f t="shared" si="49"/>
        <v>202112</v>
      </c>
      <c r="D902">
        <f>IF(OR(C902=1900,$D$868=0),0,VLOOKUP(A902,'Estados Financieros'!$A$11:$H$453,7,0))</f>
        <v>10</v>
      </c>
      <c r="E902" t="str">
        <f t="shared" si="50"/>
        <v>10,000</v>
      </c>
    </row>
    <row r="903" spans="1:5" x14ac:dyDescent="0.25">
      <c r="A903">
        <v>251000</v>
      </c>
      <c r="B903" t="str">
        <f t="shared" si="48"/>
        <v>900142011</v>
      </c>
      <c r="C903">
        <f t="shared" si="49"/>
        <v>202112</v>
      </c>
      <c r="D903">
        <f>IF(OR(C903=1900,$D$868=0),0,VLOOKUP(A903,'Estados Financieros'!$A$11:$H$453,7,0))</f>
        <v>10</v>
      </c>
      <c r="E903" t="str">
        <f t="shared" si="50"/>
        <v>10,000</v>
      </c>
    </row>
    <row r="904" spans="1:5" x14ac:dyDescent="0.25">
      <c r="A904">
        <v>251500</v>
      </c>
      <c r="B904" t="str">
        <f t="shared" si="48"/>
        <v>900142011</v>
      </c>
      <c r="C904">
        <f t="shared" si="49"/>
        <v>202112</v>
      </c>
      <c r="D904">
        <f>IF(OR(C904=1900,$D$868=0),0,VLOOKUP(A904,'Estados Financieros'!$A$11:$H$453,7,0))</f>
        <v>10</v>
      </c>
      <c r="E904" t="str">
        <f t="shared" si="50"/>
        <v>10,000</v>
      </c>
    </row>
    <row r="905" spans="1:5" x14ac:dyDescent="0.25">
      <c r="A905">
        <v>252500</v>
      </c>
      <c r="B905" t="str">
        <f t="shared" si="48"/>
        <v>900142011</v>
      </c>
      <c r="C905">
        <f t="shared" si="49"/>
        <v>202112</v>
      </c>
      <c r="D905">
        <f>IF(OR(C905=1900,$D$868=0),0,VLOOKUP(A905,'Estados Financieros'!$A$11:$H$453,7,0))</f>
        <v>10</v>
      </c>
      <c r="E905" t="str">
        <f t="shared" si="50"/>
        <v>10,000</v>
      </c>
    </row>
    <row r="906" spans="1:5" x14ac:dyDescent="0.25">
      <c r="A906">
        <v>253000</v>
      </c>
      <c r="B906" t="str">
        <f t="shared" si="48"/>
        <v>900142011</v>
      </c>
      <c r="C906">
        <f t="shared" si="49"/>
        <v>202112</v>
      </c>
      <c r="D906">
        <f>IF(OR(C906=1900,$D$868=0),0,VLOOKUP(A906,'Estados Financieros'!$A$11:$H$453,7,0))</f>
        <v>10</v>
      </c>
      <c r="E906" t="str">
        <f t="shared" si="50"/>
        <v>10,000</v>
      </c>
    </row>
    <row r="907" spans="1:5" x14ac:dyDescent="0.25">
      <c r="A907">
        <v>259500</v>
      </c>
      <c r="B907" t="str">
        <f t="shared" si="48"/>
        <v>900142011</v>
      </c>
      <c r="C907">
        <f t="shared" si="49"/>
        <v>202112</v>
      </c>
      <c r="D907">
        <f>IF(OR(C907=1900,$D$868=0),0,VLOOKUP(A907,'Estados Financieros'!$A$11:$H$453,7,0))</f>
        <v>10</v>
      </c>
      <c r="E907" t="str">
        <f t="shared" si="50"/>
        <v>10,000</v>
      </c>
    </row>
    <row r="908" spans="1:5" x14ac:dyDescent="0.25">
      <c r="A908">
        <v>2104</v>
      </c>
      <c r="B908" t="str">
        <f t="shared" si="48"/>
        <v>900142011</v>
      </c>
      <c r="C908">
        <f t="shared" si="49"/>
        <v>202112</v>
      </c>
      <c r="D908">
        <f>IF(OR(C908=1900,$D$868=0),0,VLOOKUP(A908,'Estados Financieros'!$A$11:$H$453,7,0))</f>
        <v>60</v>
      </c>
      <c r="E908" t="str">
        <f t="shared" si="50"/>
        <v>60,000</v>
      </c>
    </row>
    <row r="909" spans="1:5" x14ac:dyDescent="0.25">
      <c r="A909">
        <v>260500</v>
      </c>
      <c r="B909" t="str">
        <f t="shared" si="48"/>
        <v>900142011</v>
      </c>
      <c r="C909">
        <f t="shared" si="49"/>
        <v>202112</v>
      </c>
      <c r="D909">
        <f>IF(OR(C909=1900,$D$868=0),0,VLOOKUP(A909,'Estados Financieros'!$A$11:$H$453,7,0))</f>
        <v>10</v>
      </c>
      <c r="E909" t="str">
        <f t="shared" si="50"/>
        <v>10,000</v>
      </c>
    </row>
    <row r="910" spans="1:5" x14ac:dyDescent="0.25">
      <c r="A910">
        <v>261000</v>
      </c>
      <c r="B910" t="str">
        <f t="shared" ref="B910:B973" si="51">+B909</f>
        <v>900142011</v>
      </c>
      <c r="C910">
        <f t="shared" ref="C910:C973" si="52">+C909</f>
        <v>202112</v>
      </c>
      <c r="D910">
        <f>IF(OR(C910=1900,$D$868=0),0,VLOOKUP(A910,'Estados Financieros'!$A$11:$H$453,7,0))</f>
        <v>10</v>
      </c>
      <c r="E910" t="str">
        <f t="shared" si="50"/>
        <v>10,000</v>
      </c>
    </row>
    <row r="911" spans="1:5" x14ac:dyDescent="0.25">
      <c r="A911">
        <v>261500</v>
      </c>
      <c r="B911" t="str">
        <f t="shared" si="51"/>
        <v>900142011</v>
      </c>
      <c r="C911">
        <f t="shared" si="52"/>
        <v>202112</v>
      </c>
      <c r="D911">
        <f>IF(OR(C911=1900,$D$868=0),0,VLOOKUP(A911,'Estados Financieros'!$A$11:$H$453,7,0))</f>
        <v>10</v>
      </c>
      <c r="E911" t="str">
        <f t="shared" si="50"/>
        <v>10,000</v>
      </c>
    </row>
    <row r="912" spans="1:5" x14ac:dyDescent="0.25">
      <c r="A912">
        <v>262000</v>
      </c>
      <c r="B912" t="str">
        <f t="shared" si="51"/>
        <v>900142011</v>
      </c>
      <c r="C912">
        <f t="shared" si="52"/>
        <v>202112</v>
      </c>
      <c r="D912">
        <f>IF(OR(C912=1900,$D$868=0),0,VLOOKUP(A912,'Estados Financieros'!$A$11:$H$453,7,0))</f>
        <v>10</v>
      </c>
      <c r="E912" t="str">
        <f t="shared" si="50"/>
        <v>10,000</v>
      </c>
    </row>
    <row r="913" spans="1:5" x14ac:dyDescent="0.25">
      <c r="A913">
        <v>262500</v>
      </c>
      <c r="B913" t="str">
        <f t="shared" si="51"/>
        <v>900142011</v>
      </c>
      <c r="C913">
        <f t="shared" si="52"/>
        <v>202112</v>
      </c>
      <c r="D913">
        <f>IF(OR(C913=1900,$D$868=0),0,VLOOKUP(A913,'Estados Financieros'!$A$11:$H$453,7,0))</f>
        <v>10</v>
      </c>
      <c r="E913" t="str">
        <f t="shared" si="50"/>
        <v>10,000</v>
      </c>
    </row>
    <row r="914" spans="1:5" x14ac:dyDescent="0.25">
      <c r="A914">
        <v>263000</v>
      </c>
      <c r="B914" t="str">
        <f t="shared" si="51"/>
        <v>900142011</v>
      </c>
      <c r="C914">
        <f t="shared" si="52"/>
        <v>202112</v>
      </c>
      <c r="D914">
        <f>IF(OR(C914=1900,$D$868=0),0,VLOOKUP(A914,'Estados Financieros'!$A$11:$H$453,7,0))</f>
        <v>10</v>
      </c>
      <c r="E914" t="str">
        <f t="shared" si="50"/>
        <v>10,000</v>
      </c>
    </row>
    <row r="915" spans="1:5" x14ac:dyDescent="0.25">
      <c r="A915">
        <v>263500</v>
      </c>
      <c r="B915" t="str">
        <f t="shared" si="51"/>
        <v>900142011</v>
      </c>
      <c r="C915">
        <f t="shared" si="52"/>
        <v>202112</v>
      </c>
      <c r="D915">
        <f>IF(OR(C915=1900,$D$868=0),0,VLOOKUP(A915,'Estados Financieros'!$A$11:$H$453,7,0))</f>
        <v>10</v>
      </c>
      <c r="E915" t="str">
        <f t="shared" si="50"/>
        <v>10,000</v>
      </c>
    </row>
    <row r="916" spans="1:5" x14ac:dyDescent="0.25">
      <c r="A916">
        <v>264000</v>
      </c>
      <c r="B916" t="str">
        <f t="shared" si="51"/>
        <v>900142011</v>
      </c>
      <c r="C916">
        <f t="shared" si="52"/>
        <v>202112</v>
      </c>
      <c r="D916">
        <f>IF(OR(C916=1900,$D$868=0),0,VLOOKUP(A916,'Estados Financieros'!$A$11:$H$453,7,0))</f>
        <v>10</v>
      </c>
      <c r="E916" t="str">
        <f t="shared" si="50"/>
        <v>10,000</v>
      </c>
    </row>
    <row r="917" spans="1:5" x14ac:dyDescent="0.25">
      <c r="A917">
        <v>269500</v>
      </c>
      <c r="B917" t="str">
        <f t="shared" si="51"/>
        <v>900142011</v>
      </c>
      <c r="C917">
        <f t="shared" si="52"/>
        <v>202112</v>
      </c>
      <c r="D917">
        <f>IF(OR(C917=1900,$D$868=0),0,VLOOKUP(A917,'Estados Financieros'!$A$11:$H$453,7,0))</f>
        <v>10</v>
      </c>
      <c r="E917" t="str">
        <f t="shared" si="50"/>
        <v>10,000</v>
      </c>
    </row>
    <row r="918" spans="1:5" x14ac:dyDescent="0.25">
      <c r="A918">
        <v>2106</v>
      </c>
      <c r="B918" t="str">
        <f t="shared" si="51"/>
        <v>900142011</v>
      </c>
      <c r="C918">
        <f t="shared" si="52"/>
        <v>202112</v>
      </c>
      <c r="D918">
        <f>IF(OR(C918=1900,$D$868=0),0,VLOOKUP(A918,'Estados Financieros'!$A$11:$H$453,7,0))</f>
        <v>90</v>
      </c>
      <c r="E918" t="str">
        <f t="shared" si="50"/>
        <v>90,000</v>
      </c>
    </row>
    <row r="919" spans="1:5" x14ac:dyDescent="0.25">
      <c r="A919">
        <v>270500</v>
      </c>
      <c r="B919" t="str">
        <f t="shared" si="51"/>
        <v>900142011</v>
      </c>
      <c r="C919">
        <f t="shared" si="52"/>
        <v>202112</v>
      </c>
      <c r="D919">
        <f>IF(OR(C919=1900,$D$868=0),0,VLOOKUP(A919,'Estados Financieros'!$A$11:$H$453,7,0))</f>
        <v>10</v>
      </c>
      <c r="E919" t="str">
        <f t="shared" si="50"/>
        <v>10,000</v>
      </c>
    </row>
    <row r="920" spans="1:5" x14ac:dyDescent="0.25">
      <c r="A920">
        <v>271000</v>
      </c>
      <c r="B920" t="str">
        <f t="shared" si="51"/>
        <v>900142011</v>
      </c>
      <c r="C920">
        <f t="shared" si="52"/>
        <v>202112</v>
      </c>
      <c r="D920">
        <f>IF(OR(C920=1900,$D$868=0),0,VLOOKUP(A920,'Estados Financieros'!$A$11:$H$453,7,0))</f>
        <v>10</v>
      </c>
      <c r="E920" t="str">
        <f t="shared" si="50"/>
        <v>10,000</v>
      </c>
    </row>
    <row r="921" spans="1:5" x14ac:dyDescent="0.25">
      <c r="A921">
        <v>272500</v>
      </c>
      <c r="B921" t="str">
        <f t="shared" si="51"/>
        <v>900142011</v>
      </c>
      <c r="C921">
        <f t="shared" si="52"/>
        <v>202112</v>
      </c>
      <c r="D921">
        <f>IF(OR(C921=1900,$D$868=0),0,VLOOKUP(A921,'Estados Financieros'!$A$11:$H$453,7,0))</f>
        <v>10</v>
      </c>
      <c r="E921" t="str">
        <f t="shared" si="50"/>
        <v>10,000</v>
      </c>
    </row>
    <row r="922" spans="1:5" x14ac:dyDescent="0.25">
      <c r="A922">
        <v>279500</v>
      </c>
      <c r="B922" t="str">
        <f t="shared" si="51"/>
        <v>900142011</v>
      </c>
      <c r="C922">
        <f t="shared" si="52"/>
        <v>202112</v>
      </c>
      <c r="D922">
        <f>IF(OR(C922=1900,$D$868=0),0,VLOOKUP(A922,'Estados Financieros'!$A$11:$H$453,7,0))</f>
        <v>10</v>
      </c>
      <c r="E922" t="str">
        <f t="shared" si="50"/>
        <v>10,000</v>
      </c>
    </row>
    <row r="923" spans="1:5" x14ac:dyDescent="0.25">
      <c r="A923">
        <v>2107</v>
      </c>
      <c r="B923" t="str">
        <f t="shared" si="51"/>
        <v>900142011</v>
      </c>
      <c r="C923">
        <f t="shared" si="52"/>
        <v>202112</v>
      </c>
      <c r="D923">
        <f>IF(OR(C923=1900,$D$868=0),0,VLOOKUP(A923,'Estados Financieros'!$A$11:$H$453,7,0))</f>
        <v>40</v>
      </c>
      <c r="E923" t="str">
        <f t="shared" si="50"/>
        <v>40,000</v>
      </c>
    </row>
    <row r="924" spans="1:5" x14ac:dyDescent="0.25">
      <c r="A924">
        <v>281000</v>
      </c>
      <c r="B924" t="str">
        <f t="shared" si="51"/>
        <v>900142011</v>
      </c>
      <c r="C924">
        <f t="shared" si="52"/>
        <v>202112</v>
      </c>
      <c r="D924">
        <f>IF(OR(C924=1900,$D$868=0),0,VLOOKUP(A924,'Estados Financieros'!$A$11:$H$453,7,0))</f>
        <v>10</v>
      </c>
      <c r="E924" t="str">
        <f t="shared" si="50"/>
        <v>10,000</v>
      </c>
    </row>
    <row r="925" spans="1:5" x14ac:dyDescent="0.25">
      <c r="A925">
        <v>282000</v>
      </c>
      <c r="B925" t="str">
        <f t="shared" si="51"/>
        <v>900142011</v>
      </c>
      <c r="C925">
        <f t="shared" si="52"/>
        <v>202112</v>
      </c>
      <c r="D925">
        <f>IF(OR(C925=1900,$D$868=0),0,VLOOKUP(A925,'Estados Financieros'!$A$11:$H$453,7,0))</f>
        <v>10</v>
      </c>
      <c r="E925" t="str">
        <f t="shared" si="50"/>
        <v>10,000</v>
      </c>
    </row>
    <row r="926" spans="1:5" x14ac:dyDescent="0.25">
      <c r="A926">
        <v>282500</v>
      </c>
      <c r="B926" t="str">
        <f t="shared" si="51"/>
        <v>900142011</v>
      </c>
      <c r="C926">
        <f t="shared" si="52"/>
        <v>202112</v>
      </c>
      <c r="D926">
        <f>IF(OR(C926=1900,$D$868=0),0,VLOOKUP(A926,'Estados Financieros'!$A$11:$H$453,7,0))</f>
        <v>10</v>
      </c>
      <c r="E926" t="str">
        <f t="shared" si="50"/>
        <v>10,000</v>
      </c>
    </row>
    <row r="927" spans="1:5" x14ac:dyDescent="0.25">
      <c r="A927">
        <v>284000</v>
      </c>
      <c r="B927" t="str">
        <f t="shared" si="51"/>
        <v>900142011</v>
      </c>
      <c r="C927">
        <f t="shared" si="52"/>
        <v>202112</v>
      </c>
      <c r="D927">
        <f>IF(OR(C927=1900,$D$868=0),0,VLOOKUP(A927,'Estados Financieros'!$A$11:$H$453,7,0))</f>
        <v>10</v>
      </c>
      <c r="E927" t="str">
        <f t="shared" si="50"/>
        <v>10,000</v>
      </c>
    </row>
    <row r="928" spans="1:5" x14ac:dyDescent="0.25">
      <c r="A928">
        <v>289500</v>
      </c>
      <c r="B928" t="str">
        <f t="shared" si="51"/>
        <v>900142011</v>
      </c>
      <c r="C928">
        <f t="shared" si="52"/>
        <v>202112</v>
      </c>
      <c r="D928">
        <f>IF(OR(C928=1900,$D$868=0),0,VLOOKUP(A928,'Estados Financieros'!$A$11:$H$453,7,0))</f>
        <v>10</v>
      </c>
      <c r="E928" t="str">
        <f t="shared" si="50"/>
        <v>10,000</v>
      </c>
    </row>
    <row r="929" spans="1:5" x14ac:dyDescent="0.25">
      <c r="A929">
        <v>2109</v>
      </c>
      <c r="B929" t="str">
        <f t="shared" si="51"/>
        <v>900142011</v>
      </c>
      <c r="C929">
        <f t="shared" si="52"/>
        <v>202112</v>
      </c>
      <c r="D929">
        <f>IF(OR(C929=1900,$D$868=0),0,VLOOKUP(A929,'Estados Financieros'!$A$11:$H$453,7,0))</f>
        <v>50</v>
      </c>
      <c r="E929" t="str">
        <f t="shared" si="50"/>
        <v>50,000</v>
      </c>
    </row>
    <row r="930" spans="1:5" x14ac:dyDescent="0.25">
      <c r="A930">
        <v>21</v>
      </c>
      <c r="B930" t="str">
        <f t="shared" si="51"/>
        <v>900142011</v>
      </c>
      <c r="C930">
        <f t="shared" si="52"/>
        <v>202112</v>
      </c>
      <c r="D930">
        <f>IF(OR(C930=1900,$D$868=0),0,VLOOKUP(A930,'Estados Financieros'!$A$11:$H$453,7,0))</f>
        <v>480</v>
      </c>
      <c r="E930" t="str">
        <f t="shared" si="50"/>
        <v>480,000</v>
      </c>
    </row>
    <row r="931" spans="1:5" x14ac:dyDescent="0.25">
      <c r="A931">
        <v>210501</v>
      </c>
      <c r="B931" t="str">
        <f t="shared" si="51"/>
        <v>900142011</v>
      </c>
      <c r="C931">
        <f t="shared" si="52"/>
        <v>202112</v>
      </c>
      <c r="D931">
        <f>IF(OR(C931=1900,$D$868=0),0,VLOOKUP(A931,'Estados Financieros'!$A$11:$H$453,7,0))</f>
        <v>10</v>
      </c>
      <c r="E931" t="str">
        <f t="shared" si="50"/>
        <v>10,000</v>
      </c>
    </row>
    <row r="932" spans="1:5" x14ac:dyDescent="0.25">
      <c r="A932">
        <v>211001</v>
      </c>
      <c r="B932" t="str">
        <f t="shared" si="51"/>
        <v>900142011</v>
      </c>
      <c r="C932">
        <f t="shared" si="52"/>
        <v>202112</v>
      </c>
      <c r="D932">
        <f>IF(OR(C932=1900,$D$868=0),0,VLOOKUP(A932,'Estados Financieros'!$A$11:$H$453,7,0))</f>
        <v>10</v>
      </c>
      <c r="E932" t="str">
        <f t="shared" si="50"/>
        <v>10,000</v>
      </c>
    </row>
    <row r="933" spans="1:5" x14ac:dyDescent="0.25">
      <c r="A933">
        <v>2201</v>
      </c>
      <c r="B933" t="str">
        <f t="shared" si="51"/>
        <v>900142011</v>
      </c>
      <c r="C933">
        <f t="shared" si="52"/>
        <v>202112</v>
      </c>
      <c r="D933">
        <f>IF(OR(C933=1900,$D$868=0),0,VLOOKUP(A933,'Estados Financieros'!$A$11:$H$453,7,0))</f>
        <v>20</v>
      </c>
      <c r="E933" t="str">
        <f t="shared" si="50"/>
        <v>20,000</v>
      </c>
    </row>
    <row r="934" spans="1:5" x14ac:dyDescent="0.25">
      <c r="A934">
        <v>220501</v>
      </c>
      <c r="B934" t="str">
        <f t="shared" si="51"/>
        <v>900142011</v>
      </c>
      <c r="C934">
        <f t="shared" si="52"/>
        <v>202112</v>
      </c>
      <c r="D934">
        <f>IF(OR(C934=1900,$D$868=0),0,VLOOKUP(A934,'Estados Financieros'!$A$11:$H$453,7,0))</f>
        <v>10</v>
      </c>
      <c r="E934" t="str">
        <f t="shared" si="50"/>
        <v>10,000</v>
      </c>
    </row>
    <row r="935" spans="1:5" x14ac:dyDescent="0.25">
      <c r="A935">
        <v>221001</v>
      </c>
      <c r="B935" t="str">
        <f t="shared" si="51"/>
        <v>900142011</v>
      </c>
      <c r="C935">
        <f t="shared" si="52"/>
        <v>202112</v>
      </c>
      <c r="D935">
        <f>IF(OR(C935=1900,$D$868=0),0,VLOOKUP(A935,'Estados Financieros'!$A$11:$H$453,7,0))</f>
        <v>10</v>
      </c>
      <c r="E935" t="str">
        <f t="shared" si="50"/>
        <v>10,000</v>
      </c>
    </row>
    <row r="936" spans="1:5" x14ac:dyDescent="0.25">
      <c r="A936">
        <v>230501</v>
      </c>
      <c r="B936" t="str">
        <f t="shared" si="51"/>
        <v>900142011</v>
      </c>
      <c r="C936">
        <f t="shared" si="52"/>
        <v>202112</v>
      </c>
      <c r="D936">
        <f>IF(OR(C936=1900,$D$868=0),0,VLOOKUP(A936,'Estados Financieros'!$A$11:$H$453,7,0))</f>
        <v>10</v>
      </c>
      <c r="E936" t="str">
        <f t="shared" si="50"/>
        <v>10,000</v>
      </c>
    </row>
    <row r="937" spans="1:5" x14ac:dyDescent="0.25">
      <c r="A937">
        <v>231001</v>
      </c>
      <c r="B937" t="str">
        <f t="shared" si="51"/>
        <v>900142011</v>
      </c>
      <c r="C937">
        <f t="shared" si="52"/>
        <v>202112</v>
      </c>
      <c r="D937">
        <f>IF(OR(C937=1900,$D$868=0),0,VLOOKUP(A937,'Estados Financieros'!$A$11:$H$453,7,0))</f>
        <v>10</v>
      </c>
      <c r="E937" t="str">
        <f t="shared" si="50"/>
        <v>10,000</v>
      </c>
    </row>
    <row r="938" spans="1:5" x14ac:dyDescent="0.25">
      <c r="A938">
        <v>231501</v>
      </c>
      <c r="B938" t="str">
        <f t="shared" si="51"/>
        <v>900142011</v>
      </c>
      <c r="C938">
        <f t="shared" si="52"/>
        <v>202112</v>
      </c>
      <c r="D938">
        <f>IF(OR(C938=1900,$D$868=0),0,VLOOKUP(A938,'Estados Financieros'!$A$11:$H$453,7,0))</f>
        <v>10</v>
      </c>
      <c r="E938" t="str">
        <f t="shared" si="50"/>
        <v>10,000</v>
      </c>
    </row>
    <row r="939" spans="1:5" x14ac:dyDescent="0.25">
      <c r="A939">
        <v>232001</v>
      </c>
      <c r="B939" t="str">
        <f t="shared" si="51"/>
        <v>900142011</v>
      </c>
      <c r="C939">
        <f t="shared" si="52"/>
        <v>202112</v>
      </c>
      <c r="D939">
        <f>IF(OR(C939=1900,$D$868=0),0,VLOOKUP(A939,'Estados Financieros'!$A$11:$H$453,7,0))</f>
        <v>10</v>
      </c>
      <c r="E939" t="str">
        <f t="shared" si="50"/>
        <v>10,000</v>
      </c>
    </row>
    <row r="940" spans="1:5" x14ac:dyDescent="0.25">
      <c r="A940">
        <v>233501</v>
      </c>
      <c r="B940" t="str">
        <f t="shared" si="51"/>
        <v>900142011</v>
      </c>
      <c r="C940">
        <f t="shared" si="52"/>
        <v>202112</v>
      </c>
      <c r="D940">
        <f>IF(OR(C940=1900,$D$868=0),0,VLOOKUP(A940,'Estados Financieros'!$A$11:$H$453,7,0))</f>
        <v>10</v>
      </c>
      <c r="E940" t="str">
        <f t="shared" si="50"/>
        <v>10,000</v>
      </c>
    </row>
    <row r="941" spans="1:5" x14ac:dyDescent="0.25">
      <c r="A941">
        <v>234501</v>
      </c>
      <c r="B941" t="str">
        <f t="shared" si="51"/>
        <v>900142011</v>
      </c>
      <c r="C941">
        <f t="shared" si="52"/>
        <v>202112</v>
      </c>
      <c r="D941">
        <f>IF(OR(C941=1900,$D$868=0),0,VLOOKUP(A941,'Estados Financieros'!$A$11:$H$453,7,0))</f>
        <v>10</v>
      </c>
      <c r="E941" t="str">
        <f t="shared" si="50"/>
        <v>10,000</v>
      </c>
    </row>
    <row r="942" spans="1:5" x14ac:dyDescent="0.25">
      <c r="A942">
        <v>235001</v>
      </c>
      <c r="B942" t="str">
        <f t="shared" si="51"/>
        <v>900142011</v>
      </c>
      <c r="C942">
        <f t="shared" si="52"/>
        <v>202112</v>
      </c>
      <c r="D942">
        <f>IF(OR(C942=1900,$D$868=0),0,VLOOKUP(A942,'Estados Financieros'!$A$11:$H$453,7,0))</f>
        <v>10</v>
      </c>
      <c r="E942" t="str">
        <f t="shared" si="50"/>
        <v>10,000</v>
      </c>
    </row>
    <row r="943" spans="1:5" x14ac:dyDescent="0.25">
      <c r="A943">
        <v>235501</v>
      </c>
      <c r="B943" t="str">
        <f t="shared" si="51"/>
        <v>900142011</v>
      </c>
      <c r="C943">
        <f t="shared" si="52"/>
        <v>202112</v>
      </c>
      <c r="D943">
        <f>IF(OR(C943=1900,$D$868=0),0,VLOOKUP(A943,'Estados Financieros'!$A$11:$H$453,7,0))</f>
        <v>10</v>
      </c>
      <c r="E943" t="str">
        <f t="shared" si="50"/>
        <v>10,000</v>
      </c>
    </row>
    <row r="944" spans="1:5" x14ac:dyDescent="0.25">
      <c r="A944">
        <v>236001</v>
      </c>
      <c r="B944" t="str">
        <f t="shared" si="51"/>
        <v>900142011</v>
      </c>
      <c r="C944">
        <f t="shared" si="52"/>
        <v>202112</v>
      </c>
      <c r="D944">
        <f>IF(OR(C944=1900,$D$868=0),0,VLOOKUP(A944,'Estados Financieros'!$A$11:$H$453,7,0))</f>
        <v>10</v>
      </c>
      <c r="E944" t="str">
        <f t="shared" si="50"/>
        <v>10,000</v>
      </c>
    </row>
    <row r="945" spans="1:5" x14ac:dyDescent="0.25">
      <c r="A945">
        <v>236501</v>
      </c>
      <c r="B945" t="str">
        <f t="shared" si="51"/>
        <v>900142011</v>
      </c>
      <c r="C945">
        <f t="shared" si="52"/>
        <v>202112</v>
      </c>
      <c r="D945">
        <f>IF(OR(C945=1900,$D$868=0),0,VLOOKUP(A945,'Estados Financieros'!$A$11:$H$453,7,0))</f>
        <v>10</v>
      </c>
      <c r="E945" t="str">
        <f t="shared" si="50"/>
        <v>10,000</v>
      </c>
    </row>
    <row r="946" spans="1:5" x14ac:dyDescent="0.25">
      <c r="A946">
        <v>236701</v>
      </c>
      <c r="B946" t="str">
        <f t="shared" si="51"/>
        <v>900142011</v>
      </c>
      <c r="C946">
        <f t="shared" si="52"/>
        <v>202112</v>
      </c>
      <c r="D946">
        <f>IF(OR(C946=1900,$D$868=0),0,VLOOKUP(A946,'Estados Financieros'!$A$11:$H$453,7,0))</f>
        <v>10</v>
      </c>
      <c r="E946" t="str">
        <f t="shared" si="50"/>
        <v>10,000</v>
      </c>
    </row>
    <row r="947" spans="1:5" x14ac:dyDescent="0.25">
      <c r="A947">
        <v>237001</v>
      </c>
      <c r="B947" t="str">
        <f t="shared" si="51"/>
        <v>900142011</v>
      </c>
      <c r="C947">
        <f t="shared" si="52"/>
        <v>202112</v>
      </c>
      <c r="D947">
        <f>IF(OR(C947=1900,$D$868=0),0,VLOOKUP(A947,'Estados Financieros'!$A$11:$H$453,7,0))</f>
        <v>10</v>
      </c>
      <c r="E947" t="str">
        <f t="shared" si="50"/>
        <v>10,000</v>
      </c>
    </row>
    <row r="948" spans="1:5" x14ac:dyDescent="0.25">
      <c r="A948">
        <v>238001</v>
      </c>
      <c r="B948" t="str">
        <f t="shared" si="51"/>
        <v>900142011</v>
      </c>
      <c r="C948">
        <f t="shared" si="52"/>
        <v>202112</v>
      </c>
      <c r="D948">
        <f>IF(OR(C948=1900,$D$868=0),0,VLOOKUP(A948,'Estados Financieros'!$A$11:$H$453,7,0))</f>
        <v>10</v>
      </c>
      <c r="E948" t="str">
        <f t="shared" si="50"/>
        <v>10,000</v>
      </c>
    </row>
    <row r="949" spans="1:5" x14ac:dyDescent="0.25">
      <c r="A949">
        <v>2203</v>
      </c>
      <c r="B949" t="str">
        <f t="shared" si="51"/>
        <v>900142011</v>
      </c>
      <c r="C949">
        <f t="shared" si="52"/>
        <v>202112</v>
      </c>
      <c r="D949">
        <f>IF(OR(C949=1900,$D$868=0),0,VLOOKUP(A949,'Estados Financieros'!$A$11:$H$453,7,0))</f>
        <v>150</v>
      </c>
      <c r="E949" t="str">
        <f t="shared" si="50"/>
        <v>150,000</v>
      </c>
    </row>
    <row r="950" spans="1:5" x14ac:dyDescent="0.25">
      <c r="A950">
        <v>240401</v>
      </c>
      <c r="B950" t="str">
        <f t="shared" si="51"/>
        <v>900142011</v>
      </c>
      <c r="C950">
        <f t="shared" si="52"/>
        <v>202112</v>
      </c>
      <c r="D950">
        <f>IF(OR(C950=1900,$D$868=0),0,VLOOKUP(A950,'Estados Financieros'!$A$11:$H$453,7,0))</f>
        <v>10</v>
      </c>
      <c r="E950" t="str">
        <f t="shared" si="50"/>
        <v>10,000</v>
      </c>
    </row>
    <row r="951" spans="1:5" x14ac:dyDescent="0.25">
      <c r="A951">
        <v>240801</v>
      </c>
      <c r="B951" t="str">
        <f t="shared" si="51"/>
        <v>900142011</v>
      </c>
      <c r="C951">
        <f t="shared" si="52"/>
        <v>202112</v>
      </c>
      <c r="D951">
        <f>IF(OR(C951=1900,$D$868=0),0,VLOOKUP(A951,'Estados Financieros'!$A$11:$H$453,7,0))</f>
        <v>10</v>
      </c>
      <c r="E951" t="str">
        <f t="shared" si="50"/>
        <v>10,000</v>
      </c>
    </row>
    <row r="952" spans="1:5" x14ac:dyDescent="0.25">
      <c r="A952">
        <v>241201</v>
      </c>
      <c r="B952" t="str">
        <f t="shared" si="51"/>
        <v>900142011</v>
      </c>
      <c r="C952">
        <f t="shared" si="52"/>
        <v>202112</v>
      </c>
      <c r="D952">
        <f>IF(OR(C952=1900,$D$868=0),0,VLOOKUP(A952,'Estados Financieros'!$A$11:$H$453,7,0))</f>
        <v>10</v>
      </c>
      <c r="E952" t="str">
        <f t="shared" si="50"/>
        <v>10,000</v>
      </c>
    </row>
    <row r="953" spans="1:5" x14ac:dyDescent="0.25">
      <c r="A953">
        <v>249501</v>
      </c>
      <c r="B953" t="str">
        <f t="shared" si="51"/>
        <v>900142011</v>
      </c>
      <c r="C953">
        <f t="shared" si="52"/>
        <v>202112</v>
      </c>
      <c r="D953">
        <f>IF(OR(C953=1900,$D$868=0),0,VLOOKUP(A953,'Estados Financieros'!$A$11:$H$453,7,0))</f>
        <v>10</v>
      </c>
      <c r="E953" t="str">
        <f t="shared" si="50"/>
        <v>10,000</v>
      </c>
    </row>
    <row r="954" spans="1:5" x14ac:dyDescent="0.25">
      <c r="A954">
        <v>240001</v>
      </c>
      <c r="B954" t="str">
        <f t="shared" si="51"/>
        <v>900142011</v>
      </c>
      <c r="C954">
        <f t="shared" si="52"/>
        <v>202112</v>
      </c>
      <c r="D954">
        <f>IF(OR(C954=1900,$D$868=0),0,VLOOKUP(A954,'Estados Financieros'!$A$11:$H$453,7,0))</f>
        <v>40</v>
      </c>
      <c r="E954" t="str">
        <f t="shared" si="50"/>
        <v>40,000</v>
      </c>
    </row>
    <row r="955" spans="1:5" x14ac:dyDescent="0.25">
      <c r="A955">
        <v>250501</v>
      </c>
      <c r="B955" t="str">
        <f t="shared" si="51"/>
        <v>900142011</v>
      </c>
      <c r="C955">
        <f t="shared" si="52"/>
        <v>202112</v>
      </c>
      <c r="D955">
        <f>IF(OR(C955=1900,$D$868=0),0,VLOOKUP(A955,'Estados Financieros'!$A$11:$H$453,7,0))</f>
        <v>10</v>
      </c>
      <c r="E955" t="str">
        <f t="shared" si="50"/>
        <v>10,000</v>
      </c>
    </row>
    <row r="956" spans="1:5" x14ac:dyDescent="0.25">
      <c r="A956">
        <v>251001</v>
      </c>
      <c r="B956" t="str">
        <f t="shared" si="51"/>
        <v>900142011</v>
      </c>
      <c r="C956">
        <f t="shared" si="52"/>
        <v>202112</v>
      </c>
      <c r="D956">
        <f>IF(OR(C956=1900,$D$868=0),0,VLOOKUP(A956,'Estados Financieros'!$A$11:$H$453,7,0))</f>
        <v>10</v>
      </c>
      <c r="E956" t="str">
        <f t="shared" si="50"/>
        <v>10,000</v>
      </c>
    </row>
    <row r="957" spans="1:5" x14ac:dyDescent="0.25">
      <c r="A957">
        <v>251501</v>
      </c>
      <c r="B957" t="str">
        <f t="shared" si="51"/>
        <v>900142011</v>
      </c>
      <c r="C957">
        <f t="shared" si="52"/>
        <v>202112</v>
      </c>
      <c r="D957">
        <f>IF(OR(C957=1900,$D$868=0),0,VLOOKUP(A957,'Estados Financieros'!$A$11:$H$453,7,0))</f>
        <v>10</v>
      </c>
      <c r="E957" t="str">
        <f t="shared" si="50"/>
        <v>10,000</v>
      </c>
    </row>
    <row r="958" spans="1:5" x14ac:dyDescent="0.25">
      <c r="A958">
        <v>252501</v>
      </c>
      <c r="B958" t="str">
        <f t="shared" si="51"/>
        <v>900142011</v>
      </c>
      <c r="C958">
        <f t="shared" si="52"/>
        <v>202112</v>
      </c>
      <c r="D958">
        <f>IF(OR(C958=1900,$D$868=0),0,VLOOKUP(A958,'Estados Financieros'!$A$11:$H$453,7,0))</f>
        <v>10</v>
      </c>
      <c r="E958" t="str">
        <f t="shared" si="50"/>
        <v>10,000</v>
      </c>
    </row>
    <row r="959" spans="1:5" x14ac:dyDescent="0.25">
      <c r="A959">
        <v>253001</v>
      </c>
      <c r="B959" t="str">
        <f t="shared" si="51"/>
        <v>900142011</v>
      </c>
      <c r="C959">
        <f t="shared" si="52"/>
        <v>202112</v>
      </c>
      <c r="D959">
        <f>IF(OR(C959=1900,$D$868=0),0,VLOOKUP(A959,'Estados Financieros'!$A$11:$H$453,7,0))</f>
        <v>10</v>
      </c>
      <c r="E959" t="str">
        <f t="shared" si="50"/>
        <v>10,000</v>
      </c>
    </row>
    <row r="960" spans="1:5" x14ac:dyDescent="0.25">
      <c r="A960">
        <v>259501</v>
      </c>
      <c r="B960" t="str">
        <f t="shared" si="51"/>
        <v>900142011</v>
      </c>
      <c r="C960">
        <f t="shared" si="52"/>
        <v>202112</v>
      </c>
      <c r="D960">
        <f>IF(OR(C960=1900,$D$868=0),0,VLOOKUP(A960,'Estados Financieros'!$A$11:$H$453,7,0))</f>
        <v>10</v>
      </c>
      <c r="E960" t="str">
        <f t="shared" si="50"/>
        <v>10,000</v>
      </c>
    </row>
    <row r="961" spans="1:5" x14ac:dyDescent="0.25">
      <c r="A961">
        <v>2204</v>
      </c>
      <c r="B961" t="str">
        <f t="shared" si="51"/>
        <v>900142011</v>
      </c>
      <c r="C961">
        <f t="shared" si="52"/>
        <v>202112</v>
      </c>
      <c r="D961">
        <f>IF(OR(C961=1900,$D$868=0),0,VLOOKUP(A961,'Estados Financieros'!$A$11:$H$453,7,0))</f>
        <v>60</v>
      </c>
      <c r="E961" t="str">
        <f t="shared" si="50"/>
        <v>60,000</v>
      </c>
    </row>
    <row r="962" spans="1:5" x14ac:dyDescent="0.25">
      <c r="A962">
        <v>260501</v>
      </c>
      <c r="B962" t="str">
        <f t="shared" si="51"/>
        <v>900142011</v>
      </c>
      <c r="C962">
        <f t="shared" si="52"/>
        <v>202112</v>
      </c>
      <c r="D962">
        <f>IF(OR(C962=1900,$D$868=0),0,VLOOKUP(A962,'Estados Financieros'!$A$11:$H$453,7,0))</f>
        <v>10</v>
      </c>
      <c r="E962" t="str">
        <f t="shared" ref="E962:E1025" si="53">IFERROR(FIXED(D962,3,1),0)</f>
        <v>10,000</v>
      </c>
    </row>
    <row r="963" spans="1:5" x14ac:dyDescent="0.25">
      <c r="A963">
        <v>261001</v>
      </c>
      <c r="B963" t="str">
        <f t="shared" si="51"/>
        <v>900142011</v>
      </c>
      <c r="C963">
        <f t="shared" si="52"/>
        <v>202112</v>
      </c>
      <c r="D963">
        <f>IF(OR(C963=1900,$D$868=0),0,VLOOKUP(A963,'Estados Financieros'!$A$11:$H$453,7,0))</f>
        <v>10</v>
      </c>
      <c r="E963" t="str">
        <f t="shared" si="53"/>
        <v>10,000</v>
      </c>
    </row>
    <row r="964" spans="1:5" x14ac:dyDescent="0.25">
      <c r="A964">
        <v>261501</v>
      </c>
      <c r="B964" t="str">
        <f t="shared" si="51"/>
        <v>900142011</v>
      </c>
      <c r="C964">
        <f t="shared" si="52"/>
        <v>202112</v>
      </c>
      <c r="D964">
        <f>IF(OR(C964=1900,$D$868=0),0,VLOOKUP(A964,'Estados Financieros'!$A$11:$H$453,7,0))</f>
        <v>10</v>
      </c>
      <c r="E964" t="str">
        <f t="shared" si="53"/>
        <v>10,000</v>
      </c>
    </row>
    <row r="965" spans="1:5" x14ac:dyDescent="0.25">
      <c r="A965">
        <v>262001</v>
      </c>
      <c r="B965" t="str">
        <f t="shared" si="51"/>
        <v>900142011</v>
      </c>
      <c r="C965">
        <f t="shared" si="52"/>
        <v>202112</v>
      </c>
      <c r="D965">
        <f>IF(OR(C965=1900,$D$868=0),0,VLOOKUP(A965,'Estados Financieros'!$A$11:$H$453,7,0))</f>
        <v>10</v>
      </c>
      <c r="E965" t="str">
        <f t="shared" si="53"/>
        <v>10,000</v>
      </c>
    </row>
    <row r="966" spans="1:5" x14ac:dyDescent="0.25">
      <c r="A966">
        <v>262501</v>
      </c>
      <c r="B966" t="str">
        <f t="shared" si="51"/>
        <v>900142011</v>
      </c>
      <c r="C966">
        <f t="shared" si="52"/>
        <v>202112</v>
      </c>
      <c r="D966">
        <f>IF(OR(C966=1900,$D$868=0),0,VLOOKUP(A966,'Estados Financieros'!$A$11:$H$453,7,0))</f>
        <v>10</v>
      </c>
      <c r="E966" t="str">
        <f t="shared" si="53"/>
        <v>10,000</v>
      </c>
    </row>
    <row r="967" spans="1:5" x14ac:dyDescent="0.25">
      <c r="A967">
        <v>263001</v>
      </c>
      <c r="B967" t="str">
        <f t="shared" si="51"/>
        <v>900142011</v>
      </c>
      <c r="C967">
        <f t="shared" si="52"/>
        <v>202112</v>
      </c>
      <c r="D967">
        <f>IF(OR(C967=1900,$D$868=0),0,VLOOKUP(A967,'Estados Financieros'!$A$11:$H$453,7,0))</f>
        <v>10</v>
      </c>
      <c r="E967" t="str">
        <f t="shared" si="53"/>
        <v>10,000</v>
      </c>
    </row>
    <row r="968" spans="1:5" x14ac:dyDescent="0.25">
      <c r="A968">
        <v>263501</v>
      </c>
      <c r="B968" t="str">
        <f t="shared" si="51"/>
        <v>900142011</v>
      </c>
      <c r="C968">
        <f t="shared" si="52"/>
        <v>202112</v>
      </c>
      <c r="D968">
        <f>IF(OR(C968=1900,$D$868=0),0,VLOOKUP(A968,'Estados Financieros'!$A$11:$H$453,7,0))</f>
        <v>10</v>
      </c>
      <c r="E968" t="str">
        <f t="shared" si="53"/>
        <v>10,000</v>
      </c>
    </row>
    <row r="969" spans="1:5" x14ac:dyDescent="0.25">
      <c r="A969">
        <v>264001</v>
      </c>
      <c r="B969" t="str">
        <f t="shared" si="51"/>
        <v>900142011</v>
      </c>
      <c r="C969">
        <f t="shared" si="52"/>
        <v>202112</v>
      </c>
      <c r="D969">
        <f>IF(OR(C969=1900,$D$868=0),0,VLOOKUP(A969,'Estados Financieros'!$A$11:$H$453,7,0))</f>
        <v>10</v>
      </c>
      <c r="E969" t="str">
        <f t="shared" si="53"/>
        <v>10,000</v>
      </c>
    </row>
    <row r="970" spans="1:5" x14ac:dyDescent="0.25">
      <c r="A970">
        <v>269501</v>
      </c>
      <c r="B970" t="str">
        <f t="shared" si="51"/>
        <v>900142011</v>
      </c>
      <c r="C970">
        <f t="shared" si="52"/>
        <v>202112</v>
      </c>
      <c r="D970">
        <f>IF(OR(C970=1900,$D$868=0),0,VLOOKUP(A970,'Estados Financieros'!$A$11:$H$453,7,0))</f>
        <v>10</v>
      </c>
      <c r="E970" t="str">
        <f t="shared" si="53"/>
        <v>10,000</v>
      </c>
    </row>
    <row r="971" spans="1:5" x14ac:dyDescent="0.25">
      <c r="A971">
        <v>2206</v>
      </c>
      <c r="B971" t="str">
        <f t="shared" si="51"/>
        <v>900142011</v>
      </c>
      <c r="C971">
        <f t="shared" si="52"/>
        <v>202112</v>
      </c>
      <c r="D971">
        <f>IF(OR(C971=1900,$D$868=0),0,VLOOKUP(A971,'Estados Financieros'!$A$11:$H$453,7,0))</f>
        <v>90</v>
      </c>
      <c r="E971" t="str">
        <f t="shared" si="53"/>
        <v>90,000</v>
      </c>
    </row>
    <row r="972" spans="1:5" x14ac:dyDescent="0.25">
      <c r="A972">
        <v>270501</v>
      </c>
      <c r="B972" t="str">
        <f t="shared" si="51"/>
        <v>900142011</v>
      </c>
      <c r="C972">
        <f t="shared" si="52"/>
        <v>202112</v>
      </c>
      <c r="D972">
        <f>IF(OR(C972=1900,$D$868=0),0,VLOOKUP(A972,'Estados Financieros'!$A$11:$H$453,7,0))</f>
        <v>10</v>
      </c>
      <c r="E972" t="str">
        <f t="shared" si="53"/>
        <v>10,000</v>
      </c>
    </row>
    <row r="973" spans="1:5" x14ac:dyDescent="0.25">
      <c r="A973">
        <v>271001</v>
      </c>
      <c r="B973" t="str">
        <f t="shared" si="51"/>
        <v>900142011</v>
      </c>
      <c r="C973">
        <f t="shared" si="52"/>
        <v>202112</v>
      </c>
      <c r="D973">
        <f>IF(OR(C973=1900,$D$868=0),0,VLOOKUP(A973,'Estados Financieros'!$A$11:$H$453,7,0))</f>
        <v>10</v>
      </c>
      <c r="E973" t="str">
        <f t="shared" si="53"/>
        <v>10,000</v>
      </c>
    </row>
    <row r="974" spans="1:5" x14ac:dyDescent="0.25">
      <c r="A974">
        <v>272001</v>
      </c>
      <c r="B974" t="str">
        <f t="shared" ref="B974:B1021" si="54">+B973</f>
        <v>900142011</v>
      </c>
      <c r="C974">
        <f t="shared" ref="C974:C1021" si="55">+C973</f>
        <v>202112</v>
      </c>
      <c r="D974">
        <f>IF(OR(C974=1900,$D$868=0),0,VLOOKUP(A974,'Estados Financieros'!$A$11:$H$453,7,0))</f>
        <v>10</v>
      </c>
      <c r="E974" t="str">
        <f t="shared" si="53"/>
        <v>10,000</v>
      </c>
    </row>
    <row r="975" spans="1:5" x14ac:dyDescent="0.25">
      <c r="A975">
        <v>272501</v>
      </c>
      <c r="B975" t="str">
        <f t="shared" si="54"/>
        <v>900142011</v>
      </c>
      <c r="C975">
        <f t="shared" si="55"/>
        <v>202112</v>
      </c>
      <c r="D975">
        <f>IF(OR(C975=1900,$D$868=0),0,VLOOKUP(A975,'Estados Financieros'!$A$11:$H$453,7,0))</f>
        <v>10</v>
      </c>
      <c r="E975" t="str">
        <f t="shared" si="53"/>
        <v>10,000</v>
      </c>
    </row>
    <row r="976" spans="1:5" x14ac:dyDescent="0.25">
      <c r="A976">
        <v>279501</v>
      </c>
      <c r="B976" t="str">
        <f t="shared" si="54"/>
        <v>900142011</v>
      </c>
      <c r="C976">
        <f t="shared" si="55"/>
        <v>202112</v>
      </c>
      <c r="D976">
        <f>IF(OR(C976=1900,$D$868=0),0,VLOOKUP(A976,'Estados Financieros'!$A$11:$H$453,7,0))</f>
        <v>10</v>
      </c>
      <c r="E976" t="str">
        <f t="shared" si="53"/>
        <v>10,000</v>
      </c>
    </row>
    <row r="977" spans="1:5" x14ac:dyDescent="0.25">
      <c r="A977">
        <v>2207</v>
      </c>
      <c r="B977" t="str">
        <f t="shared" si="54"/>
        <v>900142011</v>
      </c>
      <c r="C977">
        <f t="shared" si="55"/>
        <v>202112</v>
      </c>
      <c r="D977">
        <f>IF(OR(C977=1900,$D$868=0),0,VLOOKUP(A977,'Estados Financieros'!$A$11:$H$453,7,0))</f>
        <v>50</v>
      </c>
      <c r="E977" t="str">
        <f t="shared" si="53"/>
        <v>50,000</v>
      </c>
    </row>
    <row r="978" spans="1:5" x14ac:dyDescent="0.25">
      <c r="A978">
        <v>290501</v>
      </c>
      <c r="B978" t="str">
        <f t="shared" si="54"/>
        <v>900142011</v>
      </c>
      <c r="C978">
        <f t="shared" si="55"/>
        <v>202112</v>
      </c>
      <c r="D978">
        <f>IF(OR(C978=1900,$D$868=0),0,VLOOKUP(A978,'Estados Financieros'!$A$11:$H$453,7,0))</f>
        <v>0</v>
      </c>
      <c r="E978" t="str">
        <f t="shared" si="53"/>
        <v>0,000</v>
      </c>
    </row>
    <row r="979" spans="1:5" x14ac:dyDescent="0.25">
      <c r="A979">
        <v>291991</v>
      </c>
      <c r="B979" t="str">
        <f t="shared" si="54"/>
        <v>900142011</v>
      </c>
      <c r="C979">
        <f t="shared" si="55"/>
        <v>202112</v>
      </c>
      <c r="D979">
        <f>IF(OR(C979=1900,$D$868=0),0,VLOOKUP(A979,'Estados Financieros'!$A$11:$H$453,7,0))</f>
        <v>10</v>
      </c>
      <c r="E979" t="str">
        <f t="shared" si="53"/>
        <v>10,000</v>
      </c>
    </row>
    <row r="980" spans="1:5" x14ac:dyDescent="0.25">
      <c r="A980">
        <v>291501</v>
      </c>
      <c r="B980" t="str">
        <f t="shared" si="54"/>
        <v>900142011</v>
      </c>
      <c r="C980">
        <f t="shared" si="55"/>
        <v>202112</v>
      </c>
      <c r="D980">
        <f>IF(OR(C980=1900,$D$868=0),0,VLOOKUP(A980,'Estados Financieros'!$A$11:$H$453,7,0))</f>
        <v>10</v>
      </c>
      <c r="E980" t="str">
        <f t="shared" si="53"/>
        <v>10,000</v>
      </c>
    </row>
    <row r="981" spans="1:5" x14ac:dyDescent="0.25">
      <c r="A981">
        <v>292001</v>
      </c>
      <c r="B981" t="str">
        <f t="shared" si="54"/>
        <v>900142011</v>
      </c>
      <c r="C981">
        <f t="shared" si="55"/>
        <v>202112</v>
      </c>
      <c r="D981">
        <f>IF(OR(C981=1900,$D$868=0),0,VLOOKUP(A981,'Estados Financieros'!$A$11:$H$453,7,0))</f>
        <v>10</v>
      </c>
      <c r="E981" t="str">
        <f t="shared" si="53"/>
        <v>10,000</v>
      </c>
    </row>
    <row r="982" spans="1:5" x14ac:dyDescent="0.25">
      <c r="A982">
        <v>299501</v>
      </c>
      <c r="B982" t="str">
        <f t="shared" si="54"/>
        <v>900142011</v>
      </c>
      <c r="C982">
        <f t="shared" si="55"/>
        <v>202112</v>
      </c>
      <c r="D982">
        <f>IF(OR(C982=1900,$D$868=0),0,VLOOKUP(A982,'Estados Financieros'!$A$11:$H$453,7,0))</f>
        <v>10</v>
      </c>
      <c r="E982" t="str">
        <f t="shared" si="53"/>
        <v>10,000</v>
      </c>
    </row>
    <row r="983" spans="1:5" x14ac:dyDescent="0.25">
      <c r="A983">
        <v>2209</v>
      </c>
      <c r="B983" t="str">
        <f t="shared" si="54"/>
        <v>900142011</v>
      </c>
      <c r="C983">
        <f t="shared" si="55"/>
        <v>202112</v>
      </c>
      <c r="D983">
        <f>IF(OR(C983=1900,$D$868=0),0,VLOOKUP(A983,'Estados Financieros'!$A$11:$H$453,7,0))</f>
        <v>40</v>
      </c>
      <c r="E983" t="str">
        <f t="shared" si="53"/>
        <v>40,000</v>
      </c>
    </row>
    <row r="984" spans="1:5" x14ac:dyDescent="0.25">
      <c r="A984">
        <v>22</v>
      </c>
      <c r="B984" t="str">
        <f t="shared" si="54"/>
        <v>900142011</v>
      </c>
      <c r="C984">
        <f t="shared" si="55"/>
        <v>202112</v>
      </c>
      <c r="D984">
        <f>IF(OR(C984=1900,$D$868=0),0,VLOOKUP(A984,'Estados Financieros'!$A$11:$H$453,7,0))</f>
        <v>450</v>
      </c>
      <c r="E984" t="str">
        <f t="shared" si="53"/>
        <v>450,000</v>
      </c>
    </row>
    <row r="985" spans="1:5" x14ac:dyDescent="0.25">
      <c r="A985">
        <v>2</v>
      </c>
      <c r="B985" t="str">
        <f t="shared" si="54"/>
        <v>900142011</v>
      </c>
      <c r="C985">
        <f t="shared" si="55"/>
        <v>202112</v>
      </c>
      <c r="D985">
        <f>IF(OR(C985=1900,$D$868=0),0,VLOOKUP(A985,'Estados Financieros'!$A$11:$H$453,7,0))</f>
        <v>930</v>
      </c>
      <c r="E985" t="str">
        <f t="shared" si="53"/>
        <v>930,000</v>
      </c>
    </row>
    <row r="986" spans="1:5" x14ac:dyDescent="0.25">
      <c r="A986">
        <v>310500</v>
      </c>
      <c r="B986" t="str">
        <f t="shared" si="54"/>
        <v>900142011</v>
      </c>
      <c r="C986">
        <f t="shared" si="55"/>
        <v>202112</v>
      </c>
      <c r="D986">
        <f>IF(OR(C986=1900,$D$868=0),0,VLOOKUP(A986,'Estados Financieros'!$A$11:$H$453,7,0))</f>
        <v>10</v>
      </c>
      <c r="E986" t="str">
        <f t="shared" si="53"/>
        <v>10,000</v>
      </c>
    </row>
    <row r="987" spans="1:5" x14ac:dyDescent="0.25">
      <c r="A987">
        <v>311500</v>
      </c>
      <c r="B987" t="str">
        <f t="shared" si="54"/>
        <v>900142011</v>
      </c>
      <c r="C987">
        <f t="shared" si="55"/>
        <v>202112</v>
      </c>
      <c r="D987">
        <f>IF(OR(C987=1900,$D$868=0),0,VLOOKUP(A987,'Estados Financieros'!$A$11:$H$453,7,0))</f>
        <v>10</v>
      </c>
      <c r="E987" t="str">
        <f t="shared" si="53"/>
        <v>10,000</v>
      </c>
    </row>
    <row r="988" spans="1:5" x14ac:dyDescent="0.25">
      <c r="A988">
        <v>312000</v>
      </c>
      <c r="B988" t="str">
        <f t="shared" si="54"/>
        <v>900142011</v>
      </c>
      <c r="C988">
        <f t="shared" si="55"/>
        <v>202112</v>
      </c>
      <c r="D988">
        <f>IF(OR(C988=1900,$D$868=0),0,VLOOKUP(A988,'Estados Financieros'!$A$11:$H$453,7,0))</f>
        <v>10</v>
      </c>
      <c r="E988" t="str">
        <f t="shared" si="53"/>
        <v>10,000</v>
      </c>
    </row>
    <row r="989" spans="1:5" x14ac:dyDescent="0.25">
      <c r="A989">
        <v>312500</v>
      </c>
      <c r="B989" t="str">
        <f t="shared" si="54"/>
        <v>900142011</v>
      </c>
      <c r="C989">
        <f t="shared" si="55"/>
        <v>202112</v>
      </c>
      <c r="D989">
        <f>IF(OR(C989=1900,$D$868=0),0,VLOOKUP(A989,'Estados Financieros'!$A$11:$H$453,7,0))</f>
        <v>10</v>
      </c>
      <c r="E989" t="str">
        <f t="shared" si="53"/>
        <v>10,000</v>
      </c>
    </row>
    <row r="990" spans="1:5" x14ac:dyDescent="0.25">
      <c r="A990">
        <v>313000</v>
      </c>
      <c r="B990" t="str">
        <f t="shared" si="54"/>
        <v>900142011</v>
      </c>
      <c r="C990">
        <f t="shared" si="55"/>
        <v>202112</v>
      </c>
      <c r="D990">
        <f>IF(OR(C990=1900,$D$868=0),0,VLOOKUP(A990,'Estados Financieros'!$A$11:$H$453,7,0))</f>
        <v>10</v>
      </c>
      <c r="E990" t="str">
        <f t="shared" si="53"/>
        <v>10,000</v>
      </c>
    </row>
    <row r="991" spans="1:5" x14ac:dyDescent="0.25">
      <c r="A991">
        <v>313500</v>
      </c>
      <c r="B991" t="str">
        <f t="shared" si="54"/>
        <v>900142011</v>
      </c>
      <c r="C991">
        <f t="shared" si="55"/>
        <v>202112</v>
      </c>
      <c r="D991">
        <f>IF(OR(C991=1900,$D$868=0),0,VLOOKUP(A991,'Estados Financieros'!$A$11:$H$453,7,0))</f>
        <v>10</v>
      </c>
      <c r="E991" t="str">
        <f t="shared" si="53"/>
        <v>10,000</v>
      </c>
    </row>
    <row r="992" spans="1:5" x14ac:dyDescent="0.25">
      <c r="A992">
        <v>314000</v>
      </c>
      <c r="B992" t="str">
        <f t="shared" si="54"/>
        <v>900142011</v>
      </c>
      <c r="C992">
        <f t="shared" si="55"/>
        <v>202112</v>
      </c>
      <c r="D992">
        <f>IF(OR(C992=1900,$D$868=0),0,VLOOKUP(A992,'Estados Financieros'!$A$11:$H$453,7,0))</f>
        <v>10</v>
      </c>
      <c r="E992" t="str">
        <f t="shared" si="53"/>
        <v>10,000</v>
      </c>
    </row>
    <row r="993" spans="1:5" x14ac:dyDescent="0.25">
      <c r="A993">
        <v>31</v>
      </c>
      <c r="B993" t="str">
        <f t="shared" si="54"/>
        <v>900142011</v>
      </c>
      <c r="C993">
        <f t="shared" si="55"/>
        <v>202112</v>
      </c>
      <c r="D993">
        <f>IF(OR(C993=1900,$D$868=0),0,VLOOKUP(A993,'Estados Financieros'!$A$11:$H$453,7,0))</f>
        <v>70</v>
      </c>
      <c r="E993" t="str">
        <f t="shared" si="53"/>
        <v>70,000</v>
      </c>
    </row>
    <row r="994" spans="1:5" x14ac:dyDescent="0.25">
      <c r="A994">
        <v>320500</v>
      </c>
      <c r="B994" t="str">
        <f t="shared" si="54"/>
        <v>900142011</v>
      </c>
      <c r="C994">
        <f t="shared" si="55"/>
        <v>202112</v>
      </c>
      <c r="D994">
        <f>IF(OR(C994=1900,$D$868=0),0,VLOOKUP(A994,'Estados Financieros'!$A$11:$H$453,7,0))</f>
        <v>10</v>
      </c>
      <c r="E994" t="str">
        <f t="shared" si="53"/>
        <v>10,000</v>
      </c>
    </row>
    <row r="995" spans="1:5" x14ac:dyDescent="0.25">
      <c r="A995">
        <v>321000</v>
      </c>
      <c r="B995" t="str">
        <f t="shared" si="54"/>
        <v>900142011</v>
      </c>
      <c r="C995">
        <f t="shared" si="55"/>
        <v>202112</v>
      </c>
      <c r="D995">
        <f>IF(OR(C995=1900,$D$868=0),0,VLOOKUP(A995,'Estados Financieros'!$A$11:$H$453,7,0))</f>
        <v>10</v>
      </c>
      <c r="E995" t="str">
        <f t="shared" si="53"/>
        <v>10,000</v>
      </c>
    </row>
    <row r="996" spans="1:5" x14ac:dyDescent="0.25">
      <c r="A996">
        <v>321500</v>
      </c>
      <c r="B996" t="str">
        <f t="shared" si="54"/>
        <v>900142011</v>
      </c>
      <c r="C996">
        <f t="shared" si="55"/>
        <v>202112</v>
      </c>
      <c r="D996">
        <f>IF(OR(C996=1900,$D$868=0),0,VLOOKUP(A996,'Estados Financieros'!$A$11:$H$453,7,0))</f>
        <v>10</v>
      </c>
      <c r="E996" t="str">
        <f t="shared" si="53"/>
        <v>10,000</v>
      </c>
    </row>
    <row r="997" spans="1:5" x14ac:dyDescent="0.25">
      <c r="A997">
        <v>322000</v>
      </c>
      <c r="B997" t="str">
        <f t="shared" si="54"/>
        <v>900142011</v>
      </c>
      <c r="C997">
        <f t="shared" si="55"/>
        <v>202112</v>
      </c>
      <c r="D997">
        <f>IF(OR(C997=1900,$D$868=0),0,VLOOKUP(A997,'Estados Financieros'!$A$11:$H$453,7,0))</f>
        <v>10</v>
      </c>
      <c r="E997" t="str">
        <f t="shared" si="53"/>
        <v>10,000</v>
      </c>
    </row>
    <row r="998" spans="1:5" x14ac:dyDescent="0.25">
      <c r="A998">
        <v>322500</v>
      </c>
      <c r="B998" t="str">
        <f t="shared" si="54"/>
        <v>900142011</v>
      </c>
      <c r="C998">
        <f t="shared" si="55"/>
        <v>202112</v>
      </c>
      <c r="D998">
        <f>IF(OR(C998=1900,$D$868=0),0,VLOOKUP(A998,'Estados Financieros'!$A$11:$H$453,7,0))</f>
        <v>10</v>
      </c>
      <c r="E998" t="str">
        <f t="shared" si="53"/>
        <v>10,000</v>
      </c>
    </row>
    <row r="999" spans="1:5" x14ac:dyDescent="0.25">
      <c r="A999">
        <v>32</v>
      </c>
      <c r="B999" t="str">
        <f t="shared" si="54"/>
        <v>900142011</v>
      </c>
      <c r="C999">
        <f t="shared" si="55"/>
        <v>202112</v>
      </c>
      <c r="D999">
        <f>IF(OR(C999=1900,$D$868=0),0,VLOOKUP(A999,'Estados Financieros'!$A$11:$H$453,7,0))</f>
        <v>50</v>
      </c>
      <c r="E999" t="str">
        <f t="shared" si="53"/>
        <v>50,000</v>
      </c>
    </row>
    <row r="1000" spans="1:5" x14ac:dyDescent="0.25">
      <c r="A1000">
        <v>330500</v>
      </c>
      <c r="B1000" t="str">
        <f t="shared" si="54"/>
        <v>900142011</v>
      </c>
      <c r="C1000">
        <f t="shared" si="55"/>
        <v>202112</v>
      </c>
      <c r="D1000">
        <f>IF(OR(C1000=1900,$D$868=0),0,VLOOKUP(A1000,'Estados Financieros'!$A$11:$H$453,7,0))</f>
        <v>10</v>
      </c>
      <c r="E1000" t="str">
        <f t="shared" si="53"/>
        <v>10,000</v>
      </c>
    </row>
    <row r="1001" spans="1:5" x14ac:dyDescent="0.25">
      <c r="A1001">
        <v>331000</v>
      </c>
      <c r="B1001" t="str">
        <f t="shared" si="54"/>
        <v>900142011</v>
      </c>
      <c r="C1001">
        <f t="shared" si="55"/>
        <v>202112</v>
      </c>
      <c r="D1001">
        <f>IF(OR(C1001=1900,$D$868=0),0,VLOOKUP(A1001,'Estados Financieros'!$A$11:$H$453,7,0))</f>
        <v>10</v>
      </c>
      <c r="E1001" t="str">
        <f t="shared" si="53"/>
        <v>10,000</v>
      </c>
    </row>
    <row r="1002" spans="1:5" x14ac:dyDescent="0.25">
      <c r="A1002">
        <v>331500</v>
      </c>
      <c r="B1002" t="str">
        <f t="shared" si="54"/>
        <v>900142011</v>
      </c>
      <c r="C1002">
        <f t="shared" si="55"/>
        <v>202112</v>
      </c>
      <c r="D1002">
        <f>IF(OR(C1002=1900,$D$868=0),0,VLOOKUP(A1002,'Estados Financieros'!$A$11:$H$453,7,0))</f>
        <v>10</v>
      </c>
      <c r="E1002" t="str">
        <f t="shared" si="53"/>
        <v>10,000</v>
      </c>
    </row>
    <row r="1003" spans="1:5" x14ac:dyDescent="0.25">
      <c r="A1003">
        <v>33</v>
      </c>
      <c r="B1003" t="str">
        <f t="shared" si="54"/>
        <v>900142011</v>
      </c>
      <c r="C1003">
        <f t="shared" si="55"/>
        <v>202112</v>
      </c>
      <c r="D1003">
        <f>IF(OR(C1003=1900,$D$868=0),0,VLOOKUP(A1003,'Estados Financieros'!$A$11:$H$453,7,0))</f>
        <v>30</v>
      </c>
      <c r="E1003" t="str">
        <f t="shared" si="53"/>
        <v>30,000</v>
      </c>
    </row>
    <row r="1004" spans="1:5" x14ac:dyDescent="0.25">
      <c r="A1004">
        <v>340505</v>
      </c>
      <c r="B1004" t="str">
        <f t="shared" si="54"/>
        <v>900142011</v>
      </c>
      <c r="C1004">
        <f t="shared" si="55"/>
        <v>202112</v>
      </c>
      <c r="D1004">
        <f>IF(OR(C1004=1900,$D$868=0),0,VLOOKUP(A1004,'Estados Financieros'!$A$11:$H$453,7,0))</f>
        <v>10</v>
      </c>
      <c r="E1004" t="str">
        <f t="shared" si="53"/>
        <v>10,000</v>
      </c>
    </row>
    <row r="1005" spans="1:5" x14ac:dyDescent="0.25">
      <c r="A1005">
        <v>340515</v>
      </c>
      <c r="B1005" t="str">
        <f t="shared" si="54"/>
        <v>900142011</v>
      </c>
      <c r="C1005">
        <f t="shared" si="55"/>
        <v>202112</v>
      </c>
      <c r="D1005">
        <f>IF(OR(C1005=1900,$D$868=0),0,VLOOKUP(A1005,'Estados Financieros'!$A$11:$H$453,7,0))</f>
        <v>10</v>
      </c>
      <c r="E1005" t="str">
        <f t="shared" si="53"/>
        <v>10,000</v>
      </c>
    </row>
    <row r="1006" spans="1:5" x14ac:dyDescent="0.25">
      <c r="A1006">
        <v>349500</v>
      </c>
      <c r="B1006" t="str">
        <f t="shared" si="54"/>
        <v>900142011</v>
      </c>
      <c r="C1006">
        <f t="shared" si="55"/>
        <v>202112</v>
      </c>
      <c r="D1006">
        <f>IF(OR(C1006=1900,$D$868=0),0,VLOOKUP(A1006,'Estados Financieros'!$A$11:$H$453,7,0))</f>
        <v>10</v>
      </c>
      <c r="E1006" t="str">
        <f t="shared" si="53"/>
        <v>10,000</v>
      </c>
    </row>
    <row r="1007" spans="1:5" x14ac:dyDescent="0.25">
      <c r="A1007">
        <v>34</v>
      </c>
      <c r="B1007" t="str">
        <f t="shared" si="54"/>
        <v>900142011</v>
      </c>
      <c r="C1007">
        <f t="shared" si="55"/>
        <v>202112</v>
      </c>
      <c r="D1007">
        <f>IF(OR(C1007=1900,$D$868=0),0,VLOOKUP(A1007,'Estados Financieros'!$A$11:$H$453,7,0))</f>
        <v>40</v>
      </c>
      <c r="E1007" t="str">
        <f t="shared" si="53"/>
        <v>40,000</v>
      </c>
    </row>
    <row r="1008" spans="1:5" x14ac:dyDescent="0.25">
      <c r="A1008">
        <v>35</v>
      </c>
      <c r="B1008" t="str">
        <f t="shared" si="54"/>
        <v>900142011</v>
      </c>
      <c r="C1008">
        <f t="shared" si="55"/>
        <v>202112</v>
      </c>
      <c r="D1008">
        <f>IF(OR(C1008=1900,$D$868=0),0,VLOOKUP(A1008,'Estados Financieros'!$A$11:$H$453,7,0))</f>
        <v>10</v>
      </c>
      <c r="E1008" t="str">
        <f t="shared" si="53"/>
        <v>10,000</v>
      </c>
    </row>
    <row r="1009" spans="1:5" x14ac:dyDescent="0.25">
      <c r="A1009">
        <v>36</v>
      </c>
      <c r="B1009" t="str">
        <f t="shared" si="54"/>
        <v>900142011</v>
      </c>
      <c r="C1009">
        <f t="shared" si="55"/>
        <v>202112</v>
      </c>
      <c r="D1009">
        <f>IF(OR(C1009=1900,$D$868=0),0,VLOOKUP(A1009,'Estados Financieros'!$A$11:$H$453,7,0))</f>
        <v>2810</v>
      </c>
      <c r="E1009" t="str">
        <f t="shared" si="53"/>
        <v>2810,000</v>
      </c>
    </row>
    <row r="1010" spans="1:5" x14ac:dyDescent="0.25">
      <c r="A1010">
        <v>37</v>
      </c>
      <c r="B1010" t="str">
        <f t="shared" si="54"/>
        <v>900142011</v>
      </c>
      <c r="C1010">
        <f t="shared" si="55"/>
        <v>202112</v>
      </c>
      <c r="D1010">
        <f>IF(OR(C1010=1900,$D$868=0),0,VLOOKUP(A1010,'Estados Financieros'!$A$11:$H$453,7,0))</f>
        <v>10</v>
      </c>
      <c r="E1010" t="str">
        <f t="shared" si="53"/>
        <v>10,000</v>
      </c>
    </row>
    <row r="1011" spans="1:5" x14ac:dyDescent="0.25">
      <c r="A1011">
        <v>38</v>
      </c>
      <c r="B1011" t="str">
        <f t="shared" si="54"/>
        <v>900142011</v>
      </c>
      <c r="C1011">
        <f t="shared" si="55"/>
        <v>202112</v>
      </c>
      <c r="D1011">
        <f>IF(OR(C1011=1900,$D$868=0),0,VLOOKUP(A1011,'Estados Financieros'!$A$11:$H$453,7,0))</f>
        <v>10</v>
      </c>
      <c r="E1011" t="str">
        <f t="shared" si="53"/>
        <v>10,000</v>
      </c>
    </row>
    <row r="1012" spans="1:5" x14ac:dyDescent="0.25">
      <c r="A1012">
        <v>3</v>
      </c>
      <c r="B1012" t="str">
        <f t="shared" si="54"/>
        <v>900142011</v>
      </c>
      <c r="C1012">
        <f t="shared" si="55"/>
        <v>202112</v>
      </c>
      <c r="D1012">
        <f>IF(OR(C1012=1900,$D$868=0),0,VLOOKUP(A1012,'Estados Financieros'!$A$11:$H$453,7,0))</f>
        <v>3030</v>
      </c>
      <c r="E1012" t="str">
        <f t="shared" si="53"/>
        <v>3030,000</v>
      </c>
    </row>
    <row r="1013" spans="1:5" x14ac:dyDescent="0.25">
      <c r="A1013">
        <v>0</v>
      </c>
      <c r="B1013" t="str">
        <f t="shared" si="54"/>
        <v>900142011</v>
      </c>
      <c r="C1013">
        <f t="shared" si="55"/>
        <v>202112</v>
      </c>
      <c r="D1013">
        <f>IF(OR(C1013=1900,$D$868=0),0,VLOOKUP(A1013,'Estados Financieros'!$A$11:$H$453,7,0))</f>
        <v>3960</v>
      </c>
      <c r="E1013" t="str">
        <f t="shared" si="53"/>
        <v>3960,000</v>
      </c>
    </row>
    <row r="1014" spans="1:5" x14ac:dyDescent="0.25">
      <c r="A1014">
        <v>291000</v>
      </c>
      <c r="B1014" t="str">
        <f t="shared" si="54"/>
        <v>900142011</v>
      </c>
      <c r="C1014">
        <f t="shared" si="55"/>
        <v>202112</v>
      </c>
      <c r="D1014">
        <f>IF(OR(C1014=1900,$D$868=0),0,VLOOKUP(A1014,'Estados Financieros'!$A$11:$H$453,7,0))</f>
        <v>0</v>
      </c>
      <c r="E1014" t="str">
        <f t="shared" si="53"/>
        <v>0,000</v>
      </c>
    </row>
    <row r="1015" spans="1:5" x14ac:dyDescent="0.25">
      <c r="A1015">
        <v>292000</v>
      </c>
      <c r="B1015" t="str">
        <f t="shared" si="54"/>
        <v>900142011</v>
      </c>
      <c r="C1015">
        <f t="shared" si="55"/>
        <v>202112</v>
      </c>
      <c r="D1015">
        <f>IF(OR(C1015=1900,$D$868=0),0,VLOOKUP(A1015,'Estados Financieros'!$A$11:$H$453,7,0))</f>
        <v>0</v>
      </c>
      <c r="E1015" t="str">
        <f t="shared" si="53"/>
        <v>0,000</v>
      </c>
    </row>
    <row r="1016" spans="1:5" x14ac:dyDescent="0.25">
      <c r="A1016">
        <v>293000</v>
      </c>
      <c r="B1016" t="str">
        <f t="shared" si="54"/>
        <v>900142011</v>
      </c>
      <c r="C1016">
        <f t="shared" si="55"/>
        <v>202112</v>
      </c>
      <c r="D1016">
        <f>IF(OR(C1016=1900,$D$868=0),0,VLOOKUP(A1016,'Estados Financieros'!$A$11:$H$453,7,0))</f>
        <v>0</v>
      </c>
      <c r="E1016" t="str">
        <f t="shared" si="53"/>
        <v>0,000</v>
      </c>
    </row>
    <row r="1017" spans="1:5" x14ac:dyDescent="0.25">
      <c r="A1017">
        <v>294000</v>
      </c>
      <c r="B1017" t="str">
        <f t="shared" si="54"/>
        <v>900142011</v>
      </c>
      <c r="C1017">
        <f t="shared" si="55"/>
        <v>202112</v>
      </c>
      <c r="D1017">
        <f>IF(OR(C1017=1900,$D$868=0),0,VLOOKUP(A1017,'Estados Financieros'!$A$11:$H$453,7,0))</f>
        <v>0</v>
      </c>
      <c r="E1017" t="str">
        <f t="shared" si="53"/>
        <v>0,000</v>
      </c>
    </row>
    <row r="1018" spans="1:5" x14ac:dyDescent="0.25">
      <c r="A1018">
        <v>190000</v>
      </c>
      <c r="B1018" t="str">
        <f t="shared" si="54"/>
        <v>900142011</v>
      </c>
      <c r="C1018">
        <f t="shared" si="55"/>
        <v>202112</v>
      </c>
      <c r="D1018">
        <f>IF(OR(C1018=1900,$D$868=0),0,VLOOKUP(A1018,'Estados Financieros'!$A$11:$H$453,7,0))</f>
        <v>0</v>
      </c>
      <c r="E1018" t="str">
        <f t="shared" si="53"/>
        <v>0,000</v>
      </c>
    </row>
    <row r="1019" spans="1:5" x14ac:dyDescent="0.25">
      <c r="A1019">
        <v>410500</v>
      </c>
      <c r="B1019" t="str">
        <f t="shared" si="54"/>
        <v>900142011</v>
      </c>
      <c r="C1019">
        <f t="shared" si="55"/>
        <v>202112</v>
      </c>
      <c r="D1019">
        <f>IF(OR(C1019=1900,$D$868=0),0,VLOOKUP(A1019,'Estados Financieros'!$A$11:$H$453,7,0))</f>
        <v>2610</v>
      </c>
      <c r="E1019" t="str">
        <f t="shared" si="53"/>
        <v>2610,000</v>
      </c>
    </row>
    <row r="1020" spans="1:5" x14ac:dyDescent="0.25">
      <c r="A1020">
        <v>411000</v>
      </c>
      <c r="B1020" t="str">
        <f t="shared" si="54"/>
        <v>900142011</v>
      </c>
      <c r="C1020">
        <f t="shared" si="55"/>
        <v>202112</v>
      </c>
      <c r="D1020">
        <f>IF(OR(C1020=1900,$D$868=0),0,VLOOKUP(A1020,'Estados Financieros'!$A$11:$H$453,7,0))</f>
        <v>1000</v>
      </c>
      <c r="E1020" t="str">
        <f t="shared" si="53"/>
        <v>1000,000</v>
      </c>
    </row>
    <row r="1021" spans="1:5" x14ac:dyDescent="0.25">
      <c r="A1021">
        <v>41</v>
      </c>
      <c r="B1021" t="str">
        <f t="shared" si="54"/>
        <v>900142011</v>
      </c>
      <c r="C1021">
        <f t="shared" si="55"/>
        <v>202112</v>
      </c>
      <c r="D1021">
        <f>+D1020+D1019</f>
        <v>3610</v>
      </c>
      <c r="E1021" t="str">
        <f t="shared" si="53"/>
        <v>3610,000</v>
      </c>
    </row>
    <row r="1022" spans="1:5" x14ac:dyDescent="0.25">
      <c r="A1022">
        <v>61</v>
      </c>
      <c r="B1022" t="str">
        <f>+B1020</f>
        <v>900142011</v>
      </c>
      <c r="C1022">
        <f>+C1020</f>
        <v>202112</v>
      </c>
      <c r="D1022">
        <f>IF(OR(C1022=1900,$D$868=0),0,VLOOKUP(A1022,'Estados Financieros'!$A$11:$H$453,7,0))</f>
        <v>500</v>
      </c>
      <c r="E1022" t="str">
        <f t="shared" si="53"/>
        <v>500,000</v>
      </c>
    </row>
    <row r="1023" spans="1:5" x14ac:dyDescent="0.25">
      <c r="A1023">
        <v>606000</v>
      </c>
      <c r="B1023" t="str">
        <f t="shared" ref="B1023:B1054" si="56">+B1022</f>
        <v>900142011</v>
      </c>
      <c r="C1023">
        <f t="shared" ref="C1023:C1054" si="57">+C1022</f>
        <v>202112</v>
      </c>
      <c r="D1023">
        <f>IF(OR(C1023=1900,$D$868=0),0,VLOOKUP(A1023,'Estados Financieros'!$A$11:$H$453,7,0))</f>
        <v>0</v>
      </c>
      <c r="E1023" t="str">
        <f t="shared" si="53"/>
        <v>0,000</v>
      </c>
    </row>
    <row r="1024" spans="1:5" x14ac:dyDescent="0.25">
      <c r="A1024">
        <v>95</v>
      </c>
      <c r="B1024" t="str">
        <f t="shared" si="56"/>
        <v>900142011</v>
      </c>
      <c r="C1024">
        <f t="shared" si="57"/>
        <v>202112</v>
      </c>
      <c r="D1024">
        <f>IF(OR(C1024=1900,$D$868=0),0,VLOOKUP(A1024,'Estados Financieros'!$A$11:$H$453,7,0))</f>
        <v>3110</v>
      </c>
      <c r="E1024" t="str">
        <f t="shared" si="53"/>
        <v>3110,000</v>
      </c>
    </row>
    <row r="1025" spans="1:5" x14ac:dyDescent="0.25">
      <c r="A1025">
        <v>510500</v>
      </c>
      <c r="B1025" t="str">
        <f t="shared" si="56"/>
        <v>900142011</v>
      </c>
      <c r="C1025">
        <f t="shared" si="57"/>
        <v>202112</v>
      </c>
      <c r="D1025">
        <f>IF(OR(C1025=1900,$D$868=0),0,VLOOKUP(A1025,'Estados Financieros'!$A$11:$H$453,7,0))</f>
        <v>10</v>
      </c>
      <c r="E1025" t="str">
        <f t="shared" si="53"/>
        <v>10,000</v>
      </c>
    </row>
    <row r="1026" spans="1:5" x14ac:dyDescent="0.25">
      <c r="A1026">
        <v>511000</v>
      </c>
      <c r="B1026" t="str">
        <f t="shared" si="56"/>
        <v>900142011</v>
      </c>
      <c r="C1026">
        <f t="shared" si="57"/>
        <v>202112</v>
      </c>
      <c r="D1026">
        <f>IF(OR(C1026=1900,$D$868=0),0,VLOOKUP(A1026,'Estados Financieros'!$A$11:$H$453,7,0))</f>
        <v>10</v>
      </c>
      <c r="E1026" t="str">
        <f t="shared" ref="E1026:E1087" si="58">IFERROR(FIXED(D1026,3,1),0)</f>
        <v>10,000</v>
      </c>
    </row>
    <row r="1027" spans="1:5" x14ac:dyDescent="0.25">
      <c r="A1027">
        <v>511500</v>
      </c>
      <c r="B1027" t="str">
        <f t="shared" si="56"/>
        <v>900142011</v>
      </c>
      <c r="C1027">
        <f t="shared" si="57"/>
        <v>202112</v>
      </c>
      <c r="D1027">
        <f>IF(OR(C1027=1900,$D$868=0),0,VLOOKUP(A1027,'Estados Financieros'!$A$11:$H$453,7,0))</f>
        <v>10</v>
      </c>
      <c r="E1027" t="str">
        <f t="shared" si="58"/>
        <v>10,000</v>
      </c>
    </row>
    <row r="1028" spans="1:5" x14ac:dyDescent="0.25">
      <c r="A1028">
        <v>512000</v>
      </c>
      <c r="B1028" t="str">
        <f t="shared" si="56"/>
        <v>900142011</v>
      </c>
      <c r="C1028">
        <f t="shared" si="57"/>
        <v>202112</v>
      </c>
      <c r="D1028">
        <f>IF(OR(C1028=1900,$D$868=0),0,VLOOKUP(A1028,'Estados Financieros'!$A$11:$H$453,7,0))</f>
        <v>10</v>
      </c>
      <c r="E1028" t="str">
        <f t="shared" si="58"/>
        <v>10,000</v>
      </c>
    </row>
    <row r="1029" spans="1:5" x14ac:dyDescent="0.25">
      <c r="A1029">
        <v>512500</v>
      </c>
      <c r="B1029" t="str">
        <f t="shared" si="56"/>
        <v>900142011</v>
      </c>
      <c r="C1029">
        <f t="shared" si="57"/>
        <v>202112</v>
      </c>
      <c r="D1029">
        <f>IF(OR(C1029=1900,$D$868=0),0,VLOOKUP(A1029,'Estados Financieros'!$A$11:$H$453,7,0))</f>
        <v>10</v>
      </c>
      <c r="E1029" t="str">
        <f t="shared" si="58"/>
        <v>10,000</v>
      </c>
    </row>
    <row r="1030" spans="1:5" x14ac:dyDescent="0.25">
      <c r="A1030">
        <v>513000</v>
      </c>
      <c r="B1030" t="str">
        <f t="shared" si="56"/>
        <v>900142011</v>
      </c>
      <c r="C1030">
        <f t="shared" si="57"/>
        <v>202112</v>
      </c>
      <c r="D1030">
        <f>IF(OR(C1030=1900,$D$868=0),0,VLOOKUP(A1030,'Estados Financieros'!$A$11:$H$453,7,0))</f>
        <v>10</v>
      </c>
      <c r="E1030" t="str">
        <f t="shared" si="58"/>
        <v>10,000</v>
      </c>
    </row>
    <row r="1031" spans="1:5" x14ac:dyDescent="0.25">
      <c r="A1031">
        <v>513500</v>
      </c>
      <c r="B1031" t="str">
        <f t="shared" si="56"/>
        <v>900142011</v>
      </c>
      <c r="C1031">
        <f t="shared" si="57"/>
        <v>202112</v>
      </c>
      <c r="D1031">
        <f>IF(OR(C1031=1900,$D$868=0),0,VLOOKUP(A1031,'Estados Financieros'!$A$11:$H$453,7,0))</f>
        <v>10</v>
      </c>
      <c r="E1031" t="str">
        <f t="shared" si="58"/>
        <v>10,000</v>
      </c>
    </row>
    <row r="1032" spans="1:5" x14ac:dyDescent="0.25">
      <c r="A1032">
        <v>514000</v>
      </c>
      <c r="B1032" t="str">
        <f t="shared" si="56"/>
        <v>900142011</v>
      </c>
      <c r="C1032">
        <f t="shared" si="57"/>
        <v>202112</v>
      </c>
      <c r="D1032">
        <f>IF(OR(C1032=1900,$D$868=0),0,VLOOKUP(A1032,'Estados Financieros'!$A$11:$H$453,7,0))</f>
        <v>10</v>
      </c>
      <c r="E1032" t="str">
        <f t="shared" si="58"/>
        <v>10,000</v>
      </c>
    </row>
    <row r="1033" spans="1:5" x14ac:dyDescent="0.25">
      <c r="A1033">
        <v>514500</v>
      </c>
      <c r="B1033" t="str">
        <f t="shared" si="56"/>
        <v>900142011</v>
      </c>
      <c r="C1033">
        <f t="shared" si="57"/>
        <v>202112</v>
      </c>
      <c r="D1033">
        <f>IF(OR(C1033=1900,$D$868=0),0,VLOOKUP(A1033,'Estados Financieros'!$A$11:$H$453,7,0))</f>
        <v>10</v>
      </c>
      <c r="E1033" t="str">
        <f t="shared" si="58"/>
        <v>10,000</v>
      </c>
    </row>
    <row r="1034" spans="1:5" x14ac:dyDescent="0.25">
      <c r="A1034">
        <v>515000</v>
      </c>
      <c r="B1034" t="str">
        <f t="shared" si="56"/>
        <v>900142011</v>
      </c>
      <c r="C1034">
        <f t="shared" si="57"/>
        <v>202112</v>
      </c>
      <c r="D1034">
        <f>IF(OR(C1034=1900,$D$868=0),0,VLOOKUP(A1034,'Estados Financieros'!$A$11:$H$453,7,0))</f>
        <v>10</v>
      </c>
      <c r="E1034" t="str">
        <f t="shared" si="58"/>
        <v>10,000</v>
      </c>
    </row>
    <row r="1035" spans="1:5" x14ac:dyDescent="0.25">
      <c r="A1035">
        <v>515500</v>
      </c>
      <c r="B1035" t="str">
        <f t="shared" si="56"/>
        <v>900142011</v>
      </c>
      <c r="C1035">
        <f t="shared" si="57"/>
        <v>202112</v>
      </c>
      <c r="D1035">
        <f>IF(OR(C1035=1900,$D$868=0),0,VLOOKUP(A1035,'Estados Financieros'!$A$11:$H$453,7,0))</f>
        <v>10</v>
      </c>
      <c r="E1035" t="str">
        <f t="shared" si="58"/>
        <v>10,000</v>
      </c>
    </row>
    <row r="1036" spans="1:5" x14ac:dyDescent="0.25">
      <c r="A1036">
        <v>519500</v>
      </c>
      <c r="B1036" t="str">
        <f t="shared" si="56"/>
        <v>900142011</v>
      </c>
      <c r="C1036">
        <f t="shared" si="57"/>
        <v>202112</v>
      </c>
      <c r="D1036">
        <f>IF(OR(C1036=1900,$D$868=0),0,VLOOKUP(A1036,'Estados Financieros'!$A$11:$H$453,7,0))</f>
        <v>10</v>
      </c>
      <c r="E1036" t="str">
        <f t="shared" si="58"/>
        <v>10,000</v>
      </c>
    </row>
    <row r="1037" spans="1:5" x14ac:dyDescent="0.25">
      <c r="A1037">
        <v>516000</v>
      </c>
      <c r="B1037" t="str">
        <f t="shared" si="56"/>
        <v>900142011</v>
      </c>
      <c r="C1037">
        <f t="shared" si="57"/>
        <v>202112</v>
      </c>
      <c r="D1037">
        <f>IF(OR(C1037=1900,$D$868=0),0,VLOOKUP(A1037,'Estados Financieros'!$A$11:$H$453,7,0))</f>
        <v>10</v>
      </c>
      <c r="E1037" t="str">
        <f t="shared" si="58"/>
        <v>10,000</v>
      </c>
    </row>
    <row r="1038" spans="1:5" x14ac:dyDescent="0.25">
      <c r="A1038">
        <v>516500</v>
      </c>
      <c r="B1038" t="str">
        <f t="shared" si="56"/>
        <v>900142011</v>
      </c>
      <c r="C1038">
        <f t="shared" si="57"/>
        <v>202112</v>
      </c>
      <c r="D1038">
        <f>IF(OR(C1038=1900,$D$868=0),0,VLOOKUP(A1038,'Estados Financieros'!$A$11:$H$453,7,0))</f>
        <v>10</v>
      </c>
      <c r="E1038" t="str">
        <f t="shared" si="58"/>
        <v>10,000</v>
      </c>
    </row>
    <row r="1039" spans="1:5" x14ac:dyDescent="0.25">
      <c r="A1039">
        <v>519900</v>
      </c>
      <c r="B1039" t="str">
        <f t="shared" si="56"/>
        <v>900142011</v>
      </c>
      <c r="C1039">
        <f t="shared" si="57"/>
        <v>202112</v>
      </c>
      <c r="D1039">
        <f>IF(OR(C1039=1900,$D$868=0),0,VLOOKUP(A1039,'Estados Financieros'!$A$11:$H$453,7,0))</f>
        <v>10</v>
      </c>
      <c r="E1039" t="str">
        <f t="shared" si="58"/>
        <v>10,000</v>
      </c>
    </row>
    <row r="1040" spans="1:5" x14ac:dyDescent="0.25">
      <c r="A1040">
        <v>51</v>
      </c>
      <c r="B1040" t="str">
        <f t="shared" si="56"/>
        <v>900142011</v>
      </c>
      <c r="C1040">
        <f t="shared" si="57"/>
        <v>202112</v>
      </c>
      <c r="D1040">
        <f>IF(OR(C1040=1900,$D$868=0),0,VLOOKUP(A1040,'Estados Financieros'!$A$11:$H$453,7,0))</f>
        <v>150</v>
      </c>
      <c r="E1040" t="str">
        <f t="shared" si="58"/>
        <v>150,000</v>
      </c>
    </row>
    <row r="1041" spans="1:5" x14ac:dyDescent="0.25">
      <c r="A1041">
        <v>520500</v>
      </c>
      <c r="B1041" t="str">
        <f t="shared" si="56"/>
        <v>900142011</v>
      </c>
      <c r="C1041">
        <f t="shared" si="57"/>
        <v>202112</v>
      </c>
      <c r="D1041">
        <f>IF(OR(C1041=1900,$D$868=0),0,VLOOKUP(A1041,'Estados Financieros'!$A$11:$H$453,7,0))</f>
        <v>10</v>
      </c>
      <c r="E1041" t="str">
        <f t="shared" si="58"/>
        <v>10,000</v>
      </c>
    </row>
    <row r="1042" spans="1:5" x14ac:dyDescent="0.25">
      <c r="A1042">
        <v>521000</v>
      </c>
      <c r="B1042" t="str">
        <f t="shared" si="56"/>
        <v>900142011</v>
      </c>
      <c r="C1042">
        <f t="shared" si="57"/>
        <v>202112</v>
      </c>
      <c r="D1042">
        <f>IF(OR(C1042=1900,$D$868=0),0,VLOOKUP(A1042,'Estados Financieros'!$A$11:$H$453,7,0))</f>
        <v>10</v>
      </c>
      <c r="E1042" t="str">
        <f t="shared" si="58"/>
        <v>10,000</v>
      </c>
    </row>
    <row r="1043" spans="1:5" x14ac:dyDescent="0.25">
      <c r="A1043">
        <v>521500</v>
      </c>
      <c r="B1043" t="str">
        <f t="shared" si="56"/>
        <v>900142011</v>
      </c>
      <c r="C1043">
        <f t="shared" si="57"/>
        <v>202112</v>
      </c>
      <c r="D1043">
        <f>IF(OR(C1043=1900,$D$868=0),0,VLOOKUP(A1043,'Estados Financieros'!$A$11:$H$453,7,0))</f>
        <v>10</v>
      </c>
      <c r="E1043" t="str">
        <f t="shared" si="58"/>
        <v>10,000</v>
      </c>
    </row>
    <row r="1044" spans="1:5" x14ac:dyDescent="0.25">
      <c r="A1044">
        <v>522000</v>
      </c>
      <c r="B1044" t="str">
        <f t="shared" si="56"/>
        <v>900142011</v>
      </c>
      <c r="C1044">
        <f t="shared" si="57"/>
        <v>202112</v>
      </c>
      <c r="D1044">
        <f>IF(OR(C1044=1900,$D$868=0),0,VLOOKUP(A1044,'Estados Financieros'!$A$11:$H$453,7,0))</f>
        <v>10</v>
      </c>
      <c r="E1044" t="str">
        <f t="shared" si="58"/>
        <v>10,000</v>
      </c>
    </row>
    <row r="1045" spans="1:5" x14ac:dyDescent="0.25">
      <c r="A1045">
        <v>522500</v>
      </c>
      <c r="B1045" t="str">
        <f t="shared" si="56"/>
        <v>900142011</v>
      </c>
      <c r="C1045">
        <f t="shared" si="57"/>
        <v>202112</v>
      </c>
      <c r="D1045">
        <f>IF(OR(C1045=1900,$D$868=0),0,VLOOKUP(A1045,'Estados Financieros'!$A$11:$H$453,7,0))</f>
        <v>10</v>
      </c>
      <c r="E1045" t="str">
        <f t="shared" si="58"/>
        <v>10,000</v>
      </c>
    </row>
    <row r="1046" spans="1:5" x14ac:dyDescent="0.25">
      <c r="A1046">
        <v>523000</v>
      </c>
      <c r="B1046" t="str">
        <f t="shared" si="56"/>
        <v>900142011</v>
      </c>
      <c r="C1046">
        <f t="shared" si="57"/>
        <v>202112</v>
      </c>
      <c r="D1046">
        <f>IF(OR(C1046=1900,$D$868=0),0,VLOOKUP(A1046,'Estados Financieros'!$A$11:$H$453,7,0))</f>
        <v>10</v>
      </c>
      <c r="E1046" t="str">
        <f t="shared" si="58"/>
        <v>10,000</v>
      </c>
    </row>
    <row r="1047" spans="1:5" x14ac:dyDescent="0.25">
      <c r="A1047">
        <v>523500</v>
      </c>
      <c r="B1047" t="str">
        <f t="shared" si="56"/>
        <v>900142011</v>
      </c>
      <c r="C1047">
        <f t="shared" si="57"/>
        <v>202112</v>
      </c>
      <c r="D1047">
        <f>IF(OR(C1047=1900,$D$868=0),0,VLOOKUP(A1047,'Estados Financieros'!$A$11:$H$453,7,0))</f>
        <v>10</v>
      </c>
      <c r="E1047" t="str">
        <f t="shared" si="58"/>
        <v>10,000</v>
      </c>
    </row>
    <row r="1048" spans="1:5" x14ac:dyDescent="0.25">
      <c r="A1048">
        <v>524000</v>
      </c>
      <c r="B1048" t="str">
        <f t="shared" si="56"/>
        <v>900142011</v>
      </c>
      <c r="C1048">
        <f t="shared" si="57"/>
        <v>202112</v>
      </c>
      <c r="D1048">
        <f>IF(OR(C1048=1900,$D$868=0),0,VLOOKUP(A1048,'Estados Financieros'!$A$11:$H$453,7,0))</f>
        <v>10</v>
      </c>
      <c r="E1048" t="str">
        <f t="shared" si="58"/>
        <v>10,000</v>
      </c>
    </row>
    <row r="1049" spans="1:5" x14ac:dyDescent="0.25">
      <c r="A1049">
        <v>524500</v>
      </c>
      <c r="B1049" t="str">
        <f t="shared" si="56"/>
        <v>900142011</v>
      </c>
      <c r="C1049">
        <f t="shared" si="57"/>
        <v>202112</v>
      </c>
      <c r="D1049">
        <f>IF(OR(C1049=1900,$D$868=0),0,VLOOKUP(A1049,'Estados Financieros'!$A$11:$H$453,7,0))</f>
        <v>10</v>
      </c>
      <c r="E1049" t="str">
        <f t="shared" si="58"/>
        <v>10,000</v>
      </c>
    </row>
    <row r="1050" spans="1:5" x14ac:dyDescent="0.25">
      <c r="A1050">
        <v>525000</v>
      </c>
      <c r="B1050" t="str">
        <f t="shared" si="56"/>
        <v>900142011</v>
      </c>
      <c r="C1050">
        <f t="shared" si="57"/>
        <v>202112</v>
      </c>
      <c r="D1050">
        <f>IF(OR(C1050=1900,$D$868=0),0,VLOOKUP(A1050,'Estados Financieros'!$A$11:$H$453,7,0))</f>
        <v>10</v>
      </c>
      <c r="E1050" t="str">
        <f t="shared" si="58"/>
        <v>10,000</v>
      </c>
    </row>
    <row r="1051" spans="1:5" x14ac:dyDescent="0.25">
      <c r="A1051">
        <v>525500</v>
      </c>
      <c r="B1051" t="str">
        <f t="shared" si="56"/>
        <v>900142011</v>
      </c>
      <c r="C1051">
        <f t="shared" si="57"/>
        <v>202112</v>
      </c>
      <c r="D1051">
        <f>IF(OR(C1051=1900,$D$868=0),0,VLOOKUP(A1051,'Estados Financieros'!$A$11:$H$453,7,0))</f>
        <v>10</v>
      </c>
      <c r="E1051" t="str">
        <f t="shared" si="58"/>
        <v>10,000</v>
      </c>
    </row>
    <row r="1052" spans="1:5" x14ac:dyDescent="0.25">
      <c r="A1052">
        <v>529500</v>
      </c>
      <c r="B1052" t="str">
        <f t="shared" si="56"/>
        <v>900142011</v>
      </c>
      <c r="C1052">
        <f t="shared" si="57"/>
        <v>202112</v>
      </c>
      <c r="D1052">
        <f>IF(OR(C1052=1900,$D$868=0),0,VLOOKUP(A1052,'Estados Financieros'!$A$11:$H$453,7,0))</f>
        <v>10</v>
      </c>
      <c r="E1052" t="str">
        <f t="shared" si="58"/>
        <v>10,000</v>
      </c>
    </row>
    <row r="1053" spans="1:5" x14ac:dyDescent="0.25">
      <c r="A1053">
        <v>526000</v>
      </c>
      <c r="B1053" t="str">
        <f t="shared" si="56"/>
        <v>900142011</v>
      </c>
      <c r="C1053">
        <f t="shared" si="57"/>
        <v>202112</v>
      </c>
      <c r="D1053">
        <f>IF(OR(C1053=1900,$D$868=0),0,VLOOKUP(A1053,'Estados Financieros'!$A$11:$H$453,7,0))</f>
        <v>10</v>
      </c>
      <c r="E1053" t="str">
        <f t="shared" si="58"/>
        <v>10,000</v>
      </c>
    </row>
    <row r="1054" spans="1:5" x14ac:dyDescent="0.25">
      <c r="A1054">
        <v>526500</v>
      </c>
      <c r="B1054" t="str">
        <f t="shared" si="56"/>
        <v>900142011</v>
      </c>
      <c r="C1054">
        <f t="shared" si="57"/>
        <v>202112</v>
      </c>
      <c r="D1054">
        <f>IF(OR(C1054=1900,$D$868=0),0,VLOOKUP(A1054,'Estados Financieros'!$A$11:$H$453,7,0))</f>
        <v>10</v>
      </c>
      <c r="E1054" t="str">
        <f t="shared" si="58"/>
        <v>10,000</v>
      </c>
    </row>
    <row r="1055" spans="1:5" x14ac:dyDescent="0.25">
      <c r="A1055">
        <v>529900</v>
      </c>
      <c r="B1055" t="str">
        <f t="shared" ref="B1055:B1087" si="59">+B1054</f>
        <v>900142011</v>
      </c>
      <c r="C1055">
        <f t="shared" ref="C1055:C1087" si="60">+C1054</f>
        <v>202112</v>
      </c>
      <c r="D1055">
        <f>IF(OR(C1055=1900,$D$868=0),0,VLOOKUP(A1055,'Estados Financieros'!$A$11:$H$453,7,0))</f>
        <v>10</v>
      </c>
      <c r="E1055" t="str">
        <f t="shared" si="58"/>
        <v>10,000</v>
      </c>
    </row>
    <row r="1056" spans="1:5" x14ac:dyDescent="0.25">
      <c r="A1056">
        <v>52</v>
      </c>
      <c r="B1056" t="str">
        <f t="shared" si="59"/>
        <v>900142011</v>
      </c>
      <c r="C1056">
        <f t="shared" si="60"/>
        <v>202112</v>
      </c>
      <c r="D1056">
        <f>IF(OR(C1056=1900,$D$868=0),0,VLOOKUP(A1056,'Estados Financieros'!$A$11:$H$453,7,0))</f>
        <v>150</v>
      </c>
      <c r="E1056" t="str">
        <f t="shared" si="58"/>
        <v>150,000</v>
      </c>
    </row>
    <row r="1057" spans="1:5" x14ac:dyDescent="0.25">
      <c r="A1057">
        <v>96</v>
      </c>
      <c r="B1057" t="str">
        <f t="shared" si="59"/>
        <v>900142011</v>
      </c>
      <c r="C1057">
        <f t="shared" si="60"/>
        <v>202112</v>
      </c>
      <c r="D1057">
        <f>IF(OR(C1057=1900,$D$868=0),0,VLOOKUP(A1057,'Estados Financieros'!$A$11:$H$453,7,0))</f>
        <v>2810</v>
      </c>
      <c r="E1057" t="str">
        <f t="shared" si="58"/>
        <v>2810,000</v>
      </c>
    </row>
    <row r="1058" spans="1:5" x14ac:dyDescent="0.25">
      <c r="A1058">
        <v>421000</v>
      </c>
      <c r="B1058" t="str">
        <f t="shared" si="59"/>
        <v>900142011</v>
      </c>
      <c r="C1058">
        <f t="shared" si="60"/>
        <v>202112</v>
      </c>
      <c r="D1058">
        <f>IF(OR(C1058=1900,$D$868=0),0,VLOOKUP(A1058,'Estados Financieros'!$A$11:$H$453,7,0))</f>
        <v>10</v>
      </c>
      <c r="E1058" t="str">
        <f t="shared" si="58"/>
        <v>10,000</v>
      </c>
    </row>
    <row r="1059" spans="1:5" x14ac:dyDescent="0.25">
      <c r="A1059">
        <v>421020</v>
      </c>
      <c r="B1059" t="str">
        <f t="shared" si="59"/>
        <v>900142011</v>
      </c>
      <c r="C1059">
        <f t="shared" si="60"/>
        <v>202112</v>
      </c>
      <c r="D1059">
        <f>IF(OR(C1059=1900,$D$868=0),0,VLOOKUP(A1059,'Estados Financieros'!$A$11:$H$453,7,0))</f>
        <v>10</v>
      </c>
      <c r="E1059" t="str">
        <f t="shared" si="58"/>
        <v>10,000</v>
      </c>
    </row>
    <row r="1060" spans="1:5" x14ac:dyDescent="0.25">
      <c r="A1060">
        <v>420500</v>
      </c>
      <c r="B1060" t="str">
        <f t="shared" si="59"/>
        <v>900142011</v>
      </c>
      <c r="C1060">
        <f t="shared" si="60"/>
        <v>202112</v>
      </c>
      <c r="D1060">
        <f>IF(OR(C1060=1900,$D$868=0),0,VLOOKUP(A1060,'Estados Financieros'!$A$11:$H$453,7,0))</f>
        <v>10</v>
      </c>
      <c r="E1060" t="str">
        <f t="shared" si="58"/>
        <v>10,000</v>
      </c>
    </row>
    <row r="1061" spans="1:5" x14ac:dyDescent="0.25">
      <c r="A1061">
        <v>421040</v>
      </c>
      <c r="B1061" t="str">
        <f t="shared" si="59"/>
        <v>900142011</v>
      </c>
      <c r="C1061">
        <f t="shared" si="60"/>
        <v>202112</v>
      </c>
      <c r="D1061">
        <f>IF(OR(C1061=1900,$D$868=0),0,VLOOKUP(A1061,'Estados Financieros'!$A$11:$H$453,7,0))</f>
        <v>10</v>
      </c>
      <c r="E1061" t="str">
        <f t="shared" si="58"/>
        <v>10,000</v>
      </c>
    </row>
    <row r="1062" spans="1:5" x14ac:dyDescent="0.25">
      <c r="A1062">
        <v>421500</v>
      </c>
      <c r="B1062" t="str">
        <f t="shared" si="59"/>
        <v>900142011</v>
      </c>
      <c r="C1062">
        <f t="shared" si="60"/>
        <v>202112</v>
      </c>
      <c r="D1062">
        <f>IF(OR(C1062=1900,$D$868=0),0,VLOOKUP(A1062,'Estados Financieros'!$A$11:$H$453,7,0))</f>
        <v>10</v>
      </c>
      <c r="E1062" t="str">
        <f t="shared" si="58"/>
        <v>10,000</v>
      </c>
    </row>
    <row r="1063" spans="1:5" x14ac:dyDescent="0.25">
      <c r="A1063">
        <v>422000</v>
      </c>
      <c r="B1063" t="str">
        <f t="shared" si="59"/>
        <v>900142011</v>
      </c>
      <c r="C1063">
        <f t="shared" si="60"/>
        <v>202112</v>
      </c>
      <c r="D1063">
        <f>IF(OR(C1063=1900,$D$868=0),0,VLOOKUP(A1063,'Estados Financieros'!$A$11:$H$453,7,0))</f>
        <v>10</v>
      </c>
      <c r="E1063" t="str">
        <f t="shared" si="58"/>
        <v>10,000</v>
      </c>
    </row>
    <row r="1064" spans="1:5" x14ac:dyDescent="0.25">
      <c r="A1064">
        <v>422500</v>
      </c>
      <c r="B1064" t="str">
        <f t="shared" si="59"/>
        <v>900142011</v>
      </c>
      <c r="C1064">
        <f t="shared" si="60"/>
        <v>202112</v>
      </c>
      <c r="D1064">
        <f>IF(OR(C1064=1900,$D$868=0),0,VLOOKUP(A1064,'Estados Financieros'!$A$11:$H$453,7,0))</f>
        <v>10</v>
      </c>
      <c r="E1064" t="str">
        <f t="shared" si="58"/>
        <v>10,000</v>
      </c>
    </row>
    <row r="1065" spans="1:5" x14ac:dyDescent="0.25">
      <c r="A1065">
        <v>423500</v>
      </c>
      <c r="B1065" t="str">
        <f t="shared" si="59"/>
        <v>900142011</v>
      </c>
      <c r="C1065">
        <f t="shared" si="60"/>
        <v>202112</v>
      </c>
      <c r="D1065">
        <f>IF(OR(C1065=1900,$D$868=0),0,VLOOKUP(A1065,'Estados Financieros'!$A$11:$H$453,7,0))</f>
        <v>10</v>
      </c>
      <c r="E1065" t="str">
        <f t="shared" si="58"/>
        <v>10,000</v>
      </c>
    </row>
    <row r="1066" spans="1:5" x14ac:dyDescent="0.25">
      <c r="A1066">
        <v>424000</v>
      </c>
      <c r="B1066" t="str">
        <f t="shared" si="59"/>
        <v>900142011</v>
      </c>
      <c r="C1066">
        <f t="shared" si="60"/>
        <v>202112</v>
      </c>
      <c r="D1066">
        <f>IF(OR(C1066=1900,$D$868=0),0,VLOOKUP(A1066,'Estados Financieros'!$A$11:$H$453,7,0))</f>
        <v>10</v>
      </c>
      <c r="E1066" t="str">
        <f t="shared" si="58"/>
        <v>10,000</v>
      </c>
    </row>
    <row r="1067" spans="1:5" x14ac:dyDescent="0.25">
      <c r="A1067">
        <v>425000</v>
      </c>
      <c r="B1067" t="str">
        <f t="shared" si="59"/>
        <v>900142011</v>
      </c>
      <c r="C1067">
        <f t="shared" si="60"/>
        <v>202112</v>
      </c>
      <c r="D1067">
        <f>IF(OR(C1067=1900,$D$868=0),0,VLOOKUP(A1067,'Estados Financieros'!$A$11:$H$453,7,0))</f>
        <v>10</v>
      </c>
      <c r="E1067" t="str">
        <f t="shared" si="58"/>
        <v>10,000</v>
      </c>
    </row>
    <row r="1068" spans="1:5" x14ac:dyDescent="0.25">
      <c r="A1068">
        <v>426500</v>
      </c>
      <c r="B1068" t="str">
        <f t="shared" si="59"/>
        <v>900142011</v>
      </c>
      <c r="C1068">
        <f t="shared" si="60"/>
        <v>202112</v>
      </c>
      <c r="D1068">
        <f>IF(OR(C1068=1900,$D$868=0),0,VLOOKUP(A1068,'Estados Financieros'!$A$11:$H$453,7,0))</f>
        <v>10</v>
      </c>
      <c r="E1068" t="str">
        <f t="shared" si="58"/>
        <v>10,000</v>
      </c>
    </row>
    <row r="1069" spans="1:5" x14ac:dyDescent="0.25">
      <c r="A1069">
        <v>429500</v>
      </c>
      <c r="B1069" t="str">
        <f t="shared" si="59"/>
        <v>900142011</v>
      </c>
      <c r="C1069">
        <f t="shared" si="60"/>
        <v>202112</v>
      </c>
      <c r="D1069">
        <f>IF(OR(C1069=1900,$D$868=0),0,VLOOKUP(A1069,'Estados Financieros'!$A$11:$H$453,7,0))</f>
        <v>10</v>
      </c>
      <c r="E1069" t="str">
        <f t="shared" si="58"/>
        <v>10,000</v>
      </c>
    </row>
    <row r="1070" spans="1:5" x14ac:dyDescent="0.25">
      <c r="A1070">
        <v>42</v>
      </c>
      <c r="B1070" t="str">
        <f t="shared" si="59"/>
        <v>900142011</v>
      </c>
      <c r="C1070">
        <f t="shared" si="60"/>
        <v>202112</v>
      </c>
      <c r="D1070">
        <f>IF(OR(C1070=1900,$D$868=0),0,VLOOKUP(A1070,'Estados Financieros'!$A$11:$H$453,7,0))</f>
        <v>120</v>
      </c>
      <c r="E1070" t="str">
        <f t="shared" si="58"/>
        <v>120,000</v>
      </c>
    </row>
    <row r="1071" spans="1:5" x14ac:dyDescent="0.25">
      <c r="A1071">
        <v>5301</v>
      </c>
      <c r="B1071" t="str">
        <f t="shared" si="59"/>
        <v>900142011</v>
      </c>
      <c r="C1071">
        <f t="shared" si="60"/>
        <v>202112</v>
      </c>
      <c r="D1071">
        <f>IF(OR(C1071=1900,$D$868=0),0,VLOOKUP(A1071,'Estados Financieros'!$A$11:$H$453,7,0))</f>
        <v>10</v>
      </c>
      <c r="E1071" t="str">
        <f t="shared" si="58"/>
        <v>10,000</v>
      </c>
    </row>
    <row r="1072" spans="1:5" x14ac:dyDescent="0.25">
      <c r="A1072">
        <v>530525</v>
      </c>
      <c r="B1072" t="str">
        <f t="shared" si="59"/>
        <v>900142011</v>
      </c>
      <c r="C1072">
        <f t="shared" si="60"/>
        <v>202112</v>
      </c>
      <c r="D1072">
        <f>IF(OR(C1072=1900,$D$868=0),0,VLOOKUP(A1072,'Estados Financieros'!$A$11:$H$453,7,0))</f>
        <v>10</v>
      </c>
      <c r="E1072" t="str">
        <f t="shared" si="58"/>
        <v>10,000</v>
      </c>
    </row>
    <row r="1073" spans="1:5" x14ac:dyDescent="0.25">
      <c r="A1073">
        <v>530505</v>
      </c>
      <c r="B1073" t="str">
        <f t="shared" si="59"/>
        <v>900142011</v>
      </c>
      <c r="C1073">
        <f t="shared" si="60"/>
        <v>202112</v>
      </c>
      <c r="D1073">
        <f>IF(OR(C1073=1900,$D$868=0),0,VLOOKUP(A1073,'Estados Financieros'!$A$11:$H$453,7,0))</f>
        <v>10</v>
      </c>
      <c r="E1073" t="str">
        <f t="shared" si="58"/>
        <v>10,000</v>
      </c>
    </row>
    <row r="1074" spans="1:5" x14ac:dyDescent="0.25">
      <c r="A1074">
        <v>530515</v>
      </c>
      <c r="B1074" t="str">
        <f t="shared" si="59"/>
        <v>900142011</v>
      </c>
      <c r="C1074">
        <f t="shared" si="60"/>
        <v>202112</v>
      </c>
      <c r="D1074">
        <f>IF(OR(C1074=1900,$D$868=0),0,VLOOKUP(A1074,'Estados Financieros'!$A$11:$H$453,7,0))</f>
        <v>10</v>
      </c>
      <c r="E1074" t="str">
        <f t="shared" si="58"/>
        <v>10,000</v>
      </c>
    </row>
    <row r="1075" spans="1:5" x14ac:dyDescent="0.25">
      <c r="A1075">
        <v>530535</v>
      </c>
      <c r="B1075" t="str">
        <f t="shared" si="59"/>
        <v>900142011</v>
      </c>
      <c r="C1075">
        <f t="shared" si="60"/>
        <v>202112</v>
      </c>
      <c r="D1075">
        <f>IF(OR(C1075=1900,$D$868=0),0,VLOOKUP(A1075,'Estados Financieros'!$A$11:$H$453,7,0))</f>
        <v>10</v>
      </c>
      <c r="E1075" t="str">
        <f t="shared" si="58"/>
        <v>10,000</v>
      </c>
    </row>
    <row r="1076" spans="1:5" x14ac:dyDescent="0.25">
      <c r="A1076">
        <v>531000</v>
      </c>
      <c r="B1076" t="str">
        <f t="shared" si="59"/>
        <v>900142011</v>
      </c>
      <c r="C1076">
        <f t="shared" si="60"/>
        <v>202112</v>
      </c>
      <c r="D1076">
        <f>IF(OR(C1076=1900,$D$868=0),0,VLOOKUP(A1076,'Estados Financieros'!$A$11:$H$453,7,0))</f>
        <v>10</v>
      </c>
      <c r="E1076" t="str">
        <f t="shared" si="58"/>
        <v>10,000</v>
      </c>
    </row>
    <row r="1077" spans="1:5" x14ac:dyDescent="0.25">
      <c r="A1077">
        <v>531300</v>
      </c>
      <c r="B1077" t="str">
        <f t="shared" si="59"/>
        <v>900142011</v>
      </c>
      <c r="C1077">
        <f t="shared" si="60"/>
        <v>202112</v>
      </c>
      <c r="D1077">
        <f>IF(OR(C1077=1900,$D$868=0),0,VLOOKUP(A1077,'Estados Financieros'!$A$11:$H$453,7,0))</f>
        <v>10</v>
      </c>
      <c r="E1077" t="str">
        <f t="shared" si="58"/>
        <v>10,000</v>
      </c>
    </row>
    <row r="1078" spans="1:5" x14ac:dyDescent="0.25">
      <c r="A1078">
        <v>531500</v>
      </c>
      <c r="B1078" t="str">
        <f t="shared" si="59"/>
        <v>900142011</v>
      </c>
      <c r="C1078">
        <f t="shared" si="60"/>
        <v>202112</v>
      </c>
      <c r="D1078">
        <f>IF(OR(C1078=1900,$D$868=0),0,VLOOKUP(A1078,'Estados Financieros'!$A$11:$H$453,7,0))</f>
        <v>10</v>
      </c>
      <c r="E1078" t="str">
        <f t="shared" si="58"/>
        <v>10,000</v>
      </c>
    </row>
    <row r="1079" spans="1:5" x14ac:dyDescent="0.25">
      <c r="A1079">
        <v>531515</v>
      </c>
      <c r="B1079" t="str">
        <f t="shared" si="59"/>
        <v>900142011</v>
      </c>
      <c r="C1079">
        <f t="shared" si="60"/>
        <v>202112</v>
      </c>
      <c r="D1079">
        <f>IF(OR(C1079=1900,$D$868=0),0,VLOOKUP(A1079,'Estados Financieros'!$A$11:$H$453,7,0))</f>
        <v>10</v>
      </c>
      <c r="E1079" t="str">
        <f t="shared" si="58"/>
        <v>10,000</v>
      </c>
    </row>
    <row r="1080" spans="1:5" x14ac:dyDescent="0.25">
      <c r="A1080">
        <v>531520</v>
      </c>
      <c r="B1080" t="str">
        <f t="shared" si="59"/>
        <v>900142011</v>
      </c>
      <c r="C1080">
        <f t="shared" si="60"/>
        <v>202112</v>
      </c>
      <c r="D1080">
        <f>IF(OR(C1080=1900,$D$868=0),0,VLOOKUP(A1080,'Estados Financieros'!$A$11:$H$453,7,0))</f>
        <v>10</v>
      </c>
      <c r="E1080" t="str">
        <f t="shared" si="58"/>
        <v>10,000</v>
      </c>
    </row>
    <row r="1081" spans="1:5" x14ac:dyDescent="0.25">
      <c r="A1081">
        <v>539525</v>
      </c>
      <c r="B1081" t="str">
        <f t="shared" si="59"/>
        <v>900142011</v>
      </c>
      <c r="C1081">
        <f t="shared" si="60"/>
        <v>202112</v>
      </c>
      <c r="D1081">
        <f>IF(OR(C1081=1900,$D$868=0),0,VLOOKUP(A1081,'Estados Financieros'!$A$11:$H$453,7,0))</f>
        <v>10</v>
      </c>
      <c r="E1081" t="str">
        <f t="shared" si="58"/>
        <v>10,000</v>
      </c>
    </row>
    <row r="1082" spans="1:5" x14ac:dyDescent="0.25">
      <c r="A1082">
        <v>539595</v>
      </c>
      <c r="B1082" t="str">
        <f t="shared" si="59"/>
        <v>900142011</v>
      </c>
      <c r="C1082">
        <f t="shared" si="60"/>
        <v>202112</v>
      </c>
      <c r="D1082">
        <f>IF(OR(C1082=1900,$D$868=0),0,VLOOKUP(A1082,'Estados Financieros'!$A$11:$H$453,7,0))</f>
        <v>10</v>
      </c>
      <c r="E1082" t="str">
        <f t="shared" si="58"/>
        <v>10,000</v>
      </c>
    </row>
    <row r="1083" spans="1:5" x14ac:dyDescent="0.25">
      <c r="A1083">
        <v>53</v>
      </c>
      <c r="B1083" t="str">
        <f t="shared" si="59"/>
        <v>900142011</v>
      </c>
      <c r="C1083">
        <f t="shared" si="60"/>
        <v>202112</v>
      </c>
      <c r="D1083">
        <f>IF(OR(C1083=1900,$D$868=0),0,VLOOKUP(A1083,'Estados Financieros'!$A$11:$H$453,7,0))</f>
        <v>120</v>
      </c>
      <c r="E1083" t="str">
        <f t="shared" si="58"/>
        <v>120,000</v>
      </c>
    </row>
    <row r="1084" spans="1:5" x14ac:dyDescent="0.25">
      <c r="A1084">
        <v>98</v>
      </c>
      <c r="B1084" t="str">
        <f t="shared" si="59"/>
        <v>900142011</v>
      </c>
      <c r="C1084">
        <f t="shared" si="60"/>
        <v>202112</v>
      </c>
      <c r="D1084">
        <f>IF(OR(C1084=1900,$D$868=0),0,VLOOKUP(A1084,'Estados Financieros'!$A$11:$H$453,7,0))</f>
        <v>0</v>
      </c>
      <c r="E1084" t="str">
        <f t="shared" si="58"/>
        <v>0,000</v>
      </c>
    </row>
    <row r="1085" spans="1:5" x14ac:dyDescent="0.25">
      <c r="A1085">
        <v>97</v>
      </c>
      <c r="B1085" t="str">
        <f t="shared" si="59"/>
        <v>900142011</v>
      </c>
      <c r="C1085">
        <f t="shared" si="60"/>
        <v>202112</v>
      </c>
      <c r="D1085">
        <f>IF(OR(C1085=1900,$D$868=0),0,VLOOKUP(A1085,'Estados Financieros'!$A$11:$H$453,7,0))</f>
        <v>2810</v>
      </c>
      <c r="E1085" t="str">
        <f t="shared" si="58"/>
        <v>2810,000</v>
      </c>
    </row>
    <row r="1086" spans="1:5" x14ac:dyDescent="0.25">
      <c r="A1086">
        <v>54</v>
      </c>
      <c r="B1086" t="str">
        <f t="shared" si="59"/>
        <v>900142011</v>
      </c>
      <c r="C1086">
        <f t="shared" si="60"/>
        <v>202112</v>
      </c>
      <c r="D1086">
        <f>IF(OR(C1086=1900,$D$868=0),0,VLOOKUP(A1086,'Estados Financieros'!$A$11:$H$453,7,0))</f>
        <v>0</v>
      </c>
      <c r="E1086" t="str">
        <f t="shared" si="58"/>
        <v>0,000</v>
      </c>
    </row>
    <row r="1087" spans="1:5" x14ac:dyDescent="0.25">
      <c r="A1087">
        <v>99</v>
      </c>
      <c r="B1087" t="str">
        <f t="shared" si="59"/>
        <v>900142011</v>
      </c>
      <c r="C1087">
        <f t="shared" si="60"/>
        <v>202112</v>
      </c>
      <c r="D1087">
        <f>IF(OR(C1087=1900,$D$868=0),0,VLOOKUP(A1087,'Estados Financieros'!$A$11:$H$453,7,0))</f>
        <v>2810</v>
      </c>
      <c r="E1087" t="str">
        <f t="shared" si="58"/>
        <v>2810,000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E725"/>
  <sheetViews>
    <sheetView workbookViewId="0"/>
  </sheetViews>
  <sheetFormatPr baseColWidth="10" defaultRowHeight="15" x14ac:dyDescent="0.25"/>
  <sheetData>
    <row r="1" spans="1:5" x14ac:dyDescent="0.25">
      <c r="A1" t="s">
        <v>38</v>
      </c>
      <c r="B1" t="s">
        <v>0</v>
      </c>
      <c r="C1" t="s">
        <v>39</v>
      </c>
      <c r="D1" t="s">
        <v>40</v>
      </c>
      <c r="E1" t="s">
        <v>41</v>
      </c>
    </row>
    <row r="2" spans="1:5" x14ac:dyDescent="0.25">
      <c r="A2">
        <v>110105</v>
      </c>
      <c r="B2" t="str">
        <f>IF(C2=1900,"",'RC'!$D$6)</f>
        <v>900142011</v>
      </c>
      <c r="C2">
        <f>IF(OR('RC'!$D$6=0,'RC'!$D$6="",'Estados Financieros'!$I$178=0,'Estados Financieros'!$I$375&lt;&gt;"OK",'Estados Financieros'!$I$458&lt;&gt;"OK",'Estados Financieros'!$I$460&lt;&gt;"OK"),1900,'Estados Financieros'!O4+0)</f>
        <v>202006</v>
      </c>
      <c r="D2">
        <f>IF(OR(C2=1900,$D$144=0),0,VLOOKUP(A2,'Estados Financieros'!$A$11:$I$453,9,0))</f>
        <v>30</v>
      </c>
      <c r="E2" t="str">
        <f t="shared" ref="E2:E65" si="0">IFERROR(FIXED(D2,3,1),0)</f>
        <v>30,000</v>
      </c>
    </row>
    <row r="3" spans="1:5" x14ac:dyDescent="0.25">
      <c r="A3">
        <v>110110</v>
      </c>
      <c r="B3" t="str">
        <f t="shared" ref="B3:B66" si="1">+B2</f>
        <v>900142011</v>
      </c>
      <c r="C3">
        <f t="shared" ref="C3:C66" si="2">C2</f>
        <v>202006</v>
      </c>
      <c r="D3">
        <f>IF(OR(C3=1900,$D$144=0),0,VLOOKUP(A3,'Estados Financieros'!$A$11:$I$453,9,0))</f>
        <v>30</v>
      </c>
      <c r="E3" t="str">
        <f t="shared" si="0"/>
        <v>30,000</v>
      </c>
    </row>
    <row r="4" spans="1:5" x14ac:dyDescent="0.25">
      <c r="A4">
        <v>111010</v>
      </c>
      <c r="B4" t="str">
        <f t="shared" si="1"/>
        <v>900142011</v>
      </c>
      <c r="C4">
        <f t="shared" si="2"/>
        <v>202006</v>
      </c>
      <c r="D4">
        <f>IF(OR(C4=1900,$D$144=0),0,VLOOKUP(A4,'Estados Financieros'!$A$11:$I$453,9,0))</f>
        <v>30</v>
      </c>
      <c r="E4" t="str">
        <f t="shared" si="0"/>
        <v>30,000</v>
      </c>
    </row>
    <row r="5" spans="1:5" x14ac:dyDescent="0.25">
      <c r="A5">
        <v>110130</v>
      </c>
      <c r="B5" t="str">
        <f t="shared" si="1"/>
        <v>900142011</v>
      </c>
      <c r="C5">
        <f t="shared" si="2"/>
        <v>202006</v>
      </c>
      <c r="D5">
        <f>IF(OR(C5=1900,$D$144=0),0,VLOOKUP(A5,'Estados Financieros'!$A$11:$I$453,9,0))</f>
        <v>30</v>
      </c>
      <c r="E5" t="str">
        <f t="shared" si="0"/>
        <v>30,000</v>
      </c>
    </row>
    <row r="6" spans="1:5" x14ac:dyDescent="0.25">
      <c r="A6">
        <v>110125</v>
      </c>
      <c r="B6" t="str">
        <f t="shared" si="1"/>
        <v>900142011</v>
      </c>
      <c r="C6">
        <f t="shared" si="2"/>
        <v>202006</v>
      </c>
      <c r="D6">
        <f>IF(OR(C6=1900,$D$144=0),0,VLOOKUP(A6,'Estados Financieros'!$A$11:$I$453,9,0))</f>
        <v>30</v>
      </c>
      <c r="E6" t="str">
        <f t="shared" si="0"/>
        <v>30,000</v>
      </c>
    </row>
    <row r="7" spans="1:5" x14ac:dyDescent="0.25">
      <c r="A7">
        <v>1101</v>
      </c>
      <c r="B7" t="str">
        <f t="shared" si="1"/>
        <v>900142011</v>
      </c>
      <c r="C7">
        <f t="shared" si="2"/>
        <v>202006</v>
      </c>
      <c r="D7">
        <f>IF(OR(C7=1900,$D$144=0),0,VLOOKUP(A7,'Estados Financieros'!$A$11:$I$453,9,0))</f>
        <v>150</v>
      </c>
      <c r="E7" t="str">
        <f t="shared" si="0"/>
        <v>150,000</v>
      </c>
    </row>
    <row r="8" spans="1:5" x14ac:dyDescent="0.25">
      <c r="A8">
        <v>110205</v>
      </c>
      <c r="B8" t="str">
        <f t="shared" si="1"/>
        <v>900142011</v>
      </c>
      <c r="C8">
        <f t="shared" si="2"/>
        <v>202006</v>
      </c>
      <c r="D8">
        <f>IF(OR(C8=1900,$D$144=0),0,VLOOKUP(A8,'Estados Financieros'!$A$11:$I$453,9,0))</f>
        <v>30</v>
      </c>
      <c r="E8" t="str">
        <f t="shared" si="0"/>
        <v>30,000</v>
      </c>
    </row>
    <row r="9" spans="1:5" x14ac:dyDescent="0.25">
      <c r="A9">
        <v>110210</v>
      </c>
      <c r="B9" t="str">
        <f t="shared" si="1"/>
        <v>900142011</v>
      </c>
      <c r="C9">
        <f t="shared" si="2"/>
        <v>202006</v>
      </c>
      <c r="D9">
        <f>IF(OR(C9=1900,$D$144=0),0,VLOOKUP(A9,'Estados Financieros'!$A$11:$I$453,9,0))</f>
        <v>30</v>
      </c>
      <c r="E9" t="str">
        <f t="shared" si="0"/>
        <v>30,000</v>
      </c>
    </row>
    <row r="10" spans="1:5" x14ac:dyDescent="0.25">
      <c r="A10">
        <v>110215</v>
      </c>
      <c r="B10" t="str">
        <f t="shared" si="1"/>
        <v>900142011</v>
      </c>
      <c r="C10">
        <f t="shared" si="2"/>
        <v>202006</v>
      </c>
      <c r="D10">
        <f>IF(OR(C10=1900,$D$144=0),0,VLOOKUP(A10,'Estados Financieros'!$A$11:$I$453,9,0))</f>
        <v>30</v>
      </c>
      <c r="E10" t="str">
        <f t="shared" si="0"/>
        <v>30,000</v>
      </c>
    </row>
    <row r="11" spans="1:5" x14ac:dyDescent="0.25">
      <c r="A11">
        <v>110225</v>
      </c>
      <c r="B11" t="str">
        <f t="shared" si="1"/>
        <v>900142011</v>
      </c>
      <c r="C11">
        <f t="shared" si="2"/>
        <v>202006</v>
      </c>
      <c r="D11">
        <f>IF(OR(C11=1900,$D$144=0),0,VLOOKUP(A11,'Estados Financieros'!$A$11:$I$453,9,0))</f>
        <v>30</v>
      </c>
      <c r="E11" t="str">
        <f t="shared" si="0"/>
        <v>30,000</v>
      </c>
    </row>
    <row r="12" spans="1:5" x14ac:dyDescent="0.25">
      <c r="A12">
        <v>110235</v>
      </c>
      <c r="B12" t="str">
        <f t="shared" si="1"/>
        <v>900142011</v>
      </c>
      <c r="C12">
        <f t="shared" si="2"/>
        <v>202006</v>
      </c>
      <c r="D12">
        <f>IF(OR(C12=1900,$D$144=0),0,VLOOKUP(A12,'Estados Financieros'!$A$11:$I$453,9,0))</f>
        <v>30</v>
      </c>
      <c r="E12" t="str">
        <f t="shared" si="0"/>
        <v>30,000</v>
      </c>
    </row>
    <row r="13" spans="1:5" x14ac:dyDescent="0.25">
      <c r="A13">
        <v>110255</v>
      </c>
      <c r="B13" t="str">
        <f t="shared" si="1"/>
        <v>900142011</v>
      </c>
      <c r="C13">
        <f t="shared" si="2"/>
        <v>202006</v>
      </c>
      <c r="D13">
        <f>IF(OR(C13=1900,$D$144=0),0,VLOOKUP(A13,'Estados Financieros'!$A$11:$I$453,9,0))</f>
        <v>30</v>
      </c>
      <c r="E13" t="str">
        <f t="shared" si="0"/>
        <v>30,000</v>
      </c>
    </row>
    <row r="14" spans="1:5" x14ac:dyDescent="0.25">
      <c r="A14">
        <v>129700</v>
      </c>
      <c r="B14" t="str">
        <f t="shared" si="1"/>
        <v>900142011</v>
      </c>
      <c r="C14">
        <f t="shared" si="2"/>
        <v>202006</v>
      </c>
      <c r="D14">
        <f>IF(OR(C14=1900,$D$144=0),0,VLOOKUP(A14,'Estados Financieros'!$A$11:$I$453,9,0))</f>
        <v>30</v>
      </c>
      <c r="E14" t="str">
        <f t="shared" si="0"/>
        <v>30,000</v>
      </c>
    </row>
    <row r="15" spans="1:5" x14ac:dyDescent="0.25">
      <c r="A15">
        <v>110260</v>
      </c>
      <c r="B15" t="str">
        <f t="shared" si="1"/>
        <v>900142011</v>
      </c>
      <c r="C15">
        <f t="shared" si="2"/>
        <v>202006</v>
      </c>
      <c r="D15">
        <f>IF(OR(C15=1900,$D$144=0),0,VLOOKUP(A15,'Estados Financieros'!$A$11:$I$453,9,0))</f>
        <v>30</v>
      </c>
      <c r="E15" t="str">
        <f t="shared" si="0"/>
        <v>30,000</v>
      </c>
    </row>
    <row r="16" spans="1:5" x14ac:dyDescent="0.25">
      <c r="A16">
        <v>1102</v>
      </c>
      <c r="B16" t="str">
        <f t="shared" si="1"/>
        <v>900142011</v>
      </c>
      <c r="C16">
        <f t="shared" si="2"/>
        <v>202006</v>
      </c>
      <c r="D16">
        <f>IF(OR(C16=1900,$D$144=0),0,VLOOKUP(A16,'Estados Financieros'!$A$11:$I$453,9,0))</f>
        <v>240</v>
      </c>
      <c r="E16" t="str">
        <f t="shared" si="0"/>
        <v>240,000</v>
      </c>
    </row>
    <row r="17" spans="1:5" x14ac:dyDescent="0.25">
      <c r="A17">
        <v>110305</v>
      </c>
      <c r="B17" t="str">
        <f t="shared" si="1"/>
        <v>900142011</v>
      </c>
      <c r="C17">
        <f t="shared" si="2"/>
        <v>202006</v>
      </c>
      <c r="D17">
        <f>IF(OR(C17=1900,$D$144=0),0,VLOOKUP(A17,'Estados Financieros'!$A$11:$I$453,9,0))</f>
        <v>30</v>
      </c>
      <c r="E17" t="str">
        <f t="shared" si="0"/>
        <v>30,000</v>
      </c>
    </row>
    <row r="18" spans="1:5" x14ac:dyDescent="0.25">
      <c r="A18">
        <v>130510</v>
      </c>
      <c r="B18" t="str">
        <f t="shared" si="1"/>
        <v>900142011</v>
      </c>
      <c r="C18">
        <f t="shared" si="2"/>
        <v>202006</v>
      </c>
      <c r="D18">
        <f>IF(OR(C18=1900,$D$144=0),0,VLOOKUP(A18,'Estados Financieros'!$A$11:$I$453,9,0))</f>
        <v>30</v>
      </c>
      <c r="E18" t="str">
        <f t="shared" si="0"/>
        <v>30,000</v>
      </c>
    </row>
    <row r="19" spans="1:5" x14ac:dyDescent="0.25">
      <c r="A19">
        <v>131000</v>
      </c>
      <c r="B19" t="str">
        <f t="shared" si="1"/>
        <v>900142011</v>
      </c>
      <c r="C19">
        <f t="shared" si="2"/>
        <v>202006</v>
      </c>
      <c r="D19">
        <f>IF(OR(C19=1900,$D$144=0),0,VLOOKUP(A19,'Estados Financieros'!$A$11:$I$453,9,0))</f>
        <v>30</v>
      </c>
      <c r="E19" t="str">
        <f t="shared" si="0"/>
        <v>30,000</v>
      </c>
    </row>
    <row r="20" spans="1:5" x14ac:dyDescent="0.25">
      <c r="A20">
        <v>110390</v>
      </c>
      <c r="B20" t="str">
        <f t="shared" si="1"/>
        <v>900142011</v>
      </c>
      <c r="C20">
        <f t="shared" si="2"/>
        <v>202006</v>
      </c>
      <c r="D20">
        <f>IF(OR(C20=1900,$D$144=0),0,VLOOKUP(A20,'Estados Financieros'!$A$11:$I$453,9,0))</f>
        <v>30</v>
      </c>
      <c r="E20" t="str">
        <f t="shared" si="0"/>
        <v>30,000</v>
      </c>
    </row>
    <row r="21" spans="1:5" x14ac:dyDescent="0.25">
      <c r="A21">
        <v>110395</v>
      </c>
      <c r="B21" t="str">
        <f t="shared" si="1"/>
        <v>900142011</v>
      </c>
      <c r="C21">
        <f t="shared" si="2"/>
        <v>202006</v>
      </c>
      <c r="D21">
        <f>IF(OR(C21=1900,$D$144=0),0,VLOOKUP(A21,'Estados Financieros'!$A$11:$I$453,9,0))</f>
        <v>30</v>
      </c>
      <c r="E21" t="str">
        <f t="shared" si="0"/>
        <v>30,000</v>
      </c>
    </row>
    <row r="22" spans="1:5" x14ac:dyDescent="0.25">
      <c r="A22">
        <v>1103</v>
      </c>
      <c r="B22" t="str">
        <f t="shared" si="1"/>
        <v>900142011</v>
      </c>
      <c r="C22">
        <f t="shared" si="2"/>
        <v>202006</v>
      </c>
      <c r="D22">
        <f>IF(OR(C22=1900,$D$144=0),0,VLOOKUP(A22,'Estados Financieros'!$A$11:$I$453,9,0))</f>
        <v>90</v>
      </c>
      <c r="E22" t="str">
        <f t="shared" si="0"/>
        <v>90,000</v>
      </c>
    </row>
    <row r="23" spans="1:5" x14ac:dyDescent="0.25">
      <c r="A23">
        <v>132000</v>
      </c>
      <c r="B23" t="str">
        <f t="shared" si="1"/>
        <v>900142011</v>
      </c>
      <c r="C23">
        <f t="shared" si="2"/>
        <v>202006</v>
      </c>
      <c r="D23">
        <f>IF(OR(C23=1900,$D$144=0),0,VLOOKUP(A23,'Estados Financieros'!$A$11:$I$453,9,0))</f>
        <v>30</v>
      </c>
      <c r="E23" t="str">
        <f t="shared" si="0"/>
        <v>30,000</v>
      </c>
    </row>
    <row r="24" spans="1:5" x14ac:dyDescent="0.25">
      <c r="A24">
        <v>132500</v>
      </c>
      <c r="B24" t="str">
        <f t="shared" si="1"/>
        <v>900142011</v>
      </c>
      <c r="C24">
        <f t="shared" si="2"/>
        <v>202006</v>
      </c>
      <c r="D24">
        <f>IF(OR(C24=1900,$D$144=0),0,VLOOKUP(A24,'Estados Financieros'!$A$11:$I$453,9,0))</f>
        <v>30</v>
      </c>
      <c r="E24" t="str">
        <f t="shared" si="0"/>
        <v>30,000</v>
      </c>
    </row>
    <row r="25" spans="1:5" x14ac:dyDescent="0.25">
      <c r="A25">
        <v>133000</v>
      </c>
      <c r="B25" t="str">
        <f t="shared" si="1"/>
        <v>900142011</v>
      </c>
      <c r="C25">
        <f t="shared" si="2"/>
        <v>202006</v>
      </c>
      <c r="D25">
        <f>IF(OR(C25=1900,$D$144=0),0,VLOOKUP(A25,'Estados Financieros'!$A$11:$I$453,9,0))</f>
        <v>30</v>
      </c>
      <c r="E25" t="str">
        <f t="shared" si="0"/>
        <v>30,000</v>
      </c>
    </row>
    <row r="26" spans="1:5" x14ac:dyDescent="0.25">
      <c r="A26">
        <v>133500</v>
      </c>
      <c r="B26" t="str">
        <f t="shared" si="1"/>
        <v>900142011</v>
      </c>
      <c r="C26">
        <f t="shared" si="2"/>
        <v>202006</v>
      </c>
      <c r="D26">
        <f>IF(OR(C26=1900,$D$144=0),0,VLOOKUP(A26,'Estados Financieros'!$A$11:$I$453,9,0))</f>
        <v>30</v>
      </c>
      <c r="E26" t="str">
        <f t="shared" si="0"/>
        <v>30,000</v>
      </c>
    </row>
    <row r="27" spans="1:5" x14ac:dyDescent="0.25">
      <c r="A27">
        <v>134000</v>
      </c>
      <c r="B27" t="str">
        <f t="shared" si="1"/>
        <v>900142011</v>
      </c>
      <c r="C27">
        <f t="shared" si="2"/>
        <v>202006</v>
      </c>
      <c r="D27">
        <f>IF(OR(C27=1900,$D$144=0),0,VLOOKUP(A27,'Estados Financieros'!$A$11:$I$453,9,0))</f>
        <v>30</v>
      </c>
      <c r="E27" t="str">
        <f t="shared" si="0"/>
        <v>30,000</v>
      </c>
    </row>
    <row r="28" spans="1:5" x14ac:dyDescent="0.25">
      <c r="A28">
        <v>134500</v>
      </c>
      <c r="B28" t="str">
        <f t="shared" si="1"/>
        <v>900142011</v>
      </c>
      <c r="C28">
        <f t="shared" si="2"/>
        <v>202006</v>
      </c>
      <c r="D28">
        <f>IF(OR(C28=1900,$D$144=0),0,VLOOKUP(A28,'Estados Financieros'!$A$11:$I$453,9,0))</f>
        <v>30</v>
      </c>
      <c r="E28" t="str">
        <f t="shared" si="0"/>
        <v>30,000</v>
      </c>
    </row>
    <row r="29" spans="1:5" x14ac:dyDescent="0.25">
      <c r="A29">
        <v>135000</v>
      </c>
      <c r="B29" t="str">
        <f t="shared" si="1"/>
        <v>900142011</v>
      </c>
      <c r="C29">
        <f t="shared" si="2"/>
        <v>202006</v>
      </c>
      <c r="D29">
        <f>IF(OR(C29=1900,$D$144=0),0,VLOOKUP(A29,'Estados Financieros'!$A$11:$I$453,9,0))</f>
        <v>30</v>
      </c>
      <c r="E29" t="str">
        <f t="shared" si="0"/>
        <v>30,000</v>
      </c>
    </row>
    <row r="30" spans="1:5" x14ac:dyDescent="0.25">
      <c r="A30">
        <v>135500</v>
      </c>
      <c r="B30" t="str">
        <f t="shared" si="1"/>
        <v>900142011</v>
      </c>
      <c r="C30">
        <f t="shared" si="2"/>
        <v>202006</v>
      </c>
      <c r="D30">
        <f>IF(OR(C30=1900,$D$144=0),0,VLOOKUP(A30,'Estados Financieros'!$A$11:$I$453,9,0))</f>
        <v>30</v>
      </c>
      <c r="E30" t="str">
        <f t="shared" si="0"/>
        <v>30,000</v>
      </c>
    </row>
    <row r="31" spans="1:5" x14ac:dyDescent="0.25">
      <c r="A31">
        <v>136000</v>
      </c>
      <c r="B31" t="str">
        <f t="shared" si="1"/>
        <v>900142011</v>
      </c>
      <c r="C31">
        <f t="shared" si="2"/>
        <v>202006</v>
      </c>
      <c r="D31">
        <f>IF(OR(C31=1900,$D$144=0),0,VLOOKUP(A31,'Estados Financieros'!$A$11:$I$453,9,0))</f>
        <v>30</v>
      </c>
      <c r="E31" t="str">
        <f t="shared" si="0"/>
        <v>30,000</v>
      </c>
    </row>
    <row r="32" spans="1:5" x14ac:dyDescent="0.25">
      <c r="A32">
        <v>136500</v>
      </c>
      <c r="B32" t="str">
        <f t="shared" si="1"/>
        <v>900142011</v>
      </c>
      <c r="C32">
        <f t="shared" si="2"/>
        <v>202006</v>
      </c>
      <c r="D32">
        <f>IF(OR(C32=1900,$D$144=0),0,VLOOKUP(A32,'Estados Financieros'!$A$11:$I$453,9,0))</f>
        <v>30</v>
      </c>
      <c r="E32" t="str">
        <f t="shared" si="0"/>
        <v>30,000</v>
      </c>
    </row>
    <row r="33" spans="1:5" x14ac:dyDescent="0.25">
      <c r="A33">
        <v>137000</v>
      </c>
      <c r="B33" t="str">
        <f t="shared" si="1"/>
        <v>900142011</v>
      </c>
      <c r="C33">
        <f t="shared" si="2"/>
        <v>202006</v>
      </c>
      <c r="D33">
        <f>IF(OR(C33=1900,$D$144=0),0,VLOOKUP(A33,'Estados Financieros'!$A$11:$I$453,9,0))</f>
        <v>30</v>
      </c>
      <c r="E33" t="str">
        <f t="shared" si="0"/>
        <v>30,000</v>
      </c>
    </row>
    <row r="34" spans="1:5" x14ac:dyDescent="0.25">
      <c r="A34">
        <v>139000</v>
      </c>
      <c r="B34" t="str">
        <f t="shared" si="1"/>
        <v>900142011</v>
      </c>
      <c r="C34">
        <f t="shared" si="2"/>
        <v>202006</v>
      </c>
      <c r="D34">
        <f>IF(OR(C34=1900,$D$144=0),0,VLOOKUP(A34,'Estados Financieros'!$A$11:$I$453,9,0))</f>
        <v>30</v>
      </c>
      <c r="E34" t="str">
        <f t="shared" si="0"/>
        <v>30,000</v>
      </c>
    </row>
    <row r="35" spans="1:5" x14ac:dyDescent="0.25">
      <c r="A35">
        <v>139500</v>
      </c>
      <c r="B35" t="str">
        <f t="shared" si="1"/>
        <v>900142011</v>
      </c>
      <c r="C35">
        <f t="shared" si="2"/>
        <v>202006</v>
      </c>
      <c r="D35">
        <f>IF(OR(C35=1900,$D$144=0),0,VLOOKUP(A35,'Estados Financieros'!$A$11:$I$453,9,0))</f>
        <v>30</v>
      </c>
      <c r="E35" t="str">
        <f t="shared" si="0"/>
        <v>30,000</v>
      </c>
    </row>
    <row r="36" spans="1:5" x14ac:dyDescent="0.25">
      <c r="A36">
        <v>139905</v>
      </c>
      <c r="B36" t="str">
        <f t="shared" si="1"/>
        <v>900142011</v>
      </c>
      <c r="C36">
        <f t="shared" si="2"/>
        <v>202006</v>
      </c>
      <c r="D36">
        <f>IF(OR(C36=1900,$D$144=0),0,VLOOKUP(A36,'Estados Financieros'!$A$11:$I$453,9,0))</f>
        <v>30</v>
      </c>
      <c r="E36" t="str">
        <f t="shared" si="0"/>
        <v>30,000</v>
      </c>
    </row>
    <row r="37" spans="1:5" x14ac:dyDescent="0.25">
      <c r="A37">
        <v>1106</v>
      </c>
      <c r="B37" t="str">
        <f t="shared" si="1"/>
        <v>900142011</v>
      </c>
      <c r="C37">
        <f t="shared" si="2"/>
        <v>202006</v>
      </c>
      <c r="D37">
        <f>IF(OR(C37=1900,$D$144=0),0,VLOOKUP(A37,'Estados Financieros'!$A$11:$I$453,9,0))</f>
        <v>420</v>
      </c>
      <c r="E37" t="str">
        <f t="shared" si="0"/>
        <v>420,000</v>
      </c>
    </row>
    <row r="38" spans="1:5" x14ac:dyDescent="0.25">
      <c r="A38">
        <v>110405</v>
      </c>
      <c r="B38" t="str">
        <f t="shared" si="1"/>
        <v>900142011</v>
      </c>
      <c r="C38">
        <f t="shared" si="2"/>
        <v>202006</v>
      </c>
      <c r="D38">
        <f>IF(OR(C38=1900,$D$144=0),0,VLOOKUP(A38,'Estados Financieros'!$A$11:$I$453,9,0))</f>
        <v>30</v>
      </c>
      <c r="E38" t="str">
        <f t="shared" si="0"/>
        <v>30,000</v>
      </c>
    </row>
    <row r="39" spans="1:5" x14ac:dyDescent="0.25">
      <c r="A39">
        <v>110410</v>
      </c>
      <c r="B39" t="str">
        <f t="shared" si="1"/>
        <v>900142011</v>
      </c>
      <c r="C39">
        <f t="shared" si="2"/>
        <v>202006</v>
      </c>
      <c r="D39">
        <f>IF(OR(C39=1900,$D$144=0),0,VLOOKUP(A39,'Estados Financieros'!$A$11:$I$453,9,0))</f>
        <v>30</v>
      </c>
      <c r="E39" t="str">
        <f t="shared" si="0"/>
        <v>30,000</v>
      </c>
    </row>
    <row r="40" spans="1:5" x14ac:dyDescent="0.25">
      <c r="A40">
        <v>142500</v>
      </c>
      <c r="B40" t="str">
        <f t="shared" si="1"/>
        <v>900142011</v>
      </c>
      <c r="C40">
        <f t="shared" si="2"/>
        <v>202006</v>
      </c>
      <c r="D40">
        <f>IF(OR(C40=1900,$D$144=0),0,VLOOKUP(A40,'Estados Financieros'!$A$11:$I$453,9,0))</f>
        <v>30</v>
      </c>
      <c r="E40" t="str">
        <f t="shared" si="0"/>
        <v>30,000</v>
      </c>
    </row>
    <row r="41" spans="1:5" x14ac:dyDescent="0.25">
      <c r="A41">
        <v>110415</v>
      </c>
      <c r="B41" t="str">
        <f t="shared" si="1"/>
        <v>900142011</v>
      </c>
      <c r="C41">
        <f t="shared" si="2"/>
        <v>202006</v>
      </c>
      <c r="D41">
        <f>IF(OR(C41=1900,$D$144=0),0,VLOOKUP(A41,'Estados Financieros'!$A$11:$I$453,9,0))</f>
        <v>30</v>
      </c>
      <c r="E41" t="str">
        <f t="shared" si="0"/>
        <v>30,000</v>
      </c>
    </row>
    <row r="42" spans="1:5" x14ac:dyDescent="0.25">
      <c r="A42">
        <v>143500</v>
      </c>
      <c r="B42" t="str">
        <f t="shared" si="1"/>
        <v>900142011</v>
      </c>
      <c r="C42">
        <f t="shared" si="2"/>
        <v>202006</v>
      </c>
      <c r="D42">
        <f>IF(OR(C42=1900,$D$144=0),0,VLOOKUP(A42,'Estados Financieros'!$A$11:$I$453,9,0))</f>
        <v>30</v>
      </c>
      <c r="E42" t="str">
        <f t="shared" si="0"/>
        <v>30,000</v>
      </c>
    </row>
    <row r="43" spans="1:5" x14ac:dyDescent="0.25">
      <c r="A43">
        <v>110420</v>
      </c>
      <c r="B43" t="str">
        <f t="shared" si="1"/>
        <v>900142011</v>
      </c>
      <c r="C43">
        <f t="shared" si="2"/>
        <v>202006</v>
      </c>
      <c r="D43">
        <f>IF(OR(C43=1900,$D$144=0),0,VLOOKUP(A43,'Estados Financieros'!$A$11:$I$453,9,0))</f>
        <v>30</v>
      </c>
      <c r="E43" t="str">
        <f t="shared" si="0"/>
        <v>30,000</v>
      </c>
    </row>
    <row r="44" spans="1:5" x14ac:dyDescent="0.25">
      <c r="A44">
        <v>110495</v>
      </c>
      <c r="B44" t="str">
        <f t="shared" si="1"/>
        <v>900142011</v>
      </c>
      <c r="C44">
        <f t="shared" si="2"/>
        <v>202006</v>
      </c>
      <c r="D44">
        <f>IF(OR(C44=1900,$D$144=0),0,VLOOKUP(A44,'Estados Financieros'!$A$11:$I$453,9,0))</f>
        <v>30</v>
      </c>
      <c r="E44" t="str">
        <f t="shared" si="0"/>
        <v>30,000</v>
      </c>
    </row>
    <row r="45" spans="1:5" x14ac:dyDescent="0.25">
      <c r="A45">
        <v>110490</v>
      </c>
      <c r="B45" t="str">
        <f t="shared" si="1"/>
        <v>900142011</v>
      </c>
      <c r="C45">
        <f t="shared" si="2"/>
        <v>202006</v>
      </c>
      <c r="D45">
        <f>IF(OR(C45=1900,$D$144=0),0,VLOOKUP(A45,'Estados Financieros'!$A$11:$I$453,9,0))</f>
        <v>30</v>
      </c>
      <c r="E45" t="str">
        <f t="shared" si="0"/>
        <v>30,000</v>
      </c>
    </row>
    <row r="46" spans="1:5" x14ac:dyDescent="0.25">
      <c r="A46">
        <v>110491</v>
      </c>
      <c r="B46" t="str">
        <f t="shared" si="1"/>
        <v>900142011</v>
      </c>
      <c r="C46">
        <f t="shared" si="2"/>
        <v>202006</v>
      </c>
      <c r="D46">
        <f>IF(OR(C46=1900,$D$144=0),0,VLOOKUP(A46,'Estados Financieros'!$A$11:$I$453,9,0))</f>
        <v>30</v>
      </c>
      <c r="E46" t="str">
        <f t="shared" si="0"/>
        <v>30,000</v>
      </c>
    </row>
    <row r="47" spans="1:5" x14ac:dyDescent="0.25">
      <c r="A47">
        <v>149900</v>
      </c>
      <c r="B47" t="str">
        <f t="shared" si="1"/>
        <v>900142011</v>
      </c>
      <c r="C47">
        <f t="shared" si="2"/>
        <v>202006</v>
      </c>
      <c r="D47">
        <f>IF(OR(C47=1900,$D$144=0),0,VLOOKUP(A47,'Estados Financieros'!$A$11:$I$453,9,0))</f>
        <v>30</v>
      </c>
      <c r="E47" t="str">
        <f t="shared" si="0"/>
        <v>30,000</v>
      </c>
    </row>
    <row r="48" spans="1:5" x14ac:dyDescent="0.25">
      <c r="A48">
        <v>140005</v>
      </c>
      <c r="B48" t="str">
        <f t="shared" si="1"/>
        <v>900142011</v>
      </c>
      <c r="C48">
        <f t="shared" si="2"/>
        <v>202006</v>
      </c>
      <c r="D48">
        <f>IF(OR(C48=1900,$D$144=0),0,VLOOKUP(A48,'Estados Financieros'!$A$11:$I$453,9,0))</f>
        <v>390</v>
      </c>
      <c r="E48" t="str">
        <f t="shared" si="0"/>
        <v>390,000</v>
      </c>
    </row>
    <row r="49" spans="1:5" x14ac:dyDescent="0.25">
      <c r="A49">
        <v>145500</v>
      </c>
      <c r="B49" t="str">
        <f t="shared" si="1"/>
        <v>900142011</v>
      </c>
      <c r="C49">
        <f t="shared" si="2"/>
        <v>202006</v>
      </c>
      <c r="D49">
        <f>IF(OR(C49=1900,$D$144=0),0,VLOOKUP(A49,'Estados Financieros'!$A$11:$I$453,9,0))</f>
        <v>30</v>
      </c>
      <c r="E49" t="str">
        <f t="shared" si="0"/>
        <v>30,000</v>
      </c>
    </row>
    <row r="50" spans="1:5" x14ac:dyDescent="0.25">
      <c r="A50">
        <v>146000</v>
      </c>
      <c r="B50" t="str">
        <f t="shared" si="1"/>
        <v>900142011</v>
      </c>
      <c r="C50">
        <f t="shared" si="2"/>
        <v>202006</v>
      </c>
      <c r="D50">
        <f>IF(OR(C50=1900,$D$144=0),0,VLOOKUP(A50,'Estados Financieros'!$A$11:$I$453,9,0))</f>
        <v>30</v>
      </c>
      <c r="E50" t="str">
        <f t="shared" si="0"/>
        <v>30,000</v>
      </c>
    </row>
    <row r="51" spans="1:5" x14ac:dyDescent="0.25">
      <c r="A51">
        <v>149510</v>
      </c>
      <c r="B51" t="str">
        <f t="shared" si="1"/>
        <v>900142011</v>
      </c>
      <c r="C51">
        <f t="shared" si="2"/>
        <v>202006</v>
      </c>
      <c r="D51">
        <f>IF(OR(C51=1900,$D$144=0),0,VLOOKUP(A51,'Estados Financieros'!$A$11:$I$453,9,0))</f>
        <v>30</v>
      </c>
      <c r="E51" t="str">
        <f t="shared" si="0"/>
        <v>30,000</v>
      </c>
    </row>
    <row r="52" spans="1:5" x14ac:dyDescent="0.25">
      <c r="A52">
        <v>149901</v>
      </c>
      <c r="B52" t="str">
        <f t="shared" si="1"/>
        <v>900142011</v>
      </c>
      <c r="C52">
        <f t="shared" si="2"/>
        <v>202006</v>
      </c>
      <c r="D52">
        <f>IF(OR(C52=1900,$D$144=0),0,VLOOKUP(A52,'Estados Financieros'!$A$11:$I$453,9,0))</f>
        <v>30</v>
      </c>
      <c r="E52" t="str">
        <f t="shared" si="0"/>
        <v>30,000</v>
      </c>
    </row>
    <row r="53" spans="1:5" x14ac:dyDescent="0.25">
      <c r="A53">
        <v>149902</v>
      </c>
      <c r="B53" t="str">
        <f t="shared" si="1"/>
        <v>900142011</v>
      </c>
      <c r="C53">
        <f t="shared" si="2"/>
        <v>202006</v>
      </c>
      <c r="D53">
        <f>IF(OR(C53=1900,$D$144=0),0,VLOOKUP(A53,'Estados Financieros'!$A$11:$I$453,9,0))</f>
        <v>30</v>
      </c>
      <c r="E53" t="str">
        <f t="shared" si="0"/>
        <v>30,000</v>
      </c>
    </row>
    <row r="54" spans="1:5" x14ac:dyDescent="0.25">
      <c r="A54">
        <v>149910</v>
      </c>
      <c r="B54" t="str">
        <f t="shared" si="1"/>
        <v>900142011</v>
      </c>
      <c r="C54">
        <f t="shared" si="2"/>
        <v>202006</v>
      </c>
      <c r="D54">
        <f>IF(OR(C54=1900,$D$144=0),0,VLOOKUP(A54,'Estados Financieros'!$A$11:$I$453,9,0))</f>
        <v>30</v>
      </c>
      <c r="E54" t="str">
        <f t="shared" si="0"/>
        <v>30,000</v>
      </c>
    </row>
    <row r="55" spans="1:5" x14ac:dyDescent="0.25">
      <c r="A55">
        <v>140010</v>
      </c>
      <c r="B55" t="str">
        <f t="shared" si="1"/>
        <v>900142011</v>
      </c>
      <c r="C55">
        <f t="shared" si="2"/>
        <v>202006</v>
      </c>
      <c r="D55">
        <f>IF(OR(C55=1900,$D$144=0),0,VLOOKUP(A55,'Estados Financieros'!$A$11:$I$453,9,0))</f>
        <v>300</v>
      </c>
      <c r="E55" t="str">
        <f t="shared" si="0"/>
        <v>300,000</v>
      </c>
    </row>
    <row r="56" spans="1:5" x14ac:dyDescent="0.25">
      <c r="A56">
        <v>1104</v>
      </c>
      <c r="B56" t="str">
        <f t="shared" si="1"/>
        <v>900142011</v>
      </c>
      <c r="C56">
        <f t="shared" si="2"/>
        <v>202006</v>
      </c>
      <c r="D56">
        <f>+D55+D48</f>
        <v>690</v>
      </c>
      <c r="E56" t="str">
        <f t="shared" si="0"/>
        <v>690,000</v>
      </c>
    </row>
    <row r="57" spans="1:5" x14ac:dyDescent="0.25">
      <c r="A57">
        <v>170500</v>
      </c>
      <c r="B57" t="str">
        <f t="shared" si="1"/>
        <v>900142011</v>
      </c>
      <c r="C57">
        <f t="shared" si="2"/>
        <v>202006</v>
      </c>
      <c r="D57">
        <f>IF(OR(C57=1900,$D$144=0),0,VLOOKUP(A57,'Estados Financieros'!$A$11:$I$453,9,0))</f>
        <v>30</v>
      </c>
      <c r="E57" t="str">
        <f t="shared" si="0"/>
        <v>30,000</v>
      </c>
    </row>
    <row r="58" spans="1:5" x14ac:dyDescent="0.25">
      <c r="A58">
        <v>171000</v>
      </c>
      <c r="B58" t="str">
        <f t="shared" si="1"/>
        <v>900142011</v>
      </c>
      <c r="C58">
        <f t="shared" si="2"/>
        <v>202006</v>
      </c>
      <c r="D58">
        <f>IF(OR(C58=1900,$D$144=0),0,VLOOKUP(A58,'Estados Financieros'!$A$11:$I$453,9,0))</f>
        <v>30</v>
      </c>
      <c r="E58" t="str">
        <f t="shared" si="0"/>
        <v>30,000</v>
      </c>
    </row>
    <row r="59" spans="1:5" x14ac:dyDescent="0.25">
      <c r="A59">
        <v>173000</v>
      </c>
      <c r="B59" t="str">
        <f t="shared" si="1"/>
        <v>900142011</v>
      </c>
      <c r="C59">
        <f t="shared" si="2"/>
        <v>202006</v>
      </c>
      <c r="D59">
        <f>IF(OR(C59=1900,$D$144=0),0,VLOOKUP(A59,'Estados Financieros'!$A$11:$I$453,9,0))</f>
        <v>30</v>
      </c>
      <c r="E59" t="str">
        <f t="shared" si="0"/>
        <v>30,000</v>
      </c>
    </row>
    <row r="60" spans="1:5" x14ac:dyDescent="0.25">
      <c r="A60">
        <v>179500</v>
      </c>
      <c r="B60" t="str">
        <f t="shared" si="1"/>
        <v>900142011</v>
      </c>
      <c r="C60">
        <f t="shared" si="2"/>
        <v>202006</v>
      </c>
      <c r="D60">
        <f>IF(OR(C60=1900,$D$144=0),0,VLOOKUP(A60,'Estados Financieros'!$A$11:$I$453,9,0))</f>
        <v>30</v>
      </c>
      <c r="E60" t="str">
        <f t="shared" si="0"/>
        <v>30,000</v>
      </c>
    </row>
    <row r="61" spans="1:5" x14ac:dyDescent="0.25">
      <c r="A61">
        <v>179700</v>
      </c>
      <c r="B61" t="str">
        <f t="shared" si="1"/>
        <v>900142011</v>
      </c>
      <c r="C61">
        <f t="shared" si="2"/>
        <v>202006</v>
      </c>
      <c r="D61">
        <f>IF(OR(C61=1900,$D$144=0),0,VLOOKUP(A61,'Estados Financieros'!$A$11:$I$453,9,0))</f>
        <v>30</v>
      </c>
      <c r="E61" t="str">
        <f t="shared" si="0"/>
        <v>30,000</v>
      </c>
    </row>
    <row r="62" spans="1:5" x14ac:dyDescent="0.25">
      <c r="A62">
        <v>1107</v>
      </c>
      <c r="B62" t="str">
        <f t="shared" si="1"/>
        <v>900142011</v>
      </c>
      <c r="C62">
        <f t="shared" si="2"/>
        <v>202006</v>
      </c>
      <c r="D62">
        <f>IF(OR(C62=1900,$D$144=0),0,VLOOKUP(A62,'Estados Financieros'!$A$11:$I$453,9,0))</f>
        <v>180</v>
      </c>
      <c r="E62" t="str">
        <f t="shared" si="0"/>
        <v>180,000</v>
      </c>
    </row>
    <row r="63" spans="1:5" x14ac:dyDescent="0.25">
      <c r="A63">
        <v>189500</v>
      </c>
      <c r="B63" t="str">
        <f t="shared" si="1"/>
        <v>900142011</v>
      </c>
      <c r="C63">
        <f t="shared" si="2"/>
        <v>202006</v>
      </c>
      <c r="D63">
        <f>IF(OR(C63=1900,$D$144=0),0,VLOOKUP(A63,'Estados Financieros'!$A$11:$I$453,9,0))</f>
        <v>30</v>
      </c>
      <c r="E63" t="str">
        <f t="shared" si="0"/>
        <v>30,000</v>
      </c>
    </row>
    <row r="64" spans="1:5" x14ac:dyDescent="0.25">
      <c r="A64">
        <v>181000</v>
      </c>
      <c r="B64" t="str">
        <f t="shared" si="1"/>
        <v>900142011</v>
      </c>
      <c r="C64">
        <f t="shared" si="2"/>
        <v>202006</v>
      </c>
      <c r="D64">
        <f>IF(OR(C64=1900,$D$144=0),0,VLOOKUP(A64,'Estados Financieros'!$A$11:$I$453,9,0))</f>
        <v>30</v>
      </c>
      <c r="E64" t="str">
        <f t="shared" si="0"/>
        <v>30,000</v>
      </c>
    </row>
    <row r="65" spans="1:5" x14ac:dyDescent="0.25">
      <c r="A65">
        <v>180000</v>
      </c>
      <c r="B65" t="str">
        <f t="shared" si="1"/>
        <v>900142011</v>
      </c>
      <c r="C65">
        <f t="shared" si="2"/>
        <v>202006</v>
      </c>
      <c r="D65">
        <f>IF(OR(C65=1900,$D$144=0),0,VLOOKUP(A65,'Estados Financieros'!$A$11:$I$453,9,0))</f>
        <v>90</v>
      </c>
      <c r="E65" t="str">
        <f t="shared" si="0"/>
        <v>90,000</v>
      </c>
    </row>
    <row r="66" spans="1:5" x14ac:dyDescent="0.25">
      <c r="A66">
        <v>11</v>
      </c>
      <c r="B66" t="str">
        <f t="shared" si="1"/>
        <v>900142011</v>
      </c>
      <c r="C66">
        <f t="shared" si="2"/>
        <v>202006</v>
      </c>
      <c r="D66">
        <f>IF(OR(C66=1900,$D$144=0),0,VLOOKUP(A66,'Estados Financieros'!$A$11:$I$453,9,0))</f>
        <v>1860</v>
      </c>
      <c r="E66" t="str">
        <f t="shared" ref="E66:E129" si="3">IFERROR(FIXED(D66,3,1),0)</f>
        <v>1860,000</v>
      </c>
    </row>
    <row r="67" spans="1:5" x14ac:dyDescent="0.25">
      <c r="A67">
        <v>120104</v>
      </c>
      <c r="B67" t="str">
        <f t="shared" ref="B67:B130" si="4">+B66</f>
        <v>900142011</v>
      </c>
      <c r="C67">
        <f t="shared" ref="C67:C130" si="5">C66</f>
        <v>202006</v>
      </c>
      <c r="D67">
        <f>IF(OR(C67=1900,$D$144=0),0,VLOOKUP(A67,'Estados Financieros'!$A$11:$I$453,9,0))</f>
        <v>30</v>
      </c>
      <c r="E67" t="str">
        <f t="shared" si="3"/>
        <v>30,000</v>
      </c>
    </row>
    <row r="68" spans="1:5" x14ac:dyDescent="0.25">
      <c r="A68">
        <v>120108</v>
      </c>
      <c r="B68" t="str">
        <f t="shared" si="4"/>
        <v>900142011</v>
      </c>
      <c r="C68">
        <f t="shared" si="5"/>
        <v>202006</v>
      </c>
      <c r="D68">
        <f>IF(OR(C68=1900,$D$144=0),0,VLOOKUP(A68,'Estados Financieros'!$A$11:$I$453,9,0))</f>
        <v>30</v>
      </c>
      <c r="E68" t="str">
        <f t="shared" si="3"/>
        <v>30,000</v>
      </c>
    </row>
    <row r="69" spans="1:5" x14ac:dyDescent="0.25">
      <c r="A69">
        <v>151201</v>
      </c>
      <c r="B69" t="str">
        <f t="shared" si="4"/>
        <v>900142011</v>
      </c>
      <c r="C69">
        <f t="shared" si="5"/>
        <v>202006</v>
      </c>
      <c r="D69">
        <f>IF(OR(C69=1900,$D$144=0),0,VLOOKUP(A69,'Estados Financieros'!$A$11:$I$453,9,0))</f>
        <v>30</v>
      </c>
      <c r="E69" t="str">
        <f t="shared" si="3"/>
        <v>30,000</v>
      </c>
    </row>
    <row r="70" spans="1:5" x14ac:dyDescent="0.25">
      <c r="A70">
        <v>120116</v>
      </c>
      <c r="B70" t="str">
        <f t="shared" si="4"/>
        <v>900142011</v>
      </c>
      <c r="C70">
        <f t="shared" si="5"/>
        <v>202006</v>
      </c>
      <c r="D70">
        <f>IF(OR(C70=1900,$D$144=0),0,VLOOKUP(A70,'Estados Financieros'!$A$11:$I$453,9,0))</f>
        <v>30</v>
      </c>
      <c r="E70" t="str">
        <f t="shared" si="3"/>
        <v>30,000</v>
      </c>
    </row>
    <row r="71" spans="1:5" x14ac:dyDescent="0.25">
      <c r="A71">
        <v>120120</v>
      </c>
      <c r="B71" t="str">
        <f t="shared" si="4"/>
        <v>900142011</v>
      </c>
      <c r="C71">
        <f t="shared" si="5"/>
        <v>202006</v>
      </c>
      <c r="D71">
        <f>IF(OR(C71=1900,$D$144=0),0,VLOOKUP(A71,'Estados Financieros'!$A$11:$I$453,9,0))</f>
        <v>30</v>
      </c>
      <c r="E71" t="str">
        <f t="shared" si="3"/>
        <v>30,000</v>
      </c>
    </row>
    <row r="72" spans="1:5" x14ac:dyDescent="0.25">
      <c r="A72">
        <v>120124</v>
      </c>
      <c r="B72" t="str">
        <f t="shared" si="4"/>
        <v>900142011</v>
      </c>
      <c r="C72">
        <f t="shared" si="5"/>
        <v>202006</v>
      </c>
      <c r="D72">
        <f>IF(OR(C72=1900,$D$144=0),0,VLOOKUP(A72,'Estados Financieros'!$A$11:$I$453,9,0))</f>
        <v>30</v>
      </c>
      <c r="E72" t="str">
        <f t="shared" si="3"/>
        <v>30,000</v>
      </c>
    </row>
    <row r="73" spans="1:5" x14ac:dyDescent="0.25">
      <c r="A73">
        <v>120128</v>
      </c>
      <c r="B73" t="str">
        <f t="shared" si="4"/>
        <v>900142011</v>
      </c>
      <c r="C73">
        <f t="shared" si="5"/>
        <v>202006</v>
      </c>
      <c r="D73">
        <f>IF(OR(C73=1900,$D$144=0),0,VLOOKUP(A73,'Estados Financieros'!$A$11:$I$453,9,0))</f>
        <v>30</v>
      </c>
      <c r="E73" t="str">
        <f t="shared" si="3"/>
        <v>30,000</v>
      </c>
    </row>
    <row r="74" spans="1:5" x14ac:dyDescent="0.25">
      <c r="A74">
        <v>120140</v>
      </c>
      <c r="B74" t="str">
        <f t="shared" si="4"/>
        <v>900142011</v>
      </c>
      <c r="C74">
        <f t="shared" si="5"/>
        <v>202006</v>
      </c>
      <c r="D74">
        <f>IF(OR(C74=1900,$D$144=0),0,VLOOKUP(A74,'Estados Financieros'!$A$11:$I$453,9,0))</f>
        <v>30</v>
      </c>
      <c r="E74" t="str">
        <f t="shared" si="3"/>
        <v>30,000</v>
      </c>
    </row>
    <row r="75" spans="1:5" x14ac:dyDescent="0.25">
      <c r="A75">
        <v>155601</v>
      </c>
      <c r="B75" t="str">
        <f t="shared" si="4"/>
        <v>900142011</v>
      </c>
      <c r="C75">
        <f t="shared" si="5"/>
        <v>202006</v>
      </c>
      <c r="D75">
        <f>IF(OR(C75=1900,$D$144=0),0,VLOOKUP(A75,'Estados Financieros'!$A$11:$I$453,9,0))</f>
        <v>30</v>
      </c>
      <c r="E75" t="str">
        <f t="shared" si="3"/>
        <v>30,000</v>
      </c>
    </row>
    <row r="76" spans="1:5" x14ac:dyDescent="0.25">
      <c r="A76">
        <v>156001</v>
      </c>
      <c r="B76" t="str">
        <f t="shared" si="4"/>
        <v>900142011</v>
      </c>
      <c r="C76">
        <f t="shared" si="5"/>
        <v>202006</v>
      </c>
      <c r="D76">
        <f>IF(OR(C76=1900,$D$144=0),0,VLOOKUP(A76,'Estados Financieros'!$A$11:$I$453,9,0))</f>
        <v>30</v>
      </c>
      <c r="E76" t="str">
        <f t="shared" si="3"/>
        <v>30,000</v>
      </c>
    </row>
    <row r="77" spans="1:5" x14ac:dyDescent="0.25">
      <c r="A77">
        <v>156401</v>
      </c>
      <c r="B77" t="str">
        <f t="shared" si="4"/>
        <v>900142011</v>
      </c>
      <c r="C77">
        <f t="shared" si="5"/>
        <v>202006</v>
      </c>
      <c r="D77">
        <f>IF(OR(C77=1900,$D$144=0),0,VLOOKUP(A77,'Estados Financieros'!$A$11:$I$453,9,0))</f>
        <v>30</v>
      </c>
      <c r="E77" t="str">
        <f t="shared" si="3"/>
        <v>30,000</v>
      </c>
    </row>
    <row r="78" spans="1:5" x14ac:dyDescent="0.25">
      <c r="A78">
        <v>157201</v>
      </c>
      <c r="B78" t="str">
        <f t="shared" si="4"/>
        <v>900142011</v>
      </c>
      <c r="C78">
        <f t="shared" si="5"/>
        <v>202006</v>
      </c>
      <c r="D78">
        <f>IF(OR(C78=1900,$D$144=0),0,VLOOKUP(A78,'Estados Financieros'!$A$11:$I$453,9,0))</f>
        <v>30</v>
      </c>
      <c r="E78" t="str">
        <f t="shared" si="3"/>
        <v>30,000</v>
      </c>
    </row>
    <row r="79" spans="1:5" x14ac:dyDescent="0.25">
      <c r="A79">
        <v>157601</v>
      </c>
      <c r="B79" t="str">
        <f t="shared" si="4"/>
        <v>900142011</v>
      </c>
      <c r="C79">
        <f t="shared" si="5"/>
        <v>202006</v>
      </c>
      <c r="D79">
        <f>IF(OR(C79=1900,$D$144=0),0,VLOOKUP(A79,'Estados Financieros'!$A$11:$I$453,9,0))</f>
        <v>30</v>
      </c>
      <c r="E79" t="str">
        <f t="shared" si="3"/>
        <v>30,000</v>
      </c>
    </row>
    <row r="80" spans="1:5" x14ac:dyDescent="0.25">
      <c r="A80">
        <v>158401</v>
      </c>
      <c r="B80" t="str">
        <f t="shared" si="4"/>
        <v>900142011</v>
      </c>
      <c r="C80">
        <f t="shared" si="5"/>
        <v>202006</v>
      </c>
      <c r="D80">
        <f>IF(OR(C80=1900,$D$144=0),0,VLOOKUP(A80,'Estados Financieros'!$A$11:$I$453,9,0))</f>
        <v>30</v>
      </c>
      <c r="E80" t="str">
        <f t="shared" si="3"/>
        <v>30,000</v>
      </c>
    </row>
    <row r="81" spans="1:5" x14ac:dyDescent="0.25">
      <c r="A81">
        <v>158801</v>
      </c>
      <c r="B81" t="str">
        <f t="shared" si="4"/>
        <v>900142011</v>
      </c>
      <c r="C81">
        <f t="shared" si="5"/>
        <v>202006</v>
      </c>
      <c r="D81">
        <f>IF(OR(C81=1900,$D$144=0),0,VLOOKUP(A81,'Estados Financieros'!$A$11:$I$453,9,0))</f>
        <v>30</v>
      </c>
      <c r="E81" t="str">
        <f t="shared" si="3"/>
        <v>30,000</v>
      </c>
    </row>
    <row r="82" spans="1:5" x14ac:dyDescent="0.25">
      <c r="A82">
        <v>120145</v>
      </c>
      <c r="B82" t="str">
        <f t="shared" si="4"/>
        <v>900142011</v>
      </c>
      <c r="C82">
        <f t="shared" si="5"/>
        <v>202006</v>
      </c>
      <c r="D82">
        <f>IF(OR(C82=1900,$D$144=0),0,VLOOKUP(A82,'Estados Financieros'!$A$11:$I$453,9,0))</f>
        <v>30</v>
      </c>
      <c r="E82" t="str">
        <f t="shared" si="3"/>
        <v>30,000</v>
      </c>
    </row>
    <row r="83" spans="1:5" x14ac:dyDescent="0.25">
      <c r="A83">
        <v>120195</v>
      </c>
      <c r="B83" t="str">
        <f t="shared" si="4"/>
        <v>900142011</v>
      </c>
      <c r="C83">
        <f t="shared" si="5"/>
        <v>202006</v>
      </c>
      <c r="D83">
        <f>IF(OR(C83=1900,$D$144=0),0,VLOOKUP(A83,'Estados Financieros'!$A$11:$I$453,9,0))</f>
        <v>30</v>
      </c>
      <c r="E83" t="str">
        <f t="shared" si="3"/>
        <v>30,000</v>
      </c>
    </row>
    <row r="84" spans="1:5" x14ac:dyDescent="0.25">
      <c r="A84">
        <v>159701</v>
      </c>
      <c r="B84" t="str">
        <f t="shared" si="4"/>
        <v>900142011</v>
      </c>
      <c r="C84">
        <f t="shared" si="5"/>
        <v>202006</v>
      </c>
      <c r="D84">
        <f>IF(OR(C84=1900,$D$144=0),0,VLOOKUP(A84,'Estados Financieros'!$A$11:$I$453,9,0))</f>
        <v>30</v>
      </c>
      <c r="E84" t="str">
        <f t="shared" si="3"/>
        <v>30,000</v>
      </c>
    </row>
    <row r="85" spans="1:5" x14ac:dyDescent="0.25">
      <c r="A85">
        <v>159899</v>
      </c>
      <c r="B85" t="str">
        <f t="shared" si="4"/>
        <v>900142011</v>
      </c>
      <c r="C85">
        <f t="shared" si="5"/>
        <v>202006</v>
      </c>
      <c r="D85">
        <f>IF(OR(C85=1900,$D$144=0),0,VLOOKUP(A85,'Estados Financieros'!$A$11:$I$453,9,0))</f>
        <v>30</v>
      </c>
      <c r="E85" t="str">
        <f t="shared" si="3"/>
        <v>30,000</v>
      </c>
    </row>
    <row r="86" spans="1:5" x14ac:dyDescent="0.25">
      <c r="A86">
        <v>159901</v>
      </c>
      <c r="B86" t="str">
        <f t="shared" si="4"/>
        <v>900142011</v>
      </c>
      <c r="C86">
        <f t="shared" si="5"/>
        <v>202006</v>
      </c>
      <c r="D86">
        <f>IF(OR(C86=1900,$D$144=0),0,VLOOKUP(A86,'Estados Financieros'!$A$11:$I$453,9,0))</f>
        <v>30</v>
      </c>
      <c r="E86" t="str">
        <f t="shared" si="3"/>
        <v>30,000</v>
      </c>
    </row>
    <row r="87" spans="1:5" x14ac:dyDescent="0.25">
      <c r="A87">
        <v>1201</v>
      </c>
      <c r="B87" t="str">
        <f t="shared" si="4"/>
        <v>900142011</v>
      </c>
      <c r="C87">
        <f t="shared" si="5"/>
        <v>202006</v>
      </c>
      <c r="D87">
        <f>IF(OR(C87=1900,$D$144=0),0,VLOOKUP(A87,'Estados Financieros'!$A$11:$I$453,9,0))</f>
        <v>600</v>
      </c>
      <c r="E87" t="str">
        <f t="shared" si="3"/>
        <v>600,000</v>
      </c>
    </row>
    <row r="88" spans="1:5" x14ac:dyDescent="0.25">
      <c r="A88">
        <v>130506</v>
      </c>
      <c r="B88" t="str">
        <f t="shared" si="4"/>
        <v>900142011</v>
      </c>
      <c r="C88">
        <f t="shared" si="5"/>
        <v>202006</v>
      </c>
      <c r="D88">
        <f>IF(OR(C88=1900,$D$144=0),0,VLOOKUP(A88,'Estados Financieros'!$A$11:$I$453,9,0))</f>
        <v>30</v>
      </c>
      <c r="E88" t="str">
        <f t="shared" si="3"/>
        <v>30,000</v>
      </c>
    </row>
    <row r="89" spans="1:5" x14ac:dyDescent="0.25">
      <c r="A89">
        <v>130511</v>
      </c>
      <c r="B89" t="str">
        <f t="shared" si="4"/>
        <v>900142011</v>
      </c>
      <c r="C89">
        <f t="shared" si="5"/>
        <v>202006</v>
      </c>
      <c r="D89">
        <f>IF(OR(C89=1900,$D$144=0),0,VLOOKUP(A89,'Estados Financieros'!$A$11:$I$453,9,0))</f>
        <v>30</v>
      </c>
      <c r="E89" t="str">
        <f t="shared" si="3"/>
        <v>30,000</v>
      </c>
    </row>
    <row r="90" spans="1:5" x14ac:dyDescent="0.25">
      <c r="A90">
        <v>131001</v>
      </c>
      <c r="B90" t="str">
        <f t="shared" si="4"/>
        <v>900142011</v>
      </c>
      <c r="C90">
        <f t="shared" si="5"/>
        <v>202006</v>
      </c>
      <c r="D90">
        <f>IF(OR(C90=1900,$D$144=0),0,VLOOKUP(A90,'Estados Financieros'!$A$11:$I$453,9,0))</f>
        <v>30</v>
      </c>
      <c r="E90" t="str">
        <f t="shared" si="3"/>
        <v>30,000</v>
      </c>
    </row>
    <row r="91" spans="1:5" x14ac:dyDescent="0.25">
      <c r="A91">
        <v>131501</v>
      </c>
      <c r="B91" t="str">
        <f t="shared" si="4"/>
        <v>900142011</v>
      </c>
      <c r="C91">
        <f t="shared" si="5"/>
        <v>202006</v>
      </c>
      <c r="D91">
        <f>IF(OR(C91=1900,$D$144=0),0,VLOOKUP(A91,'Estados Financieros'!$A$11:$I$453,9,0))</f>
        <v>30</v>
      </c>
      <c r="E91" t="str">
        <f t="shared" si="3"/>
        <v>30,000</v>
      </c>
    </row>
    <row r="92" spans="1:5" x14ac:dyDescent="0.25">
      <c r="A92">
        <v>132001</v>
      </c>
      <c r="B92" t="str">
        <f t="shared" si="4"/>
        <v>900142011</v>
      </c>
      <c r="C92">
        <f t="shared" si="5"/>
        <v>202006</v>
      </c>
      <c r="D92">
        <f>IF(OR(C92=1900,$D$144=0),0,VLOOKUP(A92,'Estados Financieros'!$A$11:$I$453,9,0))</f>
        <v>30</v>
      </c>
      <c r="E92" t="str">
        <f t="shared" si="3"/>
        <v>30,000</v>
      </c>
    </row>
    <row r="93" spans="1:5" x14ac:dyDescent="0.25">
      <c r="A93">
        <v>132501</v>
      </c>
      <c r="B93" t="str">
        <f t="shared" si="4"/>
        <v>900142011</v>
      </c>
      <c r="C93">
        <f t="shared" si="5"/>
        <v>202006</v>
      </c>
      <c r="D93">
        <f>IF(OR(C93=1900,$D$144=0),0,VLOOKUP(A93,'Estados Financieros'!$A$11:$I$453,9,0))</f>
        <v>30</v>
      </c>
      <c r="E93" t="str">
        <f t="shared" si="3"/>
        <v>30,000</v>
      </c>
    </row>
    <row r="94" spans="1:5" x14ac:dyDescent="0.25">
      <c r="A94">
        <v>133001</v>
      </c>
      <c r="B94" t="str">
        <f t="shared" si="4"/>
        <v>900142011</v>
      </c>
      <c r="C94">
        <f t="shared" si="5"/>
        <v>202006</v>
      </c>
      <c r="D94">
        <f>IF(OR(C94=1900,$D$144=0),0,VLOOKUP(A94,'Estados Financieros'!$A$11:$I$453,9,0))</f>
        <v>30</v>
      </c>
      <c r="E94" t="str">
        <f t="shared" si="3"/>
        <v>30,000</v>
      </c>
    </row>
    <row r="95" spans="1:5" x14ac:dyDescent="0.25">
      <c r="A95">
        <v>133501</v>
      </c>
      <c r="B95" t="str">
        <f t="shared" si="4"/>
        <v>900142011</v>
      </c>
      <c r="C95">
        <f t="shared" si="5"/>
        <v>202006</v>
      </c>
      <c r="D95">
        <f>IF(OR(C95=1900,$D$144=0),0,VLOOKUP(A95,'Estados Financieros'!$A$11:$I$453,9,0))</f>
        <v>30</v>
      </c>
      <c r="E95" t="str">
        <f t="shared" si="3"/>
        <v>30,000</v>
      </c>
    </row>
    <row r="96" spans="1:5" x14ac:dyDescent="0.25">
      <c r="A96">
        <v>134001</v>
      </c>
      <c r="B96" t="str">
        <f t="shared" si="4"/>
        <v>900142011</v>
      </c>
      <c r="C96">
        <f t="shared" si="5"/>
        <v>202006</v>
      </c>
      <c r="D96">
        <f>IF(OR(C96=1900,$D$144=0),0,VLOOKUP(A96,'Estados Financieros'!$A$11:$I$453,9,0))</f>
        <v>30</v>
      </c>
      <c r="E96" t="str">
        <f t="shared" si="3"/>
        <v>30,000</v>
      </c>
    </row>
    <row r="97" spans="1:5" x14ac:dyDescent="0.25">
      <c r="A97">
        <v>134501</v>
      </c>
      <c r="B97" t="str">
        <f t="shared" si="4"/>
        <v>900142011</v>
      </c>
      <c r="C97">
        <f t="shared" si="5"/>
        <v>202006</v>
      </c>
      <c r="D97">
        <f>IF(OR(C97=1900,$D$144=0),0,VLOOKUP(A97,'Estados Financieros'!$A$11:$I$453,9,0))</f>
        <v>30</v>
      </c>
      <c r="E97" t="str">
        <f t="shared" si="3"/>
        <v>30,000</v>
      </c>
    </row>
    <row r="98" spans="1:5" x14ac:dyDescent="0.25">
      <c r="A98">
        <v>135001</v>
      </c>
      <c r="B98" t="str">
        <f t="shared" si="4"/>
        <v>900142011</v>
      </c>
      <c r="C98">
        <f t="shared" si="5"/>
        <v>202006</v>
      </c>
      <c r="D98">
        <f>IF(OR(C98=1900,$D$144=0),0,VLOOKUP(A98,'Estados Financieros'!$A$11:$I$453,9,0))</f>
        <v>30</v>
      </c>
      <c r="E98" t="str">
        <f t="shared" si="3"/>
        <v>30,000</v>
      </c>
    </row>
    <row r="99" spans="1:5" x14ac:dyDescent="0.25">
      <c r="A99">
        <v>135501</v>
      </c>
      <c r="B99" t="str">
        <f t="shared" si="4"/>
        <v>900142011</v>
      </c>
      <c r="C99">
        <f t="shared" si="5"/>
        <v>202006</v>
      </c>
      <c r="D99">
        <f>IF(OR(C99=1900,$D$144=0),0,VLOOKUP(A99,'Estados Financieros'!$A$11:$I$453,9,0))</f>
        <v>30</v>
      </c>
      <c r="E99" t="str">
        <f t="shared" si="3"/>
        <v>30,000</v>
      </c>
    </row>
    <row r="100" spans="1:5" x14ac:dyDescent="0.25">
      <c r="A100">
        <v>136001</v>
      </c>
      <c r="B100" t="str">
        <f t="shared" si="4"/>
        <v>900142011</v>
      </c>
      <c r="C100">
        <f t="shared" si="5"/>
        <v>202006</v>
      </c>
      <c r="D100">
        <f>IF(OR(C100=1900,$D$144=0),0,VLOOKUP(A100,'Estados Financieros'!$A$11:$I$453,9,0))</f>
        <v>30</v>
      </c>
      <c r="E100" t="str">
        <f t="shared" si="3"/>
        <v>30,000</v>
      </c>
    </row>
    <row r="101" spans="1:5" x14ac:dyDescent="0.25">
      <c r="A101">
        <v>136501</v>
      </c>
      <c r="B101" t="str">
        <f t="shared" si="4"/>
        <v>900142011</v>
      </c>
      <c r="C101">
        <f t="shared" si="5"/>
        <v>202006</v>
      </c>
      <c r="D101">
        <f>IF(OR(C101=1900,$D$144=0),0,VLOOKUP(A101,'Estados Financieros'!$A$11:$I$453,9,0))</f>
        <v>30</v>
      </c>
      <c r="E101" t="str">
        <f t="shared" si="3"/>
        <v>30,000</v>
      </c>
    </row>
    <row r="102" spans="1:5" x14ac:dyDescent="0.25">
      <c r="A102">
        <v>137001</v>
      </c>
      <c r="B102" t="str">
        <f t="shared" si="4"/>
        <v>900142011</v>
      </c>
      <c r="C102">
        <f t="shared" si="5"/>
        <v>202006</v>
      </c>
      <c r="D102">
        <f>IF(OR(C102=1900,$D$144=0),0,VLOOKUP(A102,'Estados Financieros'!$A$11:$I$453,9,0))</f>
        <v>30</v>
      </c>
      <c r="E102" t="str">
        <f t="shared" si="3"/>
        <v>30,000</v>
      </c>
    </row>
    <row r="103" spans="1:5" x14ac:dyDescent="0.25">
      <c r="A103">
        <v>138001</v>
      </c>
      <c r="B103" t="str">
        <f t="shared" si="4"/>
        <v>900142011</v>
      </c>
      <c r="C103">
        <f t="shared" si="5"/>
        <v>202006</v>
      </c>
      <c r="D103">
        <f>IF(OR(C103=1900,$D$144=0),0,VLOOKUP(A103,'Estados Financieros'!$A$11:$I$453,9,0))</f>
        <v>30</v>
      </c>
      <c r="E103" t="str">
        <f t="shared" si="3"/>
        <v>30,000</v>
      </c>
    </row>
    <row r="104" spans="1:5" x14ac:dyDescent="0.25">
      <c r="A104">
        <v>138501</v>
      </c>
      <c r="B104" t="str">
        <f t="shared" si="4"/>
        <v>900142011</v>
      </c>
      <c r="C104">
        <f t="shared" si="5"/>
        <v>202006</v>
      </c>
      <c r="D104">
        <f>IF(OR(C104=1900,$D$144=0),0,VLOOKUP(A104,'Estados Financieros'!$A$11:$I$453,9,0))</f>
        <v>30</v>
      </c>
      <c r="E104" t="str">
        <f t="shared" si="3"/>
        <v>30,000</v>
      </c>
    </row>
    <row r="105" spans="1:5" x14ac:dyDescent="0.25">
      <c r="A105">
        <v>139001</v>
      </c>
      <c r="B105" t="str">
        <f t="shared" si="4"/>
        <v>900142011</v>
      </c>
      <c r="C105">
        <f t="shared" si="5"/>
        <v>202006</v>
      </c>
      <c r="D105">
        <f>IF(OR(C105=1900,$D$144=0),0,VLOOKUP(A105,'Estados Financieros'!$A$11:$I$453,9,0))</f>
        <v>30</v>
      </c>
      <c r="E105" t="str">
        <f t="shared" si="3"/>
        <v>30,000</v>
      </c>
    </row>
    <row r="106" spans="1:5" x14ac:dyDescent="0.25">
      <c r="A106">
        <v>139901</v>
      </c>
      <c r="B106" t="str">
        <f t="shared" si="4"/>
        <v>900142011</v>
      </c>
      <c r="C106">
        <f t="shared" si="5"/>
        <v>202006</v>
      </c>
      <c r="D106">
        <f>IF(OR(C106=1900,$D$144=0),0,VLOOKUP(A106,'Estados Financieros'!$A$11:$I$453,9,0))</f>
        <v>30</v>
      </c>
      <c r="E106" t="str">
        <f t="shared" si="3"/>
        <v>30,000</v>
      </c>
    </row>
    <row r="107" spans="1:5" x14ac:dyDescent="0.25">
      <c r="A107">
        <v>1205</v>
      </c>
      <c r="B107" t="str">
        <f t="shared" si="4"/>
        <v>900142011</v>
      </c>
      <c r="C107">
        <f t="shared" si="5"/>
        <v>202006</v>
      </c>
      <c r="D107">
        <f>IF(OR(C107=1900,$D$144=0),0,VLOOKUP(A107,'Estados Financieros'!$A$11:$I$453,9,0))</f>
        <v>600</v>
      </c>
      <c r="E107" t="str">
        <f t="shared" si="3"/>
        <v>600,000</v>
      </c>
    </row>
    <row r="108" spans="1:5" x14ac:dyDescent="0.25">
      <c r="A108">
        <v>120501</v>
      </c>
      <c r="B108" t="str">
        <f t="shared" si="4"/>
        <v>900142011</v>
      </c>
      <c r="C108">
        <f t="shared" si="5"/>
        <v>202006</v>
      </c>
      <c r="D108">
        <f>IF(OR(C108=1900,$D$144=0),0,VLOOKUP(A108,'Estados Financieros'!$A$11:$I$453,9,0))</f>
        <v>30</v>
      </c>
      <c r="E108" t="str">
        <f t="shared" si="3"/>
        <v>30,000</v>
      </c>
    </row>
    <row r="109" spans="1:5" x14ac:dyDescent="0.25">
      <c r="A109">
        <v>121001</v>
      </c>
      <c r="B109" t="str">
        <f t="shared" si="4"/>
        <v>900142011</v>
      </c>
      <c r="C109">
        <f t="shared" si="5"/>
        <v>202006</v>
      </c>
      <c r="D109">
        <f>IF(OR(C109=1900,$D$144=0),0,VLOOKUP(A109,'Estados Financieros'!$A$11:$I$453,9,0))</f>
        <v>30</v>
      </c>
      <c r="E109" t="str">
        <f t="shared" si="3"/>
        <v>30,000</v>
      </c>
    </row>
    <row r="110" spans="1:5" x14ac:dyDescent="0.25">
      <c r="A110">
        <v>121501</v>
      </c>
      <c r="B110" t="str">
        <f t="shared" si="4"/>
        <v>900142011</v>
      </c>
      <c r="C110">
        <f t="shared" si="5"/>
        <v>202006</v>
      </c>
      <c r="D110">
        <f>IF(OR(C110=1900,$D$144=0),0,VLOOKUP(A110,'Estados Financieros'!$A$11:$I$453,9,0))</f>
        <v>30</v>
      </c>
      <c r="E110" t="str">
        <f t="shared" si="3"/>
        <v>30,000</v>
      </c>
    </row>
    <row r="111" spans="1:5" x14ac:dyDescent="0.25">
      <c r="A111">
        <v>123501</v>
      </c>
      <c r="B111" t="str">
        <f t="shared" si="4"/>
        <v>900142011</v>
      </c>
      <c r="C111">
        <f t="shared" si="5"/>
        <v>202006</v>
      </c>
      <c r="D111">
        <f>IF(OR(C111=1900,$D$144=0),0,VLOOKUP(A111,'Estados Financieros'!$A$11:$I$453,9,0))</f>
        <v>30</v>
      </c>
      <c r="E111" t="str">
        <f t="shared" si="3"/>
        <v>30,000</v>
      </c>
    </row>
    <row r="112" spans="1:5" x14ac:dyDescent="0.25">
      <c r="A112">
        <v>125501</v>
      </c>
      <c r="B112" t="str">
        <f t="shared" si="4"/>
        <v>900142011</v>
      </c>
      <c r="C112">
        <f t="shared" si="5"/>
        <v>202006</v>
      </c>
      <c r="D112">
        <f>IF(OR(C112=1900,$D$144=0),0,VLOOKUP(A112,'Estados Financieros'!$A$11:$I$453,9,0))</f>
        <v>30</v>
      </c>
      <c r="E112" t="str">
        <f t="shared" si="3"/>
        <v>30,000</v>
      </c>
    </row>
    <row r="113" spans="1:5" x14ac:dyDescent="0.25">
      <c r="A113">
        <v>126001</v>
      </c>
      <c r="B113" t="str">
        <f t="shared" si="4"/>
        <v>900142011</v>
      </c>
      <c r="C113">
        <f t="shared" si="5"/>
        <v>202006</v>
      </c>
      <c r="D113">
        <f>IF(OR(C113=1900,$D$144=0),0,VLOOKUP(A113,'Estados Financieros'!$A$11:$I$453,9,0))</f>
        <v>30</v>
      </c>
      <c r="E113" t="str">
        <f t="shared" si="3"/>
        <v>30,000</v>
      </c>
    </row>
    <row r="114" spans="1:5" x14ac:dyDescent="0.25">
      <c r="A114">
        <v>129501</v>
      </c>
      <c r="B114" t="str">
        <f t="shared" si="4"/>
        <v>900142011</v>
      </c>
      <c r="C114">
        <f t="shared" si="5"/>
        <v>202006</v>
      </c>
      <c r="D114">
        <f>IF(OR(C114=1900,$D$144=0),0,VLOOKUP(A114,'Estados Financieros'!$A$11:$I$453,9,0))</f>
        <v>30</v>
      </c>
      <c r="E114" t="str">
        <f t="shared" si="3"/>
        <v>30,000</v>
      </c>
    </row>
    <row r="115" spans="1:5" x14ac:dyDescent="0.25">
      <c r="A115">
        <v>129701</v>
      </c>
      <c r="B115" t="str">
        <f t="shared" si="4"/>
        <v>900142011</v>
      </c>
      <c r="C115">
        <f t="shared" si="5"/>
        <v>202006</v>
      </c>
      <c r="D115">
        <f>IF(OR(C115=1900,$D$144=0),0,VLOOKUP(A115,'Estados Financieros'!$A$11:$I$453,9,0))</f>
        <v>30</v>
      </c>
      <c r="E115" t="str">
        <f t="shared" si="3"/>
        <v>30,000</v>
      </c>
    </row>
    <row r="116" spans="1:5" x14ac:dyDescent="0.25">
      <c r="A116">
        <v>129901</v>
      </c>
      <c r="B116" t="str">
        <f t="shared" si="4"/>
        <v>900142011</v>
      </c>
      <c r="C116">
        <f t="shared" si="5"/>
        <v>202006</v>
      </c>
      <c r="D116">
        <f>IF(OR(C116=1900,$D$144=0),0,VLOOKUP(A116,'Estados Financieros'!$A$11:$I$453,9,0))</f>
        <v>30</v>
      </c>
      <c r="E116" t="str">
        <f t="shared" si="3"/>
        <v>30,000</v>
      </c>
    </row>
    <row r="117" spans="1:5" x14ac:dyDescent="0.25">
      <c r="A117">
        <v>1203</v>
      </c>
      <c r="B117" t="str">
        <f t="shared" si="4"/>
        <v>900142011</v>
      </c>
      <c r="C117">
        <f t="shared" si="5"/>
        <v>202006</v>
      </c>
      <c r="D117">
        <f>IF(OR(C117=1900,$D$144=0),0,VLOOKUP(A117,'Estados Financieros'!$A$11:$I$453,9,0))</f>
        <v>270</v>
      </c>
      <c r="E117" t="str">
        <f t="shared" si="3"/>
        <v>270,000</v>
      </c>
    </row>
    <row r="118" spans="1:5" x14ac:dyDescent="0.25">
      <c r="A118">
        <v>120610</v>
      </c>
      <c r="B118" t="str">
        <f t="shared" si="4"/>
        <v>900142011</v>
      </c>
      <c r="C118">
        <f t="shared" si="5"/>
        <v>202006</v>
      </c>
      <c r="D118">
        <f>IF(OR(C118=1900,$D$144=0),0,VLOOKUP(A118,'Estados Financieros'!$A$11:$I$453,9,0))</f>
        <v>30</v>
      </c>
      <c r="E118" t="str">
        <f t="shared" si="3"/>
        <v>30,000</v>
      </c>
    </row>
    <row r="119" spans="1:5" x14ac:dyDescent="0.25">
      <c r="A119">
        <v>120615</v>
      </c>
      <c r="B119" t="str">
        <f t="shared" si="4"/>
        <v>900142011</v>
      </c>
      <c r="C119">
        <f t="shared" si="5"/>
        <v>202006</v>
      </c>
      <c r="D119">
        <f>IF(OR(C119=1900,$D$144=0),0,VLOOKUP(A119,'Estados Financieros'!$A$11:$I$453,9,0))</f>
        <v>30</v>
      </c>
      <c r="E119" t="str">
        <f t="shared" si="3"/>
        <v>30,000</v>
      </c>
    </row>
    <row r="120" spans="1:5" x14ac:dyDescent="0.25">
      <c r="A120">
        <v>173001</v>
      </c>
      <c r="B120" t="str">
        <f t="shared" si="4"/>
        <v>900142011</v>
      </c>
      <c r="C120">
        <f t="shared" si="5"/>
        <v>202006</v>
      </c>
      <c r="D120">
        <f>IF(OR(C120=1900,$D$144=0),0,VLOOKUP(A120,'Estados Financieros'!$A$11:$I$453,9,0))</f>
        <v>30</v>
      </c>
      <c r="E120" t="str">
        <f t="shared" si="3"/>
        <v>30,000</v>
      </c>
    </row>
    <row r="121" spans="1:5" x14ac:dyDescent="0.25">
      <c r="A121">
        <v>120620</v>
      </c>
      <c r="B121" t="str">
        <f t="shared" si="4"/>
        <v>900142011</v>
      </c>
      <c r="C121">
        <f t="shared" si="5"/>
        <v>202006</v>
      </c>
      <c r="D121">
        <f>IF(OR(C121=1900,$D$144=0),0,VLOOKUP(A121,'Estados Financieros'!$A$11:$I$453,9,0))</f>
        <v>30</v>
      </c>
      <c r="E121" t="str">
        <f t="shared" si="3"/>
        <v>30,000</v>
      </c>
    </row>
    <row r="122" spans="1:5" x14ac:dyDescent="0.25">
      <c r="A122">
        <v>179701</v>
      </c>
      <c r="B122" t="str">
        <f t="shared" si="4"/>
        <v>900142011</v>
      </c>
      <c r="C122">
        <f t="shared" si="5"/>
        <v>202006</v>
      </c>
      <c r="D122">
        <f>IF(OR(C122=1900,$D$144=0),0,VLOOKUP(A122,'Estados Financieros'!$A$11:$I$453,9,0))</f>
        <v>30</v>
      </c>
      <c r="E122" t="str">
        <f t="shared" si="3"/>
        <v>30,000</v>
      </c>
    </row>
    <row r="123" spans="1:5" x14ac:dyDescent="0.25">
      <c r="A123">
        <v>179801</v>
      </c>
      <c r="B123" t="str">
        <f t="shared" si="4"/>
        <v>900142011</v>
      </c>
      <c r="C123">
        <f t="shared" si="5"/>
        <v>202006</v>
      </c>
      <c r="D123">
        <f>IF(OR(C123=1900,$D$144=0),0,VLOOKUP(A123,'Estados Financieros'!$A$11:$I$453,9,0))</f>
        <v>30</v>
      </c>
      <c r="E123" t="str">
        <f t="shared" si="3"/>
        <v>30,000</v>
      </c>
    </row>
    <row r="124" spans="1:5" x14ac:dyDescent="0.25">
      <c r="A124">
        <v>1206</v>
      </c>
      <c r="B124" t="str">
        <f t="shared" si="4"/>
        <v>900142011</v>
      </c>
      <c r="C124">
        <f t="shared" si="5"/>
        <v>202006</v>
      </c>
      <c r="D124">
        <f>IF(OR(C124=1900,$D$144=0),0,VLOOKUP(A124,'Estados Financieros'!$A$11:$I$453,9,0))</f>
        <v>180</v>
      </c>
      <c r="E124" t="str">
        <f t="shared" si="3"/>
        <v>180,000</v>
      </c>
    </row>
    <row r="125" spans="1:5" x14ac:dyDescent="0.25">
      <c r="A125">
        <v>160501</v>
      </c>
      <c r="B125" t="str">
        <f t="shared" si="4"/>
        <v>900142011</v>
      </c>
      <c r="C125">
        <f t="shared" si="5"/>
        <v>202006</v>
      </c>
      <c r="D125">
        <f>IF(OR(C125=1900,$D$144=0),0,VLOOKUP(A125,'Estados Financieros'!$A$11:$I$453,9,0))</f>
        <v>30</v>
      </c>
      <c r="E125" t="str">
        <f t="shared" si="3"/>
        <v>30,000</v>
      </c>
    </row>
    <row r="126" spans="1:5" x14ac:dyDescent="0.25">
      <c r="A126">
        <v>161001</v>
      </c>
      <c r="B126" t="str">
        <f t="shared" si="4"/>
        <v>900142011</v>
      </c>
      <c r="C126">
        <f t="shared" si="5"/>
        <v>202006</v>
      </c>
      <c r="D126">
        <f>IF(OR(C126=1900,$D$144=0),0,VLOOKUP(A126,'Estados Financieros'!$A$11:$I$453,9,0))</f>
        <v>30</v>
      </c>
      <c r="E126" t="str">
        <f t="shared" si="3"/>
        <v>30,000</v>
      </c>
    </row>
    <row r="127" spans="1:5" x14ac:dyDescent="0.25">
      <c r="A127">
        <v>163001</v>
      </c>
      <c r="B127" t="str">
        <f t="shared" si="4"/>
        <v>900142011</v>
      </c>
      <c r="C127">
        <f t="shared" si="5"/>
        <v>202006</v>
      </c>
      <c r="D127">
        <f>IF(OR(C127=1900,$D$144=0),0,VLOOKUP(A127,'Estados Financieros'!$A$11:$I$453,9,0))</f>
        <v>30</v>
      </c>
      <c r="E127" t="str">
        <f t="shared" si="3"/>
        <v>30,000</v>
      </c>
    </row>
    <row r="128" spans="1:5" x14ac:dyDescent="0.25">
      <c r="A128">
        <v>164001</v>
      </c>
      <c r="B128" t="str">
        <f t="shared" si="4"/>
        <v>900142011</v>
      </c>
      <c r="C128">
        <f t="shared" si="5"/>
        <v>202006</v>
      </c>
      <c r="D128">
        <f>IF(OR(C128=1900,$D$144=0),0,VLOOKUP(A128,'Estados Financieros'!$A$11:$I$453,9,0))</f>
        <v>30</v>
      </c>
      <c r="E128" t="str">
        <f t="shared" si="3"/>
        <v>30,000</v>
      </c>
    </row>
    <row r="129" spans="1:5" x14ac:dyDescent="0.25">
      <c r="A129">
        <v>109801</v>
      </c>
      <c r="B129" t="str">
        <f t="shared" si="4"/>
        <v>900142011</v>
      </c>
      <c r="C129">
        <f t="shared" si="5"/>
        <v>202006</v>
      </c>
      <c r="D129">
        <f>IF(OR(C129=1900,$D$144=0),0,VLOOKUP(A129,'Estados Financieros'!$A$11:$I$453,9,0))</f>
        <v>30</v>
      </c>
      <c r="E129" t="str">
        <f t="shared" si="3"/>
        <v>30,000</v>
      </c>
    </row>
    <row r="130" spans="1:5" x14ac:dyDescent="0.25">
      <c r="A130">
        <v>169899</v>
      </c>
      <c r="B130" t="str">
        <f t="shared" si="4"/>
        <v>900142011</v>
      </c>
      <c r="C130">
        <f t="shared" si="5"/>
        <v>202006</v>
      </c>
      <c r="D130">
        <f>IF(OR(C130=1900,$D$144=0),0,VLOOKUP(A130,'Estados Financieros'!$A$11:$I$453,9,0))</f>
        <v>30</v>
      </c>
      <c r="E130" t="str">
        <f t="shared" ref="E130:E193" si="6">IFERROR(FIXED(D130,3,1),0)</f>
        <v>30,000</v>
      </c>
    </row>
    <row r="131" spans="1:5" x14ac:dyDescent="0.25">
      <c r="A131">
        <v>169901</v>
      </c>
      <c r="B131" t="str">
        <f t="shared" ref="B131:B194" si="7">+B130</f>
        <v>900142011</v>
      </c>
      <c r="C131">
        <f t="shared" ref="C131:C194" si="8">C130</f>
        <v>202006</v>
      </c>
      <c r="D131">
        <f>IF(OR(C131=1900,$D$144=0),0,VLOOKUP(A131,'Estados Financieros'!$A$11:$I$453,9,0))</f>
        <v>30</v>
      </c>
      <c r="E131" t="str">
        <f t="shared" si="6"/>
        <v>30,000</v>
      </c>
    </row>
    <row r="132" spans="1:5" x14ac:dyDescent="0.25">
      <c r="A132">
        <v>1202</v>
      </c>
      <c r="B132" t="str">
        <f t="shared" si="7"/>
        <v>900142011</v>
      </c>
      <c r="C132">
        <f t="shared" si="8"/>
        <v>202006</v>
      </c>
      <c r="D132">
        <f>IF(OR(C132=1900,$D$144=0),0,VLOOKUP(A132,'Estados Financieros'!$A$11:$I$453,9,0))</f>
        <v>210</v>
      </c>
      <c r="E132" t="str">
        <f t="shared" si="6"/>
        <v>210,000</v>
      </c>
    </row>
    <row r="133" spans="1:5" x14ac:dyDescent="0.25">
      <c r="A133">
        <v>180501</v>
      </c>
      <c r="B133" t="str">
        <f t="shared" si="7"/>
        <v>900142011</v>
      </c>
      <c r="C133">
        <f t="shared" si="8"/>
        <v>202006</v>
      </c>
      <c r="D133">
        <f>IF(OR(C133=1900,$D$144=0),0,VLOOKUP(A133,'Estados Financieros'!$A$11:$I$453,9,0))</f>
        <v>30</v>
      </c>
      <c r="E133" t="str">
        <f t="shared" si="6"/>
        <v>30,000</v>
      </c>
    </row>
    <row r="134" spans="1:5" x14ac:dyDescent="0.25">
      <c r="A134">
        <v>189501</v>
      </c>
      <c r="B134" t="str">
        <f t="shared" si="7"/>
        <v>900142011</v>
      </c>
      <c r="C134">
        <f t="shared" si="8"/>
        <v>202006</v>
      </c>
      <c r="D134">
        <f>IF(OR(C134=1900,$D$144=0),0,VLOOKUP(A134,'Estados Financieros'!$A$11:$I$453,9,0))</f>
        <v>30</v>
      </c>
      <c r="E134" t="str">
        <f t="shared" si="6"/>
        <v>30,000</v>
      </c>
    </row>
    <row r="135" spans="1:5" x14ac:dyDescent="0.25">
      <c r="A135">
        <v>189520</v>
      </c>
      <c r="B135" t="str">
        <f t="shared" si="7"/>
        <v>900142011</v>
      </c>
      <c r="C135">
        <f t="shared" si="8"/>
        <v>202006</v>
      </c>
      <c r="D135">
        <f>IF(OR(C135=1900,$D$144=0),0,VLOOKUP(A135,'Estados Financieros'!$A$11:$I$453,9,0))</f>
        <v>30</v>
      </c>
      <c r="E135" t="str">
        <f t="shared" si="6"/>
        <v>30,000</v>
      </c>
    </row>
    <row r="136" spans="1:5" x14ac:dyDescent="0.25">
      <c r="A136">
        <v>189701</v>
      </c>
      <c r="B136" t="str">
        <f t="shared" si="7"/>
        <v>900142011</v>
      </c>
      <c r="C136">
        <f t="shared" si="8"/>
        <v>202006</v>
      </c>
      <c r="D136">
        <f>IF(OR(C136=1900,$D$144=0),0,VLOOKUP(A136,'Estados Financieros'!$A$11:$I$453,9,0))</f>
        <v>30</v>
      </c>
      <c r="E136" t="str">
        <f t="shared" si="6"/>
        <v>30,000</v>
      </c>
    </row>
    <row r="137" spans="1:5" x14ac:dyDescent="0.25">
      <c r="A137">
        <v>189901</v>
      </c>
      <c r="B137" t="str">
        <f t="shared" si="7"/>
        <v>900142011</v>
      </c>
      <c r="C137">
        <f t="shared" si="8"/>
        <v>202006</v>
      </c>
      <c r="D137">
        <f>IF(OR(C137=1900,$D$144=0),0,VLOOKUP(A137,'Estados Financieros'!$A$11:$I$453,9,0))</f>
        <v>30</v>
      </c>
      <c r="E137" t="str">
        <f t="shared" si="6"/>
        <v>30,000</v>
      </c>
    </row>
    <row r="138" spans="1:5" x14ac:dyDescent="0.25">
      <c r="A138">
        <v>1207</v>
      </c>
      <c r="B138" t="str">
        <f t="shared" si="7"/>
        <v>900142011</v>
      </c>
      <c r="C138">
        <f t="shared" si="8"/>
        <v>202006</v>
      </c>
      <c r="D138">
        <f>IF(OR(C138=1900,$D$144=0),0,VLOOKUP(A138,'Estados Financieros'!$A$11:$I$453,9,0))</f>
        <v>150</v>
      </c>
      <c r="E138" t="str">
        <f t="shared" si="6"/>
        <v>150,000</v>
      </c>
    </row>
    <row r="139" spans="1:5" x14ac:dyDescent="0.25">
      <c r="A139">
        <v>190501</v>
      </c>
      <c r="B139" t="str">
        <f t="shared" si="7"/>
        <v>900142011</v>
      </c>
      <c r="C139">
        <f t="shared" si="8"/>
        <v>202006</v>
      </c>
      <c r="D139">
        <f>IF(OR(C139=1900,$D$144=0),0,VLOOKUP(A139,'Estados Financieros'!$A$11:$I$453,9,0))</f>
        <v>30</v>
      </c>
      <c r="E139" t="str">
        <f t="shared" si="6"/>
        <v>30,000</v>
      </c>
    </row>
    <row r="140" spans="1:5" x14ac:dyDescent="0.25">
      <c r="A140">
        <v>191001</v>
      </c>
      <c r="B140" t="str">
        <f t="shared" si="7"/>
        <v>900142011</v>
      </c>
      <c r="C140">
        <f t="shared" si="8"/>
        <v>202006</v>
      </c>
      <c r="D140">
        <f>IF(OR(C140=1900,$D$144=0),0,VLOOKUP(A140,'Estados Financieros'!$A$11:$I$453,9,0))</f>
        <v>30</v>
      </c>
      <c r="E140" t="str">
        <f t="shared" si="6"/>
        <v>30,000</v>
      </c>
    </row>
    <row r="141" spans="1:5" x14ac:dyDescent="0.25">
      <c r="A141">
        <v>199501</v>
      </c>
      <c r="B141" t="str">
        <f t="shared" si="7"/>
        <v>900142011</v>
      </c>
      <c r="C141">
        <f t="shared" si="8"/>
        <v>202006</v>
      </c>
      <c r="D141">
        <f>IF(OR(C141=1900,$D$144=0),0,VLOOKUP(A141,'Estados Financieros'!$A$11:$I$453,9,0))</f>
        <v>30</v>
      </c>
      <c r="E141" t="str">
        <f t="shared" si="6"/>
        <v>30,000</v>
      </c>
    </row>
    <row r="142" spans="1:5" x14ac:dyDescent="0.25">
      <c r="A142">
        <v>1208</v>
      </c>
      <c r="B142" t="str">
        <f t="shared" si="7"/>
        <v>900142011</v>
      </c>
      <c r="C142">
        <f t="shared" si="8"/>
        <v>202006</v>
      </c>
      <c r="D142">
        <f>IF(OR(C142=1900,$D$144=0),0,VLOOKUP(A142,'Estados Financieros'!$A$11:$I$453,9,0))</f>
        <v>90</v>
      </c>
      <c r="E142" t="str">
        <f t="shared" si="6"/>
        <v>90,000</v>
      </c>
    </row>
    <row r="143" spans="1:5" x14ac:dyDescent="0.25">
      <c r="A143">
        <v>12</v>
      </c>
      <c r="B143" t="str">
        <f t="shared" si="7"/>
        <v>900142011</v>
      </c>
      <c r="C143">
        <f t="shared" si="8"/>
        <v>202006</v>
      </c>
      <c r="D143">
        <f>IF(OR(C143=1900,$D$144=0),0,VLOOKUP(A143,'Estados Financieros'!$A$11:$I$453,9,0))</f>
        <v>2100</v>
      </c>
      <c r="E143" t="str">
        <f t="shared" si="6"/>
        <v>2100,000</v>
      </c>
    </row>
    <row r="144" spans="1:5" x14ac:dyDescent="0.25">
      <c r="A144">
        <v>1</v>
      </c>
      <c r="B144" t="str">
        <f t="shared" si="7"/>
        <v>900142011</v>
      </c>
      <c r="C144">
        <f t="shared" si="8"/>
        <v>202006</v>
      </c>
      <c r="D144">
        <f>IF(C144=1900,0,VLOOKUP(A144,'Estados Financieros'!$A$11:$I$453,9,0))</f>
        <v>3960</v>
      </c>
      <c r="E144" t="str">
        <f t="shared" si="6"/>
        <v>3960,000</v>
      </c>
    </row>
    <row r="145" spans="1:5" x14ac:dyDescent="0.25">
      <c r="A145">
        <v>108100</v>
      </c>
      <c r="B145" t="str">
        <f t="shared" si="7"/>
        <v>900142011</v>
      </c>
      <c r="C145">
        <f t="shared" si="8"/>
        <v>202006</v>
      </c>
      <c r="D145">
        <f>IF(OR(C145=1900,$D$144=0),0,VLOOKUP(A145,'Estados Financieros'!$A$11:$I$453,9,0))</f>
        <v>0</v>
      </c>
      <c r="E145" t="str">
        <f t="shared" si="6"/>
        <v>0,000</v>
      </c>
    </row>
    <row r="146" spans="1:5" x14ac:dyDescent="0.25">
      <c r="A146">
        <v>108200</v>
      </c>
      <c r="B146" t="str">
        <f t="shared" si="7"/>
        <v>900142011</v>
      </c>
      <c r="C146">
        <f t="shared" si="8"/>
        <v>202006</v>
      </c>
      <c r="D146">
        <f>IF(OR(C146=1900,$D$144=0),0,VLOOKUP(A146,'Estados Financieros'!$A$11:$I$453,9,0))</f>
        <v>0</v>
      </c>
      <c r="E146" t="str">
        <f t="shared" si="6"/>
        <v>0,000</v>
      </c>
    </row>
    <row r="147" spans="1:5" x14ac:dyDescent="0.25">
      <c r="A147">
        <v>108300</v>
      </c>
      <c r="B147" t="str">
        <f t="shared" si="7"/>
        <v>900142011</v>
      </c>
      <c r="C147">
        <f t="shared" si="8"/>
        <v>202006</v>
      </c>
      <c r="D147">
        <f>IF(OR(C147=1900,$D$144=0),0,VLOOKUP(A147,'Estados Financieros'!$A$11:$I$453,9,0))</f>
        <v>0</v>
      </c>
      <c r="E147" t="str">
        <f t="shared" si="6"/>
        <v>0,000</v>
      </c>
    </row>
    <row r="148" spans="1:5" x14ac:dyDescent="0.25">
      <c r="A148">
        <v>108400</v>
      </c>
      <c r="B148" t="str">
        <f t="shared" si="7"/>
        <v>900142011</v>
      </c>
      <c r="C148">
        <f t="shared" si="8"/>
        <v>202006</v>
      </c>
      <c r="D148">
        <f>IF(OR(C148=1900,$D$144=0),0,VLOOKUP(A148,'Estados Financieros'!$A$11:$I$453,9,0))</f>
        <v>0</v>
      </c>
      <c r="E148" t="str">
        <f t="shared" si="6"/>
        <v>0,000</v>
      </c>
    </row>
    <row r="149" spans="1:5" x14ac:dyDescent="0.25">
      <c r="A149">
        <v>108000</v>
      </c>
      <c r="B149" t="str">
        <f t="shared" si="7"/>
        <v>900142011</v>
      </c>
      <c r="C149">
        <f t="shared" si="8"/>
        <v>202006</v>
      </c>
      <c r="D149">
        <f>IF(OR(C149=1900,$D$144=0),0,VLOOKUP(A149,'Estados Financieros'!$A$11:$I$453,9,0))</f>
        <v>0</v>
      </c>
      <c r="E149" t="str">
        <f t="shared" si="6"/>
        <v>0,000</v>
      </c>
    </row>
    <row r="150" spans="1:5" x14ac:dyDescent="0.25">
      <c r="A150">
        <v>210500</v>
      </c>
      <c r="B150" t="str">
        <f t="shared" si="7"/>
        <v>900142011</v>
      </c>
      <c r="C150">
        <f t="shared" si="8"/>
        <v>202006</v>
      </c>
      <c r="D150">
        <f>IF(OR(C150=1900,$D$144=0),0,VLOOKUP(A150,'Estados Financieros'!$A$11:$I$453,9,0))</f>
        <v>10</v>
      </c>
      <c r="E150" t="str">
        <f t="shared" si="6"/>
        <v>10,000</v>
      </c>
    </row>
    <row r="151" spans="1:5" x14ac:dyDescent="0.25">
      <c r="A151">
        <v>211500</v>
      </c>
      <c r="B151" t="str">
        <f t="shared" si="7"/>
        <v>900142011</v>
      </c>
      <c r="C151">
        <f t="shared" si="8"/>
        <v>202006</v>
      </c>
      <c r="D151">
        <f>IF(OR(C151=1900,$D$144=0),0,VLOOKUP(A151,'Estados Financieros'!$A$11:$I$453,9,0))</f>
        <v>10</v>
      </c>
      <c r="E151" t="str">
        <f t="shared" si="6"/>
        <v>10,000</v>
      </c>
    </row>
    <row r="152" spans="1:5" x14ac:dyDescent="0.25">
      <c r="A152">
        <v>219500</v>
      </c>
      <c r="B152" t="str">
        <f t="shared" si="7"/>
        <v>900142011</v>
      </c>
      <c r="C152">
        <f t="shared" si="8"/>
        <v>202006</v>
      </c>
      <c r="D152">
        <f>IF(OR(C152=1900,$D$144=0),0,VLOOKUP(A152,'Estados Financieros'!$A$11:$I$453,9,0))</f>
        <v>10</v>
      </c>
      <c r="E152" t="str">
        <f t="shared" si="6"/>
        <v>10,000</v>
      </c>
    </row>
    <row r="153" spans="1:5" x14ac:dyDescent="0.25">
      <c r="A153">
        <v>2101</v>
      </c>
      <c r="B153" t="str">
        <f t="shared" si="7"/>
        <v>900142011</v>
      </c>
      <c r="C153">
        <f t="shared" si="8"/>
        <v>202006</v>
      </c>
      <c r="D153">
        <f>IF(OR(C153=1900,$D$144=0),0,VLOOKUP(A153,'Estados Financieros'!$A$11:$I$453,9,0))</f>
        <v>30</v>
      </c>
      <c r="E153" t="str">
        <f t="shared" si="6"/>
        <v>30,000</v>
      </c>
    </row>
    <row r="154" spans="1:5" x14ac:dyDescent="0.25">
      <c r="A154">
        <v>220500</v>
      </c>
      <c r="B154" t="str">
        <f t="shared" si="7"/>
        <v>900142011</v>
      </c>
      <c r="C154">
        <f t="shared" si="8"/>
        <v>202006</v>
      </c>
      <c r="D154">
        <f>IF(OR(C154=1900,$D$144=0),0,VLOOKUP(A154,'Estados Financieros'!$A$11:$I$453,9,0))</f>
        <v>10</v>
      </c>
      <c r="E154" t="str">
        <f t="shared" si="6"/>
        <v>10,000</v>
      </c>
    </row>
    <row r="155" spans="1:5" x14ac:dyDescent="0.25">
      <c r="A155">
        <v>221000</v>
      </c>
      <c r="B155" t="str">
        <f t="shared" si="7"/>
        <v>900142011</v>
      </c>
      <c r="C155">
        <f t="shared" si="8"/>
        <v>202006</v>
      </c>
      <c r="D155">
        <f>IF(OR(C155=1900,$D$144=0),0,VLOOKUP(A155,'Estados Financieros'!$A$11:$I$453,9,0))</f>
        <v>10</v>
      </c>
      <c r="E155" t="str">
        <f t="shared" si="6"/>
        <v>10,000</v>
      </c>
    </row>
    <row r="156" spans="1:5" x14ac:dyDescent="0.25">
      <c r="A156">
        <v>221500</v>
      </c>
      <c r="B156" t="str">
        <f t="shared" si="7"/>
        <v>900142011</v>
      </c>
      <c r="C156">
        <f t="shared" si="8"/>
        <v>202006</v>
      </c>
      <c r="D156">
        <f>IF(OR(C156=1900,$D$144=0),0,VLOOKUP(A156,'Estados Financieros'!$A$11:$I$453,9,0))</f>
        <v>10</v>
      </c>
      <c r="E156" t="str">
        <f t="shared" si="6"/>
        <v>10,000</v>
      </c>
    </row>
    <row r="157" spans="1:5" x14ac:dyDescent="0.25">
      <c r="A157">
        <v>2102</v>
      </c>
      <c r="B157" t="str">
        <f t="shared" si="7"/>
        <v>900142011</v>
      </c>
      <c r="C157">
        <f t="shared" si="8"/>
        <v>202006</v>
      </c>
      <c r="D157">
        <f>IF(OR(C157=1900,$D$144=0),0,VLOOKUP(A157,'Estados Financieros'!$A$11:$I$453,9,0))</f>
        <v>30</v>
      </c>
      <c r="E157" t="str">
        <f t="shared" si="6"/>
        <v>30,000</v>
      </c>
    </row>
    <row r="158" spans="1:5" x14ac:dyDescent="0.25">
      <c r="A158">
        <v>230500</v>
      </c>
      <c r="B158" t="str">
        <f t="shared" si="7"/>
        <v>900142011</v>
      </c>
      <c r="C158">
        <f t="shared" si="8"/>
        <v>202006</v>
      </c>
      <c r="D158">
        <f>IF(OR(C158=1900,$D$144=0),0,VLOOKUP(A158,'Estados Financieros'!$A$11:$I$453,9,0))</f>
        <v>10</v>
      </c>
      <c r="E158" t="str">
        <f t="shared" si="6"/>
        <v>10,000</v>
      </c>
    </row>
    <row r="159" spans="1:5" x14ac:dyDescent="0.25">
      <c r="A159">
        <v>231000</v>
      </c>
      <c r="B159" t="str">
        <f t="shared" si="7"/>
        <v>900142011</v>
      </c>
      <c r="C159">
        <f t="shared" si="8"/>
        <v>202006</v>
      </c>
      <c r="D159">
        <f>IF(OR(C159=1900,$D$144=0),0,VLOOKUP(A159,'Estados Financieros'!$A$11:$I$453,9,0))</f>
        <v>10</v>
      </c>
      <c r="E159" t="str">
        <f t="shared" si="6"/>
        <v>10,000</v>
      </c>
    </row>
    <row r="160" spans="1:5" x14ac:dyDescent="0.25">
      <c r="A160">
        <v>231500</v>
      </c>
      <c r="B160" t="str">
        <f t="shared" si="7"/>
        <v>900142011</v>
      </c>
      <c r="C160">
        <f t="shared" si="8"/>
        <v>202006</v>
      </c>
      <c r="D160">
        <f>IF(OR(C160=1900,$D$144=0),0,VLOOKUP(A160,'Estados Financieros'!$A$11:$I$453,9,0))</f>
        <v>10</v>
      </c>
      <c r="E160" t="str">
        <f t="shared" si="6"/>
        <v>10,000</v>
      </c>
    </row>
    <row r="161" spans="1:5" x14ac:dyDescent="0.25">
      <c r="A161">
        <v>232000</v>
      </c>
      <c r="B161" t="str">
        <f t="shared" si="7"/>
        <v>900142011</v>
      </c>
      <c r="C161">
        <f t="shared" si="8"/>
        <v>202006</v>
      </c>
      <c r="D161">
        <f>IF(OR(C161=1900,$D$144=0),0,VLOOKUP(A161,'Estados Financieros'!$A$11:$I$453,9,0))</f>
        <v>10</v>
      </c>
      <c r="E161" t="str">
        <f t="shared" si="6"/>
        <v>10,000</v>
      </c>
    </row>
    <row r="162" spans="1:5" x14ac:dyDescent="0.25">
      <c r="A162">
        <v>233500</v>
      </c>
      <c r="B162" t="str">
        <f t="shared" si="7"/>
        <v>900142011</v>
      </c>
      <c r="C162">
        <f t="shared" si="8"/>
        <v>202006</v>
      </c>
      <c r="D162">
        <f>IF(OR(C162=1900,$D$144=0),0,VLOOKUP(A162,'Estados Financieros'!$A$11:$I$453,9,0))</f>
        <v>10</v>
      </c>
      <c r="E162" t="str">
        <f t="shared" si="6"/>
        <v>10,000</v>
      </c>
    </row>
    <row r="163" spans="1:5" x14ac:dyDescent="0.25">
      <c r="A163">
        <v>234500</v>
      </c>
      <c r="B163" t="str">
        <f t="shared" si="7"/>
        <v>900142011</v>
      </c>
      <c r="C163">
        <f t="shared" si="8"/>
        <v>202006</v>
      </c>
      <c r="D163">
        <f>IF(OR(C163=1900,$D$144=0),0,VLOOKUP(A163,'Estados Financieros'!$A$11:$I$453,9,0))</f>
        <v>10</v>
      </c>
      <c r="E163" t="str">
        <f t="shared" si="6"/>
        <v>10,000</v>
      </c>
    </row>
    <row r="164" spans="1:5" x14ac:dyDescent="0.25">
      <c r="A164">
        <v>235000</v>
      </c>
      <c r="B164" t="str">
        <f t="shared" si="7"/>
        <v>900142011</v>
      </c>
      <c r="C164">
        <f t="shared" si="8"/>
        <v>202006</v>
      </c>
      <c r="D164">
        <f>IF(OR(C164=1900,$D$144=0),0,VLOOKUP(A164,'Estados Financieros'!$A$11:$I$453,9,0))</f>
        <v>10</v>
      </c>
      <c r="E164" t="str">
        <f t="shared" si="6"/>
        <v>10,000</v>
      </c>
    </row>
    <row r="165" spans="1:5" x14ac:dyDescent="0.25">
      <c r="A165">
        <v>235500</v>
      </c>
      <c r="B165" t="str">
        <f t="shared" si="7"/>
        <v>900142011</v>
      </c>
      <c r="C165">
        <f t="shared" si="8"/>
        <v>202006</v>
      </c>
      <c r="D165">
        <f>IF(OR(C165=1900,$D$144=0),0,VLOOKUP(A165,'Estados Financieros'!$A$11:$I$453,9,0))</f>
        <v>10</v>
      </c>
      <c r="E165" t="str">
        <f t="shared" si="6"/>
        <v>10,000</v>
      </c>
    </row>
    <row r="166" spans="1:5" x14ac:dyDescent="0.25">
      <c r="A166">
        <v>236000</v>
      </c>
      <c r="B166" t="str">
        <f t="shared" si="7"/>
        <v>900142011</v>
      </c>
      <c r="C166">
        <f t="shared" si="8"/>
        <v>202006</v>
      </c>
      <c r="D166">
        <f>IF(OR(C166=1900,$D$144=0),0,VLOOKUP(A166,'Estados Financieros'!$A$11:$I$453,9,0))</f>
        <v>10</v>
      </c>
      <c r="E166" t="str">
        <f t="shared" si="6"/>
        <v>10,000</v>
      </c>
    </row>
    <row r="167" spans="1:5" x14ac:dyDescent="0.25">
      <c r="A167">
        <v>236500</v>
      </c>
      <c r="B167" t="str">
        <f t="shared" si="7"/>
        <v>900142011</v>
      </c>
      <c r="C167">
        <f t="shared" si="8"/>
        <v>202006</v>
      </c>
      <c r="D167">
        <f>IF(OR(C167=1900,$D$144=0),0,VLOOKUP(A167,'Estados Financieros'!$A$11:$I$453,9,0))</f>
        <v>10</v>
      </c>
      <c r="E167" t="str">
        <f t="shared" si="6"/>
        <v>10,000</v>
      </c>
    </row>
    <row r="168" spans="1:5" x14ac:dyDescent="0.25">
      <c r="A168">
        <v>236700</v>
      </c>
      <c r="B168" t="str">
        <f t="shared" si="7"/>
        <v>900142011</v>
      </c>
      <c r="C168">
        <f t="shared" si="8"/>
        <v>202006</v>
      </c>
      <c r="D168">
        <f>IF(OR(C168=1900,$D$144=0),0,VLOOKUP(A168,'Estados Financieros'!$A$11:$I$453,9,0))</f>
        <v>10</v>
      </c>
      <c r="E168" t="str">
        <f t="shared" si="6"/>
        <v>10,000</v>
      </c>
    </row>
    <row r="169" spans="1:5" x14ac:dyDescent="0.25">
      <c r="A169">
        <v>236800</v>
      </c>
      <c r="B169" t="str">
        <f t="shared" si="7"/>
        <v>900142011</v>
      </c>
      <c r="C169">
        <f t="shared" si="8"/>
        <v>202006</v>
      </c>
      <c r="D169">
        <f>IF(OR(C169=1900,$D$144=0),0,VLOOKUP(A169,'Estados Financieros'!$A$11:$I$453,9,0))</f>
        <v>10</v>
      </c>
      <c r="E169" t="str">
        <f t="shared" si="6"/>
        <v>10,000</v>
      </c>
    </row>
    <row r="170" spans="1:5" x14ac:dyDescent="0.25">
      <c r="A170">
        <v>237000</v>
      </c>
      <c r="B170" t="str">
        <f t="shared" si="7"/>
        <v>900142011</v>
      </c>
      <c r="C170">
        <f t="shared" si="8"/>
        <v>202006</v>
      </c>
      <c r="D170">
        <f>IF(OR(C170=1900,$D$144=0),0,VLOOKUP(A170,'Estados Financieros'!$A$11:$I$453,9,0))</f>
        <v>10</v>
      </c>
      <c r="E170" t="str">
        <f t="shared" si="6"/>
        <v>10,000</v>
      </c>
    </row>
    <row r="171" spans="1:5" x14ac:dyDescent="0.25">
      <c r="A171">
        <v>238000</v>
      </c>
      <c r="B171" t="str">
        <f t="shared" si="7"/>
        <v>900142011</v>
      </c>
      <c r="C171">
        <f t="shared" si="8"/>
        <v>202006</v>
      </c>
      <c r="D171">
        <f>IF(OR(C171=1900,$D$144=0),0,VLOOKUP(A171,'Estados Financieros'!$A$11:$I$453,9,0))</f>
        <v>10</v>
      </c>
      <c r="E171" t="str">
        <f t="shared" si="6"/>
        <v>10,000</v>
      </c>
    </row>
    <row r="172" spans="1:5" x14ac:dyDescent="0.25">
      <c r="A172">
        <v>2103</v>
      </c>
      <c r="B172" t="str">
        <f t="shared" si="7"/>
        <v>900142011</v>
      </c>
      <c r="C172">
        <f t="shared" si="8"/>
        <v>202006</v>
      </c>
      <c r="D172">
        <f>IF(OR(C172=1900,$D$144=0),0,VLOOKUP(A172,'Estados Financieros'!$A$11:$I$453,9,0))</f>
        <v>140</v>
      </c>
      <c r="E172" t="str">
        <f t="shared" si="6"/>
        <v>140,000</v>
      </c>
    </row>
    <row r="173" spans="1:5" x14ac:dyDescent="0.25">
      <c r="A173">
        <v>240400</v>
      </c>
      <c r="B173" t="str">
        <f t="shared" si="7"/>
        <v>900142011</v>
      </c>
      <c r="C173">
        <f t="shared" si="8"/>
        <v>202006</v>
      </c>
      <c r="D173">
        <f>IF(OR(C173=1900,$D$144=0),0,VLOOKUP(A173,'Estados Financieros'!$A$11:$I$453,9,0))</f>
        <v>10</v>
      </c>
      <c r="E173" t="str">
        <f t="shared" si="6"/>
        <v>10,000</v>
      </c>
    </row>
    <row r="174" spans="1:5" x14ac:dyDescent="0.25">
      <c r="A174">
        <v>240800</v>
      </c>
      <c r="B174" t="str">
        <f t="shared" si="7"/>
        <v>900142011</v>
      </c>
      <c r="C174">
        <f t="shared" si="8"/>
        <v>202006</v>
      </c>
      <c r="D174">
        <f>IF(OR(C174=1900,$D$144=0),0,VLOOKUP(A174,'Estados Financieros'!$A$11:$I$453,9,0))</f>
        <v>10</v>
      </c>
      <c r="E174" t="str">
        <f t="shared" si="6"/>
        <v>10,000</v>
      </c>
    </row>
    <row r="175" spans="1:5" x14ac:dyDescent="0.25">
      <c r="A175">
        <v>241200</v>
      </c>
      <c r="B175" t="str">
        <f t="shared" si="7"/>
        <v>900142011</v>
      </c>
      <c r="C175">
        <f t="shared" si="8"/>
        <v>202006</v>
      </c>
      <c r="D175">
        <f>IF(OR(C175=1900,$D$144=0),0,VLOOKUP(A175,'Estados Financieros'!$A$11:$I$453,9,0))</f>
        <v>10</v>
      </c>
      <c r="E175" t="str">
        <f t="shared" si="6"/>
        <v>10,000</v>
      </c>
    </row>
    <row r="176" spans="1:5" x14ac:dyDescent="0.25">
      <c r="A176">
        <v>249500</v>
      </c>
      <c r="B176" t="str">
        <f t="shared" si="7"/>
        <v>900142011</v>
      </c>
      <c r="C176">
        <f t="shared" si="8"/>
        <v>202006</v>
      </c>
      <c r="D176">
        <f>IF(OR(C176=1900,$D$144=0),0,VLOOKUP(A176,'Estados Financieros'!$A$11:$I$453,9,0))</f>
        <v>10</v>
      </c>
      <c r="E176" t="str">
        <f t="shared" si="6"/>
        <v>10,000</v>
      </c>
    </row>
    <row r="177" spans="1:5" x14ac:dyDescent="0.25">
      <c r="A177">
        <v>2105</v>
      </c>
      <c r="B177" t="str">
        <f t="shared" si="7"/>
        <v>900142011</v>
      </c>
      <c r="C177">
        <f t="shared" si="8"/>
        <v>202006</v>
      </c>
      <c r="D177">
        <f>IF(OR(C177=1900,$D$144=0),0,VLOOKUP(A177,'Estados Financieros'!$A$11:$I$453,9,0))</f>
        <v>40</v>
      </c>
      <c r="E177" t="str">
        <f t="shared" si="6"/>
        <v>40,000</v>
      </c>
    </row>
    <row r="178" spans="1:5" x14ac:dyDescent="0.25">
      <c r="A178">
        <v>250500</v>
      </c>
      <c r="B178" t="str">
        <f t="shared" si="7"/>
        <v>900142011</v>
      </c>
      <c r="C178">
        <f t="shared" si="8"/>
        <v>202006</v>
      </c>
      <c r="D178">
        <f>IF(OR(C178=1900,$D$144=0),0,VLOOKUP(A178,'Estados Financieros'!$A$11:$I$453,9,0))</f>
        <v>10</v>
      </c>
      <c r="E178" t="str">
        <f t="shared" si="6"/>
        <v>10,000</v>
      </c>
    </row>
    <row r="179" spans="1:5" x14ac:dyDescent="0.25">
      <c r="A179">
        <v>251000</v>
      </c>
      <c r="B179" t="str">
        <f t="shared" si="7"/>
        <v>900142011</v>
      </c>
      <c r="C179">
        <f t="shared" si="8"/>
        <v>202006</v>
      </c>
      <c r="D179">
        <f>IF(OR(C179=1900,$D$144=0),0,VLOOKUP(A179,'Estados Financieros'!$A$11:$I$453,9,0))</f>
        <v>10</v>
      </c>
      <c r="E179" t="str">
        <f t="shared" si="6"/>
        <v>10,000</v>
      </c>
    </row>
    <row r="180" spans="1:5" x14ac:dyDescent="0.25">
      <c r="A180">
        <v>251500</v>
      </c>
      <c r="B180" t="str">
        <f t="shared" si="7"/>
        <v>900142011</v>
      </c>
      <c r="C180">
        <f t="shared" si="8"/>
        <v>202006</v>
      </c>
      <c r="D180">
        <f>IF(OR(C180=1900,$D$144=0),0,VLOOKUP(A180,'Estados Financieros'!$A$11:$I$453,9,0))</f>
        <v>10</v>
      </c>
      <c r="E180" t="str">
        <f t="shared" si="6"/>
        <v>10,000</v>
      </c>
    </row>
    <row r="181" spans="1:5" x14ac:dyDescent="0.25">
      <c r="A181">
        <v>252500</v>
      </c>
      <c r="B181" t="str">
        <f t="shared" si="7"/>
        <v>900142011</v>
      </c>
      <c r="C181">
        <f t="shared" si="8"/>
        <v>202006</v>
      </c>
      <c r="D181">
        <f>IF(OR(C181=1900,$D$144=0),0,VLOOKUP(A181,'Estados Financieros'!$A$11:$I$453,9,0))</f>
        <v>10</v>
      </c>
      <c r="E181" t="str">
        <f t="shared" si="6"/>
        <v>10,000</v>
      </c>
    </row>
    <row r="182" spans="1:5" x14ac:dyDescent="0.25">
      <c r="A182">
        <v>253000</v>
      </c>
      <c r="B182" t="str">
        <f t="shared" si="7"/>
        <v>900142011</v>
      </c>
      <c r="C182">
        <f t="shared" si="8"/>
        <v>202006</v>
      </c>
      <c r="D182">
        <f>IF(OR(C182=1900,$D$144=0),0,VLOOKUP(A182,'Estados Financieros'!$A$11:$I$453,9,0))</f>
        <v>10</v>
      </c>
      <c r="E182" t="str">
        <f t="shared" si="6"/>
        <v>10,000</v>
      </c>
    </row>
    <row r="183" spans="1:5" x14ac:dyDescent="0.25">
      <c r="A183">
        <v>259500</v>
      </c>
      <c r="B183" t="str">
        <f t="shared" si="7"/>
        <v>900142011</v>
      </c>
      <c r="C183">
        <f t="shared" si="8"/>
        <v>202006</v>
      </c>
      <c r="D183">
        <f>IF(OR(C183=1900,$D$144=0),0,VLOOKUP(A183,'Estados Financieros'!$A$11:$I$453,9,0))</f>
        <v>10</v>
      </c>
      <c r="E183" t="str">
        <f t="shared" si="6"/>
        <v>10,000</v>
      </c>
    </row>
    <row r="184" spans="1:5" x14ac:dyDescent="0.25">
      <c r="A184">
        <v>2104</v>
      </c>
      <c r="B184" t="str">
        <f t="shared" si="7"/>
        <v>900142011</v>
      </c>
      <c r="C184">
        <f t="shared" si="8"/>
        <v>202006</v>
      </c>
      <c r="D184">
        <f>IF(OR(C184=1900,$D$144=0),0,VLOOKUP(A184,'Estados Financieros'!$A$11:$I$453,9,0))</f>
        <v>60</v>
      </c>
      <c r="E184" t="str">
        <f t="shared" si="6"/>
        <v>60,000</v>
      </c>
    </row>
    <row r="185" spans="1:5" x14ac:dyDescent="0.25">
      <c r="A185">
        <v>260500</v>
      </c>
      <c r="B185" t="str">
        <f t="shared" si="7"/>
        <v>900142011</v>
      </c>
      <c r="C185">
        <f t="shared" si="8"/>
        <v>202006</v>
      </c>
      <c r="D185">
        <f>IF(OR(C185=1900,$D$144=0),0,VLOOKUP(A185,'Estados Financieros'!$A$11:$I$453,9,0))</f>
        <v>10</v>
      </c>
      <c r="E185" t="str">
        <f t="shared" si="6"/>
        <v>10,000</v>
      </c>
    </row>
    <row r="186" spans="1:5" x14ac:dyDescent="0.25">
      <c r="A186">
        <v>261000</v>
      </c>
      <c r="B186" t="str">
        <f t="shared" si="7"/>
        <v>900142011</v>
      </c>
      <c r="C186">
        <f t="shared" si="8"/>
        <v>202006</v>
      </c>
      <c r="D186">
        <f>IF(OR(C186=1900,$D$144=0),0,VLOOKUP(A186,'Estados Financieros'!$A$11:$I$453,9,0))</f>
        <v>10</v>
      </c>
      <c r="E186" t="str">
        <f t="shared" si="6"/>
        <v>10,000</v>
      </c>
    </row>
    <row r="187" spans="1:5" x14ac:dyDescent="0.25">
      <c r="A187">
        <v>261500</v>
      </c>
      <c r="B187" t="str">
        <f t="shared" si="7"/>
        <v>900142011</v>
      </c>
      <c r="C187">
        <f t="shared" si="8"/>
        <v>202006</v>
      </c>
      <c r="D187">
        <f>IF(OR(C187=1900,$D$144=0),0,VLOOKUP(A187,'Estados Financieros'!$A$11:$I$453,9,0))</f>
        <v>10</v>
      </c>
      <c r="E187" t="str">
        <f t="shared" si="6"/>
        <v>10,000</v>
      </c>
    </row>
    <row r="188" spans="1:5" x14ac:dyDescent="0.25">
      <c r="A188">
        <v>262000</v>
      </c>
      <c r="B188" t="str">
        <f t="shared" si="7"/>
        <v>900142011</v>
      </c>
      <c r="C188">
        <f t="shared" si="8"/>
        <v>202006</v>
      </c>
      <c r="D188">
        <f>IF(OR(C188=1900,$D$144=0),0,VLOOKUP(A188,'Estados Financieros'!$A$11:$I$453,9,0))</f>
        <v>10</v>
      </c>
      <c r="E188" t="str">
        <f t="shared" si="6"/>
        <v>10,000</v>
      </c>
    </row>
    <row r="189" spans="1:5" x14ac:dyDescent="0.25">
      <c r="A189">
        <v>262500</v>
      </c>
      <c r="B189" t="str">
        <f t="shared" si="7"/>
        <v>900142011</v>
      </c>
      <c r="C189">
        <f t="shared" si="8"/>
        <v>202006</v>
      </c>
      <c r="D189">
        <f>IF(OR(C189=1900,$D$144=0),0,VLOOKUP(A189,'Estados Financieros'!$A$11:$I$453,9,0))</f>
        <v>10</v>
      </c>
      <c r="E189" t="str">
        <f t="shared" si="6"/>
        <v>10,000</v>
      </c>
    </row>
    <row r="190" spans="1:5" x14ac:dyDescent="0.25">
      <c r="A190">
        <v>263000</v>
      </c>
      <c r="B190" t="str">
        <f t="shared" si="7"/>
        <v>900142011</v>
      </c>
      <c r="C190">
        <f t="shared" si="8"/>
        <v>202006</v>
      </c>
      <c r="D190">
        <f>IF(OR(C190=1900,$D$144=0),0,VLOOKUP(A190,'Estados Financieros'!$A$11:$I$453,9,0))</f>
        <v>10</v>
      </c>
      <c r="E190" t="str">
        <f t="shared" si="6"/>
        <v>10,000</v>
      </c>
    </row>
    <row r="191" spans="1:5" x14ac:dyDescent="0.25">
      <c r="A191">
        <v>263500</v>
      </c>
      <c r="B191" t="str">
        <f t="shared" si="7"/>
        <v>900142011</v>
      </c>
      <c r="C191">
        <f t="shared" si="8"/>
        <v>202006</v>
      </c>
      <c r="D191">
        <f>IF(OR(C191=1900,$D$144=0),0,VLOOKUP(A191,'Estados Financieros'!$A$11:$I$453,9,0))</f>
        <v>10</v>
      </c>
      <c r="E191" t="str">
        <f t="shared" si="6"/>
        <v>10,000</v>
      </c>
    </row>
    <row r="192" spans="1:5" x14ac:dyDescent="0.25">
      <c r="A192">
        <v>264000</v>
      </c>
      <c r="B192" t="str">
        <f t="shared" si="7"/>
        <v>900142011</v>
      </c>
      <c r="C192">
        <f t="shared" si="8"/>
        <v>202006</v>
      </c>
      <c r="D192">
        <f>IF(OR(C192=1900,$D$144=0),0,VLOOKUP(A192,'Estados Financieros'!$A$11:$I$453,9,0))</f>
        <v>10</v>
      </c>
      <c r="E192" t="str">
        <f t="shared" si="6"/>
        <v>10,000</v>
      </c>
    </row>
    <row r="193" spans="1:5" x14ac:dyDescent="0.25">
      <c r="A193">
        <v>269500</v>
      </c>
      <c r="B193" t="str">
        <f t="shared" si="7"/>
        <v>900142011</v>
      </c>
      <c r="C193">
        <f t="shared" si="8"/>
        <v>202006</v>
      </c>
      <c r="D193">
        <f>IF(OR(C193=1900,$D$144=0),0,VLOOKUP(A193,'Estados Financieros'!$A$11:$I$453,9,0))</f>
        <v>10</v>
      </c>
      <c r="E193" t="str">
        <f t="shared" si="6"/>
        <v>10,000</v>
      </c>
    </row>
    <row r="194" spans="1:5" x14ac:dyDescent="0.25">
      <c r="A194">
        <v>2106</v>
      </c>
      <c r="B194" t="str">
        <f t="shared" si="7"/>
        <v>900142011</v>
      </c>
      <c r="C194">
        <f t="shared" si="8"/>
        <v>202006</v>
      </c>
      <c r="D194">
        <f>IF(OR(C194=1900,$D$144=0),0,VLOOKUP(A194,'Estados Financieros'!$A$11:$I$453,9,0))</f>
        <v>90</v>
      </c>
      <c r="E194" t="str">
        <f t="shared" ref="E194:E257" si="9">IFERROR(FIXED(D194,3,1),0)</f>
        <v>90,000</v>
      </c>
    </row>
    <row r="195" spans="1:5" x14ac:dyDescent="0.25">
      <c r="A195">
        <v>270500</v>
      </c>
      <c r="B195" t="str">
        <f t="shared" ref="B195:B258" si="10">+B194</f>
        <v>900142011</v>
      </c>
      <c r="C195">
        <f t="shared" ref="C195:C258" si="11">C194</f>
        <v>202006</v>
      </c>
      <c r="D195">
        <f>IF(OR(C195=1900,$D$144=0),0,VLOOKUP(A195,'Estados Financieros'!$A$11:$I$453,9,0))</f>
        <v>10</v>
      </c>
      <c r="E195" t="str">
        <f t="shared" si="9"/>
        <v>10,000</v>
      </c>
    </row>
    <row r="196" spans="1:5" x14ac:dyDescent="0.25">
      <c r="A196">
        <v>271000</v>
      </c>
      <c r="B196" t="str">
        <f t="shared" si="10"/>
        <v>900142011</v>
      </c>
      <c r="C196">
        <f t="shared" si="11"/>
        <v>202006</v>
      </c>
      <c r="D196">
        <f>IF(OR(C196=1900,$D$144=0),0,VLOOKUP(A196,'Estados Financieros'!$A$11:$I$453,9,0))</f>
        <v>10</v>
      </c>
      <c r="E196" t="str">
        <f t="shared" si="9"/>
        <v>10,000</v>
      </c>
    </row>
    <row r="197" spans="1:5" x14ac:dyDescent="0.25">
      <c r="A197">
        <v>272500</v>
      </c>
      <c r="B197" t="str">
        <f t="shared" si="10"/>
        <v>900142011</v>
      </c>
      <c r="C197">
        <f t="shared" si="11"/>
        <v>202006</v>
      </c>
      <c r="D197">
        <f>IF(OR(C197=1900,$D$144=0),0,VLOOKUP(A197,'Estados Financieros'!$A$11:$I$453,9,0))</f>
        <v>10</v>
      </c>
      <c r="E197" t="str">
        <f t="shared" si="9"/>
        <v>10,000</v>
      </c>
    </row>
    <row r="198" spans="1:5" x14ac:dyDescent="0.25">
      <c r="A198">
        <v>279500</v>
      </c>
      <c r="B198" t="str">
        <f t="shared" si="10"/>
        <v>900142011</v>
      </c>
      <c r="C198">
        <f t="shared" si="11"/>
        <v>202006</v>
      </c>
      <c r="D198">
        <f>IF(OR(C198=1900,$D$144=0),0,VLOOKUP(A198,'Estados Financieros'!$A$11:$I$453,9,0))</f>
        <v>10</v>
      </c>
      <c r="E198" t="str">
        <f t="shared" si="9"/>
        <v>10,000</v>
      </c>
    </row>
    <row r="199" spans="1:5" x14ac:dyDescent="0.25">
      <c r="A199">
        <v>2107</v>
      </c>
      <c r="B199" t="str">
        <f t="shared" si="10"/>
        <v>900142011</v>
      </c>
      <c r="C199">
        <f t="shared" si="11"/>
        <v>202006</v>
      </c>
      <c r="D199">
        <f>IF(OR(C199=1900,$D$144=0),0,VLOOKUP(A199,'Estados Financieros'!$A$11:$I$453,9,0))</f>
        <v>40</v>
      </c>
      <c r="E199" t="str">
        <f t="shared" si="9"/>
        <v>40,000</v>
      </c>
    </row>
    <row r="200" spans="1:5" x14ac:dyDescent="0.25">
      <c r="A200">
        <v>281000</v>
      </c>
      <c r="B200" t="str">
        <f t="shared" si="10"/>
        <v>900142011</v>
      </c>
      <c r="C200">
        <f t="shared" si="11"/>
        <v>202006</v>
      </c>
      <c r="D200">
        <f>IF(OR(C200=1900,$D$144=0),0,VLOOKUP(A200,'Estados Financieros'!$A$11:$I$453,9,0))</f>
        <v>10</v>
      </c>
      <c r="E200" t="str">
        <f t="shared" si="9"/>
        <v>10,000</v>
      </c>
    </row>
    <row r="201" spans="1:5" x14ac:dyDescent="0.25">
      <c r="A201">
        <v>282000</v>
      </c>
      <c r="B201" t="str">
        <f t="shared" si="10"/>
        <v>900142011</v>
      </c>
      <c r="C201">
        <f t="shared" si="11"/>
        <v>202006</v>
      </c>
      <c r="D201">
        <f>IF(OR(C201=1900,$D$144=0),0,VLOOKUP(A201,'Estados Financieros'!$A$11:$I$453,9,0))</f>
        <v>10</v>
      </c>
      <c r="E201" t="str">
        <f t="shared" si="9"/>
        <v>10,000</v>
      </c>
    </row>
    <row r="202" spans="1:5" x14ac:dyDescent="0.25">
      <c r="A202">
        <v>282500</v>
      </c>
      <c r="B202" t="str">
        <f t="shared" si="10"/>
        <v>900142011</v>
      </c>
      <c r="C202">
        <f t="shared" si="11"/>
        <v>202006</v>
      </c>
      <c r="D202">
        <f>IF(OR(C202=1900,$D$144=0),0,VLOOKUP(A202,'Estados Financieros'!$A$11:$I$453,9,0))</f>
        <v>10</v>
      </c>
      <c r="E202" t="str">
        <f t="shared" si="9"/>
        <v>10,000</v>
      </c>
    </row>
    <row r="203" spans="1:5" x14ac:dyDescent="0.25">
      <c r="A203">
        <v>284000</v>
      </c>
      <c r="B203" t="str">
        <f t="shared" si="10"/>
        <v>900142011</v>
      </c>
      <c r="C203">
        <f t="shared" si="11"/>
        <v>202006</v>
      </c>
      <c r="D203">
        <f>IF(OR(C203=1900,$D$144=0),0,VLOOKUP(A203,'Estados Financieros'!$A$11:$I$453,9,0))</f>
        <v>10</v>
      </c>
      <c r="E203" t="str">
        <f t="shared" si="9"/>
        <v>10,000</v>
      </c>
    </row>
    <row r="204" spans="1:5" x14ac:dyDescent="0.25">
      <c r="A204">
        <v>289500</v>
      </c>
      <c r="B204" t="str">
        <f t="shared" si="10"/>
        <v>900142011</v>
      </c>
      <c r="C204">
        <f t="shared" si="11"/>
        <v>202006</v>
      </c>
      <c r="D204">
        <f>IF(OR(C204=1900,$D$144=0),0,VLOOKUP(A204,'Estados Financieros'!$A$11:$I$453,9,0))</f>
        <v>10</v>
      </c>
      <c r="E204" t="str">
        <f t="shared" si="9"/>
        <v>10,000</v>
      </c>
    </row>
    <row r="205" spans="1:5" x14ac:dyDescent="0.25">
      <c r="A205">
        <v>2109</v>
      </c>
      <c r="B205" t="str">
        <f t="shared" si="10"/>
        <v>900142011</v>
      </c>
      <c r="C205">
        <f t="shared" si="11"/>
        <v>202006</v>
      </c>
      <c r="D205">
        <f>IF(OR(C205=1900,$D$144=0),0,VLOOKUP(A205,'Estados Financieros'!$A$11:$I$453,9,0))</f>
        <v>50</v>
      </c>
      <c r="E205" t="str">
        <f t="shared" si="9"/>
        <v>50,000</v>
      </c>
    </row>
    <row r="206" spans="1:5" x14ac:dyDescent="0.25">
      <c r="A206">
        <v>21</v>
      </c>
      <c r="B206" t="str">
        <f t="shared" si="10"/>
        <v>900142011</v>
      </c>
      <c r="C206">
        <f t="shared" si="11"/>
        <v>202006</v>
      </c>
      <c r="D206">
        <f>IF(OR(C206=1900,$D$144=0),0,VLOOKUP(A206,'Estados Financieros'!$A$11:$I$453,9,0))</f>
        <v>480</v>
      </c>
      <c r="E206" t="str">
        <f t="shared" si="9"/>
        <v>480,000</v>
      </c>
    </row>
    <row r="207" spans="1:5" x14ac:dyDescent="0.25">
      <c r="A207">
        <v>210501</v>
      </c>
      <c r="B207" t="str">
        <f t="shared" si="10"/>
        <v>900142011</v>
      </c>
      <c r="C207">
        <f t="shared" si="11"/>
        <v>202006</v>
      </c>
      <c r="D207">
        <f>IF(OR(C207=1900,$D$144=0),0,VLOOKUP(A207,'Estados Financieros'!$A$11:$I$453,9,0))</f>
        <v>10</v>
      </c>
      <c r="E207" t="str">
        <f t="shared" si="9"/>
        <v>10,000</v>
      </c>
    </row>
    <row r="208" spans="1:5" x14ac:dyDescent="0.25">
      <c r="A208">
        <v>211001</v>
      </c>
      <c r="B208" t="str">
        <f t="shared" si="10"/>
        <v>900142011</v>
      </c>
      <c r="C208">
        <f t="shared" si="11"/>
        <v>202006</v>
      </c>
      <c r="D208">
        <f>IF(OR(C208=1900,$D$144=0),0,VLOOKUP(A208,'Estados Financieros'!$A$11:$I$453,9,0))</f>
        <v>10</v>
      </c>
      <c r="E208" t="str">
        <f t="shared" si="9"/>
        <v>10,000</v>
      </c>
    </row>
    <row r="209" spans="1:5" x14ac:dyDescent="0.25">
      <c r="A209">
        <v>2201</v>
      </c>
      <c r="B209" t="str">
        <f t="shared" si="10"/>
        <v>900142011</v>
      </c>
      <c r="C209">
        <f t="shared" si="11"/>
        <v>202006</v>
      </c>
      <c r="D209">
        <f>IF(OR(C209=1900,$D$144=0),0,VLOOKUP(A209,'Estados Financieros'!$A$11:$I$453,9,0))</f>
        <v>20</v>
      </c>
      <c r="E209" t="str">
        <f t="shared" si="9"/>
        <v>20,000</v>
      </c>
    </row>
    <row r="210" spans="1:5" x14ac:dyDescent="0.25">
      <c r="A210">
        <v>220501</v>
      </c>
      <c r="B210" t="str">
        <f t="shared" si="10"/>
        <v>900142011</v>
      </c>
      <c r="C210">
        <f t="shared" si="11"/>
        <v>202006</v>
      </c>
      <c r="D210">
        <f>IF(OR(C210=1900,$D$144=0),0,VLOOKUP(A210,'Estados Financieros'!$A$11:$I$453,9,0))</f>
        <v>10</v>
      </c>
      <c r="E210" t="str">
        <f t="shared" si="9"/>
        <v>10,000</v>
      </c>
    </row>
    <row r="211" spans="1:5" x14ac:dyDescent="0.25">
      <c r="A211">
        <v>221001</v>
      </c>
      <c r="B211" t="str">
        <f t="shared" si="10"/>
        <v>900142011</v>
      </c>
      <c r="C211">
        <f t="shared" si="11"/>
        <v>202006</v>
      </c>
      <c r="D211">
        <f>IF(OR(C211=1900,$D$144=0),0,VLOOKUP(A211,'Estados Financieros'!$A$11:$I$453,9,0))</f>
        <v>10</v>
      </c>
      <c r="E211" t="str">
        <f t="shared" si="9"/>
        <v>10,000</v>
      </c>
    </row>
    <row r="212" spans="1:5" x14ac:dyDescent="0.25">
      <c r="A212">
        <v>230501</v>
      </c>
      <c r="B212" t="str">
        <f t="shared" si="10"/>
        <v>900142011</v>
      </c>
      <c r="C212">
        <f t="shared" si="11"/>
        <v>202006</v>
      </c>
      <c r="D212">
        <f>IF(OR(C212=1900,$D$144=0),0,VLOOKUP(A212,'Estados Financieros'!$A$11:$I$453,9,0))</f>
        <v>10</v>
      </c>
      <c r="E212" t="str">
        <f t="shared" si="9"/>
        <v>10,000</v>
      </c>
    </row>
    <row r="213" spans="1:5" x14ac:dyDescent="0.25">
      <c r="A213">
        <v>231001</v>
      </c>
      <c r="B213" t="str">
        <f t="shared" si="10"/>
        <v>900142011</v>
      </c>
      <c r="C213">
        <f t="shared" si="11"/>
        <v>202006</v>
      </c>
      <c r="D213">
        <f>IF(OR(C213=1900,$D$144=0),0,VLOOKUP(A213,'Estados Financieros'!$A$11:$I$453,9,0))</f>
        <v>10</v>
      </c>
      <c r="E213" t="str">
        <f t="shared" si="9"/>
        <v>10,000</v>
      </c>
    </row>
    <row r="214" spans="1:5" x14ac:dyDescent="0.25">
      <c r="A214">
        <v>231501</v>
      </c>
      <c r="B214" t="str">
        <f t="shared" si="10"/>
        <v>900142011</v>
      </c>
      <c r="C214">
        <f t="shared" si="11"/>
        <v>202006</v>
      </c>
      <c r="D214">
        <f>IF(OR(C214=1900,$D$144=0),0,VLOOKUP(A214,'Estados Financieros'!$A$11:$I$453,9,0))</f>
        <v>10</v>
      </c>
      <c r="E214" t="str">
        <f t="shared" si="9"/>
        <v>10,000</v>
      </c>
    </row>
    <row r="215" spans="1:5" x14ac:dyDescent="0.25">
      <c r="A215">
        <v>232001</v>
      </c>
      <c r="B215" t="str">
        <f t="shared" si="10"/>
        <v>900142011</v>
      </c>
      <c r="C215">
        <f t="shared" si="11"/>
        <v>202006</v>
      </c>
      <c r="D215">
        <f>IF(OR(C215=1900,$D$144=0),0,VLOOKUP(A215,'Estados Financieros'!$A$11:$I$453,9,0))</f>
        <v>10</v>
      </c>
      <c r="E215" t="str">
        <f t="shared" si="9"/>
        <v>10,000</v>
      </c>
    </row>
    <row r="216" spans="1:5" x14ac:dyDescent="0.25">
      <c r="A216">
        <v>233501</v>
      </c>
      <c r="B216" t="str">
        <f t="shared" si="10"/>
        <v>900142011</v>
      </c>
      <c r="C216">
        <f t="shared" si="11"/>
        <v>202006</v>
      </c>
      <c r="D216">
        <f>IF(OR(C216=1900,$D$144=0),0,VLOOKUP(A216,'Estados Financieros'!$A$11:$I$453,9,0))</f>
        <v>10</v>
      </c>
      <c r="E216" t="str">
        <f t="shared" si="9"/>
        <v>10,000</v>
      </c>
    </row>
    <row r="217" spans="1:5" x14ac:dyDescent="0.25">
      <c r="A217">
        <v>234501</v>
      </c>
      <c r="B217" t="str">
        <f t="shared" si="10"/>
        <v>900142011</v>
      </c>
      <c r="C217">
        <f t="shared" si="11"/>
        <v>202006</v>
      </c>
      <c r="D217">
        <f>IF(OR(C217=1900,$D$144=0),0,VLOOKUP(A217,'Estados Financieros'!$A$11:$I$453,9,0))</f>
        <v>10</v>
      </c>
      <c r="E217" t="str">
        <f t="shared" si="9"/>
        <v>10,000</v>
      </c>
    </row>
    <row r="218" spans="1:5" x14ac:dyDescent="0.25">
      <c r="A218">
        <v>235001</v>
      </c>
      <c r="B218" t="str">
        <f t="shared" si="10"/>
        <v>900142011</v>
      </c>
      <c r="C218">
        <f t="shared" si="11"/>
        <v>202006</v>
      </c>
      <c r="D218">
        <f>IF(OR(C218=1900,$D$144=0),0,VLOOKUP(A218,'Estados Financieros'!$A$11:$I$453,9,0))</f>
        <v>10</v>
      </c>
      <c r="E218" t="str">
        <f t="shared" si="9"/>
        <v>10,000</v>
      </c>
    </row>
    <row r="219" spans="1:5" x14ac:dyDescent="0.25">
      <c r="A219">
        <v>235501</v>
      </c>
      <c r="B219" t="str">
        <f t="shared" si="10"/>
        <v>900142011</v>
      </c>
      <c r="C219">
        <f t="shared" si="11"/>
        <v>202006</v>
      </c>
      <c r="D219">
        <f>IF(OR(C219=1900,$D$144=0),0,VLOOKUP(A219,'Estados Financieros'!$A$11:$I$453,9,0))</f>
        <v>10</v>
      </c>
      <c r="E219" t="str">
        <f t="shared" si="9"/>
        <v>10,000</v>
      </c>
    </row>
    <row r="220" spans="1:5" x14ac:dyDescent="0.25">
      <c r="A220">
        <v>236001</v>
      </c>
      <c r="B220" t="str">
        <f t="shared" si="10"/>
        <v>900142011</v>
      </c>
      <c r="C220">
        <f t="shared" si="11"/>
        <v>202006</v>
      </c>
      <c r="D220">
        <f>IF(OR(C220=1900,$D$144=0),0,VLOOKUP(A220,'Estados Financieros'!$A$11:$I$453,9,0))</f>
        <v>10</v>
      </c>
      <c r="E220" t="str">
        <f t="shared" si="9"/>
        <v>10,000</v>
      </c>
    </row>
    <row r="221" spans="1:5" x14ac:dyDescent="0.25">
      <c r="A221">
        <v>236501</v>
      </c>
      <c r="B221" t="str">
        <f t="shared" si="10"/>
        <v>900142011</v>
      </c>
      <c r="C221">
        <f t="shared" si="11"/>
        <v>202006</v>
      </c>
      <c r="D221">
        <f>IF(OR(C221=1900,$D$144=0),0,VLOOKUP(A221,'Estados Financieros'!$A$11:$I$453,9,0))</f>
        <v>10</v>
      </c>
      <c r="E221" t="str">
        <f t="shared" si="9"/>
        <v>10,000</v>
      </c>
    </row>
    <row r="222" spans="1:5" x14ac:dyDescent="0.25">
      <c r="A222">
        <v>236701</v>
      </c>
      <c r="B222" t="str">
        <f t="shared" si="10"/>
        <v>900142011</v>
      </c>
      <c r="C222">
        <f t="shared" si="11"/>
        <v>202006</v>
      </c>
      <c r="D222">
        <f>IF(OR(C222=1900,$D$144=0),0,VLOOKUP(A222,'Estados Financieros'!$A$11:$I$453,9,0))</f>
        <v>10</v>
      </c>
      <c r="E222" t="str">
        <f t="shared" si="9"/>
        <v>10,000</v>
      </c>
    </row>
    <row r="223" spans="1:5" x14ac:dyDescent="0.25">
      <c r="A223">
        <v>237001</v>
      </c>
      <c r="B223" t="str">
        <f t="shared" si="10"/>
        <v>900142011</v>
      </c>
      <c r="C223">
        <f t="shared" si="11"/>
        <v>202006</v>
      </c>
      <c r="D223">
        <f>IF(OR(C223=1900,$D$144=0),0,VLOOKUP(A223,'Estados Financieros'!$A$11:$I$453,9,0))</f>
        <v>10</v>
      </c>
      <c r="E223" t="str">
        <f t="shared" si="9"/>
        <v>10,000</v>
      </c>
    </row>
    <row r="224" spans="1:5" x14ac:dyDescent="0.25">
      <c r="A224">
        <v>238001</v>
      </c>
      <c r="B224" t="str">
        <f t="shared" si="10"/>
        <v>900142011</v>
      </c>
      <c r="C224">
        <f t="shared" si="11"/>
        <v>202006</v>
      </c>
      <c r="D224">
        <f>IF(OR(C224=1900,$D$144=0),0,VLOOKUP(A224,'Estados Financieros'!$A$11:$I$453,9,0))</f>
        <v>10</v>
      </c>
      <c r="E224" t="str">
        <f t="shared" si="9"/>
        <v>10,000</v>
      </c>
    </row>
    <row r="225" spans="1:5" x14ac:dyDescent="0.25">
      <c r="A225">
        <v>2203</v>
      </c>
      <c r="B225" t="str">
        <f t="shared" si="10"/>
        <v>900142011</v>
      </c>
      <c r="C225">
        <f t="shared" si="11"/>
        <v>202006</v>
      </c>
      <c r="D225">
        <f>IF(OR(C225=1900,$D$144=0),0,VLOOKUP(A225,'Estados Financieros'!$A$11:$I$453,9,0))</f>
        <v>150</v>
      </c>
      <c r="E225" t="str">
        <f t="shared" si="9"/>
        <v>150,000</v>
      </c>
    </row>
    <row r="226" spans="1:5" x14ac:dyDescent="0.25">
      <c r="A226">
        <v>240401</v>
      </c>
      <c r="B226" t="str">
        <f t="shared" si="10"/>
        <v>900142011</v>
      </c>
      <c r="C226">
        <f t="shared" si="11"/>
        <v>202006</v>
      </c>
      <c r="D226">
        <f>IF(OR(C226=1900,$D$144=0),0,VLOOKUP(A226,'Estados Financieros'!$A$11:$I$453,9,0))</f>
        <v>10</v>
      </c>
      <c r="E226" t="str">
        <f t="shared" si="9"/>
        <v>10,000</v>
      </c>
    </row>
    <row r="227" spans="1:5" x14ac:dyDescent="0.25">
      <c r="A227">
        <v>240801</v>
      </c>
      <c r="B227" t="str">
        <f t="shared" si="10"/>
        <v>900142011</v>
      </c>
      <c r="C227">
        <f t="shared" si="11"/>
        <v>202006</v>
      </c>
      <c r="D227">
        <f>IF(OR(C227=1900,$D$144=0),0,VLOOKUP(A227,'Estados Financieros'!$A$11:$I$453,9,0))</f>
        <v>10</v>
      </c>
      <c r="E227" t="str">
        <f t="shared" si="9"/>
        <v>10,000</v>
      </c>
    </row>
    <row r="228" spans="1:5" x14ac:dyDescent="0.25">
      <c r="A228">
        <v>241201</v>
      </c>
      <c r="B228" t="str">
        <f t="shared" si="10"/>
        <v>900142011</v>
      </c>
      <c r="C228">
        <f t="shared" si="11"/>
        <v>202006</v>
      </c>
      <c r="D228">
        <f>IF(OR(C228=1900,$D$144=0),0,VLOOKUP(A228,'Estados Financieros'!$A$11:$I$453,9,0))</f>
        <v>10</v>
      </c>
      <c r="E228" t="str">
        <f t="shared" si="9"/>
        <v>10,000</v>
      </c>
    </row>
    <row r="229" spans="1:5" x14ac:dyDescent="0.25">
      <c r="A229">
        <v>249501</v>
      </c>
      <c r="B229" t="str">
        <f t="shared" si="10"/>
        <v>900142011</v>
      </c>
      <c r="C229">
        <f t="shared" si="11"/>
        <v>202006</v>
      </c>
      <c r="D229">
        <f>IF(OR(C229=1900,$D$144=0),0,VLOOKUP(A229,'Estados Financieros'!$A$11:$I$453,9,0))</f>
        <v>10</v>
      </c>
      <c r="E229" t="str">
        <f t="shared" si="9"/>
        <v>10,000</v>
      </c>
    </row>
    <row r="230" spans="1:5" x14ac:dyDescent="0.25">
      <c r="A230">
        <v>240001</v>
      </c>
      <c r="B230" t="str">
        <f t="shared" si="10"/>
        <v>900142011</v>
      </c>
      <c r="C230">
        <f t="shared" si="11"/>
        <v>202006</v>
      </c>
      <c r="D230">
        <f>IF(OR(C230=1900,$D$144=0),0,VLOOKUP(A230,'Estados Financieros'!$A$11:$I$453,9,0))</f>
        <v>40</v>
      </c>
      <c r="E230" t="str">
        <f t="shared" si="9"/>
        <v>40,000</v>
      </c>
    </row>
    <row r="231" spans="1:5" x14ac:dyDescent="0.25">
      <c r="A231">
        <v>250501</v>
      </c>
      <c r="B231" t="str">
        <f t="shared" si="10"/>
        <v>900142011</v>
      </c>
      <c r="C231">
        <f t="shared" si="11"/>
        <v>202006</v>
      </c>
      <c r="D231">
        <f>IF(OR(C231=1900,$D$144=0),0,VLOOKUP(A231,'Estados Financieros'!$A$11:$I$453,9,0))</f>
        <v>10</v>
      </c>
      <c r="E231" t="str">
        <f t="shared" si="9"/>
        <v>10,000</v>
      </c>
    </row>
    <row r="232" spans="1:5" x14ac:dyDescent="0.25">
      <c r="A232">
        <v>251001</v>
      </c>
      <c r="B232" t="str">
        <f t="shared" si="10"/>
        <v>900142011</v>
      </c>
      <c r="C232">
        <f t="shared" si="11"/>
        <v>202006</v>
      </c>
      <c r="D232">
        <f>IF(OR(C232=1900,$D$144=0),0,VLOOKUP(A232,'Estados Financieros'!$A$11:$I$453,9,0))</f>
        <v>10</v>
      </c>
      <c r="E232" t="str">
        <f t="shared" si="9"/>
        <v>10,000</v>
      </c>
    </row>
    <row r="233" spans="1:5" x14ac:dyDescent="0.25">
      <c r="A233">
        <v>251501</v>
      </c>
      <c r="B233" t="str">
        <f t="shared" si="10"/>
        <v>900142011</v>
      </c>
      <c r="C233">
        <f t="shared" si="11"/>
        <v>202006</v>
      </c>
      <c r="D233">
        <f>IF(OR(C233=1900,$D$144=0),0,VLOOKUP(A233,'Estados Financieros'!$A$11:$I$453,9,0))</f>
        <v>10</v>
      </c>
      <c r="E233" t="str">
        <f t="shared" si="9"/>
        <v>10,000</v>
      </c>
    </row>
    <row r="234" spans="1:5" x14ac:dyDescent="0.25">
      <c r="A234">
        <v>252501</v>
      </c>
      <c r="B234" t="str">
        <f t="shared" si="10"/>
        <v>900142011</v>
      </c>
      <c r="C234">
        <f t="shared" si="11"/>
        <v>202006</v>
      </c>
      <c r="D234">
        <f>IF(OR(C234=1900,$D$144=0),0,VLOOKUP(A234,'Estados Financieros'!$A$11:$I$453,9,0))</f>
        <v>10</v>
      </c>
      <c r="E234" t="str">
        <f t="shared" si="9"/>
        <v>10,000</v>
      </c>
    </row>
    <row r="235" spans="1:5" x14ac:dyDescent="0.25">
      <c r="A235">
        <v>253001</v>
      </c>
      <c r="B235" t="str">
        <f t="shared" si="10"/>
        <v>900142011</v>
      </c>
      <c r="C235">
        <f t="shared" si="11"/>
        <v>202006</v>
      </c>
      <c r="D235">
        <f>IF(OR(C235=1900,$D$144=0),0,VLOOKUP(A235,'Estados Financieros'!$A$11:$I$453,9,0))</f>
        <v>10</v>
      </c>
      <c r="E235" t="str">
        <f t="shared" si="9"/>
        <v>10,000</v>
      </c>
    </row>
    <row r="236" spans="1:5" x14ac:dyDescent="0.25">
      <c r="A236">
        <v>259501</v>
      </c>
      <c r="B236" t="str">
        <f t="shared" si="10"/>
        <v>900142011</v>
      </c>
      <c r="C236">
        <f t="shared" si="11"/>
        <v>202006</v>
      </c>
      <c r="D236">
        <f>IF(OR(C236=1900,$D$144=0),0,VLOOKUP(A236,'Estados Financieros'!$A$11:$I$453,9,0))</f>
        <v>10</v>
      </c>
      <c r="E236" t="str">
        <f t="shared" si="9"/>
        <v>10,000</v>
      </c>
    </row>
    <row r="237" spans="1:5" x14ac:dyDescent="0.25">
      <c r="A237">
        <v>2204</v>
      </c>
      <c r="B237" t="str">
        <f t="shared" si="10"/>
        <v>900142011</v>
      </c>
      <c r="C237">
        <f t="shared" si="11"/>
        <v>202006</v>
      </c>
      <c r="D237">
        <f>IF(OR(C237=1900,$D$144=0),0,VLOOKUP(A237,'Estados Financieros'!$A$11:$I$453,9,0))</f>
        <v>60</v>
      </c>
      <c r="E237" t="str">
        <f t="shared" si="9"/>
        <v>60,000</v>
      </c>
    </row>
    <row r="238" spans="1:5" x14ac:dyDescent="0.25">
      <c r="A238">
        <v>260501</v>
      </c>
      <c r="B238" t="str">
        <f t="shared" si="10"/>
        <v>900142011</v>
      </c>
      <c r="C238">
        <f t="shared" si="11"/>
        <v>202006</v>
      </c>
      <c r="D238">
        <f>IF(OR(C238=1900,$D$144=0),0,VLOOKUP(A238,'Estados Financieros'!$A$11:$I$453,9,0))</f>
        <v>10</v>
      </c>
      <c r="E238" t="str">
        <f t="shared" si="9"/>
        <v>10,000</v>
      </c>
    </row>
    <row r="239" spans="1:5" x14ac:dyDescent="0.25">
      <c r="A239">
        <v>261001</v>
      </c>
      <c r="B239" t="str">
        <f t="shared" si="10"/>
        <v>900142011</v>
      </c>
      <c r="C239">
        <f t="shared" si="11"/>
        <v>202006</v>
      </c>
      <c r="D239">
        <f>IF(OR(C239=1900,$D$144=0),0,VLOOKUP(A239,'Estados Financieros'!$A$11:$I$453,9,0))</f>
        <v>10</v>
      </c>
      <c r="E239" t="str">
        <f t="shared" si="9"/>
        <v>10,000</v>
      </c>
    </row>
    <row r="240" spans="1:5" x14ac:dyDescent="0.25">
      <c r="A240">
        <v>261501</v>
      </c>
      <c r="B240" t="str">
        <f t="shared" si="10"/>
        <v>900142011</v>
      </c>
      <c r="C240">
        <f t="shared" si="11"/>
        <v>202006</v>
      </c>
      <c r="D240">
        <f>IF(OR(C240=1900,$D$144=0),0,VLOOKUP(A240,'Estados Financieros'!$A$11:$I$453,9,0))</f>
        <v>10</v>
      </c>
      <c r="E240" t="str">
        <f t="shared" si="9"/>
        <v>10,000</v>
      </c>
    </row>
    <row r="241" spans="1:5" x14ac:dyDescent="0.25">
      <c r="A241">
        <v>262001</v>
      </c>
      <c r="B241" t="str">
        <f t="shared" si="10"/>
        <v>900142011</v>
      </c>
      <c r="C241">
        <f t="shared" si="11"/>
        <v>202006</v>
      </c>
      <c r="D241">
        <f>IF(OR(C241=1900,$D$144=0),0,VLOOKUP(A241,'Estados Financieros'!$A$11:$I$453,9,0))</f>
        <v>10</v>
      </c>
      <c r="E241" t="str">
        <f t="shared" si="9"/>
        <v>10,000</v>
      </c>
    </row>
    <row r="242" spans="1:5" x14ac:dyDescent="0.25">
      <c r="A242">
        <v>262501</v>
      </c>
      <c r="B242" t="str">
        <f t="shared" si="10"/>
        <v>900142011</v>
      </c>
      <c r="C242">
        <f t="shared" si="11"/>
        <v>202006</v>
      </c>
      <c r="D242">
        <f>IF(OR(C242=1900,$D$144=0),0,VLOOKUP(A242,'Estados Financieros'!$A$11:$I$453,9,0))</f>
        <v>10</v>
      </c>
      <c r="E242" t="str">
        <f t="shared" si="9"/>
        <v>10,000</v>
      </c>
    </row>
    <row r="243" spans="1:5" x14ac:dyDescent="0.25">
      <c r="A243">
        <v>263001</v>
      </c>
      <c r="B243" t="str">
        <f t="shared" si="10"/>
        <v>900142011</v>
      </c>
      <c r="C243">
        <f t="shared" si="11"/>
        <v>202006</v>
      </c>
      <c r="D243">
        <f>IF(OR(C243=1900,$D$144=0),0,VLOOKUP(A243,'Estados Financieros'!$A$11:$I$453,9,0))</f>
        <v>10</v>
      </c>
      <c r="E243" t="str">
        <f t="shared" si="9"/>
        <v>10,000</v>
      </c>
    </row>
    <row r="244" spans="1:5" x14ac:dyDescent="0.25">
      <c r="A244">
        <v>263501</v>
      </c>
      <c r="B244" t="str">
        <f t="shared" si="10"/>
        <v>900142011</v>
      </c>
      <c r="C244">
        <f t="shared" si="11"/>
        <v>202006</v>
      </c>
      <c r="D244">
        <f>IF(OR(C244=1900,$D$144=0),0,VLOOKUP(A244,'Estados Financieros'!$A$11:$I$453,9,0))</f>
        <v>10</v>
      </c>
      <c r="E244" t="str">
        <f t="shared" si="9"/>
        <v>10,000</v>
      </c>
    </row>
    <row r="245" spans="1:5" x14ac:dyDescent="0.25">
      <c r="A245">
        <v>264001</v>
      </c>
      <c r="B245" t="str">
        <f t="shared" si="10"/>
        <v>900142011</v>
      </c>
      <c r="C245">
        <f t="shared" si="11"/>
        <v>202006</v>
      </c>
      <c r="D245">
        <f>IF(OR(C245=1900,$D$144=0),0,VLOOKUP(A245,'Estados Financieros'!$A$11:$I$453,9,0))</f>
        <v>10</v>
      </c>
      <c r="E245" t="str">
        <f t="shared" si="9"/>
        <v>10,000</v>
      </c>
    </row>
    <row r="246" spans="1:5" x14ac:dyDescent="0.25">
      <c r="A246">
        <v>269501</v>
      </c>
      <c r="B246" t="str">
        <f t="shared" si="10"/>
        <v>900142011</v>
      </c>
      <c r="C246">
        <f t="shared" si="11"/>
        <v>202006</v>
      </c>
      <c r="D246">
        <f>IF(OR(C246=1900,$D$144=0),0,VLOOKUP(A246,'Estados Financieros'!$A$11:$I$453,9,0))</f>
        <v>10</v>
      </c>
      <c r="E246" t="str">
        <f t="shared" si="9"/>
        <v>10,000</v>
      </c>
    </row>
    <row r="247" spans="1:5" x14ac:dyDescent="0.25">
      <c r="A247">
        <v>2206</v>
      </c>
      <c r="B247" t="str">
        <f t="shared" si="10"/>
        <v>900142011</v>
      </c>
      <c r="C247">
        <f t="shared" si="11"/>
        <v>202006</v>
      </c>
      <c r="D247">
        <f>IF(OR(C247=1900,$D$144=0),0,VLOOKUP(A247,'Estados Financieros'!$A$11:$I$453,9,0))</f>
        <v>90</v>
      </c>
      <c r="E247" t="str">
        <f t="shared" si="9"/>
        <v>90,000</v>
      </c>
    </row>
    <row r="248" spans="1:5" x14ac:dyDescent="0.25">
      <c r="A248">
        <v>270501</v>
      </c>
      <c r="B248" t="str">
        <f t="shared" si="10"/>
        <v>900142011</v>
      </c>
      <c r="C248">
        <f t="shared" si="11"/>
        <v>202006</v>
      </c>
      <c r="D248">
        <f>IF(OR(C248=1900,$D$144=0),0,VLOOKUP(A248,'Estados Financieros'!$A$11:$I$453,9,0))</f>
        <v>10</v>
      </c>
      <c r="E248" t="str">
        <f t="shared" si="9"/>
        <v>10,000</v>
      </c>
    </row>
    <row r="249" spans="1:5" x14ac:dyDescent="0.25">
      <c r="A249">
        <v>271001</v>
      </c>
      <c r="B249" t="str">
        <f t="shared" si="10"/>
        <v>900142011</v>
      </c>
      <c r="C249">
        <f t="shared" si="11"/>
        <v>202006</v>
      </c>
      <c r="D249">
        <f>IF(OR(C249=1900,$D$144=0),0,VLOOKUP(A249,'Estados Financieros'!$A$11:$I$453,9,0))</f>
        <v>10</v>
      </c>
      <c r="E249" t="str">
        <f t="shared" si="9"/>
        <v>10,000</v>
      </c>
    </row>
    <row r="250" spans="1:5" x14ac:dyDescent="0.25">
      <c r="A250">
        <v>272001</v>
      </c>
      <c r="B250" t="str">
        <f t="shared" si="10"/>
        <v>900142011</v>
      </c>
      <c r="C250">
        <f t="shared" si="11"/>
        <v>202006</v>
      </c>
      <c r="D250">
        <f>IF(OR(C250=1900,$D$144=0),0,VLOOKUP(A250,'Estados Financieros'!$A$11:$I$453,9,0))</f>
        <v>10</v>
      </c>
      <c r="E250" t="str">
        <f t="shared" si="9"/>
        <v>10,000</v>
      </c>
    </row>
    <row r="251" spans="1:5" x14ac:dyDescent="0.25">
      <c r="A251">
        <v>272501</v>
      </c>
      <c r="B251" t="str">
        <f t="shared" si="10"/>
        <v>900142011</v>
      </c>
      <c r="C251">
        <f t="shared" si="11"/>
        <v>202006</v>
      </c>
      <c r="D251">
        <f>IF(OR(C251=1900,$D$144=0),0,VLOOKUP(A251,'Estados Financieros'!$A$11:$I$453,9,0))</f>
        <v>10</v>
      </c>
      <c r="E251" t="str">
        <f t="shared" si="9"/>
        <v>10,000</v>
      </c>
    </row>
    <row r="252" spans="1:5" x14ac:dyDescent="0.25">
      <c r="A252">
        <v>279501</v>
      </c>
      <c r="B252" t="str">
        <f t="shared" si="10"/>
        <v>900142011</v>
      </c>
      <c r="C252">
        <f t="shared" si="11"/>
        <v>202006</v>
      </c>
      <c r="D252">
        <f>IF(OR(C252=1900,$D$144=0),0,VLOOKUP(A252,'Estados Financieros'!$A$11:$I$453,9,0))</f>
        <v>10</v>
      </c>
      <c r="E252" t="str">
        <f t="shared" si="9"/>
        <v>10,000</v>
      </c>
    </row>
    <row r="253" spans="1:5" x14ac:dyDescent="0.25">
      <c r="A253">
        <v>2207</v>
      </c>
      <c r="B253" t="str">
        <f t="shared" si="10"/>
        <v>900142011</v>
      </c>
      <c r="C253">
        <f t="shared" si="11"/>
        <v>202006</v>
      </c>
      <c r="D253">
        <f>IF(OR(C253=1900,$D$144=0),0,VLOOKUP(A253,'Estados Financieros'!$A$11:$I$453,9,0))</f>
        <v>50</v>
      </c>
      <c r="E253" t="str">
        <f t="shared" si="9"/>
        <v>50,000</v>
      </c>
    </row>
    <row r="254" spans="1:5" x14ac:dyDescent="0.25">
      <c r="A254">
        <v>290501</v>
      </c>
      <c r="B254" t="str">
        <f t="shared" si="10"/>
        <v>900142011</v>
      </c>
      <c r="C254">
        <f t="shared" si="11"/>
        <v>202006</v>
      </c>
      <c r="D254">
        <f>IF(OR(C254=1900,$D$144=0),0,VLOOKUP(A254,'Estados Financieros'!$A$11:$I$453,9,0))</f>
        <v>0</v>
      </c>
      <c r="E254" t="str">
        <f t="shared" si="9"/>
        <v>0,000</v>
      </c>
    </row>
    <row r="255" spans="1:5" x14ac:dyDescent="0.25">
      <c r="A255">
        <v>291991</v>
      </c>
      <c r="B255" t="str">
        <f t="shared" si="10"/>
        <v>900142011</v>
      </c>
      <c r="C255">
        <f t="shared" si="11"/>
        <v>202006</v>
      </c>
      <c r="D255">
        <f>IF(OR(C255=1900,$D$144=0),0,VLOOKUP(A255,'Estados Financieros'!$A$11:$I$453,9,0))</f>
        <v>10</v>
      </c>
      <c r="E255" t="str">
        <f t="shared" si="9"/>
        <v>10,000</v>
      </c>
    </row>
    <row r="256" spans="1:5" x14ac:dyDescent="0.25">
      <c r="A256">
        <v>291501</v>
      </c>
      <c r="B256" t="str">
        <f t="shared" si="10"/>
        <v>900142011</v>
      </c>
      <c r="C256">
        <f t="shared" si="11"/>
        <v>202006</v>
      </c>
      <c r="D256">
        <f>IF(OR(C256=1900,$D$144=0),0,VLOOKUP(A256,'Estados Financieros'!$A$11:$I$453,9,0))</f>
        <v>10</v>
      </c>
      <c r="E256" t="str">
        <f t="shared" si="9"/>
        <v>10,000</v>
      </c>
    </row>
    <row r="257" spans="1:5" x14ac:dyDescent="0.25">
      <c r="A257">
        <v>292001</v>
      </c>
      <c r="B257" t="str">
        <f t="shared" si="10"/>
        <v>900142011</v>
      </c>
      <c r="C257">
        <f t="shared" si="11"/>
        <v>202006</v>
      </c>
      <c r="D257">
        <f>IF(OR(C257=1900,$D$144=0),0,VLOOKUP(A257,'Estados Financieros'!$A$11:$I$453,9,0))</f>
        <v>10</v>
      </c>
      <c r="E257" t="str">
        <f t="shared" si="9"/>
        <v>10,000</v>
      </c>
    </row>
    <row r="258" spans="1:5" x14ac:dyDescent="0.25">
      <c r="A258">
        <v>299501</v>
      </c>
      <c r="B258" t="str">
        <f t="shared" si="10"/>
        <v>900142011</v>
      </c>
      <c r="C258">
        <f t="shared" si="11"/>
        <v>202006</v>
      </c>
      <c r="D258">
        <f>IF(OR(C258=1900,$D$144=0),0,VLOOKUP(A258,'Estados Financieros'!$A$11:$I$453,9,0))</f>
        <v>10</v>
      </c>
      <c r="E258" t="str">
        <f t="shared" ref="E258:E321" si="12">IFERROR(FIXED(D258,3,1),0)</f>
        <v>10,000</v>
      </c>
    </row>
    <row r="259" spans="1:5" x14ac:dyDescent="0.25">
      <c r="A259">
        <v>2209</v>
      </c>
      <c r="B259" t="str">
        <f t="shared" ref="B259:B322" si="13">+B258</f>
        <v>900142011</v>
      </c>
      <c r="C259">
        <f t="shared" ref="C259:C322" si="14">C258</f>
        <v>202006</v>
      </c>
      <c r="D259">
        <f>IF(OR(C259=1900,$D$144=0),0,VLOOKUP(A259,'Estados Financieros'!$A$11:$I$453,9,0))</f>
        <v>40</v>
      </c>
      <c r="E259" t="str">
        <f t="shared" si="12"/>
        <v>40,000</v>
      </c>
    </row>
    <row r="260" spans="1:5" x14ac:dyDescent="0.25">
      <c r="A260">
        <v>22</v>
      </c>
      <c r="B260" t="str">
        <f t="shared" si="13"/>
        <v>900142011</v>
      </c>
      <c r="C260">
        <f t="shared" si="14"/>
        <v>202006</v>
      </c>
      <c r="D260">
        <f>IF(OR(C260=1900,$D$144=0),0,VLOOKUP(A260,'Estados Financieros'!$A$11:$I$453,9,0))</f>
        <v>450</v>
      </c>
      <c r="E260" t="str">
        <f t="shared" si="12"/>
        <v>450,000</v>
      </c>
    </row>
    <row r="261" spans="1:5" x14ac:dyDescent="0.25">
      <c r="A261">
        <v>2</v>
      </c>
      <c r="B261" t="str">
        <f t="shared" si="13"/>
        <v>900142011</v>
      </c>
      <c r="C261">
        <f t="shared" si="14"/>
        <v>202006</v>
      </c>
      <c r="D261">
        <f>IF(OR(C261=1900,$D$144=0),0,VLOOKUP(A261,'Estados Financieros'!$A$11:$I$453,9,0))</f>
        <v>930</v>
      </c>
      <c r="E261" t="str">
        <f t="shared" si="12"/>
        <v>930,000</v>
      </c>
    </row>
    <row r="262" spans="1:5" x14ac:dyDescent="0.25">
      <c r="A262">
        <v>310500</v>
      </c>
      <c r="B262" t="str">
        <f t="shared" si="13"/>
        <v>900142011</v>
      </c>
      <c r="C262">
        <f t="shared" si="14"/>
        <v>202006</v>
      </c>
      <c r="D262">
        <f>IF(OR(C262=1900,$D$144=0),0,VLOOKUP(A262,'Estados Financieros'!$A$11:$I$453,9,0))</f>
        <v>10</v>
      </c>
      <c r="E262" t="str">
        <f t="shared" si="12"/>
        <v>10,000</v>
      </c>
    </row>
    <row r="263" spans="1:5" x14ac:dyDescent="0.25">
      <c r="A263">
        <v>311500</v>
      </c>
      <c r="B263" t="str">
        <f t="shared" si="13"/>
        <v>900142011</v>
      </c>
      <c r="C263">
        <f t="shared" si="14"/>
        <v>202006</v>
      </c>
      <c r="D263">
        <f>IF(OR(C263=1900,$D$144=0),0,VLOOKUP(A263,'Estados Financieros'!$A$11:$I$453,9,0))</f>
        <v>10</v>
      </c>
      <c r="E263" t="str">
        <f t="shared" si="12"/>
        <v>10,000</v>
      </c>
    </row>
    <row r="264" spans="1:5" x14ac:dyDescent="0.25">
      <c r="A264">
        <v>312000</v>
      </c>
      <c r="B264" t="str">
        <f t="shared" si="13"/>
        <v>900142011</v>
      </c>
      <c r="C264">
        <f t="shared" si="14"/>
        <v>202006</v>
      </c>
      <c r="D264">
        <f>IF(OR(C264=1900,$D$144=0),0,VLOOKUP(A264,'Estados Financieros'!$A$11:$I$453,9,0))</f>
        <v>10</v>
      </c>
      <c r="E264" t="str">
        <f t="shared" si="12"/>
        <v>10,000</v>
      </c>
    </row>
    <row r="265" spans="1:5" x14ac:dyDescent="0.25">
      <c r="A265">
        <v>312500</v>
      </c>
      <c r="B265" t="str">
        <f t="shared" si="13"/>
        <v>900142011</v>
      </c>
      <c r="C265">
        <f t="shared" si="14"/>
        <v>202006</v>
      </c>
      <c r="D265">
        <f>IF(OR(C265=1900,$D$144=0),0,VLOOKUP(A265,'Estados Financieros'!$A$11:$I$453,9,0))</f>
        <v>10</v>
      </c>
      <c r="E265" t="str">
        <f t="shared" si="12"/>
        <v>10,000</v>
      </c>
    </row>
    <row r="266" spans="1:5" x14ac:dyDescent="0.25">
      <c r="A266">
        <v>313000</v>
      </c>
      <c r="B266" t="str">
        <f t="shared" si="13"/>
        <v>900142011</v>
      </c>
      <c r="C266">
        <f t="shared" si="14"/>
        <v>202006</v>
      </c>
      <c r="D266">
        <f>IF(OR(C266=1900,$D$144=0),0,VLOOKUP(A266,'Estados Financieros'!$A$11:$I$453,9,0))</f>
        <v>10</v>
      </c>
      <c r="E266" t="str">
        <f t="shared" si="12"/>
        <v>10,000</v>
      </c>
    </row>
    <row r="267" spans="1:5" x14ac:dyDescent="0.25">
      <c r="A267">
        <v>313500</v>
      </c>
      <c r="B267" t="str">
        <f t="shared" si="13"/>
        <v>900142011</v>
      </c>
      <c r="C267">
        <f t="shared" si="14"/>
        <v>202006</v>
      </c>
      <c r="D267">
        <f>IF(OR(C267=1900,$D$144=0),0,VLOOKUP(A267,'Estados Financieros'!$A$11:$I$453,9,0))</f>
        <v>10</v>
      </c>
      <c r="E267" t="str">
        <f t="shared" si="12"/>
        <v>10,000</v>
      </c>
    </row>
    <row r="268" spans="1:5" x14ac:dyDescent="0.25">
      <c r="A268">
        <v>314000</v>
      </c>
      <c r="B268" t="str">
        <f t="shared" si="13"/>
        <v>900142011</v>
      </c>
      <c r="C268">
        <f t="shared" si="14"/>
        <v>202006</v>
      </c>
      <c r="D268">
        <f>IF(OR(C268=1900,$D$144=0),0,VLOOKUP(A268,'Estados Financieros'!$A$11:$I$453,9,0))</f>
        <v>10</v>
      </c>
      <c r="E268" t="str">
        <f t="shared" si="12"/>
        <v>10,000</v>
      </c>
    </row>
    <row r="269" spans="1:5" x14ac:dyDescent="0.25">
      <c r="A269">
        <v>31</v>
      </c>
      <c r="B269" t="str">
        <f t="shared" si="13"/>
        <v>900142011</v>
      </c>
      <c r="C269">
        <f t="shared" si="14"/>
        <v>202006</v>
      </c>
      <c r="D269">
        <f>IF(OR(C269=1900,$D$144=0),0,VLOOKUP(A269,'Estados Financieros'!$A$11:$I$453,9,0))</f>
        <v>70</v>
      </c>
      <c r="E269" t="str">
        <f t="shared" si="12"/>
        <v>70,000</v>
      </c>
    </row>
    <row r="270" spans="1:5" x14ac:dyDescent="0.25">
      <c r="A270">
        <v>320500</v>
      </c>
      <c r="B270" t="str">
        <f t="shared" si="13"/>
        <v>900142011</v>
      </c>
      <c r="C270">
        <f t="shared" si="14"/>
        <v>202006</v>
      </c>
      <c r="D270">
        <f>IF(OR(C270=1900,$D$144=0),0,VLOOKUP(A270,'Estados Financieros'!$A$11:$I$453,9,0))</f>
        <v>10</v>
      </c>
      <c r="E270" t="str">
        <f t="shared" si="12"/>
        <v>10,000</v>
      </c>
    </row>
    <row r="271" spans="1:5" x14ac:dyDescent="0.25">
      <c r="A271">
        <v>321000</v>
      </c>
      <c r="B271" t="str">
        <f t="shared" si="13"/>
        <v>900142011</v>
      </c>
      <c r="C271">
        <f t="shared" si="14"/>
        <v>202006</v>
      </c>
      <c r="D271">
        <f>IF(OR(C271=1900,$D$144=0),0,VLOOKUP(A271,'Estados Financieros'!$A$11:$I$453,9,0))</f>
        <v>10</v>
      </c>
      <c r="E271" t="str">
        <f t="shared" si="12"/>
        <v>10,000</v>
      </c>
    </row>
    <row r="272" spans="1:5" x14ac:dyDescent="0.25">
      <c r="A272">
        <v>321500</v>
      </c>
      <c r="B272" t="str">
        <f t="shared" si="13"/>
        <v>900142011</v>
      </c>
      <c r="C272">
        <f t="shared" si="14"/>
        <v>202006</v>
      </c>
      <c r="D272">
        <f>IF(OR(C272=1900,$D$144=0),0,VLOOKUP(A272,'Estados Financieros'!$A$11:$I$453,9,0))</f>
        <v>10</v>
      </c>
      <c r="E272" t="str">
        <f t="shared" si="12"/>
        <v>10,000</v>
      </c>
    </row>
    <row r="273" spans="1:5" x14ac:dyDescent="0.25">
      <c r="A273">
        <v>322000</v>
      </c>
      <c r="B273" t="str">
        <f t="shared" si="13"/>
        <v>900142011</v>
      </c>
      <c r="C273">
        <f t="shared" si="14"/>
        <v>202006</v>
      </c>
      <c r="D273">
        <f>IF(OR(C273=1900,$D$144=0),0,VLOOKUP(A273,'Estados Financieros'!$A$11:$I$453,9,0))</f>
        <v>10</v>
      </c>
      <c r="E273" t="str">
        <f t="shared" si="12"/>
        <v>10,000</v>
      </c>
    </row>
    <row r="274" spans="1:5" x14ac:dyDescent="0.25">
      <c r="A274">
        <v>322500</v>
      </c>
      <c r="B274" t="str">
        <f t="shared" si="13"/>
        <v>900142011</v>
      </c>
      <c r="C274">
        <f t="shared" si="14"/>
        <v>202006</v>
      </c>
      <c r="D274">
        <f>IF(OR(C274=1900,$D$144=0),0,VLOOKUP(A274,'Estados Financieros'!$A$11:$I$453,9,0))</f>
        <v>10</v>
      </c>
      <c r="E274" t="str">
        <f t="shared" si="12"/>
        <v>10,000</v>
      </c>
    </row>
    <row r="275" spans="1:5" x14ac:dyDescent="0.25">
      <c r="A275">
        <v>32</v>
      </c>
      <c r="B275" t="str">
        <f t="shared" si="13"/>
        <v>900142011</v>
      </c>
      <c r="C275">
        <f t="shared" si="14"/>
        <v>202006</v>
      </c>
      <c r="D275">
        <f>IF(OR(C275=1900,$D$144=0),0,VLOOKUP(A275,'Estados Financieros'!$A$11:$I$453,9,0))</f>
        <v>50</v>
      </c>
      <c r="E275" t="str">
        <f t="shared" si="12"/>
        <v>50,000</v>
      </c>
    </row>
    <row r="276" spans="1:5" x14ac:dyDescent="0.25">
      <c r="A276">
        <v>330500</v>
      </c>
      <c r="B276" t="str">
        <f t="shared" si="13"/>
        <v>900142011</v>
      </c>
      <c r="C276">
        <f t="shared" si="14"/>
        <v>202006</v>
      </c>
      <c r="D276">
        <f>IF(OR(C276=1900,$D$144=0),0,VLOOKUP(A276,'Estados Financieros'!$A$11:$I$453,9,0))</f>
        <v>10</v>
      </c>
      <c r="E276" t="str">
        <f t="shared" si="12"/>
        <v>10,000</v>
      </c>
    </row>
    <row r="277" spans="1:5" x14ac:dyDescent="0.25">
      <c r="A277">
        <v>331000</v>
      </c>
      <c r="B277" t="str">
        <f t="shared" si="13"/>
        <v>900142011</v>
      </c>
      <c r="C277">
        <f t="shared" si="14"/>
        <v>202006</v>
      </c>
      <c r="D277">
        <f>IF(OR(C277=1900,$D$144=0),0,VLOOKUP(A277,'Estados Financieros'!$A$11:$I$453,9,0))</f>
        <v>10</v>
      </c>
      <c r="E277" t="str">
        <f t="shared" si="12"/>
        <v>10,000</v>
      </c>
    </row>
    <row r="278" spans="1:5" x14ac:dyDescent="0.25">
      <c r="A278">
        <v>331500</v>
      </c>
      <c r="B278" t="str">
        <f t="shared" si="13"/>
        <v>900142011</v>
      </c>
      <c r="C278">
        <f t="shared" si="14"/>
        <v>202006</v>
      </c>
      <c r="D278">
        <f>IF(OR(C278=1900,$D$144=0),0,VLOOKUP(A278,'Estados Financieros'!$A$11:$I$453,9,0))</f>
        <v>10</v>
      </c>
      <c r="E278" t="str">
        <f t="shared" si="12"/>
        <v>10,000</v>
      </c>
    </row>
    <row r="279" spans="1:5" x14ac:dyDescent="0.25">
      <c r="A279">
        <v>33</v>
      </c>
      <c r="B279" t="str">
        <f t="shared" si="13"/>
        <v>900142011</v>
      </c>
      <c r="C279">
        <f t="shared" si="14"/>
        <v>202006</v>
      </c>
      <c r="D279">
        <f>IF(OR(C279=1900,$D$144=0),0,VLOOKUP(A279,'Estados Financieros'!$A$11:$I$453,9,0))</f>
        <v>30</v>
      </c>
      <c r="E279" t="str">
        <f t="shared" si="12"/>
        <v>30,000</v>
      </c>
    </row>
    <row r="280" spans="1:5" x14ac:dyDescent="0.25">
      <c r="A280">
        <v>340505</v>
      </c>
      <c r="B280" t="str">
        <f t="shared" si="13"/>
        <v>900142011</v>
      </c>
      <c r="C280">
        <f t="shared" si="14"/>
        <v>202006</v>
      </c>
      <c r="D280">
        <f>IF(OR(C280=1900,$D$144=0),0,VLOOKUP(A280,'Estados Financieros'!$A$11:$I$453,9,0))</f>
        <v>10</v>
      </c>
      <c r="E280" t="str">
        <f t="shared" si="12"/>
        <v>10,000</v>
      </c>
    </row>
    <row r="281" spans="1:5" x14ac:dyDescent="0.25">
      <c r="A281">
        <v>340515</v>
      </c>
      <c r="B281" t="str">
        <f t="shared" si="13"/>
        <v>900142011</v>
      </c>
      <c r="C281">
        <f t="shared" si="14"/>
        <v>202006</v>
      </c>
      <c r="D281">
        <f>IF(OR(C281=1900,$D$144=0),0,VLOOKUP(A281,'Estados Financieros'!$A$11:$I$453,9,0))</f>
        <v>10</v>
      </c>
      <c r="E281" t="str">
        <f t="shared" si="12"/>
        <v>10,000</v>
      </c>
    </row>
    <row r="282" spans="1:5" x14ac:dyDescent="0.25">
      <c r="A282">
        <v>349500</v>
      </c>
      <c r="B282" t="str">
        <f t="shared" si="13"/>
        <v>900142011</v>
      </c>
      <c r="C282">
        <f t="shared" si="14"/>
        <v>202006</v>
      </c>
      <c r="D282">
        <f>IF(OR(C282=1900,$D$144=0),0,VLOOKUP(A282,'Estados Financieros'!$A$11:$I$453,9,0))</f>
        <v>10</v>
      </c>
      <c r="E282" t="str">
        <f t="shared" si="12"/>
        <v>10,000</v>
      </c>
    </row>
    <row r="283" spans="1:5" x14ac:dyDescent="0.25">
      <c r="A283">
        <v>34</v>
      </c>
      <c r="B283" t="str">
        <f t="shared" si="13"/>
        <v>900142011</v>
      </c>
      <c r="C283">
        <f t="shared" si="14"/>
        <v>202006</v>
      </c>
      <c r="D283">
        <f>IF(OR(C283=1900,$D$144=0),0,VLOOKUP(A283,'Estados Financieros'!$A$11:$I$453,9,0))</f>
        <v>40</v>
      </c>
      <c r="E283" t="str">
        <f t="shared" si="12"/>
        <v>40,000</v>
      </c>
    </row>
    <row r="284" spans="1:5" x14ac:dyDescent="0.25">
      <c r="A284">
        <v>35</v>
      </c>
      <c r="B284" t="str">
        <f t="shared" si="13"/>
        <v>900142011</v>
      </c>
      <c r="C284">
        <f t="shared" si="14"/>
        <v>202006</v>
      </c>
      <c r="D284">
        <f>IF(OR(C284=1900,$D$144=0),0,VLOOKUP(A284,'Estados Financieros'!$A$11:$I$453,9,0))</f>
        <v>10</v>
      </c>
      <c r="E284" t="str">
        <f t="shared" si="12"/>
        <v>10,000</v>
      </c>
    </row>
    <row r="285" spans="1:5" x14ac:dyDescent="0.25">
      <c r="A285">
        <v>36</v>
      </c>
      <c r="B285" t="str">
        <f t="shared" si="13"/>
        <v>900142011</v>
      </c>
      <c r="C285">
        <f t="shared" si="14"/>
        <v>202006</v>
      </c>
      <c r="D285">
        <f>IF(OR(C285=1900,$D$144=0),0,VLOOKUP(A285,'Estados Financieros'!$A$11:$I$453,9,0))</f>
        <v>2810</v>
      </c>
      <c r="E285" t="str">
        <f t="shared" si="12"/>
        <v>2810,000</v>
      </c>
    </row>
    <row r="286" spans="1:5" x14ac:dyDescent="0.25">
      <c r="A286">
        <v>37</v>
      </c>
      <c r="B286" t="str">
        <f t="shared" si="13"/>
        <v>900142011</v>
      </c>
      <c r="C286">
        <f t="shared" si="14"/>
        <v>202006</v>
      </c>
      <c r="D286">
        <f>IF(OR(C286=1900,$D$144=0),0,VLOOKUP(A286,'Estados Financieros'!$A$11:$I$453,9,0))</f>
        <v>10</v>
      </c>
      <c r="E286" t="str">
        <f t="shared" si="12"/>
        <v>10,000</v>
      </c>
    </row>
    <row r="287" spans="1:5" x14ac:dyDescent="0.25">
      <c r="A287">
        <v>38</v>
      </c>
      <c r="B287" t="str">
        <f t="shared" si="13"/>
        <v>900142011</v>
      </c>
      <c r="C287">
        <f t="shared" si="14"/>
        <v>202006</v>
      </c>
      <c r="D287">
        <f>IF(OR(C287=1900,$D$144=0),0,VLOOKUP(A287,'Estados Financieros'!$A$11:$I$453,9,0))</f>
        <v>10</v>
      </c>
      <c r="E287" t="str">
        <f t="shared" si="12"/>
        <v>10,000</v>
      </c>
    </row>
    <row r="288" spans="1:5" x14ac:dyDescent="0.25">
      <c r="A288">
        <v>3</v>
      </c>
      <c r="B288" t="str">
        <f t="shared" si="13"/>
        <v>900142011</v>
      </c>
      <c r="C288">
        <f t="shared" si="14"/>
        <v>202006</v>
      </c>
      <c r="D288">
        <f>IF(OR(C288=1900,$D$144=0),0,VLOOKUP(A288,'Estados Financieros'!$A$11:$I$453,9,0))</f>
        <v>3030</v>
      </c>
      <c r="E288" t="str">
        <f t="shared" si="12"/>
        <v>3030,000</v>
      </c>
    </row>
    <row r="289" spans="1:5" x14ac:dyDescent="0.25">
      <c r="A289">
        <v>0</v>
      </c>
      <c r="B289" t="str">
        <f t="shared" si="13"/>
        <v>900142011</v>
      </c>
      <c r="C289">
        <f t="shared" si="14"/>
        <v>202006</v>
      </c>
      <c r="D289">
        <f>IF(OR(C289=1900,$D$144=0),0,VLOOKUP(A289,'Estados Financieros'!$A$11:$I$453,9,0))</f>
        <v>3960</v>
      </c>
      <c r="E289" t="str">
        <f t="shared" si="12"/>
        <v>3960,000</v>
      </c>
    </row>
    <row r="290" spans="1:5" x14ac:dyDescent="0.25">
      <c r="A290">
        <v>291000</v>
      </c>
      <c r="B290" t="str">
        <f t="shared" si="13"/>
        <v>900142011</v>
      </c>
      <c r="C290">
        <f t="shared" si="14"/>
        <v>202006</v>
      </c>
      <c r="D290">
        <f>IF(OR(C290=1900,$D$144=0),0,VLOOKUP(A290,'Estados Financieros'!$A$11:$I$453,9,0))</f>
        <v>0</v>
      </c>
      <c r="E290" t="str">
        <f t="shared" si="12"/>
        <v>0,000</v>
      </c>
    </row>
    <row r="291" spans="1:5" x14ac:dyDescent="0.25">
      <c r="A291">
        <v>292000</v>
      </c>
      <c r="B291" t="str">
        <f t="shared" si="13"/>
        <v>900142011</v>
      </c>
      <c r="C291">
        <f t="shared" si="14"/>
        <v>202006</v>
      </c>
      <c r="D291">
        <f>IF(OR(C291=1900,$D$144=0),0,VLOOKUP(A291,'Estados Financieros'!$A$11:$I$453,9,0))</f>
        <v>0</v>
      </c>
      <c r="E291" t="str">
        <f t="shared" si="12"/>
        <v>0,000</v>
      </c>
    </row>
    <row r="292" spans="1:5" x14ac:dyDescent="0.25">
      <c r="A292">
        <v>293000</v>
      </c>
      <c r="B292" t="str">
        <f t="shared" si="13"/>
        <v>900142011</v>
      </c>
      <c r="C292">
        <f t="shared" si="14"/>
        <v>202006</v>
      </c>
      <c r="D292">
        <f>IF(OR(C292=1900,$D$144=0),0,VLOOKUP(A292,'Estados Financieros'!$A$11:$I$453,9,0))</f>
        <v>0</v>
      </c>
      <c r="E292" t="str">
        <f t="shared" si="12"/>
        <v>0,000</v>
      </c>
    </row>
    <row r="293" spans="1:5" x14ac:dyDescent="0.25">
      <c r="A293">
        <v>294000</v>
      </c>
      <c r="B293" t="str">
        <f t="shared" si="13"/>
        <v>900142011</v>
      </c>
      <c r="C293">
        <f t="shared" si="14"/>
        <v>202006</v>
      </c>
      <c r="D293">
        <f>IF(OR(C293=1900,$D$144=0),0,VLOOKUP(A293,'Estados Financieros'!$A$11:$I$453,9,0))</f>
        <v>0</v>
      </c>
      <c r="E293" t="str">
        <f t="shared" si="12"/>
        <v>0,000</v>
      </c>
    </row>
    <row r="294" spans="1:5" x14ac:dyDescent="0.25">
      <c r="A294">
        <v>190000</v>
      </c>
      <c r="B294" t="str">
        <f t="shared" si="13"/>
        <v>900142011</v>
      </c>
      <c r="C294">
        <f t="shared" si="14"/>
        <v>202006</v>
      </c>
      <c r="D294">
        <f>IF(OR(C294=1900,$D$144=0),0,VLOOKUP(A294,'Estados Financieros'!$A$11:$I$453,9,0))</f>
        <v>0</v>
      </c>
      <c r="E294" t="str">
        <f t="shared" si="12"/>
        <v>0,000</v>
      </c>
    </row>
    <row r="295" spans="1:5" x14ac:dyDescent="0.25">
      <c r="A295">
        <v>410500</v>
      </c>
      <c r="B295" t="str">
        <f t="shared" si="13"/>
        <v>900142011</v>
      </c>
      <c r="C295">
        <f t="shared" si="14"/>
        <v>202006</v>
      </c>
      <c r="D295">
        <f>IF(OR(C295=1900,$D$144=0),0,VLOOKUP(A295,'Estados Financieros'!$A$11:$I$453,9,0))</f>
        <v>2610</v>
      </c>
      <c r="E295" t="str">
        <f t="shared" si="12"/>
        <v>2610,000</v>
      </c>
    </row>
    <row r="296" spans="1:5" x14ac:dyDescent="0.25">
      <c r="A296">
        <v>411000</v>
      </c>
      <c r="B296" t="str">
        <f t="shared" si="13"/>
        <v>900142011</v>
      </c>
      <c r="C296">
        <f t="shared" si="14"/>
        <v>202006</v>
      </c>
      <c r="D296">
        <f>IF(OR(C296=1900,$D$144=0),0,VLOOKUP(A296,'Estados Financieros'!$A$11:$I$453,9,0))</f>
        <v>1000</v>
      </c>
      <c r="E296" t="str">
        <f t="shared" si="12"/>
        <v>1000,000</v>
      </c>
    </row>
    <row r="297" spans="1:5" x14ac:dyDescent="0.25">
      <c r="A297">
        <v>41</v>
      </c>
      <c r="B297" t="str">
        <f t="shared" si="13"/>
        <v>900142011</v>
      </c>
      <c r="C297">
        <f t="shared" si="14"/>
        <v>202006</v>
      </c>
      <c r="D297">
        <f>+D296+D295</f>
        <v>3610</v>
      </c>
      <c r="E297" t="str">
        <f t="shared" si="12"/>
        <v>3610,000</v>
      </c>
    </row>
    <row r="298" spans="1:5" x14ac:dyDescent="0.25">
      <c r="A298">
        <v>61</v>
      </c>
      <c r="B298" t="str">
        <f t="shared" si="13"/>
        <v>900142011</v>
      </c>
      <c r="C298">
        <f t="shared" si="14"/>
        <v>202006</v>
      </c>
      <c r="D298">
        <f>IF(OR(C298=1900,$D$144=0),0,VLOOKUP(A298,'Estados Financieros'!$A$11:$I$453,9,0))</f>
        <v>500</v>
      </c>
      <c r="E298" t="str">
        <f t="shared" si="12"/>
        <v>500,000</v>
      </c>
    </row>
    <row r="299" spans="1:5" x14ac:dyDescent="0.25">
      <c r="A299">
        <v>606000</v>
      </c>
      <c r="B299" t="str">
        <f t="shared" si="13"/>
        <v>900142011</v>
      </c>
      <c r="C299">
        <f t="shared" si="14"/>
        <v>202006</v>
      </c>
      <c r="D299">
        <f>IF(OR(C299=1900,$D$144=0),0,VLOOKUP(A299,'Estados Financieros'!$A$11:$I$453,9,0))</f>
        <v>0</v>
      </c>
      <c r="E299" t="str">
        <f t="shared" si="12"/>
        <v>0,000</v>
      </c>
    </row>
    <row r="300" spans="1:5" x14ac:dyDescent="0.25">
      <c r="A300">
        <v>95</v>
      </c>
      <c r="B300" t="str">
        <f t="shared" si="13"/>
        <v>900142011</v>
      </c>
      <c r="C300">
        <f t="shared" si="14"/>
        <v>202006</v>
      </c>
      <c r="D300">
        <f>IF(OR(C300=1900,$D$144=0),0,VLOOKUP(A300,'Estados Financieros'!$A$11:$I$453,9,0))</f>
        <v>3110</v>
      </c>
      <c r="E300" t="str">
        <f t="shared" si="12"/>
        <v>3110,000</v>
      </c>
    </row>
    <row r="301" spans="1:5" x14ac:dyDescent="0.25">
      <c r="A301">
        <v>510500</v>
      </c>
      <c r="B301" t="str">
        <f t="shared" si="13"/>
        <v>900142011</v>
      </c>
      <c r="C301">
        <f t="shared" si="14"/>
        <v>202006</v>
      </c>
      <c r="D301">
        <f>IF(OR(C301=1900,$D$144=0),0,VLOOKUP(A301,'Estados Financieros'!$A$11:$I$453,9,0))</f>
        <v>10</v>
      </c>
      <c r="E301" t="str">
        <f t="shared" si="12"/>
        <v>10,000</v>
      </c>
    </row>
    <row r="302" spans="1:5" x14ac:dyDescent="0.25">
      <c r="A302">
        <v>511000</v>
      </c>
      <c r="B302" t="str">
        <f t="shared" si="13"/>
        <v>900142011</v>
      </c>
      <c r="C302">
        <f t="shared" si="14"/>
        <v>202006</v>
      </c>
      <c r="D302">
        <f>IF(OR(C302=1900,$D$144=0),0,VLOOKUP(A302,'Estados Financieros'!$A$11:$I$453,9,0))</f>
        <v>10</v>
      </c>
      <c r="E302" t="str">
        <f t="shared" si="12"/>
        <v>10,000</v>
      </c>
    </row>
    <row r="303" spans="1:5" x14ac:dyDescent="0.25">
      <c r="A303">
        <v>511500</v>
      </c>
      <c r="B303" t="str">
        <f t="shared" si="13"/>
        <v>900142011</v>
      </c>
      <c r="C303">
        <f t="shared" si="14"/>
        <v>202006</v>
      </c>
      <c r="D303">
        <f>IF(OR(C303=1900,$D$144=0),0,VLOOKUP(A303,'Estados Financieros'!$A$11:$I$453,9,0))</f>
        <v>10</v>
      </c>
      <c r="E303" t="str">
        <f t="shared" si="12"/>
        <v>10,000</v>
      </c>
    </row>
    <row r="304" spans="1:5" x14ac:dyDescent="0.25">
      <c r="A304">
        <v>512000</v>
      </c>
      <c r="B304" t="str">
        <f t="shared" si="13"/>
        <v>900142011</v>
      </c>
      <c r="C304">
        <f t="shared" si="14"/>
        <v>202006</v>
      </c>
      <c r="D304">
        <f>IF(OR(C304=1900,$D$144=0),0,VLOOKUP(A304,'Estados Financieros'!$A$11:$I$453,9,0))</f>
        <v>10</v>
      </c>
      <c r="E304" t="str">
        <f t="shared" si="12"/>
        <v>10,000</v>
      </c>
    </row>
    <row r="305" spans="1:5" x14ac:dyDescent="0.25">
      <c r="A305">
        <v>512500</v>
      </c>
      <c r="B305" t="str">
        <f t="shared" si="13"/>
        <v>900142011</v>
      </c>
      <c r="C305">
        <f t="shared" si="14"/>
        <v>202006</v>
      </c>
      <c r="D305">
        <f>IF(OR(C305=1900,$D$144=0),0,VLOOKUP(A305,'Estados Financieros'!$A$11:$I$453,9,0))</f>
        <v>10</v>
      </c>
      <c r="E305" t="str">
        <f t="shared" si="12"/>
        <v>10,000</v>
      </c>
    </row>
    <row r="306" spans="1:5" x14ac:dyDescent="0.25">
      <c r="A306">
        <v>513000</v>
      </c>
      <c r="B306" t="str">
        <f t="shared" si="13"/>
        <v>900142011</v>
      </c>
      <c r="C306">
        <f t="shared" si="14"/>
        <v>202006</v>
      </c>
      <c r="D306">
        <f>IF(OR(C306=1900,$D$144=0),0,VLOOKUP(A306,'Estados Financieros'!$A$11:$I$453,9,0))</f>
        <v>10</v>
      </c>
      <c r="E306" t="str">
        <f t="shared" si="12"/>
        <v>10,000</v>
      </c>
    </row>
    <row r="307" spans="1:5" x14ac:dyDescent="0.25">
      <c r="A307">
        <v>513500</v>
      </c>
      <c r="B307" t="str">
        <f t="shared" si="13"/>
        <v>900142011</v>
      </c>
      <c r="C307">
        <f t="shared" si="14"/>
        <v>202006</v>
      </c>
      <c r="D307">
        <f>IF(OR(C307=1900,$D$144=0),0,VLOOKUP(A307,'Estados Financieros'!$A$11:$I$453,9,0))</f>
        <v>10</v>
      </c>
      <c r="E307" t="str">
        <f t="shared" si="12"/>
        <v>10,000</v>
      </c>
    </row>
    <row r="308" spans="1:5" x14ac:dyDescent="0.25">
      <c r="A308">
        <v>514000</v>
      </c>
      <c r="B308" t="str">
        <f t="shared" si="13"/>
        <v>900142011</v>
      </c>
      <c r="C308">
        <f t="shared" si="14"/>
        <v>202006</v>
      </c>
      <c r="D308">
        <f>IF(OR(C308=1900,$D$144=0),0,VLOOKUP(A308,'Estados Financieros'!$A$11:$I$453,9,0))</f>
        <v>10</v>
      </c>
      <c r="E308" t="str">
        <f t="shared" si="12"/>
        <v>10,000</v>
      </c>
    </row>
    <row r="309" spans="1:5" x14ac:dyDescent="0.25">
      <c r="A309">
        <v>514500</v>
      </c>
      <c r="B309" t="str">
        <f t="shared" si="13"/>
        <v>900142011</v>
      </c>
      <c r="C309">
        <f t="shared" si="14"/>
        <v>202006</v>
      </c>
      <c r="D309">
        <f>IF(OR(C309=1900,$D$144=0),0,VLOOKUP(A309,'Estados Financieros'!$A$11:$I$453,9,0))</f>
        <v>10</v>
      </c>
      <c r="E309" t="str">
        <f t="shared" si="12"/>
        <v>10,000</v>
      </c>
    </row>
    <row r="310" spans="1:5" x14ac:dyDescent="0.25">
      <c r="A310">
        <v>515000</v>
      </c>
      <c r="B310" t="str">
        <f t="shared" si="13"/>
        <v>900142011</v>
      </c>
      <c r="C310">
        <f t="shared" si="14"/>
        <v>202006</v>
      </c>
      <c r="D310">
        <f>IF(OR(C310=1900,$D$144=0),0,VLOOKUP(A310,'Estados Financieros'!$A$11:$I$453,9,0))</f>
        <v>10</v>
      </c>
      <c r="E310" t="str">
        <f t="shared" si="12"/>
        <v>10,000</v>
      </c>
    </row>
    <row r="311" spans="1:5" x14ac:dyDescent="0.25">
      <c r="A311">
        <v>515500</v>
      </c>
      <c r="B311" t="str">
        <f t="shared" si="13"/>
        <v>900142011</v>
      </c>
      <c r="C311">
        <f t="shared" si="14"/>
        <v>202006</v>
      </c>
      <c r="D311">
        <f>IF(OR(C311=1900,$D$144=0),0,VLOOKUP(A311,'Estados Financieros'!$A$11:$I$453,9,0))</f>
        <v>10</v>
      </c>
      <c r="E311" t="str">
        <f t="shared" si="12"/>
        <v>10,000</v>
      </c>
    </row>
    <row r="312" spans="1:5" x14ac:dyDescent="0.25">
      <c r="A312">
        <v>519500</v>
      </c>
      <c r="B312" t="str">
        <f t="shared" si="13"/>
        <v>900142011</v>
      </c>
      <c r="C312">
        <f t="shared" si="14"/>
        <v>202006</v>
      </c>
      <c r="D312">
        <f>IF(OR(C312=1900,$D$144=0),0,VLOOKUP(A312,'Estados Financieros'!$A$11:$I$453,9,0))</f>
        <v>10</v>
      </c>
      <c r="E312" t="str">
        <f t="shared" si="12"/>
        <v>10,000</v>
      </c>
    </row>
    <row r="313" spans="1:5" x14ac:dyDescent="0.25">
      <c r="A313">
        <v>516000</v>
      </c>
      <c r="B313" t="str">
        <f t="shared" si="13"/>
        <v>900142011</v>
      </c>
      <c r="C313">
        <f t="shared" si="14"/>
        <v>202006</v>
      </c>
      <c r="D313">
        <f>IF(OR(C313=1900,$D$144=0),0,VLOOKUP(A313,'Estados Financieros'!$A$11:$I$453,9,0))</f>
        <v>10</v>
      </c>
      <c r="E313" t="str">
        <f t="shared" si="12"/>
        <v>10,000</v>
      </c>
    </row>
    <row r="314" spans="1:5" x14ac:dyDescent="0.25">
      <c r="A314">
        <v>516500</v>
      </c>
      <c r="B314" t="str">
        <f t="shared" si="13"/>
        <v>900142011</v>
      </c>
      <c r="C314">
        <f t="shared" si="14"/>
        <v>202006</v>
      </c>
      <c r="D314">
        <f>IF(OR(C314=1900,$D$144=0),0,VLOOKUP(A314,'Estados Financieros'!$A$11:$I$453,9,0))</f>
        <v>10</v>
      </c>
      <c r="E314" t="str">
        <f t="shared" si="12"/>
        <v>10,000</v>
      </c>
    </row>
    <row r="315" spans="1:5" x14ac:dyDescent="0.25">
      <c r="A315">
        <v>519900</v>
      </c>
      <c r="B315" t="str">
        <f t="shared" si="13"/>
        <v>900142011</v>
      </c>
      <c r="C315">
        <f t="shared" si="14"/>
        <v>202006</v>
      </c>
      <c r="D315">
        <f>IF(OR(C315=1900,$D$144=0),0,VLOOKUP(A315,'Estados Financieros'!$A$11:$I$453,9,0))</f>
        <v>10</v>
      </c>
      <c r="E315" t="str">
        <f t="shared" si="12"/>
        <v>10,000</v>
      </c>
    </row>
    <row r="316" spans="1:5" x14ac:dyDescent="0.25">
      <c r="A316">
        <v>51</v>
      </c>
      <c r="B316" t="str">
        <f t="shared" si="13"/>
        <v>900142011</v>
      </c>
      <c r="C316">
        <f t="shared" si="14"/>
        <v>202006</v>
      </c>
      <c r="D316">
        <f>IF(OR(C316=1900,$D$144=0),0,VLOOKUP(A316,'Estados Financieros'!$A$11:$I$453,9,0))</f>
        <v>150</v>
      </c>
      <c r="E316" t="str">
        <f t="shared" si="12"/>
        <v>150,000</v>
      </c>
    </row>
    <row r="317" spans="1:5" x14ac:dyDescent="0.25">
      <c r="A317">
        <v>520500</v>
      </c>
      <c r="B317" t="str">
        <f t="shared" si="13"/>
        <v>900142011</v>
      </c>
      <c r="C317">
        <f t="shared" si="14"/>
        <v>202006</v>
      </c>
      <c r="D317">
        <f>IF(OR(C317=1900,$D$144=0),0,VLOOKUP(A317,'Estados Financieros'!$A$11:$I$453,9,0))</f>
        <v>10</v>
      </c>
      <c r="E317" t="str">
        <f t="shared" si="12"/>
        <v>10,000</v>
      </c>
    </row>
    <row r="318" spans="1:5" x14ac:dyDescent="0.25">
      <c r="A318">
        <v>521000</v>
      </c>
      <c r="B318" t="str">
        <f t="shared" si="13"/>
        <v>900142011</v>
      </c>
      <c r="C318">
        <f t="shared" si="14"/>
        <v>202006</v>
      </c>
      <c r="D318">
        <f>IF(OR(C318=1900,$D$144=0),0,VLOOKUP(A318,'Estados Financieros'!$A$11:$I$453,9,0))</f>
        <v>10</v>
      </c>
      <c r="E318" t="str">
        <f t="shared" si="12"/>
        <v>10,000</v>
      </c>
    </row>
    <row r="319" spans="1:5" x14ac:dyDescent="0.25">
      <c r="A319">
        <v>521500</v>
      </c>
      <c r="B319" t="str">
        <f t="shared" si="13"/>
        <v>900142011</v>
      </c>
      <c r="C319">
        <f t="shared" si="14"/>
        <v>202006</v>
      </c>
      <c r="D319">
        <f>IF(OR(C319=1900,$D$144=0),0,VLOOKUP(A319,'Estados Financieros'!$A$11:$I$453,9,0))</f>
        <v>10</v>
      </c>
      <c r="E319" t="str">
        <f t="shared" si="12"/>
        <v>10,000</v>
      </c>
    </row>
    <row r="320" spans="1:5" x14ac:dyDescent="0.25">
      <c r="A320">
        <v>522000</v>
      </c>
      <c r="B320" t="str">
        <f t="shared" si="13"/>
        <v>900142011</v>
      </c>
      <c r="C320">
        <f t="shared" si="14"/>
        <v>202006</v>
      </c>
      <c r="D320">
        <f>IF(OR(C320=1900,$D$144=0),0,VLOOKUP(A320,'Estados Financieros'!$A$11:$I$453,9,0))</f>
        <v>10</v>
      </c>
      <c r="E320" t="str">
        <f t="shared" si="12"/>
        <v>10,000</v>
      </c>
    </row>
    <row r="321" spans="1:5" x14ac:dyDescent="0.25">
      <c r="A321">
        <v>522500</v>
      </c>
      <c r="B321" t="str">
        <f t="shared" si="13"/>
        <v>900142011</v>
      </c>
      <c r="C321">
        <f t="shared" si="14"/>
        <v>202006</v>
      </c>
      <c r="D321">
        <f>IF(OR(C321=1900,$D$144=0),0,VLOOKUP(A321,'Estados Financieros'!$A$11:$I$453,9,0))</f>
        <v>10</v>
      </c>
      <c r="E321" t="str">
        <f t="shared" si="12"/>
        <v>10,000</v>
      </c>
    </row>
    <row r="322" spans="1:5" x14ac:dyDescent="0.25">
      <c r="A322">
        <v>523000</v>
      </c>
      <c r="B322" t="str">
        <f t="shared" si="13"/>
        <v>900142011</v>
      </c>
      <c r="C322">
        <f t="shared" si="14"/>
        <v>202006</v>
      </c>
      <c r="D322">
        <f>IF(OR(C322=1900,$D$144=0),0,VLOOKUP(A322,'Estados Financieros'!$A$11:$I$453,9,0))</f>
        <v>10</v>
      </c>
      <c r="E322" t="str">
        <f t="shared" ref="E322:E385" si="15">IFERROR(FIXED(D322,3,1),0)</f>
        <v>10,000</v>
      </c>
    </row>
    <row r="323" spans="1:5" x14ac:dyDescent="0.25">
      <c r="A323">
        <v>523500</v>
      </c>
      <c r="B323" t="str">
        <f t="shared" ref="B323:B363" si="16">+B322</f>
        <v>900142011</v>
      </c>
      <c r="C323">
        <f t="shared" ref="C323:C363" si="17">C322</f>
        <v>202006</v>
      </c>
      <c r="D323">
        <f>IF(OR(C323=1900,$D$144=0),0,VLOOKUP(A323,'Estados Financieros'!$A$11:$I$453,9,0))</f>
        <v>10</v>
      </c>
      <c r="E323" t="str">
        <f t="shared" si="15"/>
        <v>10,000</v>
      </c>
    </row>
    <row r="324" spans="1:5" x14ac:dyDescent="0.25">
      <c r="A324">
        <v>524000</v>
      </c>
      <c r="B324" t="str">
        <f t="shared" si="16"/>
        <v>900142011</v>
      </c>
      <c r="C324">
        <f t="shared" si="17"/>
        <v>202006</v>
      </c>
      <c r="D324">
        <f>IF(OR(C324=1900,$D$144=0),0,VLOOKUP(A324,'Estados Financieros'!$A$11:$I$453,9,0))</f>
        <v>10</v>
      </c>
      <c r="E324" t="str">
        <f t="shared" si="15"/>
        <v>10,000</v>
      </c>
    </row>
    <row r="325" spans="1:5" x14ac:dyDescent="0.25">
      <c r="A325">
        <v>524500</v>
      </c>
      <c r="B325" t="str">
        <f t="shared" si="16"/>
        <v>900142011</v>
      </c>
      <c r="C325">
        <f t="shared" si="17"/>
        <v>202006</v>
      </c>
      <c r="D325">
        <f>IF(OR(C325=1900,$D$144=0),0,VLOOKUP(A325,'Estados Financieros'!$A$11:$I$453,9,0))</f>
        <v>10</v>
      </c>
      <c r="E325" t="str">
        <f t="shared" si="15"/>
        <v>10,000</v>
      </c>
    </row>
    <row r="326" spans="1:5" x14ac:dyDescent="0.25">
      <c r="A326">
        <v>525000</v>
      </c>
      <c r="B326" t="str">
        <f t="shared" si="16"/>
        <v>900142011</v>
      </c>
      <c r="C326">
        <f t="shared" si="17"/>
        <v>202006</v>
      </c>
      <c r="D326">
        <f>IF(OR(C326=1900,$D$144=0),0,VLOOKUP(A326,'Estados Financieros'!$A$11:$I$453,9,0))</f>
        <v>10</v>
      </c>
      <c r="E326" t="str">
        <f t="shared" si="15"/>
        <v>10,000</v>
      </c>
    </row>
    <row r="327" spans="1:5" x14ac:dyDescent="0.25">
      <c r="A327">
        <v>525500</v>
      </c>
      <c r="B327" t="str">
        <f t="shared" si="16"/>
        <v>900142011</v>
      </c>
      <c r="C327">
        <f t="shared" si="17"/>
        <v>202006</v>
      </c>
      <c r="D327">
        <f>IF(OR(C327=1900,$D$144=0),0,VLOOKUP(A327,'Estados Financieros'!$A$11:$I$453,9,0))</f>
        <v>10</v>
      </c>
      <c r="E327" t="str">
        <f t="shared" si="15"/>
        <v>10,000</v>
      </c>
    </row>
    <row r="328" spans="1:5" x14ac:dyDescent="0.25">
      <c r="A328">
        <v>529500</v>
      </c>
      <c r="B328" t="str">
        <f t="shared" si="16"/>
        <v>900142011</v>
      </c>
      <c r="C328">
        <f t="shared" si="17"/>
        <v>202006</v>
      </c>
      <c r="D328">
        <f>IF(OR(C328=1900,$D$144=0),0,VLOOKUP(A328,'Estados Financieros'!$A$11:$I$453,9,0))</f>
        <v>10</v>
      </c>
      <c r="E328" t="str">
        <f t="shared" si="15"/>
        <v>10,000</v>
      </c>
    </row>
    <row r="329" spans="1:5" x14ac:dyDescent="0.25">
      <c r="A329">
        <v>526000</v>
      </c>
      <c r="B329" t="str">
        <f t="shared" si="16"/>
        <v>900142011</v>
      </c>
      <c r="C329">
        <f t="shared" si="17"/>
        <v>202006</v>
      </c>
      <c r="D329">
        <f>IF(OR(C329=1900,$D$144=0),0,VLOOKUP(A329,'Estados Financieros'!$A$11:$I$453,9,0))</f>
        <v>10</v>
      </c>
      <c r="E329" t="str">
        <f t="shared" si="15"/>
        <v>10,000</v>
      </c>
    </row>
    <row r="330" spans="1:5" x14ac:dyDescent="0.25">
      <c r="A330">
        <v>526500</v>
      </c>
      <c r="B330" t="str">
        <f t="shared" si="16"/>
        <v>900142011</v>
      </c>
      <c r="C330">
        <f t="shared" si="17"/>
        <v>202006</v>
      </c>
      <c r="D330">
        <f>IF(OR(C330=1900,$D$144=0),0,VLOOKUP(A330,'Estados Financieros'!$A$11:$I$453,9,0))</f>
        <v>10</v>
      </c>
      <c r="E330" t="str">
        <f t="shared" si="15"/>
        <v>10,000</v>
      </c>
    </row>
    <row r="331" spans="1:5" x14ac:dyDescent="0.25">
      <c r="A331">
        <v>529900</v>
      </c>
      <c r="B331" t="str">
        <f t="shared" si="16"/>
        <v>900142011</v>
      </c>
      <c r="C331">
        <f t="shared" si="17"/>
        <v>202006</v>
      </c>
      <c r="D331">
        <f>IF(OR(C331=1900,$D$144=0),0,VLOOKUP(A331,'Estados Financieros'!$A$11:$I$453,9,0))</f>
        <v>10</v>
      </c>
      <c r="E331" t="str">
        <f t="shared" si="15"/>
        <v>10,000</v>
      </c>
    </row>
    <row r="332" spans="1:5" x14ac:dyDescent="0.25">
      <c r="A332">
        <v>52</v>
      </c>
      <c r="B332" t="str">
        <f t="shared" si="16"/>
        <v>900142011</v>
      </c>
      <c r="C332">
        <f t="shared" si="17"/>
        <v>202006</v>
      </c>
      <c r="D332">
        <f>IF(OR(C332=1900,$D$144=0),0,VLOOKUP(A332,'Estados Financieros'!$A$11:$I$453,9,0))</f>
        <v>150</v>
      </c>
      <c r="E332" t="str">
        <f t="shared" si="15"/>
        <v>150,000</v>
      </c>
    </row>
    <row r="333" spans="1:5" x14ac:dyDescent="0.25">
      <c r="A333">
        <v>96</v>
      </c>
      <c r="B333" t="str">
        <f t="shared" si="16"/>
        <v>900142011</v>
      </c>
      <c r="C333">
        <f t="shared" si="17"/>
        <v>202006</v>
      </c>
      <c r="D333">
        <f>IF(OR(C333=1900,$D$144=0),0,VLOOKUP(A333,'Estados Financieros'!$A$11:$I$453,9,0))</f>
        <v>2810</v>
      </c>
      <c r="E333" t="str">
        <f t="shared" si="15"/>
        <v>2810,000</v>
      </c>
    </row>
    <row r="334" spans="1:5" x14ac:dyDescent="0.25">
      <c r="A334">
        <v>421000</v>
      </c>
      <c r="B334" t="str">
        <f t="shared" si="16"/>
        <v>900142011</v>
      </c>
      <c r="C334">
        <f t="shared" si="17"/>
        <v>202006</v>
      </c>
      <c r="D334">
        <f>IF(OR(C334=1900,$D$144=0),0,VLOOKUP(A334,'Estados Financieros'!$A$11:$I$453,9,0))</f>
        <v>10</v>
      </c>
      <c r="E334" t="str">
        <f t="shared" si="15"/>
        <v>10,000</v>
      </c>
    </row>
    <row r="335" spans="1:5" x14ac:dyDescent="0.25">
      <c r="A335">
        <v>421020</v>
      </c>
      <c r="B335" t="str">
        <f t="shared" si="16"/>
        <v>900142011</v>
      </c>
      <c r="C335">
        <f t="shared" si="17"/>
        <v>202006</v>
      </c>
      <c r="D335">
        <f>IF(OR(C335=1900,$D$144=0),0,VLOOKUP(A335,'Estados Financieros'!$A$11:$I$453,9,0))</f>
        <v>10</v>
      </c>
      <c r="E335" t="str">
        <f t="shared" si="15"/>
        <v>10,000</v>
      </c>
    </row>
    <row r="336" spans="1:5" x14ac:dyDescent="0.25">
      <c r="A336">
        <v>420500</v>
      </c>
      <c r="B336" t="str">
        <f t="shared" si="16"/>
        <v>900142011</v>
      </c>
      <c r="C336">
        <f t="shared" si="17"/>
        <v>202006</v>
      </c>
      <c r="D336">
        <f>IF(OR(C336=1900,$D$144=0),0,VLOOKUP(A336,'Estados Financieros'!$A$11:$I$453,9,0))</f>
        <v>10</v>
      </c>
      <c r="E336" t="str">
        <f t="shared" si="15"/>
        <v>10,000</v>
      </c>
    </row>
    <row r="337" spans="1:5" x14ac:dyDescent="0.25">
      <c r="A337">
        <v>421040</v>
      </c>
      <c r="B337" t="str">
        <f t="shared" si="16"/>
        <v>900142011</v>
      </c>
      <c r="C337">
        <f t="shared" si="17"/>
        <v>202006</v>
      </c>
      <c r="D337">
        <f>IF(OR(C337=1900,$D$144=0),0,VLOOKUP(A337,'Estados Financieros'!$A$11:$I$453,9,0))</f>
        <v>10</v>
      </c>
      <c r="E337" t="str">
        <f t="shared" si="15"/>
        <v>10,000</v>
      </c>
    </row>
    <row r="338" spans="1:5" x14ac:dyDescent="0.25">
      <c r="A338">
        <v>421500</v>
      </c>
      <c r="B338" t="str">
        <f t="shared" si="16"/>
        <v>900142011</v>
      </c>
      <c r="C338">
        <f t="shared" si="17"/>
        <v>202006</v>
      </c>
      <c r="D338">
        <f>IF(OR(C338=1900,$D$144=0),0,VLOOKUP(A338,'Estados Financieros'!$A$11:$I$453,9,0))</f>
        <v>10</v>
      </c>
      <c r="E338" t="str">
        <f t="shared" si="15"/>
        <v>10,000</v>
      </c>
    </row>
    <row r="339" spans="1:5" x14ac:dyDescent="0.25">
      <c r="A339">
        <v>422000</v>
      </c>
      <c r="B339" t="str">
        <f t="shared" si="16"/>
        <v>900142011</v>
      </c>
      <c r="C339">
        <f t="shared" si="17"/>
        <v>202006</v>
      </c>
      <c r="D339">
        <f>IF(OR(C339=1900,$D$144=0),0,VLOOKUP(A339,'Estados Financieros'!$A$11:$I$453,9,0))</f>
        <v>10</v>
      </c>
      <c r="E339" t="str">
        <f t="shared" si="15"/>
        <v>10,000</v>
      </c>
    </row>
    <row r="340" spans="1:5" x14ac:dyDescent="0.25">
      <c r="A340">
        <v>422500</v>
      </c>
      <c r="B340" t="str">
        <f t="shared" si="16"/>
        <v>900142011</v>
      </c>
      <c r="C340">
        <f t="shared" si="17"/>
        <v>202006</v>
      </c>
      <c r="D340">
        <f>IF(OR(C340=1900,$D$144=0),0,VLOOKUP(A340,'Estados Financieros'!$A$11:$I$453,9,0))</f>
        <v>10</v>
      </c>
      <c r="E340" t="str">
        <f t="shared" si="15"/>
        <v>10,000</v>
      </c>
    </row>
    <row r="341" spans="1:5" x14ac:dyDescent="0.25">
      <c r="A341">
        <v>423500</v>
      </c>
      <c r="B341" t="str">
        <f t="shared" si="16"/>
        <v>900142011</v>
      </c>
      <c r="C341">
        <f t="shared" si="17"/>
        <v>202006</v>
      </c>
      <c r="D341">
        <f>IF(OR(C341=1900,$D$144=0),0,VLOOKUP(A341,'Estados Financieros'!$A$11:$I$453,9,0))</f>
        <v>10</v>
      </c>
      <c r="E341" t="str">
        <f t="shared" si="15"/>
        <v>10,000</v>
      </c>
    </row>
    <row r="342" spans="1:5" x14ac:dyDescent="0.25">
      <c r="A342">
        <v>424000</v>
      </c>
      <c r="B342" t="str">
        <f t="shared" si="16"/>
        <v>900142011</v>
      </c>
      <c r="C342">
        <f t="shared" si="17"/>
        <v>202006</v>
      </c>
      <c r="D342">
        <f>IF(OR(C342=1900,$D$144=0),0,VLOOKUP(A342,'Estados Financieros'!$A$11:$I$453,9,0))</f>
        <v>10</v>
      </c>
      <c r="E342" t="str">
        <f t="shared" si="15"/>
        <v>10,000</v>
      </c>
    </row>
    <row r="343" spans="1:5" x14ac:dyDescent="0.25">
      <c r="A343">
        <v>425000</v>
      </c>
      <c r="B343" t="str">
        <f t="shared" si="16"/>
        <v>900142011</v>
      </c>
      <c r="C343">
        <f t="shared" si="17"/>
        <v>202006</v>
      </c>
      <c r="D343">
        <f>IF(OR(C343=1900,$D$144=0),0,VLOOKUP(A343,'Estados Financieros'!$A$11:$I$453,9,0))</f>
        <v>10</v>
      </c>
      <c r="E343" t="str">
        <f t="shared" si="15"/>
        <v>10,000</v>
      </c>
    </row>
    <row r="344" spans="1:5" x14ac:dyDescent="0.25">
      <c r="A344">
        <v>426500</v>
      </c>
      <c r="B344" t="str">
        <f t="shared" si="16"/>
        <v>900142011</v>
      </c>
      <c r="C344">
        <f t="shared" si="17"/>
        <v>202006</v>
      </c>
      <c r="D344">
        <f>IF(OR(C344=1900,$D$144=0),0,VLOOKUP(A344,'Estados Financieros'!$A$11:$I$453,9,0))</f>
        <v>10</v>
      </c>
      <c r="E344" t="str">
        <f t="shared" si="15"/>
        <v>10,000</v>
      </c>
    </row>
    <row r="345" spans="1:5" x14ac:dyDescent="0.25">
      <c r="A345">
        <v>429500</v>
      </c>
      <c r="B345" t="str">
        <f t="shared" si="16"/>
        <v>900142011</v>
      </c>
      <c r="C345">
        <f t="shared" si="17"/>
        <v>202006</v>
      </c>
      <c r="D345">
        <f>IF(OR(C345=1900,$D$144=0),0,VLOOKUP(A345,'Estados Financieros'!$A$11:$I$453,9,0))</f>
        <v>10</v>
      </c>
      <c r="E345" t="str">
        <f t="shared" si="15"/>
        <v>10,000</v>
      </c>
    </row>
    <row r="346" spans="1:5" x14ac:dyDescent="0.25">
      <c r="A346">
        <v>42</v>
      </c>
      <c r="B346" t="str">
        <f t="shared" si="16"/>
        <v>900142011</v>
      </c>
      <c r="C346">
        <f t="shared" si="17"/>
        <v>202006</v>
      </c>
      <c r="D346">
        <f>IF(OR(C346=1900,$D$144=0),0,VLOOKUP(A346,'Estados Financieros'!$A$11:$I$453,9,0))</f>
        <v>120</v>
      </c>
      <c r="E346" t="str">
        <f t="shared" si="15"/>
        <v>120,000</v>
      </c>
    </row>
    <row r="347" spans="1:5" x14ac:dyDescent="0.25">
      <c r="A347">
        <v>5301</v>
      </c>
      <c r="B347" t="str">
        <f t="shared" si="16"/>
        <v>900142011</v>
      </c>
      <c r="C347">
        <f t="shared" si="17"/>
        <v>202006</v>
      </c>
      <c r="D347">
        <f>IF(OR(C347=1900,$D$144=0),0,VLOOKUP(A347,'Estados Financieros'!$A$11:$I$453,9,0))</f>
        <v>10</v>
      </c>
      <c r="E347" t="str">
        <f t="shared" si="15"/>
        <v>10,000</v>
      </c>
    </row>
    <row r="348" spans="1:5" x14ac:dyDescent="0.25">
      <c r="A348">
        <v>530525</v>
      </c>
      <c r="B348" t="str">
        <f t="shared" si="16"/>
        <v>900142011</v>
      </c>
      <c r="C348">
        <f t="shared" si="17"/>
        <v>202006</v>
      </c>
      <c r="D348">
        <f>IF(OR(C348=1900,$D$144=0),0,VLOOKUP(A348,'Estados Financieros'!$A$11:$I$453,9,0))</f>
        <v>10</v>
      </c>
      <c r="E348" t="str">
        <f t="shared" si="15"/>
        <v>10,000</v>
      </c>
    </row>
    <row r="349" spans="1:5" x14ac:dyDescent="0.25">
      <c r="A349">
        <v>530505</v>
      </c>
      <c r="B349" t="str">
        <f t="shared" si="16"/>
        <v>900142011</v>
      </c>
      <c r="C349">
        <f t="shared" si="17"/>
        <v>202006</v>
      </c>
      <c r="D349">
        <f>IF(OR(C349=1900,$D$144=0),0,VLOOKUP(A349,'Estados Financieros'!$A$11:$I$453,9,0))</f>
        <v>10</v>
      </c>
      <c r="E349" t="str">
        <f t="shared" si="15"/>
        <v>10,000</v>
      </c>
    </row>
    <row r="350" spans="1:5" x14ac:dyDescent="0.25">
      <c r="A350">
        <v>530515</v>
      </c>
      <c r="B350" t="str">
        <f t="shared" si="16"/>
        <v>900142011</v>
      </c>
      <c r="C350">
        <f t="shared" si="17"/>
        <v>202006</v>
      </c>
      <c r="D350">
        <f>IF(OR(C350=1900,$D$144=0),0,VLOOKUP(A350,'Estados Financieros'!$A$11:$I$453,9,0))</f>
        <v>10</v>
      </c>
      <c r="E350" t="str">
        <f t="shared" si="15"/>
        <v>10,000</v>
      </c>
    </row>
    <row r="351" spans="1:5" x14ac:dyDescent="0.25">
      <c r="A351">
        <v>530535</v>
      </c>
      <c r="B351" t="str">
        <f t="shared" si="16"/>
        <v>900142011</v>
      </c>
      <c r="C351">
        <f t="shared" si="17"/>
        <v>202006</v>
      </c>
      <c r="D351">
        <f>IF(OR(C351=1900,$D$144=0),0,VLOOKUP(A351,'Estados Financieros'!$A$11:$I$453,9,0))</f>
        <v>10</v>
      </c>
      <c r="E351" t="str">
        <f t="shared" si="15"/>
        <v>10,000</v>
      </c>
    </row>
    <row r="352" spans="1:5" x14ac:dyDescent="0.25">
      <c r="A352">
        <v>531000</v>
      </c>
      <c r="B352" t="str">
        <f t="shared" si="16"/>
        <v>900142011</v>
      </c>
      <c r="C352">
        <f t="shared" si="17"/>
        <v>202006</v>
      </c>
      <c r="D352">
        <f>IF(OR(C352=1900,$D$144=0),0,VLOOKUP(A352,'Estados Financieros'!$A$11:$I$453,9,0))</f>
        <v>10</v>
      </c>
      <c r="E352" t="str">
        <f t="shared" si="15"/>
        <v>10,000</v>
      </c>
    </row>
    <row r="353" spans="1:5" x14ac:dyDescent="0.25">
      <c r="A353">
        <v>531300</v>
      </c>
      <c r="B353" t="str">
        <f t="shared" si="16"/>
        <v>900142011</v>
      </c>
      <c r="C353">
        <f t="shared" si="17"/>
        <v>202006</v>
      </c>
      <c r="D353">
        <f>IF(OR(C353=1900,$D$144=0),0,VLOOKUP(A353,'Estados Financieros'!$A$11:$I$453,9,0))</f>
        <v>10</v>
      </c>
      <c r="E353" t="str">
        <f t="shared" si="15"/>
        <v>10,000</v>
      </c>
    </row>
    <row r="354" spans="1:5" x14ac:dyDescent="0.25">
      <c r="A354">
        <v>531500</v>
      </c>
      <c r="B354" t="str">
        <f t="shared" si="16"/>
        <v>900142011</v>
      </c>
      <c r="C354">
        <f t="shared" si="17"/>
        <v>202006</v>
      </c>
      <c r="D354">
        <f>IF(OR(C354=1900,$D$144=0),0,VLOOKUP(A354,'Estados Financieros'!$A$11:$I$453,9,0))</f>
        <v>10</v>
      </c>
      <c r="E354" t="str">
        <f t="shared" si="15"/>
        <v>10,000</v>
      </c>
    </row>
    <row r="355" spans="1:5" x14ac:dyDescent="0.25">
      <c r="A355">
        <v>531515</v>
      </c>
      <c r="B355" t="str">
        <f t="shared" si="16"/>
        <v>900142011</v>
      </c>
      <c r="C355">
        <f t="shared" si="17"/>
        <v>202006</v>
      </c>
      <c r="D355">
        <f>IF(OR(C355=1900,$D$144=0),0,VLOOKUP(A355,'Estados Financieros'!$A$11:$I$453,9,0))</f>
        <v>10</v>
      </c>
      <c r="E355" t="str">
        <f t="shared" si="15"/>
        <v>10,000</v>
      </c>
    </row>
    <row r="356" spans="1:5" x14ac:dyDescent="0.25">
      <c r="A356">
        <v>531520</v>
      </c>
      <c r="B356" t="str">
        <f t="shared" si="16"/>
        <v>900142011</v>
      </c>
      <c r="C356">
        <f t="shared" si="17"/>
        <v>202006</v>
      </c>
      <c r="D356">
        <f>IF(OR(C356=1900,$D$144=0),0,VLOOKUP(A356,'Estados Financieros'!$A$11:$I$453,9,0))</f>
        <v>10</v>
      </c>
      <c r="E356" t="str">
        <f t="shared" si="15"/>
        <v>10,000</v>
      </c>
    </row>
    <row r="357" spans="1:5" x14ac:dyDescent="0.25">
      <c r="A357">
        <v>539525</v>
      </c>
      <c r="B357" t="str">
        <f t="shared" si="16"/>
        <v>900142011</v>
      </c>
      <c r="C357">
        <f t="shared" si="17"/>
        <v>202006</v>
      </c>
      <c r="D357">
        <f>IF(OR(C357=1900,$D$144=0),0,VLOOKUP(A357,'Estados Financieros'!$A$11:$I$453,9,0))</f>
        <v>10</v>
      </c>
      <c r="E357" t="str">
        <f t="shared" si="15"/>
        <v>10,000</v>
      </c>
    </row>
    <row r="358" spans="1:5" x14ac:dyDescent="0.25">
      <c r="A358">
        <v>539595</v>
      </c>
      <c r="B358" t="str">
        <f t="shared" si="16"/>
        <v>900142011</v>
      </c>
      <c r="C358">
        <f t="shared" si="17"/>
        <v>202006</v>
      </c>
      <c r="D358">
        <f>IF(OR(C358=1900,$D$144=0),0,VLOOKUP(A358,'Estados Financieros'!$A$11:$I$453,9,0))</f>
        <v>10</v>
      </c>
      <c r="E358" t="str">
        <f t="shared" si="15"/>
        <v>10,000</v>
      </c>
    </row>
    <row r="359" spans="1:5" x14ac:dyDescent="0.25">
      <c r="A359">
        <v>53</v>
      </c>
      <c r="B359" t="str">
        <f t="shared" si="16"/>
        <v>900142011</v>
      </c>
      <c r="C359">
        <f t="shared" si="17"/>
        <v>202006</v>
      </c>
      <c r="D359">
        <f>IF(OR(C359=1900,$D$144=0),0,VLOOKUP(A359,'Estados Financieros'!$A$11:$I$453,9,0))</f>
        <v>120</v>
      </c>
      <c r="E359" t="str">
        <f t="shared" si="15"/>
        <v>120,000</v>
      </c>
    </row>
    <row r="360" spans="1:5" x14ac:dyDescent="0.25">
      <c r="A360">
        <v>98</v>
      </c>
      <c r="B360" t="str">
        <f t="shared" si="16"/>
        <v>900142011</v>
      </c>
      <c r="C360">
        <f t="shared" si="17"/>
        <v>202006</v>
      </c>
      <c r="D360">
        <f>IF(OR(C360=1900,$D$144=0),0,VLOOKUP(A360,'Estados Financieros'!$A$11:$I$453,9,0))</f>
        <v>0</v>
      </c>
      <c r="E360" t="str">
        <f t="shared" si="15"/>
        <v>0,000</v>
      </c>
    </row>
    <row r="361" spans="1:5" x14ac:dyDescent="0.25">
      <c r="A361">
        <v>97</v>
      </c>
      <c r="B361" t="str">
        <f t="shared" si="16"/>
        <v>900142011</v>
      </c>
      <c r="C361">
        <f t="shared" si="17"/>
        <v>202006</v>
      </c>
      <c r="D361">
        <f>IF(OR(C361=1900,$D$144=0),0,VLOOKUP(A361,'Estados Financieros'!$A$11:$I$453,9,0))</f>
        <v>2810</v>
      </c>
      <c r="E361" t="str">
        <f t="shared" si="15"/>
        <v>2810,000</v>
      </c>
    </row>
    <row r="362" spans="1:5" x14ac:dyDescent="0.25">
      <c r="A362">
        <v>54</v>
      </c>
      <c r="B362" t="str">
        <f t="shared" si="16"/>
        <v>900142011</v>
      </c>
      <c r="C362">
        <f t="shared" si="17"/>
        <v>202006</v>
      </c>
      <c r="D362">
        <f>IF(OR(C362=1900,$D$144=0),0,VLOOKUP(A362,'Estados Financieros'!$A$11:$I$453,9,0))</f>
        <v>0</v>
      </c>
      <c r="E362" t="str">
        <f t="shared" si="15"/>
        <v>0,000</v>
      </c>
    </row>
    <row r="363" spans="1:5" x14ac:dyDescent="0.25">
      <c r="A363">
        <v>99</v>
      </c>
      <c r="B363" t="str">
        <f t="shared" si="16"/>
        <v>900142011</v>
      </c>
      <c r="C363">
        <f t="shared" si="17"/>
        <v>202006</v>
      </c>
      <c r="D363">
        <f>IF(OR(C363=1900,$D$144=0),0,VLOOKUP(A363,'Estados Financieros'!$A$11:$I$453,9,0))</f>
        <v>2810</v>
      </c>
      <c r="E363" t="str">
        <f t="shared" si="15"/>
        <v>2810,000</v>
      </c>
    </row>
    <row r="364" spans="1:5" x14ac:dyDescent="0.25">
      <c r="A364">
        <v>110105</v>
      </c>
      <c r="B364" t="str">
        <f>IF(C364=1900,"",'RC'!$D$6)</f>
        <v>900142011</v>
      </c>
      <c r="C364">
        <f>IF(OR('RC'!$D$6=0,'RC'!$D$6="",'Estados Financieros'!$H$178=0,'Estados Financieros'!$H$375&lt;&gt;"OK",'Estados Financieros'!$H$458&lt;&gt;"OK",'Estados Financieros'!$H$460&lt;&gt;"OK"),1900,'Estados Financieros'!N4+0)</f>
        <v>202106</v>
      </c>
      <c r="D364">
        <f>IF(OR(C364=1900,$D$506=0),0,VLOOKUP(A364,'Estados Financieros'!$A$11:$I$453,8,0))</f>
        <v>30</v>
      </c>
      <c r="E364" t="str">
        <f t="shared" si="15"/>
        <v>30,000</v>
      </c>
    </row>
    <row r="365" spans="1:5" x14ac:dyDescent="0.25">
      <c r="A365">
        <v>110110</v>
      </c>
      <c r="B365" t="str">
        <f t="shared" ref="B365:B396" si="18">+B364</f>
        <v>900142011</v>
      </c>
      <c r="C365">
        <f t="shared" ref="C365:C396" si="19">C364</f>
        <v>202106</v>
      </c>
      <c r="D365">
        <f>IF(OR(C365=1900,$D$506=0),0,VLOOKUP(A365,'Estados Financieros'!$A$11:$I$453,8,0))</f>
        <v>30</v>
      </c>
      <c r="E365" t="str">
        <f t="shared" si="15"/>
        <v>30,000</v>
      </c>
    </row>
    <row r="366" spans="1:5" x14ac:dyDescent="0.25">
      <c r="A366">
        <v>111010</v>
      </c>
      <c r="B366" t="str">
        <f t="shared" si="18"/>
        <v>900142011</v>
      </c>
      <c r="C366">
        <f t="shared" si="19"/>
        <v>202106</v>
      </c>
      <c r="D366">
        <f>IF(OR(C366=1900,$D$506=0),0,VLOOKUP(A366,'Estados Financieros'!$A$11:$I$453,8,0))</f>
        <v>30</v>
      </c>
      <c r="E366" t="str">
        <f t="shared" si="15"/>
        <v>30,000</v>
      </c>
    </row>
    <row r="367" spans="1:5" x14ac:dyDescent="0.25">
      <c r="A367">
        <v>110130</v>
      </c>
      <c r="B367" t="str">
        <f t="shared" si="18"/>
        <v>900142011</v>
      </c>
      <c r="C367">
        <f t="shared" si="19"/>
        <v>202106</v>
      </c>
      <c r="D367">
        <f>IF(OR(C367=1900,$D$506=0),0,VLOOKUP(A367,'Estados Financieros'!$A$11:$I$453,8,0))</f>
        <v>30</v>
      </c>
      <c r="E367" t="str">
        <f t="shared" si="15"/>
        <v>30,000</v>
      </c>
    </row>
    <row r="368" spans="1:5" x14ac:dyDescent="0.25">
      <c r="A368">
        <v>110125</v>
      </c>
      <c r="B368" t="str">
        <f t="shared" si="18"/>
        <v>900142011</v>
      </c>
      <c r="C368">
        <f t="shared" si="19"/>
        <v>202106</v>
      </c>
      <c r="D368">
        <f>IF(OR(C368=1900,$D$506=0),0,VLOOKUP(A368,'Estados Financieros'!$A$11:$I$453,8,0))</f>
        <v>30</v>
      </c>
      <c r="E368" t="str">
        <f t="shared" si="15"/>
        <v>30,000</v>
      </c>
    </row>
    <row r="369" spans="1:5" x14ac:dyDescent="0.25">
      <c r="A369">
        <v>1101</v>
      </c>
      <c r="B369" t="str">
        <f t="shared" si="18"/>
        <v>900142011</v>
      </c>
      <c r="C369">
        <f t="shared" si="19"/>
        <v>202106</v>
      </c>
      <c r="D369">
        <f>IF(OR(C369=1900,$D$506=0),0,VLOOKUP(A369,'Estados Financieros'!$A$11:$I$453,8,0))</f>
        <v>150</v>
      </c>
      <c r="E369" t="str">
        <f t="shared" si="15"/>
        <v>150,000</v>
      </c>
    </row>
    <row r="370" spans="1:5" x14ac:dyDescent="0.25">
      <c r="A370">
        <v>110205</v>
      </c>
      <c r="B370" t="str">
        <f t="shared" si="18"/>
        <v>900142011</v>
      </c>
      <c r="C370">
        <f t="shared" si="19"/>
        <v>202106</v>
      </c>
      <c r="D370">
        <f>IF(OR(C370=1900,$D$506=0),0,VLOOKUP(A370,'Estados Financieros'!$A$11:$I$453,8,0))</f>
        <v>30</v>
      </c>
      <c r="E370" t="str">
        <f t="shared" si="15"/>
        <v>30,000</v>
      </c>
    </row>
    <row r="371" spans="1:5" x14ac:dyDescent="0.25">
      <c r="A371">
        <v>110210</v>
      </c>
      <c r="B371" t="str">
        <f t="shared" si="18"/>
        <v>900142011</v>
      </c>
      <c r="C371">
        <f t="shared" si="19"/>
        <v>202106</v>
      </c>
      <c r="D371">
        <f>IF(OR(C371=1900,$D$506=0),0,VLOOKUP(A371,'Estados Financieros'!$A$11:$I$453,8,0))</f>
        <v>30</v>
      </c>
      <c r="E371" t="str">
        <f t="shared" si="15"/>
        <v>30,000</v>
      </c>
    </row>
    <row r="372" spans="1:5" x14ac:dyDescent="0.25">
      <c r="A372">
        <v>110215</v>
      </c>
      <c r="B372" t="str">
        <f t="shared" si="18"/>
        <v>900142011</v>
      </c>
      <c r="C372">
        <f t="shared" si="19"/>
        <v>202106</v>
      </c>
      <c r="D372">
        <f>IF(OR(C372=1900,$D$506=0),0,VLOOKUP(A372,'Estados Financieros'!$A$11:$I$453,8,0))</f>
        <v>30</v>
      </c>
      <c r="E372" t="str">
        <f t="shared" si="15"/>
        <v>30,000</v>
      </c>
    </row>
    <row r="373" spans="1:5" x14ac:dyDescent="0.25">
      <c r="A373">
        <v>110225</v>
      </c>
      <c r="B373" t="str">
        <f t="shared" si="18"/>
        <v>900142011</v>
      </c>
      <c r="C373">
        <f t="shared" si="19"/>
        <v>202106</v>
      </c>
      <c r="D373">
        <f>IF(OR(C373=1900,$D$506=0),0,VLOOKUP(A373,'Estados Financieros'!$A$11:$I$453,8,0))</f>
        <v>30</v>
      </c>
      <c r="E373" t="str">
        <f t="shared" si="15"/>
        <v>30,000</v>
      </c>
    </row>
    <row r="374" spans="1:5" x14ac:dyDescent="0.25">
      <c r="A374">
        <v>110235</v>
      </c>
      <c r="B374" t="str">
        <f t="shared" si="18"/>
        <v>900142011</v>
      </c>
      <c r="C374">
        <f t="shared" si="19"/>
        <v>202106</v>
      </c>
      <c r="D374">
        <f>IF(OR(C374=1900,$D$506=0),0,VLOOKUP(A374,'Estados Financieros'!$A$11:$I$453,8,0))</f>
        <v>30</v>
      </c>
      <c r="E374" t="str">
        <f t="shared" si="15"/>
        <v>30,000</v>
      </c>
    </row>
    <row r="375" spans="1:5" x14ac:dyDescent="0.25">
      <c r="A375">
        <v>110255</v>
      </c>
      <c r="B375" t="str">
        <f t="shared" si="18"/>
        <v>900142011</v>
      </c>
      <c r="C375">
        <f t="shared" si="19"/>
        <v>202106</v>
      </c>
      <c r="D375">
        <f>IF(OR(C375=1900,$D$506=0),0,VLOOKUP(A375,'Estados Financieros'!$A$11:$I$453,8,0))</f>
        <v>30</v>
      </c>
      <c r="E375" t="str">
        <f t="shared" si="15"/>
        <v>30,000</v>
      </c>
    </row>
    <row r="376" spans="1:5" x14ac:dyDescent="0.25">
      <c r="A376">
        <v>129700</v>
      </c>
      <c r="B376" t="str">
        <f t="shared" si="18"/>
        <v>900142011</v>
      </c>
      <c r="C376">
        <f t="shared" si="19"/>
        <v>202106</v>
      </c>
      <c r="D376">
        <f>IF(OR(C376=1900,$D$506=0),0,VLOOKUP(A376,'Estados Financieros'!$A$11:$I$453,8,0))</f>
        <v>30</v>
      </c>
      <c r="E376" t="str">
        <f t="shared" si="15"/>
        <v>30,000</v>
      </c>
    </row>
    <row r="377" spans="1:5" x14ac:dyDescent="0.25">
      <c r="A377">
        <v>110260</v>
      </c>
      <c r="B377" t="str">
        <f t="shared" si="18"/>
        <v>900142011</v>
      </c>
      <c r="C377">
        <f t="shared" si="19"/>
        <v>202106</v>
      </c>
      <c r="D377">
        <f>IF(OR(C377=1900,$D$506=0),0,VLOOKUP(A377,'Estados Financieros'!$A$11:$I$453,8,0))</f>
        <v>30</v>
      </c>
      <c r="E377" t="str">
        <f t="shared" si="15"/>
        <v>30,000</v>
      </c>
    </row>
    <row r="378" spans="1:5" x14ac:dyDescent="0.25">
      <c r="A378">
        <v>1102</v>
      </c>
      <c r="B378" t="str">
        <f t="shared" si="18"/>
        <v>900142011</v>
      </c>
      <c r="C378">
        <f t="shared" si="19"/>
        <v>202106</v>
      </c>
      <c r="D378">
        <f>IF(OR(C378=1900,$D$506=0),0,VLOOKUP(A378,'Estados Financieros'!$A$11:$I$453,8,0))</f>
        <v>240</v>
      </c>
      <c r="E378" t="str">
        <f t="shared" si="15"/>
        <v>240,000</v>
      </c>
    </row>
    <row r="379" spans="1:5" x14ac:dyDescent="0.25">
      <c r="A379">
        <v>110305</v>
      </c>
      <c r="B379" t="str">
        <f t="shared" si="18"/>
        <v>900142011</v>
      </c>
      <c r="C379">
        <f t="shared" si="19"/>
        <v>202106</v>
      </c>
      <c r="D379">
        <f>IF(OR(C379=1900,$D$506=0),0,VLOOKUP(A379,'Estados Financieros'!$A$11:$I$453,8,0))</f>
        <v>30</v>
      </c>
      <c r="E379" t="str">
        <f t="shared" si="15"/>
        <v>30,000</v>
      </c>
    </row>
    <row r="380" spans="1:5" x14ac:dyDescent="0.25">
      <c r="A380">
        <v>130510</v>
      </c>
      <c r="B380" t="str">
        <f t="shared" si="18"/>
        <v>900142011</v>
      </c>
      <c r="C380">
        <f t="shared" si="19"/>
        <v>202106</v>
      </c>
      <c r="D380">
        <f>IF(OR(C380=1900,$D$506=0),0,VLOOKUP(A380,'Estados Financieros'!$A$11:$I$453,8,0))</f>
        <v>30</v>
      </c>
      <c r="E380" t="str">
        <f t="shared" si="15"/>
        <v>30,000</v>
      </c>
    </row>
    <row r="381" spans="1:5" x14ac:dyDescent="0.25">
      <c r="A381">
        <v>131000</v>
      </c>
      <c r="B381" t="str">
        <f t="shared" si="18"/>
        <v>900142011</v>
      </c>
      <c r="C381">
        <f t="shared" si="19"/>
        <v>202106</v>
      </c>
      <c r="D381">
        <f>IF(OR(C381=1900,$D$506=0),0,VLOOKUP(A381,'Estados Financieros'!$A$11:$I$453,8,0))</f>
        <v>30</v>
      </c>
      <c r="E381" t="str">
        <f t="shared" si="15"/>
        <v>30,000</v>
      </c>
    </row>
    <row r="382" spans="1:5" x14ac:dyDescent="0.25">
      <c r="A382">
        <v>110390</v>
      </c>
      <c r="B382" t="str">
        <f t="shared" si="18"/>
        <v>900142011</v>
      </c>
      <c r="C382">
        <f t="shared" si="19"/>
        <v>202106</v>
      </c>
      <c r="D382">
        <f>IF(OR(C382=1900,$D$506=0),0,VLOOKUP(A382,'Estados Financieros'!$A$11:$I$453,8,0))</f>
        <v>30</v>
      </c>
      <c r="E382" t="str">
        <f t="shared" si="15"/>
        <v>30,000</v>
      </c>
    </row>
    <row r="383" spans="1:5" x14ac:dyDescent="0.25">
      <c r="A383">
        <v>110395</v>
      </c>
      <c r="B383" t="str">
        <f t="shared" si="18"/>
        <v>900142011</v>
      </c>
      <c r="C383">
        <f t="shared" si="19"/>
        <v>202106</v>
      </c>
      <c r="D383">
        <f>IF(OR(C383=1900,$D$506=0),0,VLOOKUP(A383,'Estados Financieros'!$A$11:$I$453,8,0))</f>
        <v>30</v>
      </c>
      <c r="E383" t="str">
        <f t="shared" si="15"/>
        <v>30,000</v>
      </c>
    </row>
    <row r="384" spans="1:5" x14ac:dyDescent="0.25">
      <c r="A384">
        <v>1103</v>
      </c>
      <c r="B384" t="str">
        <f t="shared" si="18"/>
        <v>900142011</v>
      </c>
      <c r="C384">
        <f t="shared" si="19"/>
        <v>202106</v>
      </c>
      <c r="D384">
        <f>IF(OR(C384=1900,$D$506=0),0,VLOOKUP(A384,'Estados Financieros'!$A$11:$I$453,8,0))</f>
        <v>90</v>
      </c>
      <c r="E384" t="str">
        <f t="shared" si="15"/>
        <v>90,000</v>
      </c>
    </row>
    <row r="385" spans="1:5" x14ac:dyDescent="0.25">
      <c r="A385">
        <v>132000</v>
      </c>
      <c r="B385" t="str">
        <f t="shared" si="18"/>
        <v>900142011</v>
      </c>
      <c r="C385">
        <f t="shared" si="19"/>
        <v>202106</v>
      </c>
      <c r="D385">
        <f>IF(OR(C385=1900,$D$506=0),0,VLOOKUP(A385,'Estados Financieros'!$A$11:$I$453,8,0))</f>
        <v>30</v>
      </c>
      <c r="E385" t="str">
        <f t="shared" si="15"/>
        <v>30,000</v>
      </c>
    </row>
    <row r="386" spans="1:5" x14ac:dyDescent="0.25">
      <c r="A386">
        <v>132500</v>
      </c>
      <c r="B386" t="str">
        <f t="shared" si="18"/>
        <v>900142011</v>
      </c>
      <c r="C386">
        <f t="shared" si="19"/>
        <v>202106</v>
      </c>
      <c r="D386">
        <f>IF(OR(C386=1900,$D$506=0),0,VLOOKUP(A386,'Estados Financieros'!$A$11:$I$453,8,0))</f>
        <v>30</v>
      </c>
      <c r="E386" t="str">
        <f t="shared" ref="E386:E449" si="20">IFERROR(FIXED(D386,3,1),0)</f>
        <v>30,000</v>
      </c>
    </row>
    <row r="387" spans="1:5" x14ac:dyDescent="0.25">
      <c r="A387">
        <v>133000</v>
      </c>
      <c r="B387" t="str">
        <f t="shared" si="18"/>
        <v>900142011</v>
      </c>
      <c r="C387">
        <f t="shared" si="19"/>
        <v>202106</v>
      </c>
      <c r="D387">
        <f>IF(OR(C387=1900,$D$506=0),0,VLOOKUP(A387,'Estados Financieros'!$A$11:$I$453,8,0))</f>
        <v>30</v>
      </c>
      <c r="E387" t="str">
        <f t="shared" si="20"/>
        <v>30,000</v>
      </c>
    </row>
    <row r="388" spans="1:5" x14ac:dyDescent="0.25">
      <c r="A388">
        <v>133500</v>
      </c>
      <c r="B388" t="str">
        <f t="shared" si="18"/>
        <v>900142011</v>
      </c>
      <c r="C388">
        <f t="shared" si="19"/>
        <v>202106</v>
      </c>
      <c r="D388">
        <f>IF(OR(C388=1900,$D$506=0),0,VLOOKUP(A388,'Estados Financieros'!$A$11:$I$453,8,0))</f>
        <v>30</v>
      </c>
      <c r="E388" t="str">
        <f t="shared" si="20"/>
        <v>30,000</v>
      </c>
    </row>
    <row r="389" spans="1:5" x14ac:dyDescent="0.25">
      <c r="A389">
        <v>134000</v>
      </c>
      <c r="B389" t="str">
        <f t="shared" si="18"/>
        <v>900142011</v>
      </c>
      <c r="C389">
        <f t="shared" si="19"/>
        <v>202106</v>
      </c>
      <c r="D389">
        <f>IF(OR(C389=1900,$D$506=0),0,VLOOKUP(A389,'Estados Financieros'!$A$11:$I$453,8,0))</f>
        <v>30</v>
      </c>
      <c r="E389" t="str">
        <f t="shared" si="20"/>
        <v>30,000</v>
      </c>
    </row>
    <row r="390" spans="1:5" x14ac:dyDescent="0.25">
      <c r="A390">
        <v>134500</v>
      </c>
      <c r="B390" t="str">
        <f t="shared" si="18"/>
        <v>900142011</v>
      </c>
      <c r="C390">
        <f t="shared" si="19"/>
        <v>202106</v>
      </c>
      <c r="D390">
        <f>IF(OR(C390=1900,$D$506=0),0,VLOOKUP(A390,'Estados Financieros'!$A$11:$I$453,8,0))</f>
        <v>30</v>
      </c>
      <c r="E390" t="str">
        <f t="shared" si="20"/>
        <v>30,000</v>
      </c>
    </row>
    <row r="391" spans="1:5" x14ac:dyDescent="0.25">
      <c r="A391">
        <v>135000</v>
      </c>
      <c r="B391" t="str">
        <f t="shared" si="18"/>
        <v>900142011</v>
      </c>
      <c r="C391">
        <f t="shared" si="19"/>
        <v>202106</v>
      </c>
      <c r="D391">
        <f>IF(OR(C391=1900,$D$506=0),0,VLOOKUP(A391,'Estados Financieros'!$A$11:$I$453,8,0))</f>
        <v>30</v>
      </c>
      <c r="E391" t="str">
        <f t="shared" si="20"/>
        <v>30,000</v>
      </c>
    </row>
    <row r="392" spans="1:5" x14ac:dyDescent="0.25">
      <c r="A392">
        <v>135500</v>
      </c>
      <c r="B392" t="str">
        <f t="shared" si="18"/>
        <v>900142011</v>
      </c>
      <c r="C392">
        <f t="shared" si="19"/>
        <v>202106</v>
      </c>
      <c r="D392">
        <f>IF(OR(C392=1900,$D$506=0),0,VLOOKUP(A392,'Estados Financieros'!$A$11:$I$453,8,0))</f>
        <v>30</v>
      </c>
      <c r="E392" t="str">
        <f t="shared" si="20"/>
        <v>30,000</v>
      </c>
    </row>
    <row r="393" spans="1:5" x14ac:dyDescent="0.25">
      <c r="A393">
        <v>136000</v>
      </c>
      <c r="B393" t="str">
        <f t="shared" si="18"/>
        <v>900142011</v>
      </c>
      <c r="C393">
        <f t="shared" si="19"/>
        <v>202106</v>
      </c>
      <c r="D393">
        <f>IF(OR(C393=1900,$D$506=0),0,VLOOKUP(A393,'Estados Financieros'!$A$11:$I$453,8,0))</f>
        <v>30</v>
      </c>
      <c r="E393" t="str">
        <f t="shared" si="20"/>
        <v>30,000</v>
      </c>
    </row>
    <row r="394" spans="1:5" x14ac:dyDescent="0.25">
      <c r="A394">
        <v>136500</v>
      </c>
      <c r="B394" t="str">
        <f t="shared" si="18"/>
        <v>900142011</v>
      </c>
      <c r="C394">
        <f t="shared" si="19"/>
        <v>202106</v>
      </c>
      <c r="D394">
        <f>IF(OR(C394=1900,$D$506=0),0,VLOOKUP(A394,'Estados Financieros'!$A$11:$I$453,8,0))</f>
        <v>30</v>
      </c>
      <c r="E394" t="str">
        <f t="shared" si="20"/>
        <v>30,000</v>
      </c>
    </row>
    <row r="395" spans="1:5" x14ac:dyDescent="0.25">
      <c r="A395">
        <v>137000</v>
      </c>
      <c r="B395" t="str">
        <f t="shared" si="18"/>
        <v>900142011</v>
      </c>
      <c r="C395">
        <f t="shared" si="19"/>
        <v>202106</v>
      </c>
      <c r="D395">
        <f>IF(OR(C395=1900,$D$506=0),0,VLOOKUP(A395,'Estados Financieros'!$A$11:$I$453,8,0))</f>
        <v>30</v>
      </c>
      <c r="E395" t="str">
        <f t="shared" si="20"/>
        <v>30,000</v>
      </c>
    </row>
    <row r="396" spans="1:5" x14ac:dyDescent="0.25">
      <c r="A396">
        <v>139000</v>
      </c>
      <c r="B396" t="str">
        <f t="shared" si="18"/>
        <v>900142011</v>
      </c>
      <c r="C396">
        <f t="shared" si="19"/>
        <v>202106</v>
      </c>
      <c r="D396">
        <f>IF(OR(C396=1900,$D$506=0),0,VLOOKUP(A396,'Estados Financieros'!$A$11:$I$453,8,0))</f>
        <v>30</v>
      </c>
      <c r="E396" t="str">
        <f t="shared" si="20"/>
        <v>30,000</v>
      </c>
    </row>
    <row r="397" spans="1:5" x14ac:dyDescent="0.25">
      <c r="A397">
        <v>139500</v>
      </c>
      <c r="B397" t="str">
        <f t="shared" ref="B397:B418" si="21">+B396</f>
        <v>900142011</v>
      </c>
      <c r="C397">
        <f t="shared" ref="C397:C417" si="22">C396</f>
        <v>202106</v>
      </c>
      <c r="D397">
        <f>IF(OR(C397=1900,$D$506=0),0,VLOOKUP(A397,'Estados Financieros'!$A$11:$I$453,8,0))</f>
        <v>30</v>
      </c>
      <c r="E397" t="str">
        <f t="shared" si="20"/>
        <v>30,000</v>
      </c>
    </row>
    <row r="398" spans="1:5" x14ac:dyDescent="0.25">
      <c r="A398">
        <v>139905</v>
      </c>
      <c r="B398" t="str">
        <f t="shared" si="21"/>
        <v>900142011</v>
      </c>
      <c r="C398">
        <f t="shared" si="22"/>
        <v>202106</v>
      </c>
      <c r="D398">
        <f>IF(OR(C398=1900,$D$506=0),0,VLOOKUP(A398,'Estados Financieros'!$A$11:$I$453,8,0))</f>
        <v>30</v>
      </c>
      <c r="E398" t="str">
        <f t="shared" si="20"/>
        <v>30,000</v>
      </c>
    </row>
    <row r="399" spans="1:5" x14ac:dyDescent="0.25">
      <c r="A399">
        <v>1106</v>
      </c>
      <c r="B399" t="str">
        <f t="shared" si="21"/>
        <v>900142011</v>
      </c>
      <c r="C399">
        <f t="shared" si="22"/>
        <v>202106</v>
      </c>
      <c r="D399">
        <f>IF(OR(C399=1900,$D$506=0),0,VLOOKUP(A399,'Estados Financieros'!$A$11:$I$453,8,0))</f>
        <v>420</v>
      </c>
      <c r="E399" t="str">
        <f t="shared" si="20"/>
        <v>420,000</v>
      </c>
    </row>
    <row r="400" spans="1:5" x14ac:dyDescent="0.25">
      <c r="A400">
        <v>110405</v>
      </c>
      <c r="B400" t="str">
        <f t="shared" si="21"/>
        <v>900142011</v>
      </c>
      <c r="C400">
        <f t="shared" si="22"/>
        <v>202106</v>
      </c>
      <c r="D400">
        <f>IF(OR(C400=1900,$D$506=0),0,VLOOKUP(A400,'Estados Financieros'!$A$11:$I$453,8,0))</f>
        <v>30</v>
      </c>
      <c r="E400" t="str">
        <f t="shared" si="20"/>
        <v>30,000</v>
      </c>
    </row>
    <row r="401" spans="1:5" x14ac:dyDescent="0.25">
      <c r="A401">
        <v>110410</v>
      </c>
      <c r="B401" t="str">
        <f t="shared" si="21"/>
        <v>900142011</v>
      </c>
      <c r="C401">
        <f t="shared" si="22"/>
        <v>202106</v>
      </c>
      <c r="D401">
        <f>IF(OR(C401=1900,$D$506=0),0,VLOOKUP(A401,'Estados Financieros'!$A$11:$I$453,8,0))</f>
        <v>30</v>
      </c>
      <c r="E401" t="str">
        <f t="shared" si="20"/>
        <v>30,000</v>
      </c>
    </row>
    <row r="402" spans="1:5" x14ac:dyDescent="0.25">
      <c r="A402">
        <v>142500</v>
      </c>
      <c r="B402" t="str">
        <f t="shared" si="21"/>
        <v>900142011</v>
      </c>
      <c r="C402">
        <f t="shared" si="22"/>
        <v>202106</v>
      </c>
      <c r="D402">
        <f>IF(OR(C402=1900,$D$506=0),0,VLOOKUP(A402,'Estados Financieros'!$A$11:$I$453,8,0))</f>
        <v>30</v>
      </c>
      <c r="E402" t="str">
        <f t="shared" si="20"/>
        <v>30,000</v>
      </c>
    </row>
    <row r="403" spans="1:5" x14ac:dyDescent="0.25">
      <c r="A403">
        <v>110415</v>
      </c>
      <c r="B403" t="str">
        <f t="shared" si="21"/>
        <v>900142011</v>
      </c>
      <c r="C403">
        <f t="shared" si="22"/>
        <v>202106</v>
      </c>
      <c r="D403">
        <f>IF(OR(C403=1900,$D$506=0),0,VLOOKUP(A403,'Estados Financieros'!$A$11:$I$453,8,0))</f>
        <v>30</v>
      </c>
      <c r="E403" t="str">
        <f t="shared" si="20"/>
        <v>30,000</v>
      </c>
    </row>
    <row r="404" spans="1:5" x14ac:dyDescent="0.25">
      <c r="A404">
        <v>143500</v>
      </c>
      <c r="B404" t="str">
        <f t="shared" si="21"/>
        <v>900142011</v>
      </c>
      <c r="C404">
        <f t="shared" si="22"/>
        <v>202106</v>
      </c>
      <c r="D404">
        <f>IF(OR(C404=1900,$D$506=0),0,VLOOKUP(A404,'Estados Financieros'!$A$11:$I$453,8,0))</f>
        <v>30</v>
      </c>
      <c r="E404" t="str">
        <f t="shared" si="20"/>
        <v>30,000</v>
      </c>
    </row>
    <row r="405" spans="1:5" x14ac:dyDescent="0.25">
      <c r="A405">
        <v>110420</v>
      </c>
      <c r="B405" t="str">
        <f t="shared" si="21"/>
        <v>900142011</v>
      </c>
      <c r="C405">
        <f t="shared" si="22"/>
        <v>202106</v>
      </c>
      <c r="D405">
        <f>IF(OR(C405=1900,$D$506=0),0,VLOOKUP(A405,'Estados Financieros'!$A$11:$I$453,8,0))</f>
        <v>30</v>
      </c>
      <c r="E405" t="str">
        <f t="shared" si="20"/>
        <v>30,000</v>
      </c>
    </row>
    <row r="406" spans="1:5" x14ac:dyDescent="0.25">
      <c r="A406">
        <v>110495</v>
      </c>
      <c r="B406" t="str">
        <f t="shared" si="21"/>
        <v>900142011</v>
      </c>
      <c r="C406">
        <f t="shared" si="22"/>
        <v>202106</v>
      </c>
      <c r="D406">
        <f>IF(OR(C406=1900,$D$506=0),0,VLOOKUP(A406,'Estados Financieros'!$A$11:$I$453,8,0))</f>
        <v>30</v>
      </c>
      <c r="E406" t="str">
        <f t="shared" si="20"/>
        <v>30,000</v>
      </c>
    </row>
    <row r="407" spans="1:5" x14ac:dyDescent="0.25">
      <c r="A407">
        <v>110490</v>
      </c>
      <c r="B407" t="str">
        <f t="shared" si="21"/>
        <v>900142011</v>
      </c>
      <c r="C407">
        <f t="shared" si="22"/>
        <v>202106</v>
      </c>
      <c r="D407">
        <f>IF(OR(C407=1900,$D$506=0),0,VLOOKUP(A407,'Estados Financieros'!$A$11:$I$453,8,0))</f>
        <v>30</v>
      </c>
      <c r="E407" t="str">
        <f t="shared" si="20"/>
        <v>30,000</v>
      </c>
    </row>
    <row r="408" spans="1:5" x14ac:dyDescent="0.25">
      <c r="A408">
        <v>110491</v>
      </c>
      <c r="B408" t="str">
        <f t="shared" si="21"/>
        <v>900142011</v>
      </c>
      <c r="C408">
        <f t="shared" si="22"/>
        <v>202106</v>
      </c>
      <c r="D408">
        <f>IF(OR(C408=1900,$D$506=0),0,VLOOKUP(A408,'Estados Financieros'!$A$11:$I$453,8,0))</f>
        <v>30</v>
      </c>
      <c r="E408" t="str">
        <f t="shared" si="20"/>
        <v>30,000</v>
      </c>
    </row>
    <row r="409" spans="1:5" x14ac:dyDescent="0.25">
      <c r="A409">
        <v>149900</v>
      </c>
      <c r="B409" t="str">
        <f t="shared" si="21"/>
        <v>900142011</v>
      </c>
      <c r="C409">
        <f t="shared" si="22"/>
        <v>202106</v>
      </c>
      <c r="D409">
        <f>IF(OR(C409=1900,$D$506=0),0,VLOOKUP(A409,'Estados Financieros'!$A$11:$I$453,8,0))</f>
        <v>30</v>
      </c>
      <c r="E409" t="str">
        <f t="shared" si="20"/>
        <v>30,000</v>
      </c>
    </row>
    <row r="410" spans="1:5" x14ac:dyDescent="0.25">
      <c r="A410">
        <v>140005</v>
      </c>
      <c r="B410" t="str">
        <f t="shared" si="21"/>
        <v>900142011</v>
      </c>
      <c r="C410">
        <f t="shared" si="22"/>
        <v>202106</v>
      </c>
      <c r="D410">
        <f>IF(OR(C410=1900,$D$506=0),0,VLOOKUP(A410,'Estados Financieros'!$A$11:$I$453,8,0))</f>
        <v>390</v>
      </c>
      <c r="E410" t="str">
        <f t="shared" si="20"/>
        <v>390,000</v>
      </c>
    </row>
    <row r="411" spans="1:5" x14ac:dyDescent="0.25">
      <c r="A411">
        <v>145500</v>
      </c>
      <c r="B411" t="str">
        <f t="shared" si="21"/>
        <v>900142011</v>
      </c>
      <c r="C411">
        <f t="shared" si="22"/>
        <v>202106</v>
      </c>
      <c r="D411">
        <f>IF(OR(C411=1900,$D$506=0),0,VLOOKUP(A411,'Estados Financieros'!$A$11:$I$453,8,0))</f>
        <v>30</v>
      </c>
      <c r="E411" t="str">
        <f t="shared" si="20"/>
        <v>30,000</v>
      </c>
    </row>
    <row r="412" spans="1:5" x14ac:dyDescent="0.25">
      <c r="A412">
        <v>146000</v>
      </c>
      <c r="B412" t="str">
        <f t="shared" si="21"/>
        <v>900142011</v>
      </c>
      <c r="C412">
        <f t="shared" si="22"/>
        <v>202106</v>
      </c>
      <c r="D412">
        <f>IF(OR(C412=1900,$D$506=0),0,VLOOKUP(A412,'Estados Financieros'!$A$11:$I$453,8,0))</f>
        <v>30</v>
      </c>
      <c r="E412" t="str">
        <f t="shared" si="20"/>
        <v>30,000</v>
      </c>
    </row>
    <row r="413" spans="1:5" x14ac:dyDescent="0.25">
      <c r="A413">
        <v>149510</v>
      </c>
      <c r="B413" t="str">
        <f t="shared" si="21"/>
        <v>900142011</v>
      </c>
      <c r="C413">
        <f t="shared" si="22"/>
        <v>202106</v>
      </c>
      <c r="D413">
        <f>IF(OR(C413=1900,$D$506=0),0,VLOOKUP(A413,'Estados Financieros'!$A$11:$I$453,8,0))</f>
        <v>30</v>
      </c>
      <c r="E413" t="str">
        <f t="shared" si="20"/>
        <v>30,000</v>
      </c>
    </row>
    <row r="414" spans="1:5" x14ac:dyDescent="0.25">
      <c r="A414">
        <v>149901</v>
      </c>
      <c r="B414" t="str">
        <f t="shared" si="21"/>
        <v>900142011</v>
      </c>
      <c r="C414">
        <f t="shared" si="22"/>
        <v>202106</v>
      </c>
      <c r="D414">
        <f>IF(OR(C414=1900,$D$506=0),0,VLOOKUP(A414,'Estados Financieros'!$A$11:$I$453,8,0))</f>
        <v>30</v>
      </c>
      <c r="E414" t="str">
        <f t="shared" si="20"/>
        <v>30,000</v>
      </c>
    </row>
    <row r="415" spans="1:5" x14ac:dyDescent="0.25">
      <c r="A415">
        <v>149902</v>
      </c>
      <c r="B415" t="str">
        <f t="shared" si="21"/>
        <v>900142011</v>
      </c>
      <c r="C415">
        <f t="shared" si="22"/>
        <v>202106</v>
      </c>
      <c r="D415">
        <f>IF(OR(C415=1900,$D$506=0),0,VLOOKUP(A415,'Estados Financieros'!$A$11:$I$453,8,0))</f>
        <v>30</v>
      </c>
      <c r="E415" t="str">
        <f t="shared" si="20"/>
        <v>30,000</v>
      </c>
    </row>
    <row r="416" spans="1:5" x14ac:dyDescent="0.25">
      <c r="A416">
        <v>149910</v>
      </c>
      <c r="B416" t="str">
        <f t="shared" si="21"/>
        <v>900142011</v>
      </c>
      <c r="C416">
        <f t="shared" si="22"/>
        <v>202106</v>
      </c>
      <c r="D416">
        <f>IF(OR(C416=1900,$D$506=0),0,VLOOKUP(A416,'Estados Financieros'!$A$11:$I$453,8,0))</f>
        <v>30</v>
      </c>
      <c r="E416" t="str">
        <f t="shared" si="20"/>
        <v>30,000</v>
      </c>
    </row>
    <row r="417" spans="1:5" x14ac:dyDescent="0.25">
      <c r="A417">
        <v>140010</v>
      </c>
      <c r="B417" t="str">
        <f t="shared" si="21"/>
        <v>900142011</v>
      </c>
      <c r="C417">
        <f t="shared" si="22"/>
        <v>202106</v>
      </c>
      <c r="D417">
        <f>IF(OR(C417=1900,$D$506=0),0,VLOOKUP(A417,'Estados Financieros'!$A$11:$I$453,8,0))</f>
        <v>300</v>
      </c>
      <c r="E417" t="str">
        <f t="shared" si="20"/>
        <v>300,000</v>
      </c>
    </row>
    <row r="418" spans="1:5" x14ac:dyDescent="0.25">
      <c r="A418">
        <v>1104</v>
      </c>
      <c r="B418" t="str">
        <f t="shared" si="21"/>
        <v>900142011</v>
      </c>
      <c r="C418">
        <f>+C417</f>
        <v>202106</v>
      </c>
      <c r="D418">
        <f>+D417+D410</f>
        <v>690</v>
      </c>
      <c r="E418" t="str">
        <f t="shared" si="20"/>
        <v>690,000</v>
      </c>
    </row>
    <row r="419" spans="1:5" x14ac:dyDescent="0.25">
      <c r="A419">
        <v>170500</v>
      </c>
      <c r="B419" t="str">
        <f>+B417</f>
        <v>900142011</v>
      </c>
      <c r="C419">
        <f>C417</f>
        <v>202106</v>
      </c>
      <c r="D419">
        <f>IF(OR(C419=1900,$D$506=0),0,VLOOKUP(A419,'Estados Financieros'!$A$11:$I$453,8,0))</f>
        <v>30</v>
      </c>
      <c r="E419" t="str">
        <f t="shared" si="20"/>
        <v>30,000</v>
      </c>
    </row>
    <row r="420" spans="1:5" x14ac:dyDescent="0.25">
      <c r="A420">
        <v>171000</v>
      </c>
      <c r="B420" t="str">
        <f t="shared" ref="B420:B483" si="23">+B419</f>
        <v>900142011</v>
      </c>
      <c r="C420">
        <f t="shared" ref="C420:C483" si="24">C419</f>
        <v>202106</v>
      </c>
      <c r="D420">
        <f>IF(OR(C420=1900,$D$506=0),0,VLOOKUP(A420,'Estados Financieros'!$A$11:$I$453,8,0))</f>
        <v>30</v>
      </c>
      <c r="E420" t="str">
        <f t="shared" si="20"/>
        <v>30,000</v>
      </c>
    </row>
    <row r="421" spans="1:5" x14ac:dyDescent="0.25">
      <c r="A421">
        <v>173000</v>
      </c>
      <c r="B421" t="str">
        <f t="shared" si="23"/>
        <v>900142011</v>
      </c>
      <c r="C421">
        <f t="shared" si="24"/>
        <v>202106</v>
      </c>
      <c r="D421">
        <f>IF(OR(C421=1900,$D$506=0),0,VLOOKUP(A421,'Estados Financieros'!$A$11:$I$453,8,0))</f>
        <v>30</v>
      </c>
      <c r="E421" t="str">
        <f t="shared" si="20"/>
        <v>30,000</v>
      </c>
    </row>
    <row r="422" spans="1:5" x14ac:dyDescent="0.25">
      <c r="A422">
        <v>179500</v>
      </c>
      <c r="B422" t="str">
        <f t="shared" si="23"/>
        <v>900142011</v>
      </c>
      <c r="C422">
        <f t="shared" si="24"/>
        <v>202106</v>
      </c>
      <c r="D422">
        <f>IF(OR(C422=1900,$D$506=0),0,VLOOKUP(A422,'Estados Financieros'!$A$11:$I$453,8,0))</f>
        <v>30</v>
      </c>
      <c r="E422" t="str">
        <f t="shared" si="20"/>
        <v>30,000</v>
      </c>
    </row>
    <row r="423" spans="1:5" x14ac:dyDescent="0.25">
      <c r="A423">
        <v>179700</v>
      </c>
      <c r="B423" t="str">
        <f t="shared" si="23"/>
        <v>900142011</v>
      </c>
      <c r="C423">
        <f t="shared" si="24"/>
        <v>202106</v>
      </c>
      <c r="D423">
        <f>IF(OR(C423=1900,$D$506=0),0,VLOOKUP(A423,'Estados Financieros'!$A$11:$I$453,8,0))</f>
        <v>30</v>
      </c>
      <c r="E423" t="str">
        <f t="shared" si="20"/>
        <v>30,000</v>
      </c>
    </row>
    <row r="424" spans="1:5" x14ac:dyDescent="0.25">
      <c r="A424">
        <v>1107</v>
      </c>
      <c r="B424" t="str">
        <f t="shared" si="23"/>
        <v>900142011</v>
      </c>
      <c r="C424">
        <f t="shared" si="24"/>
        <v>202106</v>
      </c>
      <c r="D424">
        <f>IF(OR(C424=1900,$D$506=0),0,VLOOKUP(A424,'Estados Financieros'!$A$11:$I$453,8,0))</f>
        <v>180</v>
      </c>
      <c r="E424" t="str">
        <f t="shared" si="20"/>
        <v>180,000</v>
      </c>
    </row>
    <row r="425" spans="1:5" x14ac:dyDescent="0.25">
      <c r="A425">
        <v>189500</v>
      </c>
      <c r="B425" t="str">
        <f t="shared" si="23"/>
        <v>900142011</v>
      </c>
      <c r="C425">
        <f t="shared" si="24"/>
        <v>202106</v>
      </c>
      <c r="D425">
        <f>IF(OR(C425=1900,$D$506=0),0,VLOOKUP(A425,'Estados Financieros'!$A$11:$I$453,8,0))</f>
        <v>30</v>
      </c>
      <c r="E425" t="str">
        <f t="shared" si="20"/>
        <v>30,000</v>
      </c>
    </row>
    <row r="426" spans="1:5" x14ac:dyDescent="0.25">
      <c r="A426">
        <v>181000</v>
      </c>
      <c r="B426" t="str">
        <f t="shared" si="23"/>
        <v>900142011</v>
      </c>
      <c r="C426">
        <f t="shared" si="24"/>
        <v>202106</v>
      </c>
      <c r="D426">
        <f>IF(OR(C426=1900,$D$506=0),0,VLOOKUP(A426,'Estados Financieros'!$A$11:$I$453,8,0))</f>
        <v>30</v>
      </c>
      <c r="E426" t="str">
        <f t="shared" si="20"/>
        <v>30,000</v>
      </c>
    </row>
    <row r="427" spans="1:5" x14ac:dyDescent="0.25">
      <c r="A427">
        <v>180000</v>
      </c>
      <c r="B427" t="str">
        <f t="shared" si="23"/>
        <v>900142011</v>
      </c>
      <c r="C427">
        <f t="shared" si="24"/>
        <v>202106</v>
      </c>
      <c r="D427">
        <f>IF(OR(C427=1900,$D$506=0),0,VLOOKUP(A427,'Estados Financieros'!$A$11:$I$453,8,0))</f>
        <v>90</v>
      </c>
      <c r="E427" t="str">
        <f t="shared" si="20"/>
        <v>90,000</v>
      </c>
    </row>
    <row r="428" spans="1:5" x14ac:dyDescent="0.25">
      <c r="A428">
        <v>11</v>
      </c>
      <c r="B428" t="str">
        <f t="shared" si="23"/>
        <v>900142011</v>
      </c>
      <c r="C428">
        <f t="shared" si="24"/>
        <v>202106</v>
      </c>
      <c r="D428">
        <f>IF(OR(C428=1900,$D$506=0),0,VLOOKUP(A428,'Estados Financieros'!$A$11:$I$453,8,0))</f>
        <v>1860</v>
      </c>
      <c r="E428" t="str">
        <f t="shared" si="20"/>
        <v>1860,000</v>
      </c>
    </row>
    <row r="429" spans="1:5" x14ac:dyDescent="0.25">
      <c r="A429">
        <v>120104</v>
      </c>
      <c r="B429" t="str">
        <f t="shared" si="23"/>
        <v>900142011</v>
      </c>
      <c r="C429">
        <f t="shared" si="24"/>
        <v>202106</v>
      </c>
      <c r="D429">
        <f>IF(OR(C429=1900,$D$506=0),0,VLOOKUP(A429,'Estados Financieros'!$A$11:$I$453,8,0))</f>
        <v>30</v>
      </c>
      <c r="E429" t="str">
        <f t="shared" si="20"/>
        <v>30,000</v>
      </c>
    </row>
    <row r="430" spans="1:5" x14ac:dyDescent="0.25">
      <c r="A430">
        <v>120108</v>
      </c>
      <c r="B430" t="str">
        <f t="shared" si="23"/>
        <v>900142011</v>
      </c>
      <c r="C430">
        <f t="shared" si="24"/>
        <v>202106</v>
      </c>
      <c r="D430">
        <f>IF(OR(C430=1900,$D$506=0),0,VLOOKUP(A430,'Estados Financieros'!$A$11:$I$453,8,0))</f>
        <v>30</v>
      </c>
      <c r="E430" t="str">
        <f t="shared" si="20"/>
        <v>30,000</v>
      </c>
    </row>
    <row r="431" spans="1:5" x14ac:dyDescent="0.25">
      <c r="A431">
        <v>151201</v>
      </c>
      <c r="B431" t="str">
        <f t="shared" si="23"/>
        <v>900142011</v>
      </c>
      <c r="C431">
        <f t="shared" si="24"/>
        <v>202106</v>
      </c>
      <c r="D431">
        <f>IF(OR(C431=1900,$D$506=0),0,VLOOKUP(A431,'Estados Financieros'!$A$11:$I$453,8,0))</f>
        <v>30</v>
      </c>
      <c r="E431" t="str">
        <f t="shared" si="20"/>
        <v>30,000</v>
      </c>
    </row>
    <row r="432" spans="1:5" x14ac:dyDescent="0.25">
      <c r="A432">
        <v>120116</v>
      </c>
      <c r="B432" t="str">
        <f t="shared" si="23"/>
        <v>900142011</v>
      </c>
      <c r="C432">
        <f t="shared" si="24"/>
        <v>202106</v>
      </c>
      <c r="D432">
        <f>IF(OR(C432=1900,$D$506=0),0,VLOOKUP(A432,'Estados Financieros'!$A$11:$I$453,8,0))</f>
        <v>30</v>
      </c>
      <c r="E432" t="str">
        <f t="shared" si="20"/>
        <v>30,000</v>
      </c>
    </row>
    <row r="433" spans="1:5" x14ac:dyDescent="0.25">
      <c r="A433">
        <v>120120</v>
      </c>
      <c r="B433" t="str">
        <f t="shared" si="23"/>
        <v>900142011</v>
      </c>
      <c r="C433">
        <f t="shared" si="24"/>
        <v>202106</v>
      </c>
      <c r="D433">
        <f>IF(OR(C433=1900,$D$506=0),0,VLOOKUP(A433,'Estados Financieros'!$A$11:$I$453,8,0))</f>
        <v>30</v>
      </c>
      <c r="E433" t="str">
        <f t="shared" si="20"/>
        <v>30,000</v>
      </c>
    </row>
    <row r="434" spans="1:5" x14ac:dyDescent="0.25">
      <c r="A434">
        <v>120124</v>
      </c>
      <c r="B434" t="str">
        <f t="shared" si="23"/>
        <v>900142011</v>
      </c>
      <c r="C434">
        <f t="shared" si="24"/>
        <v>202106</v>
      </c>
      <c r="D434">
        <f>IF(OR(C434=1900,$D$506=0),0,VLOOKUP(A434,'Estados Financieros'!$A$11:$I$453,8,0))</f>
        <v>30</v>
      </c>
      <c r="E434" t="str">
        <f t="shared" si="20"/>
        <v>30,000</v>
      </c>
    </row>
    <row r="435" spans="1:5" x14ac:dyDescent="0.25">
      <c r="A435">
        <v>120128</v>
      </c>
      <c r="B435" t="str">
        <f t="shared" si="23"/>
        <v>900142011</v>
      </c>
      <c r="C435">
        <f t="shared" si="24"/>
        <v>202106</v>
      </c>
      <c r="D435">
        <f>IF(OR(C435=1900,$D$506=0),0,VLOOKUP(A435,'Estados Financieros'!$A$11:$I$453,8,0))</f>
        <v>30</v>
      </c>
      <c r="E435" t="str">
        <f t="shared" si="20"/>
        <v>30,000</v>
      </c>
    </row>
    <row r="436" spans="1:5" x14ac:dyDescent="0.25">
      <c r="A436">
        <v>120140</v>
      </c>
      <c r="B436" t="str">
        <f t="shared" si="23"/>
        <v>900142011</v>
      </c>
      <c r="C436">
        <f t="shared" si="24"/>
        <v>202106</v>
      </c>
      <c r="D436">
        <f>IF(OR(C436=1900,$D$506=0),0,VLOOKUP(A436,'Estados Financieros'!$A$11:$I$453,8,0))</f>
        <v>30</v>
      </c>
      <c r="E436" t="str">
        <f t="shared" si="20"/>
        <v>30,000</v>
      </c>
    </row>
    <row r="437" spans="1:5" x14ac:dyDescent="0.25">
      <c r="A437">
        <v>155601</v>
      </c>
      <c r="B437" t="str">
        <f t="shared" si="23"/>
        <v>900142011</v>
      </c>
      <c r="C437">
        <f t="shared" si="24"/>
        <v>202106</v>
      </c>
      <c r="D437">
        <f>IF(OR(C437=1900,$D$506=0),0,VLOOKUP(A437,'Estados Financieros'!$A$11:$I$453,8,0))</f>
        <v>30</v>
      </c>
      <c r="E437" t="str">
        <f t="shared" si="20"/>
        <v>30,000</v>
      </c>
    </row>
    <row r="438" spans="1:5" x14ac:dyDescent="0.25">
      <c r="A438">
        <v>156001</v>
      </c>
      <c r="B438" t="str">
        <f t="shared" si="23"/>
        <v>900142011</v>
      </c>
      <c r="C438">
        <f t="shared" si="24"/>
        <v>202106</v>
      </c>
      <c r="D438">
        <f>IF(OR(C438=1900,$D$506=0),0,VLOOKUP(A438,'Estados Financieros'!$A$11:$I$453,8,0))</f>
        <v>30</v>
      </c>
      <c r="E438" t="str">
        <f t="shared" si="20"/>
        <v>30,000</v>
      </c>
    </row>
    <row r="439" spans="1:5" x14ac:dyDescent="0.25">
      <c r="A439">
        <v>156401</v>
      </c>
      <c r="B439" t="str">
        <f t="shared" si="23"/>
        <v>900142011</v>
      </c>
      <c r="C439">
        <f t="shared" si="24"/>
        <v>202106</v>
      </c>
      <c r="D439">
        <f>IF(OR(C439=1900,$D$506=0),0,VLOOKUP(A439,'Estados Financieros'!$A$11:$I$453,8,0))</f>
        <v>30</v>
      </c>
      <c r="E439" t="str">
        <f t="shared" si="20"/>
        <v>30,000</v>
      </c>
    </row>
    <row r="440" spans="1:5" x14ac:dyDescent="0.25">
      <c r="A440">
        <v>157201</v>
      </c>
      <c r="B440" t="str">
        <f t="shared" si="23"/>
        <v>900142011</v>
      </c>
      <c r="C440">
        <f t="shared" si="24"/>
        <v>202106</v>
      </c>
      <c r="D440">
        <f>IF(OR(C440=1900,$D$506=0),0,VLOOKUP(A440,'Estados Financieros'!$A$11:$I$453,8,0))</f>
        <v>30</v>
      </c>
      <c r="E440" t="str">
        <f t="shared" si="20"/>
        <v>30,000</v>
      </c>
    </row>
    <row r="441" spans="1:5" x14ac:dyDescent="0.25">
      <c r="A441">
        <v>157601</v>
      </c>
      <c r="B441" t="str">
        <f t="shared" si="23"/>
        <v>900142011</v>
      </c>
      <c r="C441">
        <f t="shared" si="24"/>
        <v>202106</v>
      </c>
      <c r="D441">
        <f>IF(OR(C441=1900,$D$506=0),0,VLOOKUP(A441,'Estados Financieros'!$A$11:$I$453,8,0))</f>
        <v>30</v>
      </c>
      <c r="E441" t="str">
        <f t="shared" si="20"/>
        <v>30,000</v>
      </c>
    </row>
    <row r="442" spans="1:5" x14ac:dyDescent="0.25">
      <c r="A442">
        <v>158401</v>
      </c>
      <c r="B442" t="str">
        <f t="shared" si="23"/>
        <v>900142011</v>
      </c>
      <c r="C442">
        <f t="shared" si="24"/>
        <v>202106</v>
      </c>
      <c r="D442">
        <f>IF(OR(C442=1900,$D$506=0),0,VLOOKUP(A442,'Estados Financieros'!$A$11:$I$453,8,0))</f>
        <v>30</v>
      </c>
      <c r="E442" t="str">
        <f t="shared" si="20"/>
        <v>30,000</v>
      </c>
    </row>
    <row r="443" spans="1:5" x14ac:dyDescent="0.25">
      <c r="A443">
        <v>158801</v>
      </c>
      <c r="B443" t="str">
        <f t="shared" si="23"/>
        <v>900142011</v>
      </c>
      <c r="C443">
        <f t="shared" si="24"/>
        <v>202106</v>
      </c>
      <c r="D443">
        <f>IF(OR(C443=1900,$D$506=0),0,VLOOKUP(A443,'Estados Financieros'!$A$11:$I$453,8,0))</f>
        <v>30</v>
      </c>
      <c r="E443" t="str">
        <f t="shared" si="20"/>
        <v>30,000</v>
      </c>
    </row>
    <row r="444" spans="1:5" x14ac:dyDescent="0.25">
      <c r="A444">
        <v>120145</v>
      </c>
      <c r="B444" t="str">
        <f t="shared" si="23"/>
        <v>900142011</v>
      </c>
      <c r="C444">
        <f t="shared" si="24"/>
        <v>202106</v>
      </c>
      <c r="D444">
        <f>IF(OR(C444=1900,$D$506=0),0,VLOOKUP(A444,'Estados Financieros'!$A$11:$I$453,8,0))</f>
        <v>30</v>
      </c>
      <c r="E444" t="str">
        <f t="shared" si="20"/>
        <v>30,000</v>
      </c>
    </row>
    <row r="445" spans="1:5" x14ac:dyDescent="0.25">
      <c r="A445">
        <v>120195</v>
      </c>
      <c r="B445" t="str">
        <f t="shared" si="23"/>
        <v>900142011</v>
      </c>
      <c r="C445">
        <f t="shared" si="24"/>
        <v>202106</v>
      </c>
      <c r="D445">
        <f>IF(OR(C445=1900,$D$506=0),0,VLOOKUP(A445,'Estados Financieros'!$A$11:$I$453,8,0))</f>
        <v>30</v>
      </c>
      <c r="E445" t="str">
        <f t="shared" si="20"/>
        <v>30,000</v>
      </c>
    </row>
    <row r="446" spans="1:5" x14ac:dyDescent="0.25">
      <c r="A446">
        <v>159701</v>
      </c>
      <c r="B446" t="str">
        <f t="shared" si="23"/>
        <v>900142011</v>
      </c>
      <c r="C446">
        <f t="shared" si="24"/>
        <v>202106</v>
      </c>
      <c r="D446">
        <f>IF(OR(C446=1900,$D$506=0),0,VLOOKUP(A446,'Estados Financieros'!$A$11:$I$453,8,0))</f>
        <v>30</v>
      </c>
      <c r="E446" t="str">
        <f t="shared" si="20"/>
        <v>30,000</v>
      </c>
    </row>
    <row r="447" spans="1:5" x14ac:dyDescent="0.25">
      <c r="A447">
        <v>159899</v>
      </c>
      <c r="B447" t="str">
        <f t="shared" si="23"/>
        <v>900142011</v>
      </c>
      <c r="C447">
        <f t="shared" si="24"/>
        <v>202106</v>
      </c>
      <c r="D447">
        <f>IF(OR(C447=1900,$D$506=0),0,VLOOKUP(A447,'Estados Financieros'!$A$11:$I$453,8,0))</f>
        <v>30</v>
      </c>
      <c r="E447" t="str">
        <f t="shared" si="20"/>
        <v>30,000</v>
      </c>
    </row>
    <row r="448" spans="1:5" x14ac:dyDescent="0.25">
      <c r="A448">
        <v>159901</v>
      </c>
      <c r="B448" t="str">
        <f t="shared" si="23"/>
        <v>900142011</v>
      </c>
      <c r="C448">
        <f t="shared" si="24"/>
        <v>202106</v>
      </c>
      <c r="D448">
        <f>IF(OR(C448=1900,$D$506=0),0,VLOOKUP(A448,'Estados Financieros'!$A$11:$I$453,8,0))</f>
        <v>30</v>
      </c>
      <c r="E448" t="str">
        <f t="shared" si="20"/>
        <v>30,000</v>
      </c>
    </row>
    <row r="449" spans="1:5" x14ac:dyDescent="0.25">
      <c r="A449">
        <v>1201</v>
      </c>
      <c r="B449" t="str">
        <f t="shared" si="23"/>
        <v>900142011</v>
      </c>
      <c r="C449">
        <f t="shared" si="24"/>
        <v>202106</v>
      </c>
      <c r="D449">
        <f>IF(OR(C449=1900,$D$506=0),0,VLOOKUP(A449,'Estados Financieros'!$A$11:$I$453,8,0))</f>
        <v>600</v>
      </c>
      <c r="E449" t="str">
        <f t="shared" si="20"/>
        <v>600,000</v>
      </c>
    </row>
    <row r="450" spans="1:5" x14ac:dyDescent="0.25">
      <c r="A450">
        <v>130506</v>
      </c>
      <c r="B450" t="str">
        <f t="shared" si="23"/>
        <v>900142011</v>
      </c>
      <c r="C450">
        <f t="shared" si="24"/>
        <v>202106</v>
      </c>
      <c r="D450">
        <f>IF(OR(C450=1900,$D$506=0),0,VLOOKUP(A450,'Estados Financieros'!$A$11:$I$453,8,0))</f>
        <v>30</v>
      </c>
      <c r="E450" t="str">
        <f t="shared" ref="E450:E513" si="25">IFERROR(FIXED(D450,3,1),0)</f>
        <v>30,000</v>
      </c>
    </row>
    <row r="451" spans="1:5" x14ac:dyDescent="0.25">
      <c r="A451">
        <v>130511</v>
      </c>
      <c r="B451" t="str">
        <f t="shared" si="23"/>
        <v>900142011</v>
      </c>
      <c r="C451">
        <f t="shared" si="24"/>
        <v>202106</v>
      </c>
      <c r="D451">
        <f>IF(OR(C451=1900,$D$506=0),0,VLOOKUP(A451,'Estados Financieros'!$A$11:$I$453,8,0))</f>
        <v>30</v>
      </c>
      <c r="E451" t="str">
        <f t="shared" si="25"/>
        <v>30,000</v>
      </c>
    </row>
    <row r="452" spans="1:5" x14ac:dyDescent="0.25">
      <c r="A452">
        <v>131001</v>
      </c>
      <c r="B452" t="str">
        <f t="shared" si="23"/>
        <v>900142011</v>
      </c>
      <c r="C452">
        <f t="shared" si="24"/>
        <v>202106</v>
      </c>
      <c r="D452">
        <f>IF(OR(C452=1900,$D$506=0),0,VLOOKUP(A452,'Estados Financieros'!$A$11:$I$453,8,0))</f>
        <v>30</v>
      </c>
      <c r="E452" t="str">
        <f t="shared" si="25"/>
        <v>30,000</v>
      </c>
    </row>
    <row r="453" spans="1:5" x14ac:dyDescent="0.25">
      <c r="A453">
        <v>131501</v>
      </c>
      <c r="B453" t="str">
        <f t="shared" si="23"/>
        <v>900142011</v>
      </c>
      <c r="C453">
        <f t="shared" si="24"/>
        <v>202106</v>
      </c>
      <c r="D453">
        <f>IF(OR(C453=1900,$D$506=0),0,VLOOKUP(A453,'Estados Financieros'!$A$11:$I$453,8,0))</f>
        <v>30</v>
      </c>
      <c r="E453" t="str">
        <f t="shared" si="25"/>
        <v>30,000</v>
      </c>
    </row>
    <row r="454" spans="1:5" x14ac:dyDescent="0.25">
      <c r="A454">
        <v>132001</v>
      </c>
      <c r="B454" t="str">
        <f t="shared" si="23"/>
        <v>900142011</v>
      </c>
      <c r="C454">
        <f t="shared" si="24"/>
        <v>202106</v>
      </c>
      <c r="D454">
        <f>IF(OR(C454=1900,$D$506=0),0,VLOOKUP(A454,'Estados Financieros'!$A$11:$I$453,8,0))</f>
        <v>30</v>
      </c>
      <c r="E454" t="str">
        <f t="shared" si="25"/>
        <v>30,000</v>
      </c>
    </row>
    <row r="455" spans="1:5" x14ac:dyDescent="0.25">
      <c r="A455">
        <v>132501</v>
      </c>
      <c r="B455" t="str">
        <f t="shared" si="23"/>
        <v>900142011</v>
      </c>
      <c r="C455">
        <f t="shared" si="24"/>
        <v>202106</v>
      </c>
      <c r="D455">
        <f>IF(OR(C455=1900,$D$506=0),0,VLOOKUP(A455,'Estados Financieros'!$A$11:$I$453,8,0))</f>
        <v>30</v>
      </c>
      <c r="E455" t="str">
        <f t="shared" si="25"/>
        <v>30,000</v>
      </c>
    </row>
    <row r="456" spans="1:5" x14ac:dyDescent="0.25">
      <c r="A456">
        <v>133001</v>
      </c>
      <c r="B456" t="str">
        <f t="shared" si="23"/>
        <v>900142011</v>
      </c>
      <c r="C456">
        <f t="shared" si="24"/>
        <v>202106</v>
      </c>
      <c r="D456">
        <f>IF(OR(C456=1900,$D$506=0),0,VLOOKUP(A456,'Estados Financieros'!$A$11:$I$453,8,0))</f>
        <v>30</v>
      </c>
      <c r="E456" t="str">
        <f t="shared" si="25"/>
        <v>30,000</v>
      </c>
    </row>
    <row r="457" spans="1:5" x14ac:dyDescent="0.25">
      <c r="A457">
        <v>133501</v>
      </c>
      <c r="B457" t="str">
        <f t="shared" si="23"/>
        <v>900142011</v>
      </c>
      <c r="C457">
        <f t="shared" si="24"/>
        <v>202106</v>
      </c>
      <c r="D457">
        <f>IF(OR(C457=1900,$D$506=0),0,VLOOKUP(A457,'Estados Financieros'!$A$11:$I$453,8,0))</f>
        <v>30</v>
      </c>
      <c r="E457" t="str">
        <f t="shared" si="25"/>
        <v>30,000</v>
      </c>
    </row>
    <row r="458" spans="1:5" x14ac:dyDescent="0.25">
      <c r="A458">
        <v>134001</v>
      </c>
      <c r="B458" t="str">
        <f t="shared" si="23"/>
        <v>900142011</v>
      </c>
      <c r="C458">
        <f t="shared" si="24"/>
        <v>202106</v>
      </c>
      <c r="D458">
        <f>IF(OR(C458=1900,$D$506=0),0,VLOOKUP(A458,'Estados Financieros'!$A$11:$I$453,8,0))</f>
        <v>30</v>
      </c>
      <c r="E458" t="str">
        <f t="shared" si="25"/>
        <v>30,000</v>
      </c>
    </row>
    <row r="459" spans="1:5" x14ac:dyDescent="0.25">
      <c r="A459">
        <v>134501</v>
      </c>
      <c r="B459" t="str">
        <f t="shared" si="23"/>
        <v>900142011</v>
      </c>
      <c r="C459">
        <f t="shared" si="24"/>
        <v>202106</v>
      </c>
      <c r="D459">
        <f>IF(OR(C459=1900,$D$506=0),0,VLOOKUP(A459,'Estados Financieros'!$A$11:$I$453,8,0))</f>
        <v>30</v>
      </c>
      <c r="E459" t="str">
        <f t="shared" si="25"/>
        <v>30,000</v>
      </c>
    </row>
    <row r="460" spans="1:5" x14ac:dyDescent="0.25">
      <c r="A460">
        <v>135001</v>
      </c>
      <c r="B460" t="str">
        <f t="shared" si="23"/>
        <v>900142011</v>
      </c>
      <c r="C460">
        <f t="shared" si="24"/>
        <v>202106</v>
      </c>
      <c r="D460">
        <f>IF(OR(C460=1900,$D$506=0),0,VLOOKUP(A460,'Estados Financieros'!$A$11:$I$453,8,0))</f>
        <v>30</v>
      </c>
      <c r="E460" t="str">
        <f t="shared" si="25"/>
        <v>30,000</v>
      </c>
    </row>
    <row r="461" spans="1:5" x14ac:dyDescent="0.25">
      <c r="A461">
        <v>135501</v>
      </c>
      <c r="B461" t="str">
        <f t="shared" si="23"/>
        <v>900142011</v>
      </c>
      <c r="C461">
        <f t="shared" si="24"/>
        <v>202106</v>
      </c>
      <c r="D461">
        <f>IF(OR(C461=1900,$D$506=0),0,VLOOKUP(A461,'Estados Financieros'!$A$11:$I$453,8,0))</f>
        <v>30</v>
      </c>
      <c r="E461" t="str">
        <f t="shared" si="25"/>
        <v>30,000</v>
      </c>
    </row>
    <row r="462" spans="1:5" x14ac:dyDescent="0.25">
      <c r="A462">
        <v>136001</v>
      </c>
      <c r="B462" t="str">
        <f t="shared" si="23"/>
        <v>900142011</v>
      </c>
      <c r="C462">
        <f t="shared" si="24"/>
        <v>202106</v>
      </c>
      <c r="D462">
        <f>IF(OR(C462=1900,$D$506=0),0,VLOOKUP(A462,'Estados Financieros'!$A$11:$I$453,8,0))</f>
        <v>30</v>
      </c>
      <c r="E462" t="str">
        <f t="shared" si="25"/>
        <v>30,000</v>
      </c>
    </row>
    <row r="463" spans="1:5" x14ac:dyDescent="0.25">
      <c r="A463">
        <v>136501</v>
      </c>
      <c r="B463" t="str">
        <f t="shared" si="23"/>
        <v>900142011</v>
      </c>
      <c r="C463">
        <f t="shared" si="24"/>
        <v>202106</v>
      </c>
      <c r="D463">
        <f>IF(OR(C463=1900,$D$506=0),0,VLOOKUP(A463,'Estados Financieros'!$A$11:$I$453,8,0))</f>
        <v>30</v>
      </c>
      <c r="E463" t="str">
        <f t="shared" si="25"/>
        <v>30,000</v>
      </c>
    </row>
    <row r="464" spans="1:5" x14ac:dyDescent="0.25">
      <c r="A464">
        <v>137001</v>
      </c>
      <c r="B464" t="str">
        <f t="shared" si="23"/>
        <v>900142011</v>
      </c>
      <c r="C464">
        <f t="shared" si="24"/>
        <v>202106</v>
      </c>
      <c r="D464">
        <f>IF(OR(C464=1900,$D$506=0),0,VLOOKUP(A464,'Estados Financieros'!$A$11:$I$453,8,0))</f>
        <v>30</v>
      </c>
      <c r="E464" t="str">
        <f t="shared" si="25"/>
        <v>30,000</v>
      </c>
    </row>
    <row r="465" spans="1:5" x14ac:dyDescent="0.25">
      <c r="A465">
        <v>138001</v>
      </c>
      <c r="B465" t="str">
        <f t="shared" si="23"/>
        <v>900142011</v>
      </c>
      <c r="C465">
        <f t="shared" si="24"/>
        <v>202106</v>
      </c>
      <c r="D465">
        <f>IF(OR(C465=1900,$D$506=0),0,VLOOKUP(A465,'Estados Financieros'!$A$11:$I$453,8,0))</f>
        <v>30</v>
      </c>
      <c r="E465" t="str">
        <f t="shared" si="25"/>
        <v>30,000</v>
      </c>
    </row>
    <row r="466" spans="1:5" x14ac:dyDescent="0.25">
      <c r="A466">
        <v>138501</v>
      </c>
      <c r="B466" t="str">
        <f t="shared" si="23"/>
        <v>900142011</v>
      </c>
      <c r="C466">
        <f t="shared" si="24"/>
        <v>202106</v>
      </c>
      <c r="D466">
        <f>IF(OR(C466=1900,$D$506=0),0,VLOOKUP(A466,'Estados Financieros'!$A$11:$I$453,8,0))</f>
        <v>30</v>
      </c>
      <c r="E466" t="str">
        <f t="shared" si="25"/>
        <v>30,000</v>
      </c>
    </row>
    <row r="467" spans="1:5" x14ac:dyDescent="0.25">
      <c r="A467">
        <v>139001</v>
      </c>
      <c r="B467" t="str">
        <f t="shared" si="23"/>
        <v>900142011</v>
      </c>
      <c r="C467">
        <f t="shared" si="24"/>
        <v>202106</v>
      </c>
      <c r="D467">
        <f>IF(OR(C467=1900,$D$506=0),0,VLOOKUP(A467,'Estados Financieros'!$A$11:$I$453,8,0))</f>
        <v>30</v>
      </c>
      <c r="E467" t="str">
        <f t="shared" si="25"/>
        <v>30,000</v>
      </c>
    </row>
    <row r="468" spans="1:5" x14ac:dyDescent="0.25">
      <c r="A468">
        <v>139901</v>
      </c>
      <c r="B468" t="str">
        <f t="shared" si="23"/>
        <v>900142011</v>
      </c>
      <c r="C468">
        <f t="shared" si="24"/>
        <v>202106</v>
      </c>
      <c r="D468">
        <f>IF(OR(C468=1900,$D$506=0),0,VLOOKUP(A468,'Estados Financieros'!$A$11:$I$453,8,0))</f>
        <v>30</v>
      </c>
      <c r="E468" t="str">
        <f t="shared" si="25"/>
        <v>30,000</v>
      </c>
    </row>
    <row r="469" spans="1:5" x14ac:dyDescent="0.25">
      <c r="A469">
        <v>1205</v>
      </c>
      <c r="B469" t="str">
        <f t="shared" si="23"/>
        <v>900142011</v>
      </c>
      <c r="C469">
        <f t="shared" si="24"/>
        <v>202106</v>
      </c>
      <c r="D469">
        <f>IF(OR(C469=1900,$D$506=0),0,VLOOKUP(A469,'Estados Financieros'!$A$11:$I$453,8,0))</f>
        <v>600</v>
      </c>
      <c r="E469" t="str">
        <f t="shared" si="25"/>
        <v>600,000</v>
      </c>
    </row>
    <row r="470" spans="1:5" x14ac:dyDescent="0.25">
      <c r="A470">
        <v>120501</v>
      </c>
      <c r="B470" t="str">
        <f t="shared" si="23"/>
        <v>900142011</v>
      </c>
      <c r="C470">
        <f t="shared" si="24"/>
        <v>202106</v>
      </c>
      <c r="D470">
        <f>IF(OR(C470=1900,$D$506=0),0,VLOOKUP(A470,'Estados Financieros'!$A$11:$I$453,8,0))</f>
        <v>30</v>
      </c>
      <c r="E470" t="str">
        <f t="shared" si="25"/>
        <v>30,000</v>
      </c>
    </row>
    <row r="471" spans="1:5" x14ac:dyDescent="0.25">
      <c r="A471">
        <v>121001</v>
      </c>
      <c r="B471" t="str">
        <f t="shared" si="23"/>
        <v>900142011</v>
      </c>
      <c r="C471">
        <f t="shared" si="24"/>
        <v>202106</v>
      </c>
      <c r="D471">
        <f>IF(OR(C471=1900,$D$506=0),0,VLOOKUP(A471,'Estados Financieros'!$A$11:$I$453,8,0))</f>
        <v>30</v>
      </c>
      <c r="E471" t="str">
        <f t="shared" si="25"/>
        <v>30,000</v>
      </c>
    </row>
    <row r="472" spans="1:5" x14ac:dyDescent="0.25">
      <c r="A472">
        <v>121501</v>
      </c>
      <c r="B472" t="str">
        <f t="shared" si="23"/>
        <v>900142011</v>
      </c>
      <c r="C472">
        <f t="shared" si="24"/>
        <v>202106</v>
      </c>
      <c r="D472">
        <f>IF(OR(C472=1900,$D$506=0),0,VLOOKUP(A472,'Estados Financieros'!$A$11:$I$453,8,0))</f>
        <v>30</v>
      </c>
      <c r="E472" t="str">
        <f t="shared" si="25"/>
        <v>30,000</v>
      </c>
    </row>
    <row r="473" spans="1:5" x14ac:dyDescent="0.25">
      <c r="A473">
        <v>123501</v>
      </c>
      <c r="B473" t="str">
        <f t="shared" si="23"/>
        <v>900142011</v>
      </c>
      <c r="C473">
        <f t="shared" si="24"/>
        <v>202106</v>
      </c>
      <c r="D473">
        <f>IF(OR(C473=1900,$D$506=0),0,VLOOKUP(A473,'Estados Financieros'!$A$11:$I$453,8,0))</f>
        <v>30</v>
      </c>
      <c r="E473" t="str">
        <f t="shared" si="25"/>
        <v>30,000</v>
      </c>
    </row>
    <row r="474" spans="1:5" x14ac:dyDescent="0.25">
      <c r="A474">
        <v>125501</v>
      </c>
      <c r="B474" t="str">
        <f t="shared" si="23"/>
        <v>900142011</v>
      </c>
      <c r="C474">
        <f t="shared" si="24"/>
        <v>202106</v>
      </c>
      <c r="D474">
        <f>IF(OR(C474=1900,$D$506=0),0,VLOOKUP(A474,'Estados Financieros'!$A$11:$I$453,8,0))</f>
        <v>30</v>
      </c>
      <c r="E474" t="str">
        <f t="shared" si="25"/>
        <v>30,000</v>
      </c>
    </row>
    <row r="475" spans="1:5" x14ac:dyDescent="0.25">
      <c r="A475">
        <v>126001</v>
      </c>
      <c r="B475" t="str">
        <f t="shared" si="23"/>
        <v>900142011</v>
      </c>
      <c r="C475">
        <f t="shared" si="24"/>
        <v>202106</v>
      </c>
      <c r="D475">
        <f>IF(OR(C475=1900,$D$506=0),0,VLOOKUP(A475,'Estados Financieros'!$A$11:$I$453,8,0))</f>
        <v>30</v>
      </c>
      <c r="E475" t="str">
        <f t="shared" si="25"/>
        <v>30,000</v>
      </c>
    </row>
    <row r="476" spans="1:5" x14ac:dyDescent="0.25">
      <c r="A476">
        <v>129501</v>
      </c>
      <c r="B476" t="str">
        <f t="shared" si="23"/>
        <v>900142011</v>
      </c>
      <c r="C476">
        <f t="shared" si="24"/>
        <v>202106</v>
      </c>
      <c r="D476">
        <f>IF(OR(C476=1900,$D$506=0),0,VLOOKUP(A476,'Estados Financieros'!$A$11:$I$453,8,0))</f>
        <v>30</v>
      </c>
      <c r="E476" t="str">
        <f t="shared" si="25"/>
        <v>30,000</v>
      </c>
    </row>
    <row r="477" spans="1:5" x14ac:dyDescent="0.25">
      <c r="A477">
        <v>129701</v>
      </c>
      <c r="B477" t="str">
        <f t="shared" si="23"/>
        <v>900142011</v>
      </c>
      <c r="C477">
        <f t="shared" si="24"/>
        <v>202106</v>
      </c>
      <c r="D477">
        <f>IF(OR(C477=1900,$D$506=0),0,VLOOKUP(A477,'Estados Financieros'!$A$11:$I$453,8,0))</f>
        <v>30</v>
      </c>
      <c r="E477" t="str">
        <f t="shared" si="25"/>
        <v>30,000</v>
      </c>
    </row>
    <row r="478" spans="1:5" x14ac:dyDescent="0.25">
      <c r="A478">
        <v>129901</v>
      </c>
      <c r="B478" t="str">
        <f t="shared" si="23"/>
        <v>900142011</v>
      </c>
      <c r="C478">
        <f t="shared" si="24"/>
        <v>202106</v>
      </c>
      <c r="D478">
        <f>IF(OR(C478=1900,$D$506=0),0,VLOOKUP(A478,'Estados Financieros'!$A$11:$I$453,8,0))</f>
        <v>30</v>
      </c>
      <c r="E478" t="str">
        <f t="shared" si="25"/>
        <v>30,000</v>
      </c>
    </row>
    <row r="479" spans="1:5" x14ac:dyDescent="0.25">
      <c r="A479">
        <v>1203</v>
      </c>
      <c r="B479" t="str">
        <f t="shared" si="23"/>
        <v>900142011</v>
      </c>
      <c r="C479">
        <f t="shared" si="24"/>
        <v>202106</v>
      </c>
      <c r="D479">
        <f>IF(OR(C479=1900,$D$506=0),0,VLOOKUP(A479,'Estados Financieros'!$A$11:$I$453,8,0))</f>
        <v>270</v>
      </c>
      <c r="E479" t="str">
        <f t="shared" si="25"/>
        <v>270,000</v>
      </c>
    </row>
    <row r="480" spans="1:5" x14ac:dyDescent="0.25">
      <c r="A480">
        <v>120610</v>
      </c>
      <c r="B480" t="str">
        <f t="shared" si="23"/>
        <v>900142011</v>
      </c>
      <c r="C480">
        <f t="shared" si="24"/>
        <v>202106</v>
      </c>
      <c r="D480">
        <f>IF(OR(C480=1900,$D$506=0),0,VLOOKUP(A480,'Estados Financieros'!$A$11:$I$453,8,0))</f>
        <v>30</v>
      </c>
      <c r="E480" t="str">
        <f t="shared" si="25"/>
        <v>30,000</v>
      </c>
    </row>
    <row r="481" spans="1:5" x14ac:dyDescent="0.25">
      <c r="A481">
        <v>120615</v>
      </c>
      <c r="B481" t="str">
        <f t="shared" si="23"/>
        <v>900142011</v>
      </c>
      <c r="C481">
        <f t="shared" si="24"/>
        <v>202106</v>
      </c>
      <c r="D481">
        <f>IF(OR(C481=1900,$D$506=0),0,VLOOKUP(A481,'Estados Financieros'!$A$11:$I$453,8,0))</f>
        <v>30</v>
      </c>
      <c r="E481" t="str">
        <f t="shared" si="25"/>
        <v>30,000</v>
      </c>
    </row>
    <row r="482" spans="1:5" x14ac:dyDescent="0.25">
      <c r="A482">
        <v>173001</v>
      </c>
      <c r="B482" t="str">
        <f t="shared" si="23"/>
        <v>900142011</v>
      </c>
      <c r="C482">
        <f t="shared" si="24"/>
        <v>202106</v>
      </c>
      <c r="D482">
        <f>IF(OR(C482=1900,$D$506=0),0,VLOOKUP(A482,'Estados Financieros'!$A$11:$I$453,8,0))</f>
        <v>30</v>
      </c>
      <c r="E482" t="str">
        <f t="shared" si="25"/>
        <v>30,000</v>
      </c>
    </row>
    <row r="483" spans="1:5" x14ac:dyDescent="0.25">
      <c r="A483">
        <v>120620</v>
      </c>
      <c r="B483" t="str">
        <f t="shared" si="23"/>
        <v>900142011</v>
      </c>
      <c r="C483">
        <f t="shared" si="24"/>
        <v>202106</v>
      </c>
      <c r="D483">
        <f>IF(OR(C483=1900,$D$506=0),0,VLOOKUP(A483,'Estados Financieros'!$A$11:$I$453,8,0))</f>
        <v>30</v>
      </c>
      <c r="E483" t="str">
        <f t="shared" si="25"/>
        <v>30,000</v>
      </c>
    </row>
    <row r="484" spans="1:5" x14ac:dyDescent="0.25">
      <c r="A484">
        <v>179701</v>
      </c>
      <c r="B484" t="str">
        <f t="shared" ref="B484:B547" si="26">+B483</f>
        <v>900142011</v>
      </c>
      <c r="C484">
        <f t="shared" ref="C484:C547" si="27">C483</f>
        <v>202106</v>
      </c>
      <c r="D484">
        <f>IF(OR(C484=1900,$D$506=0),0,VLOOKUP(A484,'Estados Financieros'!$A$11:$I$453,8,0))</f>
        <v>30</v>
      </c>
      <c r="E484" t="str">
        <f t="shared" si="25"/>
        <v>30,000</v>
      </c>
    </row>
    <row r="485" spans="1:5" x14ac:dyDescent="0.25">
      <c r="A485">
        <v>179801</v>
      </c>
      <c r="B485" t="str">
        <f t="shared" si="26"/>
        <v>900142011</v>
      </c>
      <c r="C485">
        <f t="shared" si="27"/>
        <v>202106</v>
      </c>
      <c r="D485">
        <f>IF(OR(C485=1900,$D$506=0),0,VLOOKUP(A485,'Estados Financieros'!$A$11:$I$453,8,0))</f>
        <v>30</v>
      </c>
      <c r="E485" t="str">
        <f t="shared" si="25"/>
        <v>30,000</v>
      </c>
    </row>
    <row r="486" spans="1:5" x14ac:dyDescent="0.25">
      <c r="A486">
        <v>1206</v>
      </c>
      <c r="B486" t="str">
        <f t="shared" si="26"/>
        <v>900142011</v>
      </c>
      <c r="C486">
        <f t="shared" si="27"/>
        <v>202106</v>
      </c>
      <c r="D486">
        <f>IF(OR(C486=1900,$D$506=0),0,VLOOKUP(A486,'Estados Financieros'!$A$11:$I$453,8,0))</f>
        <v>180</v>
      </c>
      <c r="E486" t="str">
        <f t="shared" si="25"/>
        <v>180,000</v>
      </c>
    </row>
    <row r="487" spans="1:5" x14ac:dyDescent="0.25">
      <c r="A487">
        <v>160501</v>
      </c>
      <c r="B487" t="str">
        <f t="shared" si="26"/>
        <v>900142011</v>
      </c>
      <c r="C487">
        <f t="shared" si="27"/>
        <v>202106</v>
      </c>
      <c r="D487">
        <f>IF(OR(C487=1900,$D$506=0),0,VLOOKUP(A487,'Estados Financieros'!$A$11:$I$453,8,0))</f>
        <v>30</v>
      </c>
      <c r="E487" t="str">
        <f t="shared" si="25"/>
        <v>30,000</v>
      </c>
    </row>
    <row r="488" spans="1:5" x14ac:dyDescent="0.25">
      <c r="A488">
        <v>161001</v>
      </c>
      <c r="B488" t="str">
        <f t="shared" si="26"/>
        <v>900142011</v>
      </c>
      <c r="C488">
        <f t="shared" si="27"/>
        <v>202106</v>
      </c>
      <c r="D488">
        <f>IF(OR(C488=1900,$D$506=0),0,VLOOKUP(A488,'Estados Financieros'!$A$11:$I$453,8,0))</f>
        <v>30</v>
      </c>
      <c r="E488" t="str">
        <f t="shared" si="25"/>
        <v>30,000</v>
      </c>
    </row>
    <row r="489" spans="1:5" x14ac:dyDescent="0.25">
      <c r="A489">
        <v>163001</v>
      </c>
      <c r="B489" t="str">
        <f t="shared" si="26"/>
        <v>900142011</v>
      </c>
      <c r="C489">
        <f t="shared" si="27"/>
        <v>202106</v>
      </c>
      <c r="D489">
        <f>IF(OR(C489=1900,$D$506=0),0,VLOOKUP(A489,'Estados Financieros'!$A$11:$I$453,8,0))</f>
        <v>30</v>
      </c>
      <c r="E489" t="str">
        <f t="shared" si="25"/>
        <v>30,000</v>
      </c>
    </row>
    <row r="490" spans="1:5" x14ac:dyDescent="0.25">
      <c r="A490">
        <v>164001</v>
      </c>
      <c r="B490" t="str">
        <f t="shared" si="26"/>
        <v>900142011</v>
      </c>
      <c r="C490">
        <f t="shared" si="27"/>
        <v>202106</v>
      </c>
      <c r="D490">
        <f>IF(OR(C490=1900,$D$506=0),0,VLOOKUP(A490,'Estados Financieros'!$A$11:$I$453,8,0))</f>
        <v>30</v>
      </c>
      <c r="E490" t="str">
        <f t="shared" si="25"/>
        <v>30,000</v>
      </c>
    </row>
    <row r="491" spans="1:5" x14ac:dyDescent="0.25">
      <c r="A491">
        <v>109801</v>
      </c>
      <c r="B491" t="str">
        <f t="shared" si="26"/>
        <v>900142011</v>
      </c>
      <c r="C491">
        <f t="shared" si="27"/>
        <v>202106</v>
      </c>
      <c r="D491">
        <f>IF(OR(C491=1900,$D$506=0),0,VLOOKUP(A491,'Estados Financieros'!$A$11:$I$453,8,0))</f>
        <v>30</v>
      </c>
      <c r="E491" t="str">
        <f t="shared" si="25"/>
        <v>30,000</v>
      </c>
    </row>
    <row r="492" spans="1:5" x14ac:dyDescent="0.25">
      <c r="A492">
        <v>169899</v>
      </c>
      <c r="B492" t="str">
        <f t="shared" si="26"/>
        <v>900142011</v>
      </c>
      <c r="C492">
        <f t="shared" si="27"/>
        <v>202106</v>
      </c>
      <c r="D492">
        <f>IF(OR(C492=1900,$D$506=0),0,VLOOKUP(A492,'Estados Financieros'!$A$11:$I$453,8,0))</f>
        <v>30</v>
      </c>
      <c r="E492" t="str">
        <f t="shared" si="25"/>
        <v>30,000</v>
      </c>
    </row>
    <row r="493" spans="1:5" x14ac:dyDescent="0.25">
      <c r="A493">
        <v>169901</v>
      </c>
      <c r="B493" t="str">
        <f t="shared" si="26"/>
        <v>900142011</v>
      </c>
      <c r="C493">
        <f t="shared" si="27"/>
        <v>202106</v>
      </c>
      <c r="D493">
        <f>IF(OR(C493=1900,$D$506=0),0,VLOOKUP(A493,'Estados Financieros'!$A$11:$I$453,8,0))</f>
        <v>30</v>
      </c>
      <c r="E493" t="str">
        <f t="shared" si="25"/>
        <v>30,000</v>
      </c>
    </row>
    <row r="494" spans="1:5" x14ac:dyDescent="0.25">
      <c r="A494">
        <v>1202</v>
      </c>
      <c r="B494" t="str">
        <f t="shared" si="26"/>
        <v>900142011</v>
      </c>
      <c r="C494">
        <f t="shared" si="27"/>
        <v>202106</v>
      </c>
      <c r="D494">
        <f>IF(OR(C494=1900,$D$506=0),0,VLOOKUP(A494,'Estados Financieros'!$A$11:$I$453,8,0))</f>
        <v>210</v>
      </c>
      <c r="E494" t="str">
        <f t="shared" si="25"/>
        <v>210,000</v>
      </c>
    </row>
    <row r="495" spans="1:5" x14ac:dyDescent="0.25">
      <c r="A495">
        <v>180501</v>
      </c>
      <c r="B495" t="str">
        <f t="shared" si="26"/>
        <v>900142011</v>
      </c>
      <c r="C495">
        <f t="shared" si="27"/>
        <v>202106</v>
      </c>
      <c r="D495">
        <f>IF(OR(C495=1900,$D$506=0),0,VLOOKUP(A495,'Estados Financieros'!$A$11:$I$453,8,0))</f>
        <v>30</v>
      </c>
      <c r="E495" t="str">
        <f t="shared" si="25"/>
        <v>30,000</v>
      </c>
    </row>
    <row r="496" spans="1:5" x14ac:dyDescent="0.25">
      <c r="A496">
        <v>189501</v>
      </c>
      <c r="B496" t="str">
        <f t="shared" si="26"/>
        <v>900142011</v>
      </c>
      <c r="C496">
        <f t="shared" si="27"/>
        <v>202106</v>
      </c>
      <c r="D496">
        <f>IF(OR(C496=1900,$D$506=0),0,VLOOKUP(A496,'Estados Financieros'!$A$11:$I$453,8,0))</f>
        <v>30</v>
      </c>
      <c r="E496" t="str">
        <f t="shared" si="25"/>
        <v>30,000</v>
      </c>
    </row>
    <row r="497" spans="1:5" x14ac:dyDescent="0.25">
      <c r="A497">
        <v>189520</v>
      </c>
      <c r="B497" t="str">
        <f t="shared" si="26"/>
        <v>900142011</v>
      </c>
      <c r="C497">
        <f t="shared" si="27"/>
        <v>202106</v>
      </c>
      <c r="D497">
        <f>IF(OR(C497=1900,$D$506=0),0,VLOOKUP(A497,'Estados Financieros'!$A$11:$I$453,8,0))</f>
        <v>30</v>
      </c>
      <c r="E497" t="str">
        <f t="shared" si="25"/>
        <v>30,000</v>
      </c>
    </row>
    <row r="498" spans="1:5" x14ac:dyDescent="0.25">
      <c r="A498">
        <v>189701</v>
      </c>
      <c r="B498" t="str">
        <f t="shared" si="26"/>
        <v>900142011</v>
      </c>
      <c r="C498">
        <f t="shared" si="27"/>
        <v>202106</v>
      </c>
      <c r="D498">
        <f>IF(OR(C498=1900,$D$506=0),0,VLOOKUP(A498,'Estados Financieros'!$A$11:$I$453,8,0))</f>
        <v>30</v>
      </c>
      <c r="E498" t="str">
        <f t="shared" si="25"/>
        <v>30,000</v>
      </c>
    </row>
    <row r="499" spans="1:5" x14ac:dyDescent="0.25">
      <c r="A499">
        <v>189901</v>
      </c>
      <c r="B499" t="str">
        <f t="shared" si="26"/>
        <v>900142011</v>
      </c>
      <c r="C499">
        <f t="shared" si="27"/>
        <v>202106</v>
      </c>
      <c r="D499">
        <f>IF(OR(C499=1900,$D$506=0),0,VLOOKUP(A499,'Estados Financieros'!$A$11:$I$453,8,0))</f>
        <v>30</v>
      </c>
      <c r="E499" t="str">
        <f t="shared" si="25"/>
        <v>30,000</v>
      </c>
    </row>
    <row r="500" spans="1:5" x14ac:dyDescent="0.25">
      <c r="A500">
        <v>1207</v>
      </c>
      <c r="B500" t="str">
        <f t="shared" si="26"/>
        <v>900142011</v>
      </c>
      <c r="C500">
        <f t="shared" si="27"/>
        <v>202106</v>
      </c>
      <c r="D500">
        <f>IF(OR(C500=1900,$D$506=0),0,VLOOKUP(A500,'Estados Financieros'!$A$11:$I$453,8,0))</f>
        <v>150</v>
      </c>
      <c r="E500" t="str">
        <f t="shared" si="25"/>
        <v>150,000</v>
      </c>
    </row>
    <row r="501" spans="1:5" x14ac:dyDescent="0.25">
      <c r="A501">
        <v>190501</v>
      </c>
      <c r="B501" t="str">
        <f t="shared" si="26"/>
        <v>900142011</v>
      </c>
      <c r="C501">
        <f t="shared" si="27"/>
        <v>202106</v>
      </c>
      <c r="D501">
        <f>IF(OR(C501=1900,$D$506=0),0,VLOOKUP(A501,'Estados Financieros'!$A$11:$I$453,8,0))</f>
        <v>30</v>
      </c>
      <c r="E501" t="str">
        <f t="shared" si="25"/>
        <v>30,000</v>
      </c>
    </row>
    <row r="502" spans="1:5" x14ac:dyDescent="0.25">
      <c r="A502">
        <v>191001</v>
      </c>
      <c r="B502" t="str">
        <f t="shared" si="26"/>
        <v>900142011</v>
      </c>
      <c r="C502">
        <f t="shared" si="27"/>
        <v>202106</v>
      </c>
      <c r="D502">
        <f>IF(OR(C502=1900,$D$506=0),0,VLOOKUP(A502,'Estados Financieros'!$A$11:$I$453,8,0))</f>
        <v>30</v>
      </c>
      <c r="E502" t="str">
        <f t="shared" si="25"/>
        <v>30,000</v>
      </c>
    </row>
    <row r="503" spans="1:5" x14ac:dyDescent="0.25">
      <c r="A503">
        <v>199501</v>
      </c>
      <c r="B503" t="str">
        <f t="shared" si="26"/>
        <v>900142011</v>
      </c>
      <c r="C503">
        <f t="shared" si="27"/>
        <v>202106</v>
      </c>
      <c r="D503">
        <f>IF(OR(C503=1900,$D$506=0),0,VLOOKUP(A503,'Estados Financieros'!$A$11:$I$453,8,0))</f>
        <v>30</v>
      </c>
      <c r="E503" t="str">
        <f t="shared" si="25"/>
        <v>30,000</v>
      </c>
    </row>
    <row r="504" spans="1:5" x14ac:dyDescent="0.25">
      <c r="A504">
        <v>1208</v>
      </c>
      <c r="B504" t="str">
        <f t="shared" si="26"/>
        <v>900142011</v>
      </c>
      <c r="C504">
        <f t="shared" si="27"/>
        <v>202106</v>
      </c>
      <c r="D504">
        <f>IF(OR(C504=1900,$D$506=0),0,VLOOKUP(A504,'Estados Financieros'!$A$11:$I$453,8,0))</f>
        <v>90</v>
      </c>
      <c r="E504" t="str">
        <f t="shared" si="25"/>
        <v>90,000</v>
      </c>
    </row>
    <row r="505" spans="1:5" x14ac:dyDescent="0.25">
      <c r="A505">
        <v>12</v>
      </c>
      <c r="B505" t="str">
        <f t="shared" si="26"/>
        <v>900142011</v>
      </c>
      <c r="C505">
        <f t="shared" si="27"/>
        <v>202106</v>
      </c>
      <c r="D505">
        <f>IF(OR(C505=1900,$D$506=0),0,VLOOKUP(A505,'Estados Financieros'!$A$11:$I$453,8,0))</f>
        <v>2100</v>
      </c>
      <c r="E505" t="str">
        <f t="shared" si="25"/>
        <v>2100,000</v>
      </c>
    </row>
    <row r="506" spans="1:5" x14ac:dyDescent="0.25">
      <c r="A506">
        <v>1</v>
      </c>
      <c r="B506" t="str">
        <f t="shared" si="26"/>
        <v>900142011</v>
      </c>
      <c r="C506">
        <f t="shared" si="27"/>
        <v>202106</v>
      </c>
      <c r="D506">
        <f>IF(C506=1900,0,VLOOKUP(A506,'Estados Financieros'!$A$11:$I$453,8,0))</f>
        <v>3960</v>
      </c>
      <c r="E506" t="str">
        <f t="shared" si="25"/>
        <v>3960,000</v>
      </c>
    </row>
    <row r="507" spans="1:5" x14ac:dyDescent="0.25">
      <c r="A507">
        <v>108100</v>
      </c>
      <c r="B507" t="str">
        <f t="shared" si="26"/>
        <v>900142011</v>
      </c>
      <c r="C507">
        <f t="shared" si="27"/>
        <v>202106</v>
      </c>
      <c r="D507">
        <f>IF(OR(C507=1900,$D$506=0),0,VLOOKUP(A507,'Estados Financieros'!$A$11:$I$453,8,0))</f>
        <v>0</v>
      </c>
      <c r="E507" t="str">
        <f t="shared" si="25"/>
        <v>0,000</v>
      </c>
    </row>
    <row r="508" spans="1:5" x14ac:dyDescent="0.25">
      <c r="A508">
        <v>108200</v>
      </c>
      <c r="B508" t="str">
        <f t="shared" si="26"/>
        <v>900142011</v>
      </c>
      <c r="C508">
        <f t="shared" si="27"/>
        <v>202106</v>
      </c>
      <c r="D508">
        <f>IF(OR(C508=1900,$D$506=0),0,VLOOKUP(A508,'Estados Financieros'!$A$11:$I$453,8,0))</f>
        <v>0</v>
      </c>
      <c r="E508" t="str">
        <f t="shared" si="25"/>
        <v>0,000</v>
      </c>
    </row>
    <row r="509" spans="1:5" x14ac:dyDescent="0.25">
      <c r="A509">
        <v>108300</v>
      </c>
      <c r="B509" t="str">
        <f t="shared" si="26"/>
        <v>900142011</v>
      </c>
      <c r="C509">
        <f t="shared" si="27"/>
        <v>202106</v>
      </c>
      <c r="D509">
        <f>IF(OR(C509=1900,$D$506=0),0,VLOOKUP(A509,'Estados Financieros'!$A$11:$I$453,8,0))</f>
        <v>0</v>
      </c>
      <c r="E509" t="str">
        <f t="shared" si="25"/>
        <v>0,000</v>
      </c>
    </row>
    <row r="510" spans="1:5" x14ac:dyDescent="0.25">
      <c r="A510">
        <v>108400</v>
      </c>
      <c r="B510" t="str">
        <f t="shared" si="26"/>
        <v>900142011</v>
      </c>
      <c r="C510">
        <f t="shared" si="27"/>
        <v>202106</v>
      </c>
      <c r="D510">
        <f>IF(OR(C510=1900,$D$506=0),0,VLOOKUP(A510,'Estados Financieros'!$A$11:$I$453,8,0))</f>
        <v>0</v>
      </c>
      <c r="E510" t="str">
        <f t="shared" si="25"/>
        <v>0,000</v>
      </c>
    </row>
    <row r="511" spans="1:5" x14ac:dyDescent="0.25">
      <c r="A511">
        <v>108000</v>
      </c>
      <c r="B511" t="str">
        <f t="shared" si="26"/>
        <v>900142011</v>
      </c>
      <c r="C511">
        <f t="shared" si="27"/>
        <v>202106</v>
      </c>
      <c r="D511">
        <f>IF(OR(C511=1900,$D$506=0),0,VLOOKUP(A511,'Estados Financieros'!$A$11:$I$453,8,0))</f>
        <v>0</v>
      </c>
      <c r="E511" t="str">
        <f t="shared" si="25"/>
        <v>0,000</v>
      </c>
    </row>
    <row r="512" spans="1:5" x14ac:dyDescent="0.25">
      <c r="A512">
        <v>210500</v>
      </c>
      <c r="B512" t="str">
        <f t="shared" si="26"/>
        <v>900142011</v>
      </c>
      <c r="C512">
        <f t="shared" si="27"/>
        <v>202106</v>
      </c>
      <c r="D512">
        <f>IF(OR(C512=1900,$D$506=0),0,VLOOKUP(A512,'Estados Financieros'!$A$11:$I$453,8,0))</f>
        <v>10</v>
      </c>
      <c r="E512" t="str">
        <f t="shared" si="25"/>
        <v>10,000</v>
      </c>
    </row>
    <row r="513" spans="1:5" x14ac:dyDescent="0.25">
      <c r="A513">
        <v>211500</v>
      </c>
      <c r="B513" t="str">
        <f t="shared" si="26"/>
        <v>900142011</v>
      </c>
      <c r="C513">
        <f t="shared" si="27"/>
        <v>202106</v>
      </c>
      <c r="D513">
        <f>IF(OR(C513=1900,$D$506=0),0,VLOOKUP(A513,'Estados Financieros'!$A$11:$I$453,8,0))</f>
        <v>10</v>
      </c>
      <c r="E513" t="str">
        <f t="shared" si="25"/>
        <v>10,000</v>
      </c>
    </row>
    <row r="514" spans="1:5" x14ac:dyDescent="0.25">
      <c r="A514">
        <v>219500</v>
      </c>
      <c r="B514" t="str">
        <f t="shared" si="26"/>
        <v>900142011</v>
      </c>
      <c r="C514">
        <f t="shared" si="27"/>
        <v>202106</v>
      </c>
      <c r="D514">
        <f>IF(OR(C514=1900,$D$506=0),0,VLOOKUP(A514,'Estados Financieros'!$A$11:$I$453,8,0))</f>
        <v>10</v>
      </c>
      <c r="E514" t="str">
        <f t="shared" ref="E514:E577" si="28">IFERROR(FIXED(D514,3,1),0)</f>
        <v>10,000</v>
      </c>
    </row>
    <row r="515" spans="1:5" x14ac:dyDescent="0.25">
      <c r="A515">
        <v>2101</v>
      </c>
      <c r="B515" t="str">
        <f t="shared" si="26"/>
        <v>900142011</v>
      </c>
      <c r="C515">
        <f t="shared" si="27"/>
        <v>202106</v>
      </c>
      <c r="D515">
        <f>IF(OR(C515=1900,$D$506=0),0,VLOOKUP(A515,'Estados Financieros'!$A$11:$I$453,8,0))</f>
        <v>30</v>
      </c>
      <c r="E515" t="str">
        <f t="shared" si="28"/>
        <v>30,000</v>
      </c>
    </row>
    <row r="516" spans="1:5" x14ac:dyDescent="0.25">
      <c r="A516">
        <v>220500</v>
      </c>
      <c r="B516" t="str">
        <f t="shared" si="26"/>
        <v>900142011</v>
      </c>
      <c r="C516">
        <f t="shared" si="27"/>
        <v>202106</v>
      </c>
      <c r="D516">
        <f>IF(OR(C516=1900,$D$506=0),0,VLOOKUP(A516,'Estados Financieros'!$A$11:$I$453,8,0))</f>
        <v>10</v>
      </c>
      <c r="E516" t="str">
        <f t="shared" si="28"/>
        <v>10,000</v>
      </c>
    </row>
    <row r="517" spans="1:5" x14ac:dyDescent="0.25">
      <c r="A517">
        <v>221000</v>
      </c>
      <c r="B517" t="str">
        <f t="shared" si="26"/>
        <v>900142011</v>
      </c>
      <c r="C517">
        <f t="shared" si="27"/>
        <v>202106</v>
      </c>
      <c r="D517">
        <f>IF(OR(C517=1900,$D$506=0),0,VLOOKUP(A517,'Estados Financieros'!$A$11:$I$453,8,0))</f>
        <v>10</v>
      </c>
      <c r="E517" t="str">
        <f t="shared" si="28"/>
        <v>10,000</v>
      </c>
    </row>
    <row r="518" spans="1:5" x14ac:dyDescent="0.25">
      <c r="A518">
        <v>221500</v>
      </c>
      <c r="B518" t="str">
        <f t="shared" si="26"/>
        <v>900142011</v>
      </c>
      <c r="C518">
        <f t="shared" si="27"/>
        <v>202106</v>
      </c>
      <c r="D518">
        <f>IF(OR(C518=1900,$D$506=0),0,VLOOKUP(A518,'Estados Financieros'!$A$11:$I$453,8,0))</f>
        <v>10</v>
      </c>
      <c r="E518" t="str">
        <f t="shared" si="28"/>
        <v>10,000</v>
      </c>
    </row>
    <row r="519" spans="1:5" x14ac:dyDescent="0.25">
      <c r="A519">
        <v>2102</v>
      </c>
      <c r="B519" t="str">
        <f t="shared" si="26"/>
        <v>900142011</v>
      </c>
      <c r="C519">
        <f t="shared" si="27"/>
        <v>202106</v>
      </c>
      <c r="D519">
        <f>IF(OR(C519=1900,$D$506=0),0,VLOOKUP(A519,'Estados Financieros'!$A$11:$I$453,8,0))</f>
        <v>30</v>
      </c>
      <c r="E519" t="str">
        <f t="shared" si="28"/>
        <v>30,000</v>
      </c>
    </row>
    <row r="520" spans="1:5" x14ac:dyDescent="0.25">
      <c r="A520">
        <v>230500</v>
      </c>
      <c r="B520" t="str">
        <f t="shared" si="26"/>
        <v>900142011</v>
      </c>
      <c r="C520">
        <f t="shared" si="27"/>
        <v>202106</v>
      </c>
      <c r="D520">
        <f>IF(OR(C520=1900,$D$506=0),0,VLOOKUP(A520,'Estados Financieros'!$A$11:$I$453,8,0))</f>
        <v>10</v>
      </c>
      <c r="E520" t="str">
        <f t="shared" si="28"/>
        <v>10,000</v>
      </c>
    </row>
    <row r="521" spans="1:5" x14ac:dyDescent="0.25">
      <c r="A521">
        <v>231000</v>
      </c>
      <c r="B521" t="str">
        <f t="shared" si="26"/>
        <v>900142011</v>
      </c>
      <c r="C521">
        <f t="shared" si="27"/>
        <v>202106</v>
      </c>
      <c r="D521">
        <f>IF(OR(C521=1900,$D$506=0),0,VLOOKUP(A521,'Estados Financieros'!$A$11:$I$453,8,0))</f>
        <v>10</v>
      </c>
      <c r="E521" t="str">
        <f t="shared" si="28"/>
        <v>10,000</v>
      </c>
    </row>
    <row r="522" spans="1:5" x14ac:dyDescent="0.25">
      <c r="A522">
        <v>231500</v>
      </c>
      <c r="B522" t="str">
        <f t="shared" si="26"/>
        <v>900142011</v>
      </c>
      <c r="C522">
        <f t="shared" si="27"/>
        <v>202106</v>
      </c>
      <c r="D522">
        <f>IF(OR(C522=1900,$D$506=0),0,VLOOKUP(A522,'Estados Financieros'!$A$11:$I$453,8,0))</f>
        <v>10</v>
      </c>
      <c r="E522" t="str">
        <f t="shared" si="28"/>
        <v>10,000</v>
      </c>
    </row>
    <row r="523" spans="1:5" x14ac:dyDescent="0.25">
      <c r="A523">
        <v>232000</v>
      </c>
      <c r="B523" t="str">
        <f t="shared" si="26"/>
        <v>900142011</v>
      </c>
      <c r="C523">
        <f t="shared" si="27"/>
        <v>202106</v>
      </c>
      <c r="D523">
        <f>IF(OR(C523=1900,$D$506=0),0,VLOOKUP(A523,'Estados Financieros'!$A$11:$I$453,8,0))</f>
        <v>10</v>
      </c>
      <c r="E523" t="str">
        <f t="shared" si="28"/>
        <v>10,000</v>
      </c>
    </row>
    <row r="524" spans="1:5" x14ac:dyDescent="0.25">
      <c r="A524">
        <v>233500</v>
      </c>
      <c r="B524" t="str">
        <f t="shared" si="26"/>
        <v>900142011</v>
      </c>
      <c r="C524">
        <f t="shared" si="27"/>
        <v>202106</v>
      </c>
      <c r="D524">
        <f>IF(OR(C524=1900,$D$506=0),0,VLOOKUP(A524,'Estados Financieros'!$A$11:$I$453,8,0))</f>
        <v>10</v>
      </c>
      <c r="E524" t="str">
        <f t="shared" si="28"/>
        <v>10,000</v>
      </c>
    </row>
    <row r="525" spans="1:5" x14ac:dyDescent="0.25">
      <c r="A525">
        <v>234500</v>
      </c>
      <c r="B525" t="str">
        <f t="shared" si="26"/>
        <v>900142011</v>
      </c>
      <c r="C525">
        <f t="shared" si="27"/>
        <v>202106</v>
      </c>
      <c r="D525">
        <f>IF(OR(C525=1900,$D$506=0),0,VLOOKUP(A525,'Estados Financieros'!$A$11:$I$453,8,0))</f>
        <v>10</v>
      </c>
      <c r="E525" t="str">
        <f t="shared" si="28"/>
        <v>10,000</v>
      </c>
    </row>
    <row r="526" spans="1:5" x14ac:dyDescent="0.25">
      <c r="A526">
        <v>235000</v>
      </c>
      <c r="B526" t="str">
        <f t="shared" si="26"/>
        <v>900142011</v>
      </c>
      <c r="C526">
        <f t="shared" si="27"/>
        <v>202106</v>
      </c>
      <c r="D526">
        <f>IF(OR(C526=1900,$D$506=0),0,VLOOKUP(A526,'Estados Financieros'!$A$11:$I$453,8,0))</f>
        <v>10</v>
      </c>
      <c r="E526" t="str">
        <f t="shared" si="28"/>
        <v>10,000</v>
      </c>
    </row>
    <row r="527" spans="1:5" x14ac:dyDescent="0.25">
      <c r="A527">
        <v>235500</v>
      </c>
      <c r="B527" t="str">
        <f t="shared" si="26"/>
        <v>900142011</v>
      </c>
      <c r="C527">
        <f t="shared" si="27"/>
        <v>202106</v>
      </c>
      <c r="D527">
        <f>IF(OR(C527=1900,$D$506=0),0,VLOOKUP(A527,'Estados Financieros'!$A$11:$I$453,8,0))</f>
        <v>10</v>
      </c>
      <c r="E527" t="str">
        <f t="shared" si="28"/>
        <v>10,000</v>
      </c>
    </row>
    <row r="528" spans="1:5" x14ac:dyDescent="0.25">
      <c r="A528">
        <v>236000</v>
      </c>
      <c r="B528" t="str">
        <f t="shared" si="26"/>
        <v>900142011</v>
      </c>
      <c r="C528">
        <f t="shared" si="27"/>
        <v>202106</v>
      </c>
      <c r="D528">
        <f>IF(OR(C528=1900,$D$506=0),0,VLOOKUP(A528,'Estados Financieros'!$A$11:$I$453,8,0))</f>
        <v>10</v>
      </c>
      <c r="E528" t="str">
        <f t="shared" si="28"/>
        <v>10,000</v>
      </c>
    </row>
    <row r="529" spans="1:5" x14ac:dyDescent="0.25">
      <c r="A529">
        <v>236500</v>
      </c>
      <c r="B529" t="str">
        <f t="shared" si="26"/>
        <v>900142011</v>
      </c>
      <c r="C529">
        <f t="shared" si="27"/>
        <v>202106</v>
      </c>
      <c r="D529">
        <f>IF(OR(C529=1900,$D$506=0),0,VLOOKUP(A529,'Estados Financieros'!$A$11:$I$453,8,0))</f>
        <v>10</v>
      </c>
      <c r="E529" t="str">
        <f t="shared" si="28"/>
        <v>10,000</v>
      </c>
    </row>
    <row r="530" spans="1:5" x14ac:dyDescent="0.25">
      <c r="A530">
        <v>236700</v>
      </c>
      <c r="B530" t="str">
        <f t="shared" si="26"/>
        <v>900142011</v>
      </c>
      <c r="C530">
        <f t="shared" si="27"/>
        <v>202106</v>
      </c>
      <c r="D530">
        <f>IF(OR(C530=1900,$D$506=0),0,VLOOKUP(A530,'Estados Financieros'!$A$11:$I$453,8,0))</f>
        <v>10</v>
      </c>
      <c r="E530" t="str">
        <f t="shared" si="28"/>
        <v>10,000</v>
      </c>
    </row>
    <row r="531" spans="1:5" x14ac:dyDescent="0.25">
      <c r="A531">
        <v>236800</v>
      </c>
      <c r="B531" t="str">
        <f t="shared" si="26"/>
        <v>900142011</v>
      </c>
      <c r="C531">
        <f t="shared" si="27"/>
        <v>202106</v>
      </c>
      <c r="D531">
        <f>IF(OR(C531=1900,$D$506=0),0,VLOOKUP(A531,'Estados Financieros'!$A$11:$I$453,8,0))</f>
        <v>10</v>
      </c>
      <c r="E531" t="str">
        <f t="shared" si="28"/>
        <v>10,000</v>
      </c>
    </row>
    <row r="532" spans="1:5" x14ac:dyDescent="0.25">
      <c r="A532">
        <v>237000</v>
      </c>
      <c r="B532" t="str">
        <f t="shared" si="26"/>
        <v>900142011</v>
      </c>
      <c r="C532">
        <f t="shared" si="27"/>
        <v>202106</v>
      </c>
      <c r="D532">
        <f>IF(OR(C532=1900,$D$506=0),0,VLOOKUP(A532,'Estados Financieros'!$A$11:$I$453,8,0))</f>
        <v>10</v>
      </c>
      <c r="E532" t="str">
        <f t="shared" si="28"/>
        <v>10,000</v>
      </c>
    </row>
    <row r="533" spans="1:5" x14ac:dyDescent="0.25">
      <c r="A533">
        <v>238000</v>
      </c>
      <c r="B533" t="str">
        <f t="shared" si="26"/>
        <v>900142011</v>
      </c>
      <c r="C533">
        <f t="shared" si="27"/>
        <v>202106</v>
      </c>
      <c r="D533">
        <f>IF(OR(C533=1900,$D$506=0),0,VLOOKUP(A533,'Estados Financieros'!$A$11:$I$453,8,0))</f>
        <v>10</v>
      </c>
      <c r="E533" t="str">
        <f t="shared" si="28"/>
        <v>10,000</v>
      </c>
    </row>
    <row r="534" spans="1:5" x14ac:dyDescent="0.25">
      <c r="A534">
        <v>2103</v>
      </c>
      <c r="B534" t="str">
        <f t="shared" si="26"/>
        <v>900142011</v>
      </c>
      <c r="C534">
        <f t="shared" si="27"/>
        <v>202106</v>
      </c>
      <c r="D534">
        <f>IF(OR(C534=1900,$D$506=0),0,VLOOKUP(A534,'Estados Financieros'!$A$11:$I$453,8,0))</f>
        <v>140</v>
      </c>
      <c r="E534" t="str">
        <f t="shared" si="28"/>
        <v>140,000</v>
      </c>
    </row>
    <row r="535" spans="1:5" x14ac:dyDescent="0.25">
      <c r="A535">
        <v>240400</v>
      </c>
      <c r="B535" t="str">
        <f t="shared" si="26"/>
        <v>900142011</v>
      </c>
      <c r="C535">
        <f t="shared" si="27"/>
        <v>202106</v>
      </c>
      <c r="D535">
        <f>IF(OR(C535=1900,$D$506=0),0,VLOOKUP(A535,'Estados Financieros'!$A$11:$I$453,8,0))</f>
        <v>10</v>
      </c>
      <c r="E535" t="str">
        <f t="shared" si="28"/>
        <v>10,000</v>
      </c>
    </row>
    <row r="536" spans="1:5" x14ac:dyDescent="0.25">
      <c r="A536">
        <v>240800</v>
      </c>
      <c r="B536" t="str">
        <f t="shared" si="26"/>
        <v>900142011</v>
      </c>
      <c r="C536">
        <f t="shared" si="27"/>
        <v>202106</v>
      </c>
      <c r="D536">
        <f>IF(OR(C536=1900,$D$506=0),0,VLOOKUP(A536,'Estados Financieros'!$A$11:$I$453,8,0))</f>
        <v>10</v>
      </c>
      <c r="E536" t="str">
        <f t="shared" si="28"/>
        <v>10,000</v>
      </c>
    </row>
    <row r="537" spans="1:5" x14ac:dyDescent="0.25">
      <c r="A537">
        <v>241200</v>
      </c>
      <c r="B537" t="str">
        <f t="shared" si="26"/>
        <v>900142011</v>
      </c>
      <c r="C537">
        <f t="shared" si="27"/>
        <v>202106</v>
      </c>
      <c r="D537">
        <f>IF(OR(C537=1900,$D$506=0),0,VLOOKUP(A537,'Estados Financieros'!$A$11:$I$453,8,0))</f>
        <v>10</v>
      </c>
      <c r="E537" t="str">
        <f t="shared" si="28"/>
        <v>10,000</v>
      </c>
    </row>
    <row r="538" spans="1:5" x14ac:dyDescent="0.25">
      <c r="A538">
        <v>249500</v>
      </c>
      <c r="B538" t="str">
        <f t="shared" si="26"/>
        <v>900142011</v>
      </c>
      <c r="C538">
        <f t="shared" si="27"/>
        <v>202106</v>
      </c>
      <c r="D538">
        <f>IF(OR(C538=1900,$D$506=0),0,VLOOKUP(A538,'Estados Financieros'!$A$11:$I$453,8,0))</f>
        <v>10</v>
      </c>
      <c r="E538" t="str">
        <f t="shared" si="28"/>
        <v>10,000</v>
      </c>
    </row>
    <row r="539" spans="1:5" x14ac:dyDescent="0.25">
      <c r="A539">
        <v>2105</v>
      </c>
      <c r="B539" t="str">
        <f t="shared" si="26"/>
        <v>900142011</v>
      </c>
      <c r="C539">
        <f t="shared" si="27"/>
        <v>202106</v>
      </c>
      <c r="D539">
        <f>IF(OR(C539=1900,$D$506=0),0,VLOOKUP(A539,'Estados Financieros'!$A$11:$I$453,8,0))</f>
        <v>40</v>
      </c>
      <c r="E539" t="str">
        <f t="shared" si="28"/>
        <v>40,000</v>
      </c>
    </row>
    <row r="540" spans="1:5" x14ac:dyDescent="0.25">
      <c r="A540">
        <v>250500</v>
      </c>
      <c r="B540" t="str">
        <f t="shared" si="26"/>
        <v>900142011</v>
      </c>
      <c r="C540">
        <f t="shared" si="27"/>
        <v>202106</v>
      </c>
      <c r="D540">
        <f>IF(OR(C540=1900,$D$506=0),0,VLOOKUP(A540,'Estados Financieros'!$A$11:$I$453,8,0))</f>
        <v>10</v>
      </c>
      <c r="E540" t="str">
        <f t="shared" si="28"/>
        <v>10,000</v>
      </c>
    </row>
    <row r="541" spans="1:5" x14ac:dyDescent="0.25">
      <c r="A541">
        <v>251000</v>
      </c>
      <c r="B541" t="str">
        <f t="shared" si="26"/>
        <v>900142011</v>
      </c>
      <c r="C541">
        <f t="shared" si="27"/>
        <v>202106</v>
      </c>
      <c r="D541">
        <f>IF(OR(C541=1900,$D$506=0),0,VLOOKUP(A541,'Estados Financieros'!$A$11:$I$453,8,0))</f>
        <v>10</v>
      </c>
      <c r="E541" t="str">
        <f t="shared" si="28"/>
        <v>10,000</v>
      </c>
    </row>
    <row r="542" spans="1:5" x14ac:dyDescent="0.25">
      <c r="A542">
        <v>251500</v>
      </c>
      <c r="B542" t="str">
        <f t="shared" si="26"/>
        <v>900142011</v>
      </c>
      <c r="C542">
        <f t="shared" si="27"/>
        <v>202106</v>
      </c>
      <c r="D542">
        <f>IF(OR(C542=1900,$D$506=0),0,VLOOKUP(A542,'Estados Financieros'!$A$11:$I$453,8,0))</f>
        <v>10</v>
      </c>
      <c r="E542" t="str">
        <f t="shared" si="28"/>
        <v>10,000</v>
      </c>
    </row>
    <row r="543" spans="1:5" x14ac:dyDescent="0.25">
      <c r="A543">
        <v>252500</v>
      </c>
      <c r="B543" t="str">
        <f t="shared" si="26"/>
        <v>900142011</v>
      </c>
      <c r="C543">
        <f t="shared" si="27"/>
        <v>202106</v>
      </c>
      <c r="D543">
        <f>IF(OR(C543=1900,$D$506=0),0,VLOOKUP(A543,'Estados Financieros'!$A$11:$I$453,8,0))</f>
        <v>10</v>
      </c>
      <c r="E543" t="str">
        <f t="shared" si="28"/>
        <v>10,000</v>
      </c>
    </row>
    <row r="544" spans="1:5" x14ac:dyDescent="0.25">
      <c r="A544">
        <v>253000</v>
      </c>
      <c r="B544" t="str">
        <f t="shared" si="26"/>
        <v>900142011</v>
      </c>
      <c r="C544">
        <f t="shared" si="27"/>
        <v>202106</v>
      </c>
      <c r="D544">
        <f>IF(OR(C544=1900,$D$506=0),0,VLOOKUP(A544,'Estados Financieros'!$A$11:$I$453,8,0))</f>
        <v>10</v>
      </c>
      <c r="E544" t="str">
        <f t="shared" si="28"/>
        <v>10,000</v>
      </c>
    </row>
    <row r="545" spans="1:5" x14ac:dyDescent="0.25">
      <c r="A545">
        <v>259500</v>
      </c>
      <c r="B545" t="str">
        <f t="shared" si="26"/>
        <v>900142011</v>
      </c>
      <c r="C545">
        <f t="shared" si="27"/>
        <v>202106</v>
      </c>
      <c r="D545">
        <f>IF(OR(C545=1900,$D$506=0),0,VLOOKUP(A545,'Estados Financieros'!$A$11:$I$453,8,0))</f>
        <v>10</v>
      </c>
      <c r="E545" t="str">
        <f t="shared" si="28"/>
        <v>10,000</v>
      </c>
    </row>
    <row r="546" spans="1:5" x14ac:dyDescent="0.25">
      <c r="A546">
        <v>2104</v>
      </c>
      <c r="B546" t="str">
        <f t="shared" si="26"/>
        <v>900142011</v>
      </c>
      <c r="C546">
        <f t="shared" si="27"/>
        <v>202106</v>
      </c>
      <c r="D546">
        <f>IF(OR(C546=1900,$D$506=0),0,VLOOKUP(A546,'Estados Financieros'!$A$11:$I$453,8,0))</f>
        <v>60</v>
      </c>
      <c r="E546" t="str">
        <f t="shared" si="28"/>
        <v>60,000</v>
      </c>
    </row>
    <row r="547" spans="1:5" x14ac:dyDescent="0.25">
      <c r="A547">
        <v>260500</v>
      </c>
      <c r="B547" t="str">
        <f t="shared" si="26"/>
        <v>900142011</v>
      </c>
      <c r="C547">
        <f t="shared" si="27"/>
        <v>202106</v>
      </c>
      <c r="D547">
        <f>IF(OR(C547=1900,$D$506=0),0,VLOOKUP(A547,'Estados Financieros'!$A$11:$I$453,8,0))</f>
        <v>10</v>
      </c>
      <c r="E547" t="str">
        <f t="shared" si="28"/>
        <v>10,000</v>
      </c>
    </row>
    <row r="548" spans="1:5" x14ac:dyDescent="0.25">
      <c r="A548">
        <v>261000</v>
      </c>
      <c r="B548" t="str">
        <f t="shared" ref="B548:B611" si="29">+B547</f>
        <v>900142011</v>
      </c>
      <c r="C548">
        <f t="shared" ref="C548:C611" si="30">C547</f>
        <v>202106</v>
      </c>
      <c r="D548">
        <f>IF(OR(C548=1900,$D$506=0),0,VLOOKUP(A548,'Estados Financieros'!$A$11:$I$453,8,0))</f>
        <v>10</v>
      </c>
      <c r="E548" t="str">
        <f t="shared" si="28"/>
        <v>10,000</v>
      </c>
    </row>
    <row r="549" spans="1:5" x14ac:dyDescent="0.25">
      <c r="A549">
        <v>261500</v>
      </c>
      <c r="B549" t="str">
        <f t="shared" si="29"/>
        <v>900142011</v>
      </c>
      <c r="C549">
        <f t="shared" si="30"/>
        <v>202106</v>
      </c>
      <c r="D549">
        <f>IF(OR(C549=1900,$D$506=0),0,VLOOKUP(A549,'Estados Financieros'!$A$11:$I$453,8,0))</f>
        <v>10</v>
      </c>
      <c r="E549" t="str">
        <f t="shared" si="28"/>
        <v>10,000</v>
      </c>
    </row>
    <row r="550" spans="1:5" x14ac:dyDescent="0.25">
      <c r="A550">
        <v>262000</v>
      </c>
      <c r="B550" t="str">
        <f t="shared" si="29"/>
        <v>900142011</v>
      </c>
      <c r="C550">
        <f t="shared" si="30"/>
        <v>202106</v>
      </c>
      <c r="D550">
        <f>IF(OR(C550=1900,$D$506=0),0,VLOOKUP(A550,'Estados Financieros'!$A$11:$I$453,8,0))</f>
        <v>10</v>
      </c>
      <c r="E550" t="str">
        <f t="shared" si="28"/>
        <v>10,000</v>
      </c>
    </row>
    <row r="551" spans="1:5" x14ac:dyDescent="0.25">
      <c r="A551">
        <v>262500</v>
      </c>
      <c r="B551" t="str">
        <f t="shared" si="29"/>
        <v>900142011</v>
      </c>
      <c r="C551">
        <f t="shared" si="30"/>
        <v>202106</v>
      </c>
      <c r="D551">
        <f>IF(OR(C551=1900,$D$506=0),0,VLOOKUP(A551,'Estados Financieros'!$A$11:$I$453,8,0))</f>
        <v>10</v>
      </c>
      <c r="E551" t="str">
        <f t="shared" si="28"/>
        <v>10,000</v>
      </c>
    </row>
    <row r="552" spans="1:5" x14ac:dyDescent="0.25">
      <c r="A552">
        <v>263000</v>
      </c>
      <c r="B552" t="str">
        <f t="shared" si="29"/>
        <v>900142011</v>
      </c>
      <c r="C552">
        <f t="shared" si="30"/>
        <v>202106</v>
      </c>
      <c r="D552">
        <f>IF(OR(C552=1900,$D$506=0),0,VLOOKUP(A552,'Estados Financieros'!$A$11:$I$453,8,0))</f>
        <v>10</v>
      </c>
      <c r="E552" t="str">
        <f t="shared" si="28"/>
        <v>10,000</v>
      </c>
    </row>
    <row r="553" spans="1:5" x14ac:dyDescent="0.25">
      <c r="A553">
        <v>263500</v>
      </c>
      <c r="B553" t="str">
        <f t="shared" si="29"/>
        <v>900142011</v>
      </c>
      <c r="C553">
        <f t="shared" si="30"/>
        <v>202106</v>
      </c>
      <c r="D553">
        <f>IF(OR(C553=1900,$D$506=0),0,VLOOKUP(A553,'Estados Financieros'!$A$11:$I$453,8,0))</f>
        <v>10</v>
      </c>
      <c r="E553" t="str">
        <f t="shared" si="28"/>
        <v>10,000</v>
      </c>
    </row>
    <row r="554" spans="1:5" x14ac:dyDescent="0.25">
      <c r="A554">
        <v>264000</v>
      </c>
      <c r="B554" t="str">
        <f t="shared" si="29"/>
        <v>900142011</v>
      </c>
      <c r="C554">
        <f t="shared" si="30"/>
        <v>202106</v>
      </c>
      <c r="D554">
        <f>IF(OR(C554=1900,$D$506=0),0,VLOOKUP(A554,'Estados Financieros'!$A$11:$I$453,8,0))</f>
        <v>10</v>
      </c>
      <c r="E554" t="str">
        <f t="shared" si="28"/>
        <v>10,000</v>
      </c>
    </row>
    <row r="555" spans="1:5" x14ac:dyDescent="0.25">
      <c r="A555">
        <v>269500</v>
      </c>
      <c r="B555" t="str">
        <f t="shared" si="29"/>
        <v>900142011</v>
      </c>
      <c r="C555">
        <f t="shared" si="30"/>
        <v>202106</v>
      </c>
      <c r="D555">
        <f>IF(OR(C555=1900,$D$506=0),0,VLOOKUP(A555,'Estados Financieros'!$A$11:$I$453,8,0))</f>
        <v>10</v>
      </c>
      <c r="E555" t="str">
        <f t="shared" si="28"/>
        <v>10,000</v>
      </c>
    </row>
    <row r="556" spans="1:5" x14ac:dyDescent="0.25">
      <c r="A556">
        <v>2106</v>
      </c>
      <c r="B556" t="str">
        <f t="shared" si="29"/>
        <v>900142011</v>
      </c>
      <c r="C556">
        <f t="shared" si="30"/>
        <v>202106</v>
      </c>
      <c r="D556">
        <f>IF(OR(C556=1900,$D$506=0),0,VLOOKUP(A556,'Estados Financieros'!$A$11:$I$453,8,0))</f>
        <v>90</v>
      </c>
      <c r="E556" t="str">
        <f t="shared" si="28"/>
        <v>90,000</v>
      </c>
    </row>
    <row r="557" spans="1:5" x14ac:dyDescent="0.25">
      <c r="A557">
        <v>270500</v>
      </c>
      <c r="B557" t="str">
        <f t="shared" si="29"/>
        <v>900142011</v>
      </c>
      <c r="C557">
        <f t="shared" si="30"/>
        <v>202106</v>
      </c>
      <c r="D557">
        <f>IF(OR(C557=1900,$D$506=0),0,VLOOKUP(A557,'Estados Financieros'!$A$11:$I$453,8,0))</f>
        <v>10</v>
      </c>
      <c r="E557" t="str">
        <f t="shared" si="28"/>
        <v>10,000</v>
      </c>
    </row>
    <row r="558" spans="1:5" x14ac:dyDescent="0.25">
      <c r="A558">
        <v>271000</v>
      </c>
      <c r="B558" t="str">
        <f t="shared" si="29"/>
        <v>900142011</v>
      </c>
      <c r="C558">
        <f t="shared" si="30"/>
        <v>202106</v>
      </c>
      <c r="D558">
        <f>IF(OR(C558=1900,$D$506=0),0,VLOOKUP(A558,'Estados Financieros'!$A$11:$I$453,8,0))</f>
        <v>10</v>
      </c>
      <c r="E558" t="str">
        <f t="shared" si="28"/>
        <v>10,000</v>
      </c>
    </row>
    <row r="559" spans="1:5" x14ac:dyDescent="0.25">
      <c r="A559">
        <v>272500</v>
      </c>
      <c r="B559" t="str">
        <f t="shared" si="29"/>
        <v>900142011</v>
      </c>
      <c r="C559">
        <f t="shared" si="30"/>
        <v>202106</v>
      </c>
      <c r="D559">
        <f>IF(OR(C559=1900,$D$506=0),0,VLOOKUP(A559,'Estados Financieros'!$A$11:$I$453,8,0))</f>
        <v>10</v>
      </c>
      <c r="E559" t="str">
        <f t="shared" si="28"/>
        <v>10,000</v>
      </c>
    </row>
    <row r="560" spans="1:5" x14ac:dyDescent="0.25">
      <c r="A560">
        <v>279500</v>
      </c>
      <c r="B560" t="str">
        <f t="shared" si="29"/>
        <v>900142011</v>
      </c>
      <c r="C560">
        <f t="shared" si="30"/>
        <v>202106</v>
      </c>
      <c r="D560">
        <f>IF(OR(C560=1900,$D$506=0),0,VLOOKUP(A560,'Estados Financieros'!$A$11:$I$453,8,0))</f>
        <v>10</v>
      </c>
      <c r="E560" t="str">
        <f t="shared" si="28"/>
        <v>10,000</v>
      </c>
    </row>
    <row r="561" spans="1:5" x14ac:dyDescent="0.25">
      <c r="A561">
        <v>2107</v>
      </c>
      <c r="B561" t="str">
        <f t="shared" si="29"/>
        <v>900142011</v>
      </c>
      <c r="C561">
        <f t="shared" si="30"/>
        <v>202106</v>
      </c>
      <c r="D561">
        <f>IF(OR(C561=1900,$D$506=0),0,VLOOKUP(A561,'Estados Financieros'!$A$11:$I$453,8,0))</f>
        <v>40</v>
      </c>
      <c r="E561" t="str">
        <f t="shared" si="28"/>
        <v>40,000</v>
      </c>
    </row>
    <row r="562" spans="1:5" x14ac:dyDescent="0.25">
      <c r="A562">
        <v>281000</v>
      </c>
      <c r="B562" t="str">
        <f t="shared" si="29"/>
        <v>900142011</v>
      </c>
      <c r="C562">
        <f t="shared" si="30"/>
        <v>202106</v>
      </c>
      <c r="D562">
        <f>IF(OR(C562=1900,$D$506=0),0,VLOOKUP(A562,'Estados Financieros'!$A$11:$I$453,8,0))</f>
        <v>10</v>
      </c>
      <c r="E562" t="str">
        <f t="shared" si="28"/>
        <v>10,000</v>
      </c>
    </row>
    <row r="563" spans="1:5" x14ac:dyDescent="0.25">
      <c r="A563">
        <v>282000</v>
      </c>
      <c r="B563" t="str">
        <f t="shared" si="29"/>
        <v>900142011</v>
      </c>
      <c r="C563">
        <f t="shared" si="30"/>
        <v>202106</v>
      </c>
      <c r="D563">
        <f>IF(OR(C563=1900,$D$506=0),0,VLOOKUP(A563,'Estados Financieros'!$A$11:$I$453,8,0))</f>
        <v>10</v>
      </c>
      <c r="E563" t="str">
        <f t="shared" si="28"/>
        <v>10,000</v>
      </c>
    </row>
    <row r="564" spans="1:5" x14ac:dyDescent="0.25">
      <c r="A564">
        <v>282500</v>
      </c>
      <c r="B564" t="str">
        <f t="shared" si="29"/>
        <v>900142011</v>
      </c>
      <c r="C564">
        <f t="shared" si="30"/>
        <v>202106</v>
      </c>
      <c r="D564">
        <f>IF(OR(C564=1900,$D$506=0),0,VLOOKUP(A564,'Estados Financieros'!$A$11:$I$453,8,0))</f>
        <v>10</v>
      </c>
      <c r="E564" t="str">
        <f t="shared" si="28"/>
        <v>10,000</v>
      </c>
    </row>
    <row r="565" spans="1:5" x14ac:dyDescent="0.25">
      <c r="A565">
        <v>284000</v>
      </c>
      <c r="B565" t="str">
        <f t="shared" si="29"/>
        <v>900142011</v>
      </c>
      <c r="C565">
        <f t="shared" si="30"/>
        <v>202106</v>
      </c>
      <c r="D565">
        <f>IF(OR(C565=1900,$D$506=0),0,VLOOKUP(A565,'Estados Financieros'!$A$11:$I$453,8,0))</f>
        <v>10</v>
      </c>
      <c r="E565" t="str">
        <f t="shared" si="28"/>
        <v>10,000</v>
      </c>
    </row>
    <row r="566" spans="1:5" x14ac:dyDescent="0.25">
      <c r="A566">
        <v>289500</v>
      </c>
      <c r="B566" t="str">
        <f t="shared" si="29"/>
        <v>900142011</v>
      </c>
      <c r="C566">
        <f t="shared" si="30"/>
        <v>202106</v>
      </c>
      <c r="D566">
        <f>IF(OR(C566=1900,$D$506=0),0,VLOOKUP(A566,'Estados Financieros'!$A$11:$I$453,8,0))</f>
        <v>10</v>
      </c>
      <c r="E566" t="str">
        <f t="shared" si="28"/>
        <v>10,000</v>
      </c>
    </row>
    <row r="567" spans="1:5" x14ac:dyDescent="0.25">
      <c r="A567">
        <v>2109</v>
      </c>
      <c r="B567" t="str">
        <f t="shared" si="29"/>
        <v>900142011</v>
      </c>
      <c r="C567">
        <f t="shared" si="30"/>
        <v>202106</v>
      </c>
      <c r="D567">
        <f>IF(OR(C567=1900,$D$506=0),0,VLOOKUP(A567,'Estados Financieros'!$A$11:$I$453,8,0))</f>
        <v>50</v>
      </c>
      <c r="E567" t="str">
        <f t="shared" si="28"/>
        <v>50,000</v>
      </c>
    </row>
    <row r="568" spans="1:5" x14ac:dyDescent="0.25">
      <c r="A568">
        <v>21</v>
      </c>
      <c r="B568" t="str">
        <f t="shared" si="29"/>
        <v>900142011</v>
      </c>
      <c r="C568">
        <f t="shared" si="30"/>
        <v>202106</v>
      </c>
      <c r="D568">
        <f>IF(OR(C568=1900,$D$506=0),0,VLOOKUP(A568,'Estados Financieros'!$A$11:$I$453,8,0))</f>
        <v>480</v>
      </c>
      <c r="E568" t="str">
        <f t="shared" si="28"/>
        <v>480,000</v>
      </c>
    </row>
    <row r="569" spans="1:5" x14ac:dyDescent="0.25">
      <c r="A569">
        <v>210501</v>
      </c>
      <c r="B569" t="str">
        <f t="shared" si="29"/>
        <v>900142011</v>
      </c>
      <c r="C569">
        <f t="shared" si="30"/>
        <v>202106</v>
      </c>
      <c r="D569">
        <f>IF(OR(C569=1900,$D$506=0),0,VLOOKUP(A569,'Estados Financieros'!$A$11:$I$453,8,0))</f>
        <v>10</v>
      </c>
      <c r="E569" t="str">
        <f t="shared" si="28"/>
        <v>10,000</v>
      </c>
    </row>
    <row r="570" spans="1:5" x14ac:dyDescent="0.25">
      <c r="A570">
        <v>211001</v>
      </c>
      <c r="B570" t="str">
        <f t="shared" si="29"/>
        <v>900142011</v>
      </c>
      <c r="C570">
        <f t="shared" si="30"/>
        <v>202106</v>
      </c>
      <c r="D570">
        <f>IF(OR(C570=1900,$D$506=0),0,VLOOKUP(A570,'Estados Financieros'!$A$11:$I$453,8,0))</f>
        <v>10</v>
      </c>
      <c r="E570" t="str">
        <f t="shared" si="28"/>
        <v>10,000</v>
      </c>
    </row>
    <row r="571" spans="1:5" x14ac:dyDescent="0.25">
      <c r="A571">
        <v>2201</v>
      </c>
      <c r="B571" t="str">
        <f t="shared" si="29"/>
        <v>900142011</v>
      </c>
      <c r="C571">
        <f t="shared" si="30"/>
        <v>202106</v>
      </c>
      <c r="D571">
        <f>IF(OR(C571=1900,$D$506=0),0,VLOOKUP(A571,'Estados Financieros'!$A$11:$I$453,8,0))</f>
        <v>20</v>
      </c>
      <c r="E571" t="str">
        <f t="shared" si="28"/>
        <v>20,000</v>
      </c>
    </row>
    <row r="572" spans="1:5" x14ac:dyDescent="0.25">
      <c r="A572">
        <v>220501</v>
      </c>
      <c r="B572" t="str">
        <f t="shared" si="29"/>
        <v>900142011</v>
      </c>
      <c r="C572">
        <f t="shared" si="30"/>
        <v>202106</v>
      </c>
      <c r="D572">
        <f>IF(OR(C572=1900,$D$506=0),0,VLOOKUP(A572,'Estados Financieros'!$A$11:$I$453,8,0))</f>
        <v>10</v>
      </c>
      <c r="E572" t="str">
        <f t="shared" si="28"/>
        <v>10,000</v>
      </c>
    </row>
    <row r="573" spans="1:5" x14ac:dyDescent="0.25">
      <c r="A573">
        <v>221001</v>
      </c>
      <c r="B573" t="str">
        <f t="shared" si="29"/>
        <v>900142011</v>
      </c>
      <c r="C573">
        <f t="shared" si="30"/>
        <v>202106</v>
      </c>
      <c r="D573">
        <f>IF(OR(C573=1900,$D$506=0),0,VLOOKUP(A573,'Estados Financieros'!$A$11:$I$453,8,0))</f>
        <v>10</v>
      </c>
      <c r="E573" t="str">
        <f t="shared" si="28"/>
        <v>10,000</v>
      </c>
    </row>
    <row r="574" spans="1:5" x14ac:dyDescent="0.25">
      <c r="A574">
        <v>230501</v>
      </c>
      <c r="B574" t="str">
        <f t="shared" si="29"/>
        <v>900142011</v>
      </c>
      <c r="C574">
        <f t="shared" si="30"/>
        <v>202106</v>
      </c>
      <c r="D574">
        <f>IF(OR(C574=1900,$D$506=0),0,VLOOKUP(A574,'Estados Financieros'!$A$11:$I$453,8,0))</f>
        <v>10</v>
      </c>
      <c r="E574" t="str">
        <f t="shared" si="28"/>
        <v>10,000</v>
      </c>
    </row>
    <row r="575" spans="1:5" x14ac:dyDescent="0.25">
      <c r="A575">
        <v>231001</v>
      </c>
      <c r="B575" t="str">
        <f t="shared" si="29"/>
        <v>900142011</v>
      </c>
      <c r="C575">
        <f t="shared" si="30"/>
        <v>202106</v>
      </c>
      <c r="D575">
        <f>IF(OR(C575=1900,$D$506=0),0,VLOOKUP(A575,'Estados Financieros'!$A$11:$I$453,8,0))</f>
        <v>10</v>
      </c>
      <c r="E575" t="str">
        <f t="shared" si="28"/>
        <v>10,000</v>
      </c>
    </row>
    <row r="576" spans="1:5" x14ac:dyDescent="0.25">
      <c r="A576">
        <v>231501</v>
      </c>
      <c r="B576" t="str">
        <f t="shared" si="29"/>
        <v>900142011</v>
      </c>
      <c r="C576">
        <f t="shared" si="30"/>
        <v>202106</v>
      </c>
      <c r="D576">
        <f>IF(OR(C576=1900,$D$506=0),0,VLOOKUP(A576,'Estados Financieros'!$A$11:$I$453,8,0))</f>
        <v>10</v>
      </c>
      <c r="E576" t="str">
        <f t="shared" si="28"/>
        <v>10,000</v>
      </c>
    </row>
    <row r="577" spans="1:5" x14ac:dyDescent="0.25">
      <c r="A577">
        <v>232001</v>
      </c>
      <c r="B577" t="str">
        <f t="shared" si="29"/>
        <v>900142011</v>
      </c>
      <c r="C577">
        <f t="shared" si="30"/>
        <v>202106</v>
      </c>
      <c r="D577">
        <f>IF(OR(C577=1900,$D$506=0),0,VLOOKUP(A577,'Estados Financieros'!$A$11:$I$453,8,0))</f>
        <v>10</v>
      </c>
      <c r="E577" t="str">
        <f t="shared" si="28"/>
        <v>10,000</v>
      </c>
    </row>
    <row r="578" spans="1:5" x14ac:dyDescent="0.25">
      <c r="A578">
        <v>233501</v>
      </c>
      <c r="B578" t="str">
        <f t="shared" si="29"/>
        <v>900142011</v>
      </c>
      <c r="C578">
        <f t="shared" si="30"/>
        <v>202106</v>
      </c>
      <c r="D578">
        <f>IF(OR(C578=1900,$D$506=0),0,VLOOKUP(A578,'Estados Financieros'!$A$11:$I$453,8,0))</f>
        <v>10</v>
      </c>
      <c r="E578" t="str">
        <f t="shared" ref="E578:E641" si="31">IFERROR(FIXED(D578,3,1),0)</f>
        <v>10,000</v>
      </c>
    </row>
    <row r="579" spans="1:5" x14ac:dyDescent="0.25">
      <c r="A579">
        <v>234501</v>
      </c>
      <c r="B579" t="str">
        <f t="shared" si="29"/>
        <v>900142011</v>
      </c>
      <c r="C579">
        <f t="shared" si="30"/>
        <v>202106</v>
      </c>
      <c r="D579">
        <f>IF(OR(C579=1900,$D$506=0),0,VLOOKUP(A579,'Estados Financieros'!$A$11:$I$453,8,0))</f>
        <v>10</v>
      </c>
      <c r="E579" t="str">
        <f t="shared" si="31"/>
        <v>10,000</v>
      </c>
    </row>
    <row r="580" spans="1:5" x14ac:dyDescent="0.25">
      <c r="A580">
        <v>235001</v>
      </c>
      <c r="B580" t="str">
        <f t="shared" si="29"/>
        <v>900142011</v>
      </c>
      <c r="C580">
        <f t="shared" si="30"/>
        <v>202106</v>
      </c>
      <c r="D580">
        <f>IF(OR(C580=1900,$D$506=0),0,VLOOKUP(A580,'Estados Financieros'!$A$11:$I$453,8,0))</f>
        <v>10</v>
      </c>
      <c r="E580" t="str">
        <f t="shared" si="31"/>
        <v>10,000</v>
      </c>
    </row>
    <row r="581" spans="1:5" x14ac:dyDescent="0.25">
      <c r="A581">
        <v>235501</v>
      </c>
      <c r="B581" t="str">
        <f t="shared" si="29"/>
        <v>900142011</v>
      </c>
      <c r="C581">
        <f t="shared" si="30"/>
        <v>202106</v>
      </c>
      <c r="D581">
        <f>IF(OR(C581=1900,$D$506=0),0,VLOOKUP(A581,'Estados Financieros'!$A$11:$I$453,8,0))</f>
        <v>10</v>
      </c>
      <c r="E581" t="str">
        <f t="shared" si="31"/>
        <v>10,000</v>
      </c>
    </row>
    <row r="582" spans="1:5" x14ac:dyDescent="0.25">
      <c r="A582">
        <v>236001</v>
      </c>
      <c r="B582" t="str">
        <f t="shared" si="29"/>
        <v>900142011</v>
      </c>
      <c r="C582">
        <f t="shared" si="30"/>
        <v>202106</v>
      </c>
      <c r="D582">
        <f>IF(OR(C582=1900,$D$506=0),0,VLOOKUP(A582,'Estados Financieros'!$A$11:$I$453,8,0))</f>
        <v>10</v>
      </c>
      <c r="E582" t="str">
        <f t="shared" si="31"/>
        <v>10,000</v>
      </c>
    </row>
    <row r="583" spans="1:5" x14ac:dyDescent="0.25">
      <c r="A583">
        <v>236501</v>
      </c>
      <c r="B583" t="str">
        <f t="shared" si="29"/>
        <v>900142011</v>
      </c>
      <c r="C583">
        <f t="shared" si="30"/>
        <v>202106</v>
      </c>
      <c r="D583">
        <f>IF(OR(C583=1900,$D$506=0),0,VLOOKUP(A583,'Estados Financieros'!$A$11:$I$453,8,0))</f>
        <v>10</v>
      </c>
      <c r="E583" t="str">
        <f t="shared" si="31"/>
        <v>10,000</v>
      </c>
    </row>
    <row r="584" spans="1:5" x14ac:dyDescent="0.25">
      <c r="A584">
        <v>236701</v>
      </c>
      <c r="B584" t="str">
        <f t="shared" si="29"/>
        <v>900142011</v>
      </c>
      <c r="C584">
        <f t="shared" si="30"/>
        <v>202106</v>
      </c>
      <c r="D584">
        <f>IF(OR(C584=1900,$D$506=0),0,VLOOKUP(A584,'Estados Financieros'!$A$11:$I$453,8,0))</f>
        <v>10</v>
      </c>
      <c r="E584" t="str">
        <f t="shared" si="31"/>
        <v>10,000</v>
      </c>
    </row>
    <row r="585" spans="1:5" x14ac:dyDescent="0.25">
      <c r="A585">
        <v>237001</v>
      </c>
      <c r="B585" t="str">
        <f t="shared" si="29"/>
        <v>900142011</v>
      </c>
      <c r="C585">
        <f t="shared" si="30"/>
        <v>202106</v>
      </c>
      <c r="D585">
        <f>IF(OR(C585=1900,$D$506=0),0,VLOOKUP(A585,'Estados Financieros'!$A$11:$I$453,8,0))</f>
        <v>10</v>
      </c>
      <c r="E585" t="str">
        <f t="shared" si="31"/>
        <v>10,000</v>
      </c>
    </row>
    <row r="586" spans="1:5" x14ac:dyDescent="0.25">
      <c r="A586">
        <v>238001</v>
      </c>
      <c r="B586" t="str">
        <f t="shared" si="29"/>
        <v>900142011</v>
      </c>
      <c r="C586">
        <f t="shared" si="30"/>
        <v>202106</v>
      </c>
      <c r="D586">
        <f>IF(OR(C586=1900,$D$506=0),0,VLOOKUP(A586,'Estados Financieros'!$A$11:$I$453,8,0))</f>
        <v>10</v>
      </c>
      <c r="E586" t="str">
        <f t="shared" si="31"/>
        <v>10,000</v>
      </c>
    </row>
    <row r="587" spans="1:5" x14ac:dyDescent="0.25">
      <c r="A587">
        <v>2203</v>
      </c>
      <c r="B587" t="str">
        <f t="shared" si="29"/>
        <v>900142011</v>
      </c>
      <c r="C587">
        <f t="shared" si="30"/>
        <v>202106</v>
      </c>
      <c r="D587">
        <f>IF(OR(C587=1900,$D$506=0),0,VLOOKUP(A587,'Estados Financieros'!$A$11:$I$453,8,0))</f>
        <v>150</v>
      </c>
      <c r="E587" t="str">
        <f t="shared" si="31"/>
        <v>150,000</v>
      </c>
    </row>
    <row r="588" spans="1:5" x14ac:dyDescent="0.25">
      <c r="A588">
        <v>240401</v>
      </c>
      <c r="B588" t="str">
        <f t="shared" si="29"/>
        <v>900142011</v>
      </c>
      <c r="C588">
        <f t="shared" si="30"/>
        <v>202106</v>
      </c>
      <c r="D588">
        <f>IF(OR(C588=1900,$D$506=0),0,VLOOKUP(A588,'Estados Financieros'!$A$11:$I$453,8,0))</f>
        <v>10</v>
      </c>
      <c r="E588" t="str">
        <f t="shared" si="31"/>
        <v>10,000</v>
      </c>
    </row>
    <row r="589" spans="1:5" x14ac:dyDescent="0.25">
      <c r="A589">
        <v>240801</v>
      </c>
      <c r="B589" t="str">
        <f t="shared" si="29"/>
        <v>900142011</v>
      </c>
      <c r="C589">
        <f t="shared" si="30"/>
        <v>202106</v>
      </c>
      <c r="D589">
        <f>IF(OR(C589=1900,$D$506=0),0,VLOOKUP(A589,'Estados Financieros'!$A$11:$I$453,8,0))</f>
        <v>10</v>
      </c>
      <c r="E589" t="str">
        <f t="shared" si="31"/>
        <v>10,000</v>
      </c>
    </row>
    <row r="590" spans="1:5" x14ac:dyDescent="0.25">
      <c r="A590">
        <v>241201</v>
      </c>
      <c r="B590" t="str">
        <f t="shared" si="29"/>
        <v>900142011</v>
      </c>
      <c r="C590">
        <f t="shared" si="30"/>
        <v>202106</v>
      </c>
      <c r="D590">
        <f>IF(OR(C590=1900,$D$506=0),0,VLOOKUP(A590,'Estados Financieros'!$A$11:$I$453,8,0))</f>
        <v>10</v>
      </c>
      <c r="E590" t="str">
        <f t="shared" si="31"/>
        <v>10,000</v>
      </c>
    </row>
    <row r="591" spans="1:5" x14ac:dyDescent="0.25">
      <c r="A591">
        <v>249501</v>
      </c>
      <c r="B591" t="str">
        <f t="shared" si="29"/>
        <v>900142011</v>
      </c>
      <c r="C591">
        <f t="shared" si="30"/>
        <v>202106</v>
      </c>
      <c r="D591">
        <f>IF(OR(C591=1900,$D$506=0),0,VLOOKUP(A591,'Estados Financieros'!$A$11:$I$453,8,0))</f>
        <v>10</v>
      </c>
      <c r="E591" t="str">
        <f t="shared" si="31"/>
        <v>10,000</v>
      </c>
    </row>
    <row r="592" spans="1:5" x14ac:dyDescent="0.25">
      <c r="A592">
        <v>240001</v>
      </c>
      <c r="B592" t="str">
        <f t="shared" si="29"/>
        <v>900142011</v>
      </c>
      <c r="C592">
        <f t="shared" si="30"/>
        <v>202106</v>
      </c>
      <c r="D592">
        <f>IF(OR(C592=1900,$D$506=0),0,VLOOKUP(A592,'Estados Financieros'!$A$11:$I$453,8,0))</f>
        <v>40</v>
      </c>
      <c r="E592" t="str">
        <f t="shared" si="31"/>
        <v>40,000</v>
      </c>
    </row>
    <row r="593" spans="1:5" x14ac:dyDescent="0.25">
      <c r="A593">
        <v>250501</v>
      </c>
      <c r="B593" t="str">
        <f t="shared" si="29"/>
        <v>900142011</v>
      </c>
      <c r="C593">
        <f t="shared" si="30"/>
        <v>202106</v>
      </c>
      <c r="D593">
        <f>IF(OR(C593=1900,$D$506=0),0,VLOOKUP(A593,'Estados Financieros'!$A$11:$I$453,8,0))</f>
        <v>10</v>
      </c>
      <c r="E593" t="str">
        <f t="shared" si="31"/>
        <v>10,000</v>
      </c>
    </row>
    <row r="594" spans="1:5" x14ac:dyDescent="0.25">
      <c r="A594">
        <v>251001</v>
      </c>
      <c r="B594" t="str">
        <f t="shared" si="29"/>
        <v>900142011</v>
      </c>
      <c r="C594">
        <f t="shared" si="30"/>
        <v>202106</v>
      </c>
      <c r="D594">
        <f>IF(OR(C594=1900,$D$506=0),0,VLOOKUP(A594,'Estados Financieros'!$A$11:$I$453,8,0))</f>
        <v>10</v>
      </c>
      <c r="E594" t="str">
        <f t="shared" si="31"/>
        <v>10,000</v>
      </c>
    </row>
    <row r="595" spans="1:5" x14ac:dyDescent="0.25">
      <c r="A595">
        <v>251501</v>
      </c>
      <c r="B595" t="str">
        <f t="shared" si="29"/>
        <v>900142011</v>
      </c>
      <c r="C595">
        <f t="shared" si="30"/>
        <v>202106</v>
      </c>
      <c r="D595">
        <f>IF(OR(C595=1900,$D$506=0),0,VLOOKUP(A595,'Estados Financieros'!$A$11:$I$453,8,0))</f>
        <v>10</v>
      </c>
      <c r="E595" t="str">
        <f t="shared" si="31"/>
        <v>10,000</v>
      </c>
    </row>
    <row r="596" spans="1:5" x14ac:dyDescent="0.25">
      <c r="A596">
        <v>252501</v>
      </c>
      <c r="B596" t="str">
        <f t="shared" si="29"/>
        <v>900142011</v>
      </c>
      <c r="C596">
        <f t="shared" si="30"/>
        <v>202106</v>
      </c>
      <c r="D596">
        <f>IF(OR(C596=1900,$D$506=0),0,VLOOKUP(A596,'Estados Financieros'!$A$11:$I$453,8,0))</f>
        <v>10</v>
      </c>
      <c r="E596" t="str">
        <f t="shared" si="31"/>
        <v>10,000</v>
      </c>
    </row>
    <row r="597" spans="1:5" x14ac:dyDescent="0.25">
      <c r="A597">
        <v>253001</v>
      </c>
      <c r="B597" t="str">
        <f t="shared" si="29"/>
        <v>900142011</v>
      </c>
      <c r="C597">
        <f t="shared" si="30"/>
        <v>202106</v>
      </c>
      <c r="D597">
        <f>IF(OR(C597=1900,$D$506=0),0,VLOOKUP(A597,'Estados Financieros'!$A$11:$I$453,8,0))</f>
        <v>10</v>
      </c>
      <c r="E597" t="str">
        <f t="shared" si="31"/>
        <v>10,000</v>
      </c>
    </row>
    <row r="598" spans="1:5" x14ac:dyDescent="0.25">
      <c r="A598">
        <v>259501</v>
      </c>
      <c r="B598" t="str">
        <f t="shared" si="29"/>
        <v>900142011</v>
      </c>
      <c r="C598">
        <f t="shared" si="30"/>
        <v>202106</v>
      </c>
      <c r="D598">
        <f>IF(OR(C598=1900,$D$506=0),0,VLOOKUP(A598,'Estados Financieros'!$A$11:$I$453,8,0))</f>
        <v>10</v>
      </c>
      <c r="E598" t="str">
        <f t="shared" si="31"/>
        <v>10,000</v>
      </c>
    </row>
    <row r="599" spans="1:5" x14ac:dyDescent="0.25">
      <c r="A599">
        <v>2204</v>
      </c>
      <c r="B599" t="str">
        <f t="shared" si="29"/>
        <v>900142011</v>
      </c>
      <c r="C599">
        <f t="shared" si="30"/>
        <v>202106</v>
      </c>
      <c r="D599">
        <f>IF(OR(C599=1900,$D$506=0),0,VLOOKUP(A599,'Estados Financieros'!$A$11:$I$453,8,0))</f>
        <v>60</v>
      </c>
      <c r="E599" t="str">
        <f t="shared" si="31"/>
        <v>60,000</v>
      </c>
    </row>
    <row r="600" spans="1:5" x14ac:dyDescent="0.25">
      <c r="A600">
        <v>260501</v>
      </c>
      <c r="B600" t="str">
        <f t="shared" si="29"/>
        <v>900142011</v>
      </c>
      <c r="C600">
        <f t="shared" si="30"/>
        <v>202106</v>
      </c>
      <c r="D600">
        <f>IF(OR(C600=1900,$D$506=0),0,VLOOKUP(A600,'Estados Financieros'!$A$11:$I$453,8,0))</f>
        <v>10</v>
      </c>
      <c r="E600" t="str">
        <f t="shared" si="31"/>
        <v>10,000</v>
      </c>
    </row>
    <row r="601" spans="1:5" x14ac:dyDescent="0.25">
      <c r="A601">
        <v>261001</v>
      </c>
      <c r="B601" t="str">
        <f t="shared" si="29"/>
        <v>900142011</v>
      </c>
      <c r="C601">
        <f t="shared" si="30"/>
        <v>202106</v>
      </c>
      <c r="D601">
        <f>IF(OR(C601=1900,$D$506=0),0,VLOOKUP(A601,'Estados Financieros'!$A$11:$I$453,8,0))</f>
        <v>10</v>
      </c>
      <c r="E601" t="str">
        <f t="shared" si="31"/>
        <v>10,000</v>
      </c>
    </row>
    <row r="602" spans="1:5" x14ac:dyDescent="0.25">
      <c r="A602">
        <v>261501</v>
      </c>
      <c r="B602" t="str">
        <f t="shared" si="29"/>
        <v>900142011</v>
      </c>
      <c r="C602">
        <f t="shared" si="30"/>
        <v>202106</v>
      </c>
      <c r="D602">
        <f>IF(OR(C602=1900,$D$506=0),0,VLOOKUP(A602,'Estados Financieros'!$A$11:$I$453,8,0))</f>
        <v>10</v>
      </c>
      <c r="E602" t="str">
        <f t="shared" si="31"/>
        <v>10,000</v>
      </c>
    </row>
    <row r="603" spans="1:5" x14ac:dyDescent="0.25">
      <c r="A603">
        <v>262001</v>
      </c>
      <c r="B603" t="str">
        <f t="shared" si="29"/>
        <v>900142011</v>
      </c>
      <c r="C603">
        <f t="shared" si="30"/>
        <v>202106</v>
      </c>
      <c r="D603">
        <f>IF(OR(C603=1900,$D$506=0),0,VLOOKUP(A603,'Estados Financieros'!$A$11:$I$453,8,0))</f>
        <v>10</v>
      </c>
      <c r="E603" t="str">
        <f t="shared" si="31"/>
        <v>10,000</v>
      </c>
    </row>
    <row r="604" spans="1:5" x14ac:dyDescent="0.25">
      <c r="A604">
        <v>262501</v>
      </c>
      <c r="B604" t="str">
        <f t="shared" si="29"/>
        <v>900142011</v>
      </c>
      <c r="C604">
        <f t="shared" si="30"/>
        <v>202106</v>
      </c>
      <c r="D604">
        <f>IF(OR(C604=1900,$D$506=0),0,VLOOKUP(A604,'Estados Financieros'!$A$11:$I$453,8,0))</f>
        <v>10</v>
      </c>
      <c r="E604" t="str">
        <f t="shared" si="31"/>
        <v>10,000</v>
      </c>
    </row>
    <row r="605" spans="1:5" x14ac:dyDescent="0.25">
      <c r="A605">
        <v>263001</v>
      </c>
      <c r="B605" t="str">
        <f t="shared" si="29"/>
        <v>900142011</v>
      </c>
      <c r="C605">
        <f t="shared" si="30"/>
        <v>202106</v>
      </c>
      <c r="D605">
        <f>IF(OR(C605=1900,$D$506=0),0,VLOOKUP(A605,'Estados Financieros'!$A$11:$I$453,8,0))</f>
        <v>10</v>
      </c>
      <c r="E605" t="str">
        <f t="shared" si="31"/>
        <v>10,000</v>
      </c>
    </row>
    <row r="606" spans="1:5" x14ac:dyDescent="0.25">
      <c r="A606">
        <v>263501</v>
      </c>
      <c r="B606" t="str">
        <f t="shared" si="29"/>
        <v>900142011</v>
      </c>
      <c r="C606">
        <f t="shared" si="30"/>
        <v>202106</v>
      </c>
      <c r="D606">
        <f>IF(OR(C606=1900,$D$506=0),0,VLOOKUP(A606,'Estados Financieros'!$A$11:$I$453,8,0))</f>
        <v>10</v>
      </c>
      <c r="E606" t="str">
        <f t="shared" si="31"/>
        <v>10,000</v>
      </c>
    </row>
    <row r="607" spans="1:5" x14ac:dyDescent="0.25">
      <c r="A607">
        <v>264001</v>
      </c>
      <c r="B607" t="str">
        <f t="shared" si="29"/>
        <v>900142011</v>
      </c>
      <c r="C607">
        <f t="shared" si="30"/>
        <v>202106</v>
      </c>
      <c r="D607">
        <f>IF(OR(C607=1900,$D$506=0),0,VLOOKUP(A607,'Estados Financieros'!$A$11:$I$453,8,0))</f>
        <v>10</v>
      </c>
      <c r="E607" t="str">
        <f t="shared" si="31"/>
        <v>10,000</v>
      </c>
    </row>
    <row r="608" spans="1:5" x14ac:dyDescent="0.25">
      <c r="A608">
        <v>269501</v>
      </c>
      <c r="B608" t="str">
        <f t="shared" si="29"/>
        <v>900142011</v>
      </c>
      <c r="C608">
        <f t="shared" si="30"/>
        <v>202106</v>
      </c>
      <c r="D608">
        <f>IF(OR(C608=1900,$D$506=0),0,VLOOKUP(A608,'Estados Financieros'!$A$11:$I$453,8,0))</f>
        <v>10</v>
      </c>
      <c r="E608" t="str">
        <f t="shared" si="31"/>
        <v>10,000</v>
      </c>
    </row>
    <row r="609" spans="1:5" x14ac:dyDescent="0.25">
      <c r="A609">
        <v>2206</v>
      </c>
      <c r="B609" t="str">
        <f t="shared" si="29"/>
        <v>900142011</v>
      </c>
      <c r="C609">
        <f t="shared" si="30"/>
        <v>202106</v>
      </c>
      <c r="D609">
        <f>IF(OR(C609=1900,$D$506=0),0,VLOOKUP(A609,'Estados Financieros'!$A$11:$I$453,8,0))</f>
        <v>90</v>
      </c>
      <c r="E609" t="str">
        <f t="shared" si="31"/>
        <v>90,000</v>
      </c>
    </row>
    <row r="610" spans="1:5" x14ac:dyDescent="0.25">
      <c r="A610">
        <v>270501</v>
      </c>
      <c r="B610" t="str">
        <f t="shared" si="29"/>
        <v>900142011</v>
      </c>
      <c r="C610">
        <f t="shared" si="30"/>
        <v>202106</v>
      </c>
      <c r="D610">
        <f>IF(OR(C610=1900,$D$506=0),0,VLOOKUP(A610,'Estados Financieros'!$A$11:$I$453,8,0))</f>
        <v>10</v>
      </c>
      <c r="E610" t="str">
        <f t="shared" si="31"/>
        <v>10,000</v>
      </c>
    </row>
    <row r="611" spans="1:5" x14ac:dyDescent="0.25">
      <c r="A611">
        <v>271001</v>
      </c>
      <c r="B611" t="str">
        <f t="shared" si="29"/>
        <v>900142011</v>
      </c>
      <c r="C611">
        <f t="shared" si="30"/>
        <v>202106</v>
      </c>
      <c r="D611">
        <f>IF(OR(C611=1900,$D$506=0),0,VLOOKUP(A611,'Estados Financieros'!$A$11:$I$453,8,0))</f>
        <v>10</v>
      </c>
      <c r="E611" t="str">
        <f t="shared" si="31"/>
        <v>10,000</v>
      </c>
    </row>
    <row r="612" spans="1:5" x14ac:dyDescent="0.25">
      <c r="A612">
        <v>272001</v>
      </c>
      <c r="B612" t="str">
        <f t="shared" ref="B612:B659" si="32">+B611</f>
        <v>900142011</v>
      </c>
      <c r="C612">
        <f t="shared" ref="C612:C658" si="33">C611</f>
        <v>202106</v>
      </c>
      <c r="D612">
        <f>IF(OR(C612=1900,$D$506=0),0,VLOOKUP(A612,'Estados Financieros'!$A$11:$I$453,8,0))</f>
        <v>10</v>
      </c>
      <c r="E612" t="str">
        <f t="shared" si="31"/>
        <v>10,000</v>
      </c>
    </row>
    <row r="613" spans="1:5" x14ac:dyDescent="0.25">
      <c r="A613">
        <v>272501</v>
      </c>
      <c r="B613" t="str">
        <f t="shared" si="32"/>
        <v>900142011</v>
      </c>
      <c r="C613">
        <f t="shared" si="33"/>
        <v>202106</v>
      </c>
      <c r="D613">
        <f>IF(OR(C613=1900,$D$506=0),0,VLOOKUP(A613,'Estados Financieros'!$A$11:$I$453,8,0))</f>
        <v>10</v>
      </c>
      <c r="E613" t="str">
        <f t="shared" si="31"/>
        <v>10,000</v>
      </c>
    </row>
    <row r="614" spans="1:5" x14ac:dyDescent="0.25">
      <c r="A614">
        <v>279501</v>
      </c>
      <c r="B614" t="str">
        <f t="shared" si="32"/>
        <v>900142011</v>
      </c>
      <c r="C614">
        <f t="shared" si="33"/>
        <v>202106</v>
      </c>
      <c r="D614">
        <f>IF(OR(C614=1900,$D$506=0),0,VLOOKUP(A614,'Estados Financieros'!$A$11:$I$453,8,0))</f>
        <v>10</v>
      </c>
      <c r="E614" t="str">
        <f t="shared" si="31"/>
        <v>10,000</v>
      </c>
    </row>
    <row r="615" spans="1:5" x14ac:dyDescent="0.25">
      <c r="A615">
        <v>2207</v>
      </c>
      <c r="B615" t="str">
        <f t="shared" si="32"/>
        <v>900142011</v>
      </c>
      <c r="C615">
        <f t="shared" si="33"/>
        <v>202106</v>
      </c>
      <c r="D615">
        <f>IF(OR(C615=1900,$D$506=0),0,VLOOKUP(A615,'Estados Financieros'!$A$11:$I$453,8,0))</f>
        <v>50</v>
      </c>
      <c r="E615" t="str">
        <f t="shared" si="31"/>
        <v>50,000</v>
      </c>
    </row>
    <row r="616" spans="1:5" x14ac:dyDescent="0.25">
      <c r="A616">
        <v>290501</v>
      </c>
      <c r="B616" t="str">
        <f t="shared" si="32"/>
        <v>900142011</v>
      </c>
      <c r="C616">
        <f t="shared" si="33"/>
        <v>202106</v>
      </c>
      <c r="D616">
        <f>IF(OR(C616=1900,$D$506=0),0,VLOOKUP(A616,'Estados Financieros'!$A$11:$I$453,8,0))</f>
        <v>0</v>
      </c>
      <c r="E616" t="str">
        <f t="shared" si="31"/>
        <v>0,000</v>
      </c>
    </row>
    <row r="617" spans="1:5" x14ac:dyDescent="0.25">
      <c r="A617">
        <v>291991</v>
      </c>
      <c r="B617" t="str">
        <f t="shared" si="32"/>
        <v>900142011</v>
      </c>
      <c r="C617">
        <f t="shared" si="33"/>
        <v>202106</v>
      </c>
      <c r="D617">
        <f>IF(OR(C617=1900,$D$506=0),0,VLOOKUP(A617,'Estados Financieros'!$A$11:$I$453,8,0))</f>
        <v>10</v>
      </c>
      <c r="E617" t="str">
        <f t="shared" si="31"/>
        <v>10,000</v>
      </c>
    </row>
    <row r="618" spans="1:5" x14ac:dyDescent="0.25">
      <c r="A618">
        <v>291501</v>
      </c>
      <c r="B618" t="str">
        <f t="shared" si="32"/>
        <v>900142011</v>
      </c>
      <c r="C618">
        <f t="shared" si="33"/>
        <v>202106</v>
      </c>
      <c r="D618">
        <f>IF(OR(C618=1900,$D$506=0),0,VLOOKUP(A618,'Estados Financieros'!$A$11:$I$453,8,0))</f>
        <v>10</v>
      </c>
      <c r="E618" t="str">
        <f t="shared" si="31"/>
        <v>10,000</v>
      </c>
    </row>
    <row r="619" spans="1:5" x14ac:dyDescent="0.25">
      <c r="A619">
        <v>292001</v>
      </c>
      <c r="B619" t="str">
        <f t="shared" si="32"/>
        <v>900142011</v>
      </c>
      <c r="C619">
        <f t="shared" si="33"/>
        <v>202106</v>
      </c>
      <c r="D619">
        <f>IF(OR(C619=1900,$D$506=0),0,VLOOKUP(A619,'Estados Financieros'!$A$11:$I$453,8,0))</f>
        <v>10</v>
      </c>
      <c r="E619" t="str">
        <f t="shared" si="31"/>
        <v>10,000</v>
      </c>
    </row>
    <row r="620" spans="1:5" x14ac:dyDescent="0.25">
      <c r="A620">
        <v>299501</v>
      </c>
      <c r="B620" t="str">
        <f t="shared" si="32"/>
        <v>900142011</v>
      </c>
      <c r="C620">
        <f t="shared" si="33"/>
        <v>202106</v>
      </c>
      <c r="D620">
        <f>IF(OR(C620=1900,$D$506=0),0,VLOOKUP(A620,'Estados Financieros'!$A$11:$I$453,8,0))</f>
        <v>10</v>
      </c>
      <c r="E620" t="str">
        <f t="shared" si="31"/>
        <v>10,000</v>
      </c>
    </row>
    <row r="621" spans="1:5" x14ac:dyDescent="0.25">
      <c r="A621">
        <v>2209</v>
      </c>
      <c r="B621" t="str">
        <f t="shared" si="32"/>
        <v>900142011</v>
      </c>
      <c r="C621">
        <f t="shared" si="33"/>
        <v>202106</v>
      </c>
      <c r="D621">
        <f>IF(OR(C621=1900,$D$506=0),0,VLOOKUP(A621,'Estados Financieros'!$A$11:$I$453,8,0))</f>
        <v>40</v>
      </c>
      <c r="E621" t="str">
        <f t="shared" si="31"/>
        <v>40,000</v>
      </c>
    </row>
    <row r="622" spans="1:5" x14ac:dyDescent="0.25">
      <c r="A622">
        <v>22</v>
      </c>
      <c r="B622" t="str">
        <f t="shared" si="32"/>
        <v>900142011</v>
      </c>
      <c r="C622">
        <f t="shared" si="33"/>
        <v>202106</v>
      </c>
      <c r="D622">
        <f>IF(OR(C622=1900,$D$506=0),0,VLOOKUP(A622,'Estados Financieros'!$A$11:$I$453,8,0))</f>
        <v>450</v>
      </c>
      <c r="E622" t="str">
        <f t="shared" si="31"/>
        <v>450,000</v>
      </c>
    </row>
    <row r="623" spans="1:5" x14ac:dyDescent="0.25">
      <c r="A623">
        <v>2</v>
      </c>
      <c r="B623" t="str">
        <f t="shared" si="32"/>
        <v>900142011</v>
      </c>
      <c r="C623">
        <f t="shared" si="33"/>
        <v>202106</v>
      </c>
      <c r="D623">
        <f>IF(OR(C623=1900,$D$506=0),0,VLOOKUP(A623,'Estados Financieros'!$A$11:$I$453,8,0))</f>
        <v>930</v>
      </c>
      <c r="E623" t="str">
        <f t="shared" si="31"/>
        <v>930,000</v>
      </c>
    </row>
    <row r="624" spans="1:5" x14ac:dyDescent="0.25">
      <c r="A624">
        <v>310500</v>
      </c>
      <c r="B624" t="str">
        <f t="shared" si="32"/>
        <v>900142011</v>
      </c>
      <c r="C624">
        <f t="shared" si="33"/>
        <v>202106</v>
      </c>
      <c r="D624">
        <f>IF(OR(C624=1900,$D$506=0),0,VLOOKUP(A624,'Estados Financieros'!$A$11:$I$453,8,0))</f>
        <v>10</v>
      </c>
      <c r="E624" t="str">
        <f t="shared" si="31"/>
        <v>10,000</v>
      </c>
    </row>
    <row r="625" spans="1:5" x14ac:dyDescent="0.25">
      <c r="A625">
        <v>311500</v>
      </c>
      <c r="B625" t="str">
        <f t="shared" si="32"/>
        <v>900142011</v>
      </c>
      <c r="C625">
        <f t="shared" si="33"/>
        <v>202106</v>
      </c>
      <c r="D625">
        <f>IF(OR(C625=1900,$D$506=0),0,VLOOKUP(A625,'Estados Financieros'!$A$11:$I$453,8,0))</f>
        <v>10</v>
      </c>
      <c r="E625" t="str">
        <f t="shared" si="31"/>
        <v>10,000</v>
      </c>
    </row>
    <row r="626" spans="1:5" x14ac:dyDescent="0.25">
      <c r="A626">
        <v>312000</v>
      </c>
      <c r="B626" t="str">
        <f t="shared" si="32"/>
        <v>900142011</v>
      </c>
      <c r="C626">
        <f t="shared" si="33"/>
        <v>202106</v>
      </c>
      <c r="D626">
        <f>IF(OR(C626=1900,$D$506=0),0,VLOOKUP(A626,'Estados Financieros'!$A$11:$I$453,8,0))</f>
        <v>10</v>
      </c>
      <c r="E626" t="str">
        <f t="shared" si="31"/>
        <v>10,000</v>
      </c>
    </row>
    <row r="627" spans="1:5" x14ac:dyDescent="0.25">
      <c r="A627">
        <v>312500</v>
      </c>
      <c r="B627" t="str">
        <f t="shared" si="32"/>
        <v>900142011</v>
      </c>
      <c r="C627">
        <f t="shared" si="33"/>
        <v>202106</v>
      </c>
      <c r="D627">
        <f>IF(OR(C627=1900,$D$506=0),0,VLOOKUP(A627,'Estados Financieros'!$A$11:$I$453,8,0))</f>
        <v>10</v>
      </c>
      <c r="E627" t="str">
        <f t="shared" si="31"/>
        <v>10,000</v>
      </c>
    </row>
    <row r="628" spans="1:5" x14ac:dyDescent="0.25">
      <c r="A628">
        <v>313000</v>
      </c>
      <c r="B628" t="str">
        <f t="shared" si="32"/>
        <v>900142011</v>
      </c>
      <c r="C628">
        <f t="shared" si="33"/>
        <v>202106</v>
      </c>
      <c r="D628">
        <f>IF(OR(C628=1900,$D$506=0),0,VLOOKUP(A628,'Estados Financieros'!$A$11:$I$453,8,0))</f>
        <v>10</v>
      </c>
      <c r="E628" t="str">
        <f t="shared" si="31"/>
        <v>10,000</v>
      </c>
    </row>
    <row r="629" spans="1:5" x14ac:dyDescent="0.25">
      <c r="A629">
        <v>313500</v>
      </c>
      <c r="B629" t="str">
        <f t="shared" si="32"/>
        <v>900142011</v>
      </c>
      <c r="C629">
        <f t="shared" si="33"/>
        <v>202106</v>
      </c>
      <c r="D629">
        <f>IF(OR(C629=1900,$D$506=0),0,VLOOKUP(A629,'Estados Financieros'!$A$11:$I$453,8,0))</f>
        <v>10</v>
      </c>
      <c r="E629" t="str">
        <f t="shared" si="31"/>
        <v>10,000</v>
      </c>
    </row>
    <row r="630" spans="1:5" x14ac:dyDescent="0.25">
      <c r="A630">
        <v>314000</v>
      </c>
      <c r="B630" t="str">
        <f t="shared" si="32"/>
        <v>900142011</v>
      </c>
      <c r="C630">
        <f t="shared" si="33"/>
        <v>202106</v>
      </c>
      <c r="D630">
        <f>IF(OR(C630=1900,$D$506=0),0,VLOOKUP(A630,'Estados Financieros'!$A$11:$I$453,8,0))</f>
        <v>10</v>
      </c>
      <c r="E630" t="str">
        <f t="shared" si="31"/>
        <v>10,000</v>
      </c>
    </row>
    <row r="631" spans="1:5" x14ac:dyDescent="0.25">
      <c r="A631">
        <v>31</v>
      </c>
      <c r="B631" t="str">
        <f t="shared" si="32"/>
        <v>900142011</v>
      </c>
      <c r="C631">
        <f t="shared" si="33"/>
        <v>202106</v>
      </c>
      <c r="D631">
        <f>IF(OR(C631=1900,$D$506=0),0,VLOOKUP(A631,'Estados Financieros'!$A$11:$I$453,8,0))</f>
        <v>70</v>
      </c>
      <c r="E631" t="str">
        <f t="shared" si="31"/>
        <v>70,000</v>
      </c>
    </row>
    <row r="632" spans="1:5" x14ac:dyDescent="0.25">
      <c r="A632">
        <v>320500</v>
      </c>
      <c r="B632" t="str">
        <f t="shared" si="32"/>
        <v>900142011</v>
      </c>
      <c r="C632">
        <f t="shared" si="33"/>
        <v>202106</v>
      </c>
      <c r="D632">
        <f>IF(OR(C632=1900,$D$506=0),0,VLOOKUP(A632,'Estados Financieros'!$A$11:$I$453,8,0))</f>
        <v>10</v>
      </c>
      <c r="E632" t="str">
        <f t="shared" si="31"/>
        <v>10,000</v>
      </c>
    </row>
    <row r="633" spans="1:5" x14ac:dyDescent="0.25">
      <c r="A633">
        <v>321000</v>
      </c>
      <c r="B633" t="str">
        <f t="shared" si="32"/>
        <v>900142011</v>
      </c>
      <c r="C633">
        <f t="shared" si="33"/>
        <v>202106</v>
      </c>
      <c r="D633">
        <f>IF(OR(C633=1900,$D$506=0),0,VLOOKUP(A633,'Estados Financieros'!$A$11:$I$453,8,0))</f>
        <v>10</v>
      </c>
      <c r="E633" t="str">
        <f t="shared" si="31"/>
        <v>10,000</v>
      </c>
    </row>
    <row r="634" spans="1:5" x14ac:dyDescent="0.25">
      <c r="A634">
        <v>321500</v>
      </c>
      <c r="B634" t="str">
        <f t="shared" si="32"/>
        <v>900142011</v>
      </c>
      <c r="C634">
        <f t="shared" si="33"/>
        <v>202106</v>
      </c>
      <c r="D634">
        <f>IF(OR(C634=1900,$D$506=0),0,VLOOKUP(A634,'Estados Financieros'!$A$11:$I$453,8,0))</f>
        <v>10</v>
      </c>
      <c r="E634" t="str">
        <f t="shared" si="31"/>
        <v>10,000</v>
      </c>
    </row>
    <row r="635" spans="1:5" x14ac:dyDescent="0.25">
      <c r="A635">
        <v>322000</v>
      </c>
      <c r="B635" t="str">
        <f t="shared" si="32"/>
        <v>900142011</v>
      </c>
      <c r="C635">
        <f t="shared" si="33"/>
        <v>202106</v>
      </c>
      <c r="D635">
        <f>IF(OR(C635=1900,$D$506=0),0,VLOOKUP(A635,'Estados Financieros'!$A$11:$I$453,8,0))</f>
        <v>10</v>
      </c>
      <c r="E635" t="str">
        <f t="shared" si="31"/>
        <v>10,000</v>
      </c>
    </row>
    <row r="636" spans="1:5" x14ac:dyDescent="0.25">
      <c r="A636">
        <v>322500</v>
      </c>
      <c r="B636" t="str">
        <f t="shared" si="32"/>
        <v>900142011</v>
      </c>
      <c r="C636">
        <f t="shared" si="33"/>
        <v>202106</v>
      </c>
      <c r="D636">
        <f>IF(OR(C636=1900,$D$506=0),0,VLOOKUP(A636,'Estados Financieros'!$A$11:$I$453,8,0))</f>
        <v>10</v>
      </c>
      <c r="E636" t="str">
        <f t="shared" si="31"/>
        <v>10,000</v>
      </c>
    </row>
    <row r="637" spans="1:5" x14ac:dyDescent="0.25">
      <c r="A637">
        <v>32</v>
      </c>
      <c r="B637" t="str">
        <f t="shared" si="32"/>
        <v>900142011</v>
      </c>
      <c r="C637">
        <f t="shared" si="33"/>
        <v>202106</v>
      </c>
      <c r="D637">
        <f>IF(OR(C637=1900,$D$506=0),0,VLOOKUP(A637,'Estados Financieros'!$A$11:$I$453,8,0))</f>
        <v>50</v>
      </c>
      <c r="E637" t="str">
        <f t="shared" si="31"/>
        <v>50,000</v>
      </c>
    </row>
    <row r="638" spans="1:5" x14ac:dyDescent="0.25">
      <c r="A638">
        <v>330500</v>
      </c>
      <c r="B638" t="str">
        <f t="shared" si="32"/>
        <v>900142011</v>
      </c>
      <c r="C638">
        <f t="shared" si="33"/>
        <v>202106</v>
      </c>
      <c r="D638">
        <f>IF(OR(C638=1900,$D$506=0),0,VLOOKUP(A638,'Estados Financieros'!$A$11:$I$453,8,0))</f>
        <v>10</v>
      </c>
      <c r="E638" t="str">
        <f t="shared" si="31"/>
        <v>10,000</v>
      </c>
    </row>
    <row r="639" spans="1:5" x14ac:dyDescent="0.25">
      <c r="A639">
        <v>331000</v>
      </c>
      <c r="B639" t="str">
        <f t="shared" si="32"/>
        <v>900142011</v>
      </c>
      <c r="C639">
        <f t="shared" si="33"/>
        <v>202106</v>
      </c>
      <c r="D639">
        <f>IF(OR(C639=1900,$D$506=0),0,VLOOKUP(A639,'Estados Financieros'!$A$11:$I$453,8,0))</f>
        <v>10</v>
      </c>
      <c r="E639" t="str">
        <f t="shared" si="31"/>
        <v>10,000</v>
      </c>
    </row>
    <row r="640" spans="1:5" x14ac:dyDescent="0.25">
      <c r="A640">
        <v>331500</v>
      </c>
      <c r="B640" t="str">
        <f t="shared" si="32"/>
        <v>900142011</v>
      </c>
      <c r="C640">
        <f t="shared" si="33"/>
        <v>202106</v>
      </c>
      <c r="D640">
        <f>IF(OR(C640=1900,$D$506=0),0,VLOOKUP(A640,'Estados Financieros'!$A$11:$I$453,8,0))</f>
        <v>10</v>
      </c>
      <c r="E640" t="str">
        <f t="shared" si="31"/>
        <v>10,000</v>
      </c>
    </row>
    <row r="641" spans="1:5" x14ac:dyDescent="0.25">
      <c r="A641">
        <v>33</v>
      </c>
      <c r="B641" t="str">
        <f t="shared" si="32"/>
        <v>900142011</v>
      </c>
      <c r="C641">
        <f t="shared" si="33"/>
        <v>202106</v>
      </c>
      <c r="D641">
        <f>IF(OR(C641=1900,$D$506=0),0,VLOOKUP(A641,'Estados Financieros'!$A$11:$I$453,8,0))</f>
        <v>30</v>
      </c>
      <c r="E641" t="str">
        <f t="shared" si="31"/>
        <v>30,000</v>
      </c>
    </row>
    <row r="642" spans="1:5" x14ac:dyDescent="0.25">
      <c r="A642">
        <v>340505</v>
      </c>
      <c r="B642" t="str">
        <f t="shared" si="32"/>
        <v>900142011</v>
      </c>
      <c r="C642">
        <f t="shared" si="33"/>
        <v>202106</v>
      </c>
      <c r="D642">
        <f>IF(OR(C642=1900,$D$506=0),0,VLOOKUP(A642,'Estados Financieros'!$A$11:$I$453,8,0))</f>
        <v>10</v>
      </c>
      <c r="E642" t="str">
        <f t="shared" ref="E642:E705" si="34">IFERROR(FIXED(D642,3,1),0)</f>
        <v>10,000</v>
      </c>
    </row>
    <row r="643" spans="1:5" x14ac:dyDescent="0.25">
      <c r="A643">
        <v>340515</v>
      </c>
      <c r="B643" t="str">
        <f t="shared" si="32"/>
        <v>900142011</v>
      </c>
      <c r="C643">
        <f t="shared" si="33"/>
        <v>202106</v>
      </c>
      <c r="D643">
        <f>IF(OR(C643=1900,$D$506=0),0,VLOOKUP(A643,'Estados Financieros'!$A$11:$I$453,8,0))</f>
        <v>10</v>
      </c>
      <c r="E643" t="str">
        <f t="shared" si="34"/>
        <v>10,000</v>
      </c>
    </row>
    <row r="644" spans="1:5" x14ac:dyDescent="0.25">
      <c r="A644">
        <v>349500</v>
      </c>
      <c r="B644" t="str">
        <f t="shared" si="32"/>
        <v>900142011</v>
      </c>
      <c r="C644">
        <f t="shared" si="33"/>
        <v>202106</v>
      </c>
      <c r="D644">
        <f>IF(OR(C644=1900,$D$506=0),0,VLOOKUP(A644,'Estados Financieros'!$A$11:$I$453,8,0))</f>
        <v>10</v>
      </c>
      <c r="E644" t="str">
        <f t="shared" si="34"/>
        <v>10,000</v>
      </c>
    </row>
    <row r="645" spans="1:5" x14ac:dyDescent="0.25">
      <c r="A645">
        <v>34</v>
      </c>
      <c r="B645" t="str">
        <f t="shared" si="32"/>
        <v>900142011</v>
      </c>
      <c r="C645">
        <f t="shared" si="33"/>
        <v>202106</v>
      </c>
      <c r="D645">
        <f>IF(OR(C645=1900,$D$506=0),0,VLOOKUP(A645,'Estados Financieros'!$A$11:$I$453,8,0))</f>
        <v>40</v>
      </c>
      <c r="E645" t="str">
        <f t="shared" si="34"/>
        <v>40,000</v>
      </c>
    </row>
    <row r="646" spans="1:5" x14ac:dyDescent="0.25">
      <c r="A646">
        <v>35</v>
      </c>
      <c r="B646" t="str">
        <f t="shared" si="32"/>
        <v>900142011</v>
      </c>
      <c r="C646">
        <f t="shared" si="33"/>
        <v>202106</v>
      </c>
      <c r="D646">
        <f>IF(OR(C646=1900,$D$506=0),0,VLOOKUP(A646,'Estados Financieros'!$A$11:$I$453,8,0))</f>
        <v>10</v>
      </c>
      <c r="E646" t="str">
        <f t="shared" si="34"/>
        <v>10,000</v>
      </c>
    </row>
    <row r="647" spans="1:5" x14ac:dyDescent="0.25">
      <c r="A647">
        <v>36</v>
      </c>
      <c r="B647" t="str">
        <f t="shared" si="32"/>
        <v>900142011</v>
      </c>
      <c r="C647">
        <f t="shared" si="33"/>
        <v>202106</v>
      </c>
      <c r="D647">
        <f>IF(OR(C647=1900,$D$506=0),0,VLOOKUP(A647,'Estados Financieros'!$A$11:$I$453,8,0))</f>
        <v>2810</v>
      </c>
      <c r="E647" t="str">
        <f t="shared" si="34"/>
        <v>2810,000</v>
      </c>
    </row>
    <row r="648" spans="1:5" x14ac:dyDescent="0.25">
      <c r="A648">
        <v>37</v>
      </c>
      <c r="B648" t="str">
        <f t="shared" si="32"/>
        <v>900142011</v>
      </c>
      <c r="C648">
        <f t="shared" si="33"/>
        <v>202106</v>
      </c>
      <c r="D648">
        <f>IF(OR(C648=1900,$D$506=0),0,VLOOKUP(A648,'Estados Financieros'!$A$11:$I$453,8,0))</f>
        <v>10</v>
      </c>
      <c r="E648" t="str">
        <f t="shared" si="34"/>
        <v>10,000</v>
      </c>
    </row>
    <row r="649" spans="1:5" x14ac:dyDescent="0.25">
      <c r="A649">
        <v>38</v>
      </c>
      <c r="B649" t="str">
        <f t="shared" si="32"/>
        <v>900142011</v>
      </c>
      <c r="C649">
        <f t="shared" si="33"/>
        <v>202106</v>
      </c>
      <c r="D649">
        <f>IF(OR(C649=1900,$D$506=0),0,VLOOKUP(A649,'Estados Financieros'!$A$11:$I$453,8,0))</f>
        <v>10</v>
      </c>
      <c r="E649" t="str">
        <f t="shared" si="34"/>
        <v>10,000</v>
      </c>
    </row>
    <row r="650" spans="1:5" x14ac:dyDescent="0.25">
      <c r="A650">
        <v>3</v>
      </c>
      <c r="B650" t="str">
        <f t="shared" si="32"/>
        <v>900142011</v>
      </c>
      <c r="C650">
        <f t="shared" si="33"/>
        <v>202106</v>
      </c>
      <c r="D650">
        <f>IF(OR(C650=1900,$D$506=0),0,VLOOKUP(A650,'Estados Financieros'!$A$11:$I$453,8,0))</f>
        <v>3030</v>
      </c>
      <c r="E650" t="str">
        <f t="shared" si="34"/>
        <v>3030,000</v>
      </c>
    </row>
    <row r="651" spans="1:5" x14ac:dyDescent="0.25">
      <c r="A651">
        <v>0</v>
      </c>
      <c r="B651" t="str">
        <f t="shared" si="32"/>
        <v>900142011</v>
      </c>
      <c r="C651">
        <f t="shared" si="33"/>
        <v>202106</v>
      </c>
      <c r="D651">
        <f>IF(OR(C651=1900,$D$506=0),0,VLOOKUP(A651,'Estados Financieros'!$A$11:$I$453,8,0))</f>
        <v>3960</v>
      </c>
      <c r="E651" t="str">
        <f t="shared" si="34"/>
        <v>3960,000</v>
      </c>
    </row>
    <row r="652" spans="1:5" x14ac:dyDescent="0.25">
      <c r="A652">
        <v>291000</v>
      </c>
      <c r="B652" t="str">
        <f t="shared" si="32"/>
        <v>900142011</v>
      </c>
      <c r="C652">
        <f t="shared" si="33"/>
        <v>202106</v>
      </c>
      <c r="D652">
        <f>IF(OR(C652=1900,$D$506=0),0,VLOOKUP(A652,'Estados Financieros'!$A$11:$I$453,8,0))</f>
        <v>0</v>
      </c>
      <c r="E652" t="str">
        <f t="shared" si="34"/>
        <v>0,000</v>
      </c>
    </row>
    <row r="653" spans="1:5" x14ac:dyDescent="0.25">
      <c r="A653">
        <v>292000</v>
      </c>
      <c r="B653" t="str">
        <f t="shared" si="32"/>
        <v>900142011</v>
      </c>
      <c r="C653">
        <f t="shared" si="33"/>
        <v>202106</v>
      </c>
      <c r="D653">
        <f>IF(OR(C653=1900,$D$506=0),0,VLOOKUP(A653,'Estados Financieros'!$A$11:$I$453,8,0))</f>
        <v>0</v>
      </c>
      <c r="E653" t="str">
        <f t="shared" si="34"/>
        <v>0,000</v>
      </c>
    </row>
    <row r="654" spans="1:5" x14ac:dyDescent="0.25">
      <c r="A654">
        <v>293000</v>
      </c>
      <c r="B654" t="str">
        <f t="shared" si="32"/>
        <v>900142011</v>
      </c>
      <c r="C654">
        <f t="shared" si="33"/>
        <v>202106</v>
      </c>
      <c r="D654">
        <f>IF(OR(C654=1900,$D$506=0),0,VLOOKUP(A654,'Estados Financieros'!$A$11:$I$453,8,0))</f>
        <v>0</v>
      </c>
      <c r="E654" t="str">
        <f t="shared" si="34"/>
        <v>0,000</v>
      </c>
    </row>
    <row r="655" spans="1:5" x14ac:dyDescent="0.25">
      <c r="A655">
        <v>294000</v>
      </c>
      <c r="B655" t="str">
        <f t="shared" si="32"/>
        <v>900142011</v>
      </c>
      <c r="C655">
        <f t="shared" si="33"/>
        <v>202106</v>
      </c>
      <c r="D655">
        <f>IF(OR(C655=1900,$D$506=0),0,VLOOKUP(A655,'Estados Financieros'!$A$11:$I$453,8,0))</f>
        <v>0</v>
      </c>
      <c r="E655" t="str">
        <f t="shared" si="34"/>
        <v>0,000</v>
      </c>
    </row>
    <row r="656" spans="1:5" x14ac:dyDescent="0.25">
      <c r="A656">
        <v>190000</v>
      </c>
      <c r="B656" t="str">
        <f t="shared" si="32"/>
        <v>900142011</v>
      </c>
      <c r="C656">
        <f t="shared" si="33"/>
        <v>202106</v>
      </c>
      <c r="D656">
        <f>IF(OR(C656=1900,$D$506=0),0,VLOOKUP(A656,'Estados Financieros'!$A$11:$I$453,8,0))</f>
        <v>0</v>
      </c>
      <c r="E656" t="str">
        <f t="shared" si="34"/>
        <v>0,000</v>
      </c>
    </row>
    <row r="657" spans="1:5" x14ac:dyDescent="0.25">
      <c r="A657">
        <v>410500</v>
      </c>
      <c r="B657" t="str">
        <f t="shared" si="32"/>
        <v>900142011</v>
      </c>
      <c r="C657">
        <f t="shared" si="33"/>
        <v>202106</v>
      </c>
      <c r="D657">
        <f>IF(OR(C657=1900,$D$506=0),0,VLOOKUP(A657,'Estados Financieros'!$A$11:$I$453,8,0))</f>
        <v>2610</v>
      </c>
      <c r="E657" t="str">
        <f t="shared" si="34"/>
        <v>2610,000</v>
      </c>
    </row>
    <row r="658" spans="1:5" x14ac:dyDescent="0.25">
      <c r="A658">
        <v>411000</v>
      </c>
      <c r="B658" t="str">
        <f t="shared" si="32"/>
        <v>900142011</v>
      </c>
      <c r="C658">
        <f t="shared" si="33"/>
        <v>202106</v>
      </c>
      <c r="D658">
        <f>IF(OR(C658=1900,$D$506=0),0,VLOOKUP(A658,'Estados Financieros'!$A$11:$I$453,8,0))</f>
        <v>1000</v>
      </c>
      <c r="E658" t="str">
        <f t="shared" si="34"/>
        <v>1000,000</v>
      </c>
    </row>
    <row r="659" spans="1:5" x14ac:dyDescent="0.25">
      <c r="A659">
        <v>41</v>
      </c>
      <c r="B659" t="str">
        <f t="shared" si="32"/>
        <v>900142011</v>
      </c>
      <c r="C659">
        <f>+C658</f>
        <v>202106</v>
      </c>
      <c r="D659">
        <f>+D657+D658</f>
        <v>3610</v>
      </c>
      <c r="E659" t="str">
        <f t="shared" si="34"/>
        <v>3610,000</v>
      </c>
    </row>
    <row r="660" spans="1:5" x14ac:dyDescent="0.25">
      <c r="A660">
        <v>61</v>
      </c>
      <c r="B660" t="str">
        <f>+B658</f>
        <v>900142011</v>
      </c>
      <c r="C660">
        <f>C658</f>
        <v>202106</v>
      </c>
      <c r="D660">
        <f>IF(OR(C660=1900,$D$506=0),0,VLOOKUP(A660,'Estados Financieros'!$A$11:$I$453,8,0))</f>
        <v>500</v>
      </c>
      <c r="E660" t="str">
        <f t="shared" si="34"/>
        <v>500,000</v>
      </c>
    </row>
    <row r="661" spans="1:5" x14ac:dyDescent="0.25">
      <c r="A661">
        <v>606000</v>
      </c>
      <c r="B661" t="str">
        <f t="shared" ref="B661:B692" si="35">+B660</f>
        <v>900142011</v>
      </c>
      <c r="C661">
        <f t="shared" ref="C661:C692" si="36">C660</f>
        <v>202106</v>
      </c>
      <c r="D661">
        <f>IF(OR(C661=1900,$D$506=0),0,VLOOKUP(A661,'Estados Financieros'!$A$11:$I$453,8,0))</f>
        <v>0</v>
      </c>
      <c r="E661" t="str">
        <f t="shared" si="34"/>
        <v>0,000</v>
      </c>
    </row>
    <row r="662" spans="1:5" x14ac:dyDescent="0.25">
      <c r="A662">
        <v>95</v>
      </c>
      <c r="B662" t="str">
        <f t="shared" si="35"/>
        <v>900142011</v>
      </c>
      <c r="C662">
        <f t="shared" si="36"/>
        <v>202106</v>
      </c>
      <c r="D662">
        <f>IF(OR(C662=1900,$D$506=0),0,VLOOKUP(A662,'Estados Financieros'!$A$11:$I$453,8,0))</f>
        <v>3110</v>
      </c>
      <c r="E662" t="str">
        <f t="shared" si="34"/>
        <v>3110,000</v>
      </c>
    </row>
    <row r="663" spans="1:5" x14ac:dyDescent="0.25">
      <c r="A663">
        <v>510500</v>
      </c>
      <c r="B663" t="str">
        <f t="shared" si="35"/>
        <v>900142011</v>
      </c>
      <c r="C663">
        <f t="shared" si="36"/>
        <v>202106</v>
      </c>
      <c r="D663">
        <f>IF(OR(C663=1900,$D$506=0),0,VLOOKUP(A663,'Estados Financieros'!$A$11:$I$453,8,0))</f>
        <v>10</v>
      </c>
      <c r="E663" t="str">
        <f t="shared" si="34"/>
        <v>10,000</v>
      </c>
    </row>
    <row r="664" spans="1:5" x14ac:dyDescent="0.25">
      <c r="A664">
        <v>511000</v>
      </c>
      <c r="B664" t="str">
        <f t="shared" si="35"/>
        <v>900142011</v>
      </c>
      <c r="C664">
        <f t="shared" si="36"/>
        <v>202106</v>
      </c>
      <c r="D664">
        <f>IF(OR(C664=1900,$D$506=0),0,VLOOKUP(A664,'Estados Financieros'!$A$11:$I$453,8,0))</f>
        <v>10</v>
      </c>
      <c r="E664" t="str">
        <f t="shared" si="34"/>
        <v>10,000</v>
      </c>
    </row>
    <row r="665" spans="1:5" x14ac:dyDescent="0.25">
      <c r="A665">
        <v>511500</v>
      </c>
      <c r="B665" t="str">
        <f t="shared" si="35"/>
        <v>900142011</v>
      </c>
      <c r="C665">
        <f t="shared" si="36"/>
        <v>202106</v>
      </c>
      <c r="D665">
        <f>IF(OR(C665=1900,$D$506=0),0,VLOOKUP(A665,'Estados Financieros'!$A$11:$I$453,8,0))</f>
        <v>10</v>
      </c>
      <c r="E665" t="str">
        <f t="shared" si="34"/>
        <v>10,000</v>
      </c>
    </row>
    <row r="666" spans="1:5" x14ac:dyDescent="0.25">
      <c r="A666">
        <v>512000</v>
      </c>
      <c r="B666" t="str">
        <f t="shared" si="35"/>
        <v>900142011</v>
      </c>
      <c r="C666">
        <f t="shared" si="36"/>
        <v>202106</v>
      </c>
      <c r="D666">
        <f>IF(OR(C666=1900,$D$506=0),0,VLOOKUP(A666,'Estados Financieros'!$A$11:$I$453,8,0))</f>
        <v>10</v>
      </c>
      <c r="E666" t="str">
        <f t="shared" si="34"/>
        <v>10,000</v>
      </c>
    </row>
    <row r="667" spans="1:5" x14ac:dyDescent="0.25">
      <c r="A667">
        <v>512500</v>
      </c>
      <c r="B667" t="str">
        <f t="shared" si="35"/>
        <v>900142011</v>
      </c>
      <c r="C667">
        <f t="shared" si="36"/>
        <v>202106</v>
      </c>
      <c r="D667">
        <f>IF(OR(C667=1900,$D$506=0),0,VLOOKUP(A667,'Estados Financieros'!$A$11:$I$453,8,0))</f>
        <v>10</v>
      </c>
      <c r="E667" t="str">
        <f t="shared" si="34"/>
        <v>10,000</v>
      </c>
    </row>
    <row r="668" spans="1:5" x14ac:dyDescent="0.25">
      <c r="A668">
        <v>513000</v>
      </c>
      <c r="B668" t="str">
        <f t="shared" si="35"/>
        <v>900142011</v>
      </c>
      <c r="C668">
        <f t="shared" si="36"/>
        <v>202106</v>
      </c>
      <c r="D668">
        <f>IF(OR(C668=1900,$D$506=0),0,VLOOKUP(A668,'Estados Financieros'!$A$11:$I$453,8,0))</f>
        <v>10</v>
      </c>
      <c r="E668" t="str">
        <f t="shared" si="34"/>
        <v>10,000</v>
      </c>
    </row>
    <row r="669" spans="1:5" x14ac:dyDescent="0.25">
      <c r="A669">
        <v>513500</v>
      </c>
      <c r="B669" t="str">
        <f t="shared" si="35"/>
        <v>900142011</v>
      </c>
      <c r="C669">
        <f t="shared" si="36"/>
        <v>202106</v>
      </c>
      <c r="D669">
        <f>IF(OR(C669=1900,$D$506=0),0,VLOOKUP(A669,'Estados Financieros'!$A$11:$I$453,8,0))</f>
        <v>10</v>
      </c>
      <c r="E669" t="str">
        <f t="shared" si="34"/>
        <v>10,000</v>
      </c>
    </row>
    <row r="670" spans="1:5" x14ac:dyDescent="0.25">
      <c r="A670">
        <v>514000</v>
      </c>
      <c r="B670" t="str">
        <f t="shared" si="35"/>
        <v>900142011</v>
      </c>
      <c r="C670">
        <f t="shared" si="36"/>
        <v>202106</v>
      </c>
      <c r="D670">
        <f>IF(OR(C670=1900,$D$506=0),0,VLOOKUP(A670,'Estados Financieros'!$A$11:$I$453,8,0))</f>
        <v>10</v>
      </c>
      <c r="E670" t="str">
        <f t="shared" si="34"/>
        <v>10,000</v>
      </c>
    </row>
    <row r="671" spans="1:5" x14ac:dyDescent="0.25">
      <c r="A671">
        <v>514500</v>
      </c>
      <c r="B671" t="str">
        <f t="shared" si="35"/>
        <v>900142011</v>
      </c>
      <c r="C671">
        <f t="shared" si="36"/>
        <v>202106</v>
      </c>
      <c r="D671">
        <f>IF(OR(C671=1900,$D$506=0),0,VLOOKUP(A671,'Estados Financieros'!$A$11:$I$453,8,0))</f>
        <v>10</v>
      </c>
      <c r="E671" t="str">
        <f t="shared" si="34"/>
        <v>10,000</v>
      </c>
    </row>
    <row r="672" spans="1:5" x14ac:dyDescent="0.25">
      <c r="A672">
        <v>515000</v>
      </c>
      <c r="B672" t="str">
        <f t="shared" si="35"/>
        <v>900142011</v>
      </c>
      <c r="C672">
        <f t="shared" si="36"/>
        <v>202106</v>
      </c>
      <c r="D672">
        <f>IF(OR(C672=1900,$D$506=0),0,VLOOKUP(A672,'Estados Financieros'!$A$11:$I$453,8,0))</f>
        <v>10</v>
      </c>
      <c r="E672" t="str">
        <f t="shared" si="34"/>
        <v>10,000</v>
      </c>
    </row>
    <row r="673" spans="1:5" x14ac:dyDescent="0.25">
      <c r="A673">
        <v>515500</v>
      </c>
      <c r="B673" t="str">
        <f t="shared" si="35"/>
        <v>900142011</v>
      </c>
      <c r="C673">
        <f t="shared" si="36"/>
        <v>202106</v>
      </c>
      <c r="D673">
        <f>IF(OR(C673=1900,$D$506=0),0,VLOOKUP(A673,'Estados Financieros'!$A$11:$I$453,8,0))</f>
        <v>10</v>
      </c>
      <c r="E673" t="str">
        <f t="shared" si="34"/>
        <v>10,000</v>
      </c>
    </row>
    <row r="674" spans="1:5" x14ac:dyDescent="0.25">
      <c r="A674">
        <v>519500</v>
      </c>
      <c r="B674" t="str">
        <f t="shared" si="35"/>
        <v>900142011</v>
      </c>
      <c r="C674">
        <f t="shared" si="36"/>
        <v>202106</v>
      </c>
      <c r="D674">
        <f>IF(OR(C674=1900,$D$506=0),0,VLOOKUP(A674,'Estados Financieros'!$A$11:$I$453,8,0))</f>
        <v>10</v>
      </c>
      <c r="E674" t="str">
        <f t="shared" si="34"/>
        <v>10,000</v>
      </c>
    </row>
    <row r="675" spans="1:5" x14ac:dyDescent="0.25">
      <c r="A675">
        <v>516000</v>
      </c>
      <c r="B675" t="str">
        <f t="shared" si="35"/>
        <v>900142011</v>
      </c>
      <c r="C675">
        <f t="shared" si="36"/>
        <v>202106</v>
      </c>
      <c r="D675">
        <f>IF(OR(C675=1900,$D$506=0),0,VLOOKUP(A675,'Estados Financieros'!$A$11:$I$453,8,0))</f>
        <v>10</v>
      </c>
      <c r="E675" t="str">
        <f t="shared" si="34"/>
        <v>10,000</v>
      </c>
    </row>
    <row r="676" spans="1:5" x14ac:dyDescent="0.25">
      <c r="A676">
        <v>516500</v>
      </c>
      <c r="B676" t="str">
        <f t="shared" si="35"/>
        <v>900142011</v>
      </c>
      <c r="C676">
        <f t="shared" si="36"/>
        <v>202106</v>
      </c>
      <c r="D676">
        <f>IF(OR(C676=1900,$D$506=0),0,VLOOKUP(A676,'Estados Financieros'!$A$11:$I$453,8,0))</f>
        <v>10</v>
      </c>
      <c r="E676" t="str">
        <f t="shared" si="34"/>
        <v>10,000</v>
      </c>
    </row>
    <row r="677" spans="1:5" x14ac:dyDescent="0.25">
      <c r="A677">
        <v>519900</v>
      </c>
      <c r="B677" t="str">
        <f t="shared" si="35"/>
        <v>900142011</v>
      </c>
      <c r="C677">
        <f t="shared" si="36"/>
        <v>202106</v>
      </c>
      <c r="D677">
        <f>IF(OR(C677=1900,$D$506=0),0,VLOOKUP(A677,'Estados Financieros'!$A$11:$I$453,8,0))</f>
        <v>10</v>
      </c>
      <c r="E677" t="str">
        <f t="shared" si="34"/>
        <v>10,000</v>
      </c>
    </row>
    <row r="678" spans="1:5" x14ac:dyDescent="0.25">
      <c r="A678">
        <v>51</v>
      </c>
      <c r="B678" t="str">
        <f t="shared" si="35"/>
        <v>900142011</v>
      </c>
      <c r="C678">
        <f t="shared" si="36"/>
        <v>202106</v>
      </c>
      <c r="D678">
        <f>IF(OR(C678=1900,$D$506=0),0,VLOOKUP(A678,'Estados Financieros'!$A$11:$I$453,8,0))</f>
        <v>150</v>
      </c>
      <c r="E678" t="str">
        <f t="shared" si="34"/>
        <v>150,000</v>
      </c>
    </row>
    <row r="679" spans="1:5" x14ac:dyDescent="0.25">
      <c r="A679">
        <v>520500</v>
      </c>
      <c r="B679" t="str">
        <f t="shared" si="35"/>
        <v>900142011</v>
      </c>
      <c r="C679">
        <f t="shared" si="36"/>
        <v>202106</v>
      </c>
      <c r="D679">
        <f>IF(OR(C679=1900,$D$506=0),0,VLOOKUP(A679,'Estados Financieros'!$A$11:$I$453,8,0))</f>
        <v>10</v>
      </c>
      <c r="E679" t="str">
        <f t="shared" si="34"/>
        <v>10,000</v>
      </c>
    </row>
    <row r="680" spans="1:5" x14ac:dyDescent="0.25">
      <c r="A680">
        <v>521000</v>
      </c>
      <c r="B680" t="str">
        <f t="shared" si="35"/>
        <v>900142011</v>
      </c>
      <c r="C680">
        <f t="shared" si="36"/>
        <v>202106</v>
      </c>
      <c r="D680">
        <f>IF(OR(C680=1900,$D$506=0),0,VLOOKUP(A680,'Estados Financieros'!$A$11:$I$453,8,0))</f>
        <v>10</v>
      </c>
      <c r="E680" t="str">
        <f t="shared" si="34"/>
        <v>10,000</v>
      </c>
    </row>
    <row r="681" spans="1:5" x14ac:dyDescent="0.25">
      <c r="A681">
        <v>521500</v>
      </c>
      <c r="B681" t="str">
        <f t="shared" si="35"/>
        <v>900142011</v>
      </c>
      <c r="C681">
        <f t="shared" si="36"/>
        <v>202106</v>
      </c>
      <c r="D681">
        <f>IF(OR(C681=1900,$D$506=0),0,VLOOKUP(A681,'Estados Financieros'!$A$11:$I$453,8,0))</f>
        <v>10</v>
      </c>
      <c r="E681" t="str">
        <f t="shared" si="34"/>
        <v>10,000</v>
      </c>
    </row>
    <row r="682" spans="1:5" x14ac:dyDescent="0.25">
      <c r="A682">
        <v>522000</v>
      </c>
      <c r="B682" t="str">
        <f t="shared" si="35"/>
        <v>900142011</v>
      </c>
      <c r="C682">
        <f t="shared" si="36"/>
        <v>202106</v>
      </c>
      <c r="D682">
        <f>IF(OR(C682=1900,$D$506=0),0,VLOOKUP(A682,'Estados Financieros'!$A$11:$I$453,8,0))</f>
        <v>10</v>
      </c>
      <c r="E682" t="str">
        <f t="shared" si="34"/>
        <v>10,000</v>
      </c>
    </row>
    <row r="683" spans="1:5" x14ac:dyDescent="0.25">
      <c r="A683">
        <v>522500</v>
      </c>
      <c r="B683" t="str">
        <f t="shared" si="35"/>
        <v>900142011</v>
      </c>
      <c r="C683">
        <f t="shared" si="36"/>
        <v>202106</v>
      </c>
      <c r="D683">
        <f>IF(OR(C683=1900,$D$506=0),0,VLOOKUP(A683,'Estados Financieros'!$A$11:$I$453,8,0))</f>
        <v>10</v>
      </c>
      <c r="E683" t="str">
        <f t="shared" si="34"/>
        <v>10,000</v>
      </c>
    </row>
    <row r="684" spans="1:5" x14ac:dyDescent="0.25">
      <c r="A684">
        <v>523000</v>
      </c>
      <c r="B684" t="str">
        <f t="shared" si="35"/>
        <v>900142011</v>
      </c>
      <c r="C684">
        <f t="shared" si="36"/>
        <v>202106</v>
      </c>
      <c r="D684">
        <f>IF(OR(C684=1900,$D$506=0),0,VLOOKUP(A684,'Estados Financieros'!$A$11:$I$453,8,0))</f>
        <v>10</v>
      </c>
      <c r="E684" t="str">
        <f t="shared" si="34"/>
        <v>10,000</v>
      </c>
    </row>
    <row r="685" spans="1:5" x14ac:dyDescent="0.25">
      <c r="A685">
        <v>523500</v>
      </c>
      <c r="B685" t="str">
        <f t="shared" si="35"/>
        <v>900142011</v>
      </c>
      <c r="C685">
        <f t="shared" si="36"/>
        <v>202106</v>
      </c>
      <c r="D685">
        <f>IF(OR(C685=1900,$D$506=0),0,VLOOKUP(A685,'Estados Financieros'!$A$11:$I$453,8,0))</f>
        <v>10</v>
      </c>
      <c r="E685" t="str">
        <f t="shared" si="34"/>
        <v>10,000</v>
      </c>
    </row>
    <row r="686" spans="1:5" x14ac:dyDescent="0.25">
      <c r="A686">
        <v>524000</v>
      </c>
      <c r="B686" t="str">
        <f t="shared" si="35"/>
        <v>900142011</v>
      </c>
      <c r="C686">
        <f t="shared" si="36"/>
        <v>202106</v>
      </c>
      <c r="D686">
        <f>IF(OR(C686=1900,$D$506=0),0,VLOOKUP(A686,'Estados Financieros'!$A$11:$I$453,8,0))</f>
        <v>10</v>
      </c>
      <c r="E686" t="str">
        <f t="shared" si="34"/>
        <v>10,000</v>
      </c>
    </row>
    <row r="687" spans="1:5" x14ac:dyDescent="0.25">
      <c r="A687">
        <v>524500</v>
      </c>
      <c r="B687" t="str">
        <f t="shared" si="35"/>
        <v>900142011</v>
      </c>
      <c r="C687">
        <f t="shared" si="36"/>
        <v>202106</v>
      </c>
      <c r="D687">
        <f>IF(OR(C687=1900,$D$506=0),0,VLOOKUP(A687,'Estados Financieros'!$A$11:$I$453,8,0))</f>
        <v>10</v>
      </c>
      <c r="E687" t="str">
        <f t="shared" si="34"/>
        <v>10,000</v>
      </c>
    </row>
    <row r="688" spans="1:5" x14ac:dyDescent="0.25">
      <c r="A688">
        <v>525000</v>
      </c>
      <c r="B688" t="str">
        <f t="shared" si="35"/>
        <v>900142011</v>
      </c>
      <c r="C688">
        <f t="shared" si="36"/>
        <v>202106</v>
      </c>
      <c r="D688">
        <f>IF(OR(C688=1900,$D$506=0),0,VLOOKUP(A688,'Estados Financieros'!$A$11:$I$453,8,0))</f>
        <v>10</v>
      </c>
      <c r="E688" t="str">
        <f t="shared" si="34"/>
        <v>10,000</v>
      </c>
    </row>
    <row r="689" spans="1:5" x14ac:dyDescent="0.25">
      <c r="A689">
        <v>525500</v>
      </c>
      <c r="B689" t="str">
        <f t="shared" si="35"/>
        <v>900142011</v>
      </c>
      <c r="C689">
        <f t="shared" si="36"/>
        <v>202106</v>
      </c>
      <c r="D689">
        <f>IF(OR(C689=1900,$D$506=0),0,VLOOKUP(A689,'Estados Financieros'!$A$11:$I$453,8,0))</f>
        <v>10</v>
      </c>
      <c r="E689" t="str">
        <f t="shared" si="34"/>
        <v>10,000</v>
      </c>
    </row>
    <row r="690" spans="1:5" x14ac:dyDescent="0.25">
      <c r="A690">
        <v>529500</v>
      </c>
      <c r="B690" t="str">
        <f t="shared" si="35"/>
        <v>900142011</v>
      </c>
      <c r="C690">
        <f t="shared" si="36"/>
        <v>202106</v>
      </c>
      <c r="D690">
        <f>IF(OR(C690=1900,$D$506=0),0,VLOOKUP(A690,'Estados Financieros'!$A$11:$I$453,8,0))</f>
        <v>10</v>
      </c>
      <c r="E690" t="str">
        <f t="shared" si="34"/>
        <v>10,000</v>
      </c>
    </row>
    <row r="691" spans="1:5" x14ac:dyDescent="0.25">
      <c r="A691">
        <v>526000</v>
      </c>
      <c r="B691" t="str">
        <f t="shared" si="35"/>
        <v>900142011</v>
      </c>
      <c r="C691">
        <f t="shared" si="36"/>
        <v>202106</v>
      </c>
      <c r="D691">
        <f>IF(OR(C691=1900,$D$506=0),0,VLOOKUP(A691,'Estados Financieros'!$A$11:$I$453,8,0))</f>
        <v>10</v>
      </c>
      <c r="E691" t="str">
        <f t="shared" si="34"/>
        <v>10,000</v>
      </c>
    </row>
    <row r="692" spans="1:5" x14ac:dyDescent="0.25">
      <c r="A692">
        <v>526500</v>
      </c>
      <c r="B692" t="str">
        <f t="shared" si="35"/>
        <v>900142011</v>
      </c>
      <c r="C692">
        <f t="shared" si="36"/>
        <v>202106</v>
      </c>
      <c r="D692">
        <f>IF(OR(C692=1900,$D$506=0),0,VLOOKUP(A692,'Estados Financieros'!$A$11:$I$453,8,0))</f>
        <v>10</v>
      </c>
      <c r="E692" t="str">
        <f t="shared" si="34"/>
        <v>10,000</v>
      </c>
    </row>
    <row r="693" spans="1:5" x14ac:dyDescent="0.25">
      <c r="A693">
        <v>529900</v>
      </c>
      <c r="B693" t="str">
        <f t="shared" ref="B693:B725" si="37">+B692</f>
        <v>900142011</v>
      </c>
      <c r="C693">
        <f t="shared" ref="C693:C725" si="38">C692</f>
        <v>202106</v>
      </c>
      <c r="D693">
        <f>IF(OR(C693=1900,$D$506=0),0,VLOOKUP(A693,'Estados Financieros'!$A$11:$I$453,8,0))</f>
        <v>10</v>
      </c>
      <c r="E693" t="str">
        <f t="shared" si="34"/>
        <v>10,000</v>
      </c>
    </row>
    <row r="694" spans="1:5" x14ac:dyDescent="0.25">
      <c r="A694">
        <v>52</v>
      </c>
      <c r="B694" t="str">
        <f t="shared" si="37"/>
        <v>900142011</v>
      </c>
      <c r="C694">
        <f t="shared" si="38"/>
        <v>202106</v>
      </c>
      <c r="D694">
        <f>IF(OR(C694=1900,$D$506=0),0,VLOOKUP(A694,'Estados Financieros'!$A$11:$I$453,8,0))</f>
        <v>150</v>
      </c>
      <c r="E694" t="str">
        <f t="shared" si="34"/>
        <v>150,000</v>
      </c>
    </row>
    <row r="695" spans="1:5" x14ac:dyDescent="0.25">
      <c r="A695">
        <v>96</v>
      </c>
      <c r="B695" t="str">
        <f t="shared" si="37"/>
        <v>900142011</v>
      </c>
      <c r="C695">
        <f t="shared" si="38"/>
        <v>202106</v>
      </c>
      <c r="D695">
        <f>IF(OR(C695=1900,$D$506=0),0,VLOOKUP(A695,'Estados Financieros'!$A$11:$I$453,8,0))</f>
        <v>2810</v>
      </c>
      <c r="E695" t="str">
        <f t="shared" si="34"/>
        <v>2810,000</v>
      </c>
    </row>
    <row r="696" spans="1:5" x14ac:dyDescent="0.25">
      <c r="A696">
        <v>421000</v>
      </c>
      <c r="B696" t="str">
        <f t="shared" si="37"/>
        <v>900142011</v>
      </c>
      <c r="C696">
        <f t="shared" si="38"/>
        <v>202106</v>
      </c>
      <c r="D696">
        <f>IF(OR(C696=1900,$D$506=0),0,VLOOKUP(A696,'Estados Financieros'!$A$11:$I$453,8,0))</f>
        <v>10</v>
      </c>
      <c r="E696" t="str">
        <f t="shared" si="34"/>
        <v>10,000</v>
      </c>
    </row>
    <row r="697" spans="1:5" x14ac:dyDescent="0.25">
      <c r="A697">
        <v>421020</v>
      </c>
      <c r="B697" t="str">
        <f t="shared" si="37"/>
        <v>900142011</v>
      </c>
      <c r="C697">
        <f t="shared" si="38"/>
        <v>202106</v>
      </c>
      <c r="D697">
        <f>IF(OR(C697=1900,$D$506=0),0,VLOOKUP(A697,'Estados Financieros'!$A$11:$I$453,8,0))</f>
        <v>10</v>
      </c>
      <c r="E697" t="str">
        <f t="shared" si="34"/>
        <v>10,000</v>
      </c>
    </row>
    <row r="698" spans="1:5" x14ac:dyDescent="0.25">
      <c r="A698">
        <v>420500</v>
      </c>
      <c r="B698" t="str">
        <f t="shared" si="37"/>
        <v>900142011</v>
      </c>
      <c r="C698">
        <f t="shared" si="38"/>
        <v>202106</v>
      </c>
      <c r="D698">
        <f>IF(OR(C698=1900,$D$506=0),0,VLOOKUP(A698,'Estados Financieros'!$A$11:$I$453,8,0))</f>
        <v>10</v>
      </c>
      <c r="E698" t="str">
        <f t="shared" si="34"/>
        <v>10,000</v>
      </c>
    </row>
    <row r="699" spans="1:5" x14ac:dyDescent="0.25">
      <c r="A699">
        <v>421040</v>
      </c>
      <c r="B699" t="str">
        <f t="shared" si="37"/>
        <v>900142011</v>
      </c>
      <c r="C699">
        <f t="shared" si="38"/>
        <v>202106</v>
      </c>
      <c r="D699">
        <f>IF(OR(C699=1900,$D$506=0),0,VLOOKUP(A699,'Estados Financieros'!$A$11:$I$453,8,0))</f>
        <v>10</v>
      </c>
      <c r="E699" t="str">
        <f t="shared" si="34"/>
        <v>10,000</v>
      </c>
    </row>
    <row r="700" spans="1:5" x14ac:dyDescent="0.25">
      <c r="A700">
        <v>421500</v>
      </c>
      <c r="B700" t="str">
        <f t="shared" si="37"/>
        <v>900142011</v>
      </c>
      <c r="C700">
        <f t="shared" si="38"/>
        <v>202106</v>
      </c>
      <c r="D700">
        <f>IF(OR(C700=1900,$D$506=0),0,VLOOKUP(A700,'Estados Financieros'!$A$11:$I$453,8,0))</f>
        <v>10</v>
      </c>
      <c r="E700" t="str">
        <f t="shared" si="34"/>
        <v>10,000</v>
      </c>
    </row>
    <row r="701" spans="1:5" x14ac:dyDescent="0.25">
      <c r="A701">
        <v>422000</v>
      </c>
      <c r="B701" t="str">
        <f t="shared" si="37"/>
        <v>900142011</v>
      </c>
      <c r="C701">
        <f t="shared" si="38"/>
        <v>202106</v>
      </c>
      <c r="D701">
        <f>IF(OR(C701=1900,$D$506=0),0,VLOOKUP(A701,'Estados Financieros'!$A$11:$I$453,8,0))</f>
        <v>10</v>
      </c>
      <c r="E701" t="str">
        <f t="shared" si="34"/>
        <v>10,000</v>
      </c>
    </row>
    <row r="702" spans="1:5" x14ac:dyDescent="0.25">
      <c r="A702">
        <v>422500</v>
      </c>
      <c r="B702" t="str">
        <f t="shared" si="37"/>
        <v>900142011</v>
      </c>
      <c r="C702">
        <f t="shared" si="38"/>
        <v>202106</v>
      </c>
      <c r="D702">
        <f>IF(OR(C702=1900,$D$506=0),0,VLOOKUP(A702,'Estados Financieros'!$A$11:$I$453,8,0))</f>
        <v>10</v>
      </c>
      <c r="E702" t="str">
        <f t="shared" si="34"/>
        <v>10,000</v>
      </c>
    </row>
    <row r="703" spans="1:5" x14ac:dyDescent="0.25">
      <c r="A703">
        <v>423500</v>
      </c>
      <c r="B703" t="str">
        <f t="shared" si="37"/>
        <v>900142011</v>
      </c>
      <c r="C703">
        <f t="shared" si="38"/>
        <v>202106</v>
      </c>
      <c r="D703">
        <f>IF(OR(C703=1900,$D$506=0),0,VLOOKUP(A703,'Estados Financieros'!$A$11:$I$453,8,0))</f>
        <v>10</v>
      </c>
      <c r="E703" t="str">
        <f t="shared" si="34"/>
        <v>10,000</v>
      </c>
    </row>
    <row r="704" spans="1:5" x14ac:dyDescent="0.25">
      <c r="A704">
        <v>424000</v>
      </c>
      <c r="B704" t="str">
        <f t="shared" si="37"/>
        <v>900142011</v>
      </c>
      <c r="C704">
        <f t="shared" si="38"/>
        <v>202106</v>
      </c>
      <c r="D704">
        <f>IF(OR(C704=1900,$D$506=0),0,VLOOKUP(A704,'Estados Financieros'!$A$11:$I$453,8,0))</f>
        <v>10</v>
      </c>
      <c r="E704" t="str">
        <f t="shared" si="34"/>
        <v>10,000</v>
      </c>
    </row>
    <row r="705" spans="1:5" x14ac:dyDescent="0.25">
      <c r="A705">
        <v>425000</v>
      </c>
      <c r="B705" t="str">
        <f t="shared" si="37"/>
        <v>900142011</v>
      </c>
      <c r="C705">
        <f t="shared" si="38"/>
        <v>202106</v>
      </c>
      <c r="D705">
        <f>IF(OR(C705=1900,$D$506=0),0,VLOOKUP(A705,'Estados Financieros'!$A$11:$I$453,8,0))</f>
        <v>10</v>
      </c>
      <c r="E705" t="str">
        <f t="shared" si="34"/>
        <v>10,000</v>
      </c>
    </row>
    <row r="706" spans="1:5" x14ac:dyDescent="0.25">
      <c r="A706">
        <v>426500</v>
      </c>
      <c r="B706" t="str">
        <f t="shared" si="37"/>
        <v>900142011</v>
      </c>
      <c r="C706">
        <f t="shared" si="38"/>
        <v>202106</v>
      </c>
      <c r="D706">
        <f>IF(OR(C706=1900,$D$506=0),0,VLOOKUP(A706,'Estados Financieros'!$A$11:$I$453,8,0))</f>
        <v>10</v>
      </c>
      <c r="E706" t="str">
        <f t="shared" ref="E706:E725" si="39">IFERROR(FIXED(D706,3,1),0)</f>
        <v>10,000</v>
      </c>
    </row>
    <row r="707" spans="1:5" x14ac:dyDescent="0.25">
      <c r="A707">
        <v>429500</v>
      </c>
      <c r="B707" t="str">
        <f t="shared" si="37"/>
        <v>900142011</v>
      </c>
      <c r="C707">
        <f t="shared" si="38"/>
        <v>202106</v>
      </c>
      <c r="D707">
        <f>IF(OR(C707=1900,$D$506=0),0,VLOOKUP(A707,'Estados Financieros'!$A$11:$I$453,8,0))</f>
        <v>10</v>
      </c>
      <c r="E707" t="str">
        <f t="shared" si="39"/>
        <v>10,000</v>
      </c>
    </row>
    <row r="708" spans="1:5" x14ac:dyDescent="0.25">
      <c r="A708">
        <v>42</v>
      </c>
      <c r="B708" t="str">
        <f t="shared" si="37"/>
        <v>900142011</v>
      </c>
      <c r="C708">
        <f t="shared" si="38"/>
        <v>202106</v>
      </c>
      <c r="D708">
        <f>IF(OR(C708=1900,$D$506=0),0,VLOOKUP(A708,'Estados Financieros'!$A$11:$I$453,8,0))</f>
        <v>120</v>
      </c>
      <c r="E708" t="str">
        <f t="shared" si="39"/>
        <v>120,000</v>
      </c>
    </row>
    <row r="709" spans="1:5" x14ac:dyDescent="0.25">
      <c r="A709">
        <v>5301</v>
      </c>
      <c r="B709" t="str">
        <f t="shared" si="37"/>
        <v>900142011</v>
      </c>
      <c r="C709">
        <f t="shared" si="38"/>
        <v>202106</v>
      </c>
      <c r="D709">
        <f>IF(OR(C709=1900,$D$506=0),0,VLOOKUP(A709,'Estados Financieros'!$A$11:$I$453,8,0))</f>
        <v>10</v>
      </c>
      <c r="E709" t="str">
        <f t="shared" si="39"/>
        <v>10,000</v>
      </c>
    </row>
    <row r="710" spans="1:5" x14ac:dyDescent="0.25">
      <c r="A710">
        <v>530525</v>
      </c>
      <c r="B710" t="str">
        <f t="shared" si="37"/>
        <v>900142011</v>
      </c>
      <c r="C710">
        <f t="shared" si="38"/>
        <v>202106</v>
      </c>
      <c r="D710">
        <f>IF(OR(C710=1900,$D$506=0),0,VLOOKUP(A710,'Estados Financieros'!$A$11:$I$453,8,0))</f>
        <v>10</v>
      </c>
      <c r="E710" t="str">
        <f t="shared" si="39"/>
        <v>10,000</v>
      </c>
    </row>
    <row r="711" spans="1:5" x14ac:dyDescent="0.25">
      <c r="A711">
        <v>530505</v>
      </c>
      <c r="B711" t="str">
        <f t="shared" si="37"/>
        <v>900142011</v>
      </c>
      <c r="C711">
        <f t="shared" si="38"/>
        <v>202106</v>
      </c>
      <c r="D711">
        <f>IF(OR(C711=1900,$D$506=0),0,VLOOKUP(A711,'Estados Financieros'!$A$11:$I$453,8,0))</f>
        <v>10</v>
      </c>
      <c r="E711" t="str">
        <f t="shared" si="39"/>
        <v>10,000</v>
      </c>
    </row>
    <row r="712" spans="1:5" x14ac:dyDescent="0.25">
      <c r="A712">
        <v>530515</v>
      </c>
      <c r="B712" t="str">
        <f t="shared" si="37"/>
        <v>900142011</v>
      </c>
      <c r="C712">
        <f t="shared" si="38"/>
        <v>202106</v>
      </c>
      <c r="D712">
        <f>IF(OR(C712=1900,$D$506=0),0,VLOOKUP(A712,'Estados Financieros'!$A$11:$I$453,8,0))</f>
        <v>10</v>
      </c>
      <c r="E712" t="str">
        <f t="shared" si="39"/>
        <v>10,000</v>
      </c>
    </row>
    <row r="713" spans="1:5" x14ac:dyDescent="0.25">
      <c r="A713">
        <v>530535</v>
      </c>
      <c r="B713" t="str">
        <f t="shared" si="37"/>
        <v>900142011</v>
      </c>
      <c r="C713">
        <f t="shared" si="38"/>
        <v>202106</v>
      </c>
      <c r="D713">
        <f>IF(OR(C713=1900,$D$506=0),0,VLOOKUP(A713,'Estados Financieros'!$A$11:$I$453,8,0))</f>
        <v>10</v>
      </c>
      <c r="E713" t="str">
        <f t="shared" si="39"/>
        <v>10,000</v>
      </c>
    </row>
    <row r="714" spans="1:5" x14ac:dyDescent="0.25">
      <c r="A714">
        <v>531000</v>
      </c>
      <c r="B714" t="str">
        <f t="shared" si="37"/>
        <v>900142011</v>
      </c>
      <c r="C714">
        <f t="shared" si="38"/>
        <v>202106</v>
      </c>
      <c r="D714">
        <f>IF(OR(C714=1900,$D$506=0),0,VLOOKUP(A714,'Estados Financieros'!$A$11:$I$453,8,0))</f>
        <v>10</v>
      </c>
      <c r="E714" t="str">
        <f t="shared" si="39"/>
        <v>10,000</v>
      </c>
    </row>
    <row r="715" spans="1:5" x14ac:dyDescent="0.25">
      <c r="A715">
        <v>531300</v>
      </c>
      <c r="B715" t="str">
        <f t="shared" si="37"/>
        <v>900142011</v>
      </c>
      <c r="C715">
        <f t="shared" si="38"/>
        <v>202106</v>
      </c>
      <c r="D715">
        <f>IF(OR(C715=1900,$D$506=0),0,VLOOKUP(A715,'Estados Financieros'!$A$11:$I$453,8,0))</f>
        <v>10</v>
      </c>
      <c r="E715" t="str">
        <f t="shared" si="39"/>
        <v>10,000</v>
      </c>
    </row>
    <row r="716" spans="1:5" x14ac:dyDescent="0.25">
      <c r="A716">
        <v>531500</v>
      </c>
      <c r="B716" t="str">
        <f t="shared" si="37"/>
        <v>900142011</v>
      </c>
      <c r="C716">
        <f t="shared" si="38"/>
        <v>202106</v>
      </c>
      <c r="D716">
        <f>IF(OR(C716=1900,$D$506=0),0,VLOOKUP(A716,'Estados Financieros'!$A$11:$I$453,8,0))</f>
        <v>10</v>
      </c>
      <c r="E716" t="str">
        <f t="shared" si="39"/>
        <v>10,000</v>
      </c>
    </row>
    <row r="717" spans="1:5" x14ac:dyDescent="0.25">
      <c r="A717">
        <v>531515</v>
      </c>
      <c r="B717" t="str">
        <f t="shared" si="37"/>
        <v>900142011</v>
      </c>
      <c r="C717">
        <f t="shared" si="38"/>
        <v>202106</v>
      </c>
      <c r="D717">
        <f>IF(OR(C717=1900,$D$506=0),0,VLOOKUP(A717,'Estados Financieros'!$A$11:$I$453,8,0))</f>
        <v>10</v>
      </c>
      <c r="E717" t="str">
        <f t="shared" si="39"/>
        <v>10,000</v>
      </c>
    </row>
    <row r="718" spans="1:5" x14ac:dyDescent="0.25">
      <c r="A718">
        <v>531520</v>
      </c>
      <c r="B718" t="str">
        <f t="shared" si="37"/>
        <v>900142011</v>
      </c>
      <c r="C718">
        <f t="shared" si="38"/>
        <v>202106</v>
      </c>
      <c r="D718">
        <f>IF(OR(C718=1900,$D$506=0),0,VLOOKUP(A718,'Estados Financieros'!$A$11:$I$453,8,0))</f>
        <v>10</v>
      </c>
      <c r="E718" t="str">
        <f t="shared" si="39"/>
        <v>10,000</v>
      </c>
    </row>
    <row r="719" spans="1:5" x14ac:dyDescent="0.25">
      <c r="A719">
        <v>539525</v>
      </c>
      <c r="B719" t="str">
        <f t="shared" si="37"/>
        <v>900142011</v>
      </c>
      <c r="C719">
        <f t="shared" si="38"/>
        <v>202106</v>
      </c>
      <c r="D719">
        <f>IF(OR(C719=1900,$D$506=0),0,VLOOKUP(A719,'Estados Financieros'!$A$11:$I$453,8,0))</f>
        <v>10</v>
      </c>
      <c r="E719" t="str">
        <f t="shared" si="39"/>
        <v>10,000</v>
      </c>
    </row>
    <row r="720" spans="1:5" x14ac:dyDescent="0.25">
      <c r="A720">
        <v>539595</v>
      </c>
      <c r="B720" t="str">
        <f t="shared" si="37"/>
        <v>900142011</v>
      </c>
      <c r="C720">
        <f t="shared" si="38"/>
        <v>202106</v>
      </c>
      <c r="D720">
        <f>IF(OR(C720=1900,$D$506=0),0,VLOOKUP(A720,'Estados Financieros'!$A$11:$I$453,8,0))</f>
        <v>10</v>
      </c>
      <c r="E720" t="str">
        <f t="shared" si="39"/>
        <v>10,000</v>
      </c>
    </row>
    <row r="721" spans="1:5" x14ac:dyDescent="0.25">
      <c r="A721">
        <v>53</v>
      </c>
      <c r="B721" t="str">
        <f t="shared" si="37"/>
        <v>900142011</v>
      </c>
      <c r="C721">
        <f t="shared" si="38"/>
        <v>202106</v>
      </c>
      <c r="D721">
        <f>IF(OR(C721=1900,$D$506=0),0,VLOOKUP(A721,'Estados Financieros'!$A$11:$I$453,8,0))</f>
        <v>120</v>
      </c>
      <c r="E721" t="str">
        <f t="shared" si="39"/>
        <v>120,000</v>
      </c>
    </row>
    <row r="722" spans="1:5" x14ac:dyDescent="0.25">
      <c r="A722">
        <v>98</v>
      </c>
      <c r="B722" t="str">
        <f t="shared" si="37"/>
        <v>900142011</v>
      </c>
      <c r="C722">
        <f t="shared" si="38"/>
        <v>202106</v>
      </c>
      <c r="D722">
        <f>IF(OR(C722=1900,$D$506=0),0,VLOOKUP(A722,'Estados Financieros'!$A$11:$I$453,8,0))</f>
        <v>0</v>
      </c>
      <c r="E722" t="str">
        <f t="shared" si="39"/>
        <v>0,000</v>
      </c>
    </row>
    <row r="723" spans="1:5" x14ac:dyDescent="0.25">
      <c r="A723">
        <v>97</v>
      </c>
      <c r="B723" t="str">
        <f t="shared" si="37"/>
        <v>900142011</v>
      </c>
      <c r="C723">
        <f t="shared" si="38"/>
        <v>202106</v>
      </c>
      <c r="D723">
        <f>IF(OR(C723=1900,$D$506=0),0,VLOOKUP(A723,'Estados Financieros'!$A$11:$I$453,8,0))</f>
        <v>2810</v>
      </c>
      <c r="E723" t="str">
        <f t="shared" si="39"/>
        <v>2810,000</v>
      </c>
    </row>
    <row r="724" spans="1:5" x14ac:dyDescent="0.25">
      <c r="A724">
        <v>54</v>
      </c>
      <c r="B724" t="str">
        <f t="shared" si="37"/>
        <v>900142011</v>
      </c>
      <c r="C724">
        <f t="shared" si="38"/>
        <v>202106</v>
      </c>
      <c r="D724">
        <f>IF(OR(C724=1900,$D$506=0),0,VLOOKUP(A724,'Estados Financieros'!$A$11:$I$453,8,0))</f>
        <v>0</v>
      </c>
      <c r="E724" t="str">
        <f t="shared" si="39"/>
        <v>0,000</v>
      </c>
    </row>
    <row r="725" spans="1:5" x14ac:dyDescent="0.25">
      <c r="A725">
        <v>99</v>
      </c>
      <c r="B725" t="str">
        <f t="shared" si="37"/>
        <v>900142011</v>
      </c>
      <c r="C725">
        <f t="shared" si="38"/>
        <v>202106</v>
      </c>
      <c r="D725">
        <f>IF(OR(C725=1900,$D$506=0),0,VLOOKUP(A725,'Estados Financieros'!$A$11:$I$453,8,0))</f>
        <v>2810</v>
      </c>
      <c r="E725" t="str">
        <f t="shared" si="39"/>
        <v>2810,000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D1"/>
  <sheetViews>
    <sheetView workbookViewId="0"/>
  </sheetViews>
  <sheetFormatPr baseColWidth="10" defaultRowHeight="15" x14ac:dyDescent="0.25"/>
  <sheetData>
    <row r="1" spans="1:4" x14ac:dyDescent="0.25">
      <c r="A1" t="s">
        <v>38</v>
      </c>
      <c r="B1" t="s">
        <v>0</v>
      </c>
      <c r="C1" t="s">
        <v>39</v>
      </c>
      <c r="D1"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I6"/>
  <sheetViews>
    <sheetView workbookViewId="0">
      <selection activeCell="B2" sqref="B2"/>
    </sheetView>
  </sheetViews>
  <sheetFormatPr baseColWidth="10" defaultColWidth="11" defaultRowHeight="15" x14ac:dyDescent="0.25"/>
  <cols>
    <col min="1" max="1" width="14.5703125" customWidth="1"/>
    <col min="2" max="2" width="10.140625" customWidth="1"/>
    <col min="3" max="3" width="9.5703125" customWidth="1"/>
    <col min="4" max="4" width="11.5703125" customWidth="1"/>
    <col min="5" max="5" width="8.42578125" customWidth="1"/>
    <col min="6" max="6" width="10.140625" customWidth="1"/>
    <col min="7" max="7" width="16.7109375" customWidth="1"/>
    <col min="8" max="8" width="11.42578125" customWidth="1"/>
    <col min="9" max="9" width="12.140625" bestFit="1" customWidth="1"/>
  </cols>
  <sheetData>
    <row r="1" spans="1:9" x14ac:dyDescent="0.25">
      <c r="A1" s="3178" t="s">
        <v>33</v>
      </c>
      <c r="B1" s="3178" t="s">
        <v>39</v>
      </c>
      <c r="C1" s="3178" t="s">
        <v>43</v>
      </c>
      <c r="D1" s="3178" t="s">
        <v>44</v>
      </c>
      <c r="E1" s="3178" t="s">
        <v>45</v>
      </c>
      <c r="F1" s="3178" t="s">
        <v>25</v>
      </c>
      <c r="G1" s="3178" t="s">
        <v>26</v>
      </c>
      <c r="H1" s="3178" t="s">
        <v>2166</v>
      </c>
      <c r="I1" s="3178" t="s">
        <v>2176</v>
      </c>
    </row>
    <row r="2" spans="1:9" x14ac:dyDescent="0.25">
      <c r="A2" t="str">
        <f>IF(B2=1900,"",'RC'!$D$6)</f>
        <v>900142011</v>
      </c>
      <c r="B2">
        <f>BalancesAnuales!C144</f>
        <v>201912</v>
      </c>
      <c r="C2" t="s">
        <v>46</v>
      </c>
      <c r="D2" t="s">
        <v>46</v>
      </c>
      <c r="E2">
        <f>IF(B2=1900,"",'Estados Financieros'!E6+0)</f>
        <v>12</v>
      </c>
      <c r="F2" t="str">
        <f>IF(B2=1900,"",Caratula1!$AM$3)</f>
        <v>89</v>
      </c>
      <c r="G2" t="str">
        <f>IF(B2=1900,"",Caratula1!$AN$3)</f>
        <v>Lempira HNL</v>
      </c>
      <c r="I2">
        <f>IFERROR(VLOOKUP(HLOOKUP(MID(B2,1,4)+0,'Estados Financieros'!$E$4:$G$5,2,0),'Estados Financieros'!$N$6:$O$8,2,0),3)</f>
        <v>2</v>
      </c>
    </row>
    <row r="3" spans="1:9" x14ac:dyDescent="0.25">
      <c r="A3" t="str">
        <f>IF(B3=1900,"",'RC'!$D$6)</f>
        <v>900142011</v>
      </c>
      <c r="B3">
        <f>BalancesAnuales!C506</f>
        <v>202012</v>
      </c>
      <c r="C3" t="s">
        <v>46</v>
      </c>
      <c r="D3" t="s">
        <v>46</v>
      </c>
      <c r="E3">
        <f>IF(B3=1900,"",'Estados Financieros'!F6+0)</f>
        <v>12</v>
      </c>
      <c r="F3" t="str">
        <f>IF(B3=1900,"",Caratula1!$AM$3)</f>
        <v>89</v>
      </c>
      <c r="G3" t="str">
        <f>IF(B3=1900,"",Caratula1!$AN$3)</f>
        <v>Lempira HNL</v>
      </c>
      <c r="I3">
        <f>IFERROR(VLOOKUP(HLOOKUP(MID(B3,1,4)+0,'Estados Financieros'!$E$4:$G$5,2,0),'Estados Financieros'!$N$6:$O$8,2,0),3)</f>
        <v>2</v>
      </c>
    </row>
    <row r="4" spans="1:9" x14ac:dyDescent="0.25">
      <c r="A4" t="str">
        <f>IF(B4=1900,"",'RC'!$D$6)</f>
        <v>900142011</v>
      </c>
      <c r="B4">
        <f>BalancesAnuales!C868</f>
        <v>202112</v>
      </c>
      <c r="C4" t="s">
        <v>46</v>
      </c>
      <c r="D4" t="s">
        <v>46</v>
      </c>
      <c r="E4">
        <f>IF(B4=1900,"",'Estados Financieros'!G6+0)</f>
        <v>12</v>
      </c>
      <c r="F4" t="str">
        <f>IF(B4=1900,"",Caratula1!$AM$3)</f>
        <v>89</v>
      </c>
      <c r="G4" t="str">
        <f>IF(B4=1900,"",Caratula1!$AN$3)</f>
        <v>Lempira HNL</v>
      </c>
      <c r="I4">
        <f>IFERROR(VLOOKUP(HLOOKUP(MID(B4,1,4)+0,'Estados Financieros'!$E$4:$G$5,2,0),'Estados Financieros'!$N$6:$O$8,2,0),3)</f>
        <v>2</v>
      </c>
    </row>
    <row r="5" spans="1:9" x14ac:dyDescent="0.25">
      <c r="A5" t="str">
        <f>IF(B5=1900,"",'RC'!$D$6)</f>
        <v>900142011</v>
      </c>
      <c r="B5">
        <f>BalancesMensuales!C144</f>
        <v>202006</v>
      </c>
      <c r="C5" t="s">
        <v>46</v>
      </c>
      <c r="D5" t="str">
        <f>IF(LEN(B5)=6,"True","False")</f>
        <v>True</v>
      </c>
      <c r="E5">
        <f>IF(B5=1900,"",'Estados Financieros'!H6+0)</f>
        <v>6</v>
      </c>
      <c r="F5" t="str">
        <f>IF(B5=1900,"",Caratula1!$AM$3)</f>
        <v>89</v>
      </c>
      <c r="G5" t="str">
        <f>IF(B5=1900,"",Caratula1!$AN$3)</f>
        <v>Lempira HNL</v>
      </c>
      <c r="I5">
        <f>IFERROR(VLOOKUP(HLOOKUP(MID(B5,1,4)+0,'Estados Financieros'!$H$4:$I$5,2,0),'Estados Financieros'!$N$6:$O$8,2,0),3)</f>
        <v>3</v>
      </c>
    </row>
    <row r="6" spans="1:9" x14ac:dyDescent="0.25">
      <c r="A6" t="str">
        <f>IF(B6=1900,"",'RC'!$D$6)</f>
        <v>900142011</v>
      </c>
      <c r="B6">
        <f>BalancesMensuales!C506</f>
        <v>202106</v>
      </c>
      <c r="C6" t="s">
        <v>46</v>
      </c>
      <c r="D6" t="str">
        <f>IF(LEN(B6)=6,"True","False")</f>
        <v>True</v>
      </c>
      <c r="E6">
        <f>IF(B6=1900,"",'Estados Financieros'!I6+0)</f>
        <v>6</v>
      </c>
      <c r="F6" t="str">
        <f>IF(B6=1900,"",Caratula1!$AM$3)</f>
        <v>89</v>
      </c>
      <c r="G6" t="str">
        <f>IF(B6=1900,"",Caratula1!$AN$3)</f>
        <v>Lempira HNL</v>
      </c>
      <c r="I6">
        <f>IFERROR(VLOOKUP(HLOOKUP(MID(B6,1,4),'Estados Financieros'!$H$4:$I$5,2,0),'Estados Financieros'!$N$6:$O$8,2,0),3)</f>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H2"/>
  <sheetViews>
    <sheetView workbookViewId="0">
      <selection activeCell="H2" sqref="H2"/>
    </sheetView>
  </sheetViews>
  <sheetFormatPr baseColWidth="10" defaultRowHeight="15" x14ac:dyDescent="0.25"/>
  <sheetData>
    <row r="1" spans="1:8" x14ac:dyDescent="0.25">
      <c r="A1" t="s">
        <v>33</v>
      </c>
      <c r="B1" t="s">
        <v>47</v>
      </c>
      <c r="C1" t="s">
        <v>48</v>
      </c>
      <c r="D1" t="str">
        <f>"Balance Anual - "&amp;'Estados Financieros'!K4</f>
        <v>Balance Anual - 201912</v>
      </c>
      <c r="E1" t="str">
        <f>"Balance Anual - "&amp;'Estados Financieros'!L4</f>
        <v>Balance Anual - 202012</v>
      </c>
      <c r="F1" t="str">
        <f>"Balance Anual - "&amp;'Estados Financieros'!M4</f>
        <v>Balance Anual - 202112</v>
      </c>
      <c r="G1" t="str">
        <f>"Balance Parcial - "&amp;'Estados Financieros'!O4</f>
        <v>Balance Parcial - 202006</v>
      </c>
      <c r="H1" t="str">
        <f>"Balance Parcial - "&amp;'Estados Financieros'!N4</f>
        <v>Balance Parcial - 202106</v>
      </c>
    </row>
    <row r="2" spans="1:8" x14ac:dyDescent="0.25">
      <c r="A2" t="str">
        <f>IF(AND('RC'!D6&lt;&gt;"",'RC'!D6&lt;&gt;0),"OK","Valide el documento de identificación de la Empresa")</f>
        <v>OK</v>
      </c>
      <c r="B2" t="str">
        <f>IF(AND('RC'!D7&lt;&gt;"",'RC'!D7&lt;&gt;0),"OK","Valide el Nombre de la Empresa")</f>
        <v>OK</v>
      </c>
      <c r="C2" t="str">
        <f>IF(AND('RC'!D8&lt;&gt;"",'RC'!D8&lt;&gt;0),"OK","Valide la fecha de fundación de la Empresa")</f>
        <v>OK</v>
      </c>
      <c r="D2" t="str">
        <f>IF('Estados Financieros'!E178&lt;&gt;0,IF(AND('Estados Financieros'!E375="OK",'Estados Financieros'!E458="OK",'Estados Financieros'!E460="OK",'Estados Financieros'!E4&gt;2015,'Estados Financieros'!E6+0&gt;2),"OK","Valide la información del primer año cerrado"),"OK")</f>
        <v>OK</v>
      </c>
      <c r="E2" t="str">
        <f>IF('Estados Financieros'!F178&lt;&gt;0,IF(AND('Estados Financieros'!F375="OK",'Estados Financieros'!F458="OK",'Estados Financieros'!F460="OK",'Estados Financieros'!F4&gt;2015,'Estados Financieros'!F6+0&gt;2),"OK","Valide la información del primer año cerrado"),"OK")</f>
        <v>OK</v>
      </c>
      <c r="F2" t="str">
        <f>IF('Estados Financieros'!G178&lt;&gt;0,IF(AND('Estados Financieros'!G375="OK",'Estados Financieros'!G458="OK",'Estados Financieros'!G460="OK",'Estados Financieros'!G4&gt;2015,'Estados Financieros'!G6+0&gt;2),"OK","Valide la información del primer año cerrado"),"OK")</f>
        <v>OK</v>
      </c>
      <c r="G2" t="str">
        <f>IF('Estados Financieros'!H178&lt;&gt;0,IF(AND('Estados Financieros'!H375="OK",'Estados Financieros'!H458="OK",'Estados Financieros'!H460="OK",'Estados Financieros'!H4&gt;2015,'Estados Financieros'!H6+0&lt;12),"OK","Valide la información del primer año cerrado"),"OK")</f>
        <v>OK</v>
      </c>
      <c r="H2" t="str">
        <f>IF('Estados Financieros'!I178&lt;&gt;0,IF(AND('Estados Financieros'!I375="OK",'Estados Financieros'!I458="OK",'Estados Financieros'!I460="OK",'Estados Financieros'!I4&gt;2015,'Estados Financieros'!I6+0&lt;12),"OK","Valide la información del primer año cerrado"),"OK")</f>
        <v>OK</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E2"/>
  <sheetViews>
    <sheetView workbookViewId="0">
      <selection sqref="A1:XFD2"/>
    </sheetView>
  </sheetViews>
  <sheetFormatPr baseColWidth="10" defaultRowHeight="15" x14ac:dyDescent="0.25"/>
  <sheetData>
    <row r="1" spans="1:5" x14ac:dyDescent="0.25">
      <c r="A1" t="s">
        <v>49</v>
      </c>
      <c r="B1" t="s">
        <v>50</v>
      </c>
      <c r="C1" t="s">
        <v>51</v>
      </c>
      <c r="D1" t="s">
        <v>52</v>
      </c>
      <c r="E1" t="s">
        <v>53</v>
      </c>
    </row>
    <row r="2" spans="1:5" x14ac:dyDescent="0.25">
      <c r="A2">
        <v>1</v>
      </c>
      <c r="B2">
        <f>IF(AND(Fortalezas!D393=0,Fortalezas!C392&gt;9),1,0)</f>
        <v>0</v>
      </c>
      <c r="C2">
        <f>IF(Fortalezas!I393=0,1,0)</f>
        <v>1</v>
      </c>
      <c r="D2">
        <f>IF(SUM(BalancesAnuales!D2:D1087)&gt;0,1,0)</f>
        <v>1</v>
      </c>
      <c r="E2">
        <f>IF(SUM(BalancesMensuales!D2:D725)&gt;0,1,0)</f>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BR10000"/>
  <sheetViews>
    <sheetView showGridLines="0" showRowColHeaders="0" topLeftCell="A9978" workbookViewId="0">
      <pane ySplit="23" topLeftCell="A10001" activePane="bottomLeft" state="frozen"/>
      <selection activeCell="A9978" sqref="A9978"/>
      <selection pane="bottomLeft" activeCell="D10005" sqref="D10005"/>
    </sheetView>
  </sheetViews>
  <sheetFormatPr baseColWidth="10" defaultRowHeight="15" x14ac:dyDescent="0.25"/>
  <sheetData>
    <row r="1" spans="1:70" hidden="1" x14ac:dyDescent="0.25">
      <c r="D1" s="3179" t="str">
        <f>IFERROR(VLOOKUP(D4,NitAnioNIIF1!$C$2:$I$53,7,0),"False")</f>
        <v>False</v>
      </c>
      <c r="E1" s="3179" t="str">
        <f>IFERROR(VLOOKUP(E4,NitAnioNIIF1!$C$2:$I$53,7,0),"False")</f>
        <v>False</v>
      </c>
      <c r="F1" s="3179" t="str">
        <f>IFERROR(VLOOKUP(F4,NitAnioNIIF1!$C$2:$I$53,7,0),"False")</f>
        <v>False</v>
      </c>
      <c r="G1" s="3179" t="str">
        <f>IFERROR(VLOOKUP(G4,NitAnioNIIF1!$C$2:$I$53,7,0),"False")</f>
        <v>False</v>
      </c>
      <c r="H1" s="3179" t="str">
        <f>IFERROR(VLOOKUP(H4,NitAnioNIIF1!$C$2:$I$53,7,0),"False")</f>
        <v>False</v>
      </c>
      <c r="J1" s="3179" t="str">
        <f>IFERROR(IF(VLOOKUP(D4,NitAnioNIIF1!$C$2:$I$53,4,0)=0,"12",VLOOKUP(D4,NitAnioNIIF1!$C$2:$I$53,4,0)),"12")</f>
        <v>12</v>
      </c>
      <c r="K1" s="3179" t="str">
        <f>IFERROR(IF(VLOOKUP(E4,NitAnioNIIF1!$C$2:$I$53,4,0)=0,"12",VLOOKUP(E4,NitAnioNIIF1!$C$2:$I$53,4,0)),"12")</f>
        <v>12</v>
      </c>
      <c r="L1" s="3179" t="str">
        <f>IFERROR(IF(VLOOKUP(F4,NitAnioNIIF1!$C$2:$I$53,4,0)=0,"12",VLOOKUP(F4,NitAnioNIIF1!$C$2:$I$53,4,0)),"12")</f>
        <v>12</v>
      </c>
      <c r="M1" s="3179" t="str">
        <f>IFERROR(VLOOKUP(G4,NitAnioNIIF1!$C$2:$I$53,4,0),"06")</f>
        <v>06</v>
      </c>
      <c r="N1" s="3179" t="str">
        <f>IFERROR(VLOOKUP(H4,NitAnioNIIF1!$C$2:$I$53,4,0),"06")</f>
        <v>06</v>
      </c>
    </row>
    <row r="2" spans="1:70" hidden="1" x14ac:dyDescent="0.25">
      <c r="A2" t="str">
        <f>Caratula1!AP3</f>
        <v>Honduras</v>
      </c>
      <c r="D2">
        <f>IFERROR(VLOOKUP("36",$M$5:$T$2004,6,0),E2-100)</f>
        <v>201712</v>
      </c>
      <c r="E2">
        <f>IFERROR(VLOOKUP("26",$M$5:$T$2004,6,0),F2-100)</f>
        <v>201812</v>
      </c>
      <c r="F2">
        <f>IFERROR(VLOOKUP("16",$M$5:$T$2004,6,0),201912)</f>
        <v>201912</v>
      </c>
      <c r="G2">
        <f>IFERROR(VLOOKUP("46",$M$5:$T$2004,6,0),202006)</f>
        <v>202006</v>
      </c>
      <c r="H2">
        <f>IFERROR(VLOOKUP("56",$M$5:$T$2004,6,0),(MID(G2,1,4)+0&amp;"06")+0)</f>
        <v>202006</v>
      </c>
      <c r="J2" t="str">
        <f>MID(G2,1,4)</f>
        <v>2020</v>
      </c>
      <c r="K2" t="str">
        <f>MID(G2,5,2)</f>
        <v>06</v>
      </c>
      <c r="L2" t="str">
        <f>VLOOKUP(K2,J8:K18,2,0)</f>
        <v>Junio</v>
      </c>
    </row>
    <row r="3" spans="1:70" hidden="1" x14ac:dyDescent="0.25">
      <c r="D3" t="str">
        <f>VLOOKUP(MID(D2,5,2),$J$8:$K$19,2,0)</f>
        <v>Diciembre</v>
      </c>
      <c r="E3" t="str">
        <f>VLOOKUP(MID(E2,5,2),$J$8:$K$19,2,0)</f>
        <v>Diciembre</v>
      </c>
      <c r="F3" t="str">
        <f>VLOOKUP(MID(F2,5,2),$J$8:$K$19,2,0)</f>
        <v>Diciembre</v>
      </c>
      <c r="G3" t="str">
        <f>VLOOKUP(MID(G2,5,2),$J$8:$K$19,2,0)</f>
        <v>Junio</v>
      </c>
      <c r="H3" t="str">
        <f>VLOOKUP(MID(H2,5,2),$J$8:$K$19,2,0)</f>
        <v>Junio</v>
      </c>
      <c r="J3">
        <f>J2-1</f>
        <v>2019</v>
      </c>
      <c r="L3">
        <f>VLOOKUP(K2,J8:L18,3,0)</f>
        <v>180</v>
      </c>
    </row>
    <row r="4" spans="1:70" hidden="1" x14ac:dyDescent="0.25">
      <c r="A4" s="3123" t="str">
        <f>'RC'!D6</f>
        <v>900142011</v>
      </c>
      <c r="C4" t="str">
        <f>'Estados Financieros'!M4</f>
        <v>202112</v>
      </c>
      <c r="D4" t="str">
        <f>'Estados Financieros'!K4</f>
        <v>201912</v>
      </c>
      <c r="E4" t="str">
        <f>'Estados Financieros'!L4</f>
        <v>202012</v>
      </c>
      <c r="F4" t="str">
        <f>'Estados Financieros'!M4</f>
        <v>202112</v>
      </c>
      <c r="G4" t="str">
        <f>'Estados Financieros'!N4</f>
        <v>202106</v>
      </c>
      <c r="H4" t="str">
        <f>'Estados Financieros'!O4</f>
        <v>202006</v>
      </c>
      <c r="J4" t="str">
        <f>IFERROR(VLOOKUP(MID(K4,5,2),$J$8:$K$18,2,0),"Seleccione Mes")</f>
        <v>Seleccione Mes</v>
      </c>
      <c r="K4">
        <f>IF(K5&lt;&gt;0,K5,IF(K6&lt;&gt;0,K6,K7))</f>
        <v>0</v>
      </c>
      <c r="M4">
        <f>IFERROR((MID(K4,5,2)+0)*30,0)</f>
        <v>0</v>
      </c>
      <c r="AB4" s="3123" t="str">
        <f>'RC'!D6</f>
        <v>900142011</v>
      </c>
      <c r="AC4" t="str">
        <f>IFERROR(PROPER(VLOOKUP(AB4,Caratula1!$A$1:$B$101,2,0)),"")</f>
        <v>Prueba Da 27.08.23</v>
      </c>
      <c r="AE4" t="s">
        <v>50</v>
      </c>
      <c r="AT4" t="s">
        <v>0</v>
      </c>
      <c r="AU4" t="s">
        <v>1</v>
      </c>
      <c r="AV4" t="s">
        <v>2</v>
      </c>
      <c r="AW4" t="s">
        <v>3</v>
      </c>
      <c r="AX4" t="s">
        <v>4</v>
      </c>
      <c r="AY4" t="s">
        <v>5</v>
      </c>
      <c r="AZ4" t="s">
        <v>6</v>
      </c>
      <c r="BA4" t="s">
        <v>7</v>
      </c>
      <c r="BB4" t="s">
        <v>8</v>
      </c>
      <c r="BC4" t="s">
        <v>9</v>
      </c>
      <c r="BD4" t="s">
        <v>10</v>
      </c>
      <c r="BE4" t="s">
        <v>11</v>
      </c>
      <c r="BF4" t="s">
        <v>12</v>
      </c>
      <c r="BG4" t="s">
        <v>13</v>
      </c>
      <c r="BH4" t="s">
        <v>14</v>
      </c>
      <c r="BI4" t="s">
        <v>15</v>
      </c>
      <c r="BJ4" t="s">
        <v>16</v>
      </c>
      <c r="BK4" t="s">
        <v>17</v>
      </c>
      <c r="BL4" t="s">
        <v>18</v>
      </c>
      <c r="BM4" t="s">
        <v>19</v>
      </c>
      <c r="BN4" t="s">
        <v>20</v>
      </c>
      <c r="BO4" t="s">
        <v>21</v>
      </c>
      <c r="BP4" t="s">
        <v>22</v>
      </c>
      <c r="BQ4" t="s">
        <v>23</v>
      </c>
      <c r="BR4" t="s">
        <v>24</v>
      </c>
    </row>
    <row r="5" spans="1:70" hidden="1" x14ac:dyDescent="0.25">
      <c r="A5" t="s">
        <v>54</v>
      </c>
      <c r="D5" t="str">
        <f>'Estados Financieros'!E6</f>
        <v>12</v>
      </c>
      <c r="E5" t="str">
        <f>'Estados Financieros'!F6</f>
        <v>12</v>
      </c>
      <c r="F5" t="str">
        <f>'Estados Financieros'!G6</f>
        <v>12</v>
      </c>
      <c r="G5" t="str">
        <f>'Estados Financieros'!H6</f>
        <v>06</v>
      </c>
      <c r="H5" t="str">
        <f>'Estados Financieros'!I6</f>
        <v>06</v>
      </c>
      <c r="J5">
        <f>MID(K4,1,4)+0</f>
        <v>0</v>
      </c>
      <c r="K5">
        <f>IFERROR(VLOOKUP("26",$M$5:$T$2004,6,0),0)</f>
        <v>0</v>
      </c>
      <c r="M5" t="str">
        <f>N5&amp;O5</f>
        <v>01</v>
      </c>
      <c r="N5">
        <f>IF(Q5=$A$4,N4+1,0)</f>
        <v>0</v>
      </c>
      <c r="O5">
        <f>LEN(R5)</f>
        <v>1</v>
      </c>
      <c r="P5">
        <f>NitAnioNIIF1!A2</f>
        <v>0</v>
      </c>
      <c r="Q5">
        <f>NitAnioNIIF1!B2</f>
        <v>0</v>
      </c>
      <c r="R5">
        <f>NitAnioNIIF1!C2</f>
        <v>0</v>
      </c>
      <c r="S5">
        <f>NitAnioNIIF1!D2</f>
        <v>0</v>
      </c>
      <c r="T5">
        <f>NitAnioNIIF1!E2</f>
        <v>0</v>
      </c>
      <c r="AB5" t="s">
        <v>2</v>
      </c>
      <c r="AC5" t="str">
        <f>IFERROR(PROPER(VLOOKUP(AB4,Caratula1!$A$1:$BJ$61,3,0)),"")</f>
        <v>Prueba Da</v>
      </c>
      <c r="AD5">
        <f t="shared" ref="AD5:AD16" si="0">IF($AB$4=AE5,AD4+1,0)</f>
        <v>0</v>
      </c>
      <c r="AE5">
        <f>Accionistas1!B2</f>
        <v>0</v>
      </c>
      <c r="AF5">
        <f>Accionistas1!C2</f>
        <v>0</v>
      </c>
      <c r="AG5">
        <f>Accionistas1!D2</f>
        <v>0</v>
      </c>
      <c r="AH5">
        <f>Accionistas1!E2</f>
        <v>0</v>
      </c>
      <c r="AJ5">
        <v>1</v>
      </c>
      <c r="AK5" t="str">
        <f t="shared" ref="AK5:AK13" si="1">IFERROR(VLOOKUP(AJ5,$AD$5:$AH$2007,3,0),"")</f>
        <v/>
      </c>
      <c r="AL5" t="str">
        <f t="shared" ref="AL5:AL13" si="2">IFERROR(VLOOKUP(AJ5,$AD$5:$AH$2007,4,0),"")</f>
        <v/>
      </c>
      <c r="AM5" t="str">
        <f t="shared" ref="AM5:AM14" si="3">IFERROR((VLOOKUP(AJ5,$AD$5:$AH$2007,5,0)+0)/100,"")</f>
        <v/>
      </c>
      <c r="AT5" s="3123" t="str">
        <f>A4</f>
        <v>900142011</v>
      </c>
      <c r="AU5" t="str">
        <f>VLOOKUP($AT$5,Caratula1!$3:$60,2,0)</f>
        <v>PRUEBA DA 27.08.23</v>
      </c>
      <c r="AV5" t="str">
        <f>VLOOKUP($AT$5,Caratula1!$3:$60,3,0)</f>
        <v>PRUEBA DA</v>
      </c>
      <c r="AW5" t="str">
        <f>VLOOKUP($AT$5,Caratula1!$3:$60,4,0)</f>
        <v>14</v>
      </c>
      <c r="AX5" t="str">
        <f>VLOOKUP($AT$5,Caratula1!$3:$60,6,0)</f>
        <v>PRUEBA DA 27.08.23</v>
      </c>
      <c r="AY5" t="str">
        <f>VLOOKUP($AT$5,Caratula1!$3:$60,7,0)</f>
        <v>JUAN ARIAS</v>
      </c>
      <c r="AZ5" t="str">
        <f>VLOOKUP($AT$5,Caratula1!$3:$60,8,0)</f>
        <v>REPRESENTANTE</v>
      </c>
      <c r="BA5" t="str">
        <f>VLOOKUP($AT$5,Caratula1!$3:$60,9,0)</f>
        <v>1213</v>
      </c>
      <c r="BB5" t="str">
        <f>VLOOKUP($AT$5,Caratula1!$3:$60,10,0)</f>
        <v>CALLE 1 1 1</v>
      </c>
      <c r="BC5" t="str">
        <f>VLOOKUP($AT$5,Caratula1!$3:$60,11,0)</f>
        <v>6018050512</v>
      </c>
      <c r="BD5">
        <f>VLOOKUP($AT$5,Caratula1!$3:$60,13,0)</f>
        <v>0</v>
      </c>
      <c r="BE5">
        <f>VLOOKUP($AT$5,Caratula1!$3:$60,14,0)</f>
        <v>0</v>
      </c>
      <c r="BF5" t="str">
        <f>VLOOKUP($AT$5,Caratula1!$3:$60,15,0)</f>
        <v>12345</v>
      </c>
      <c r="BG5" t="str">
        <f>VLOOKUP($AT$5,Caratula1!$3:$60,16,0)</f>
        <v>PRUEBA@PRUEBA.COM</v>
      </c>
      <c r="BH5" t="str">
        <f>VLOOKUP($AT$5,Caratula1!$3:$60,17,0)</f>
        <v>WWW.PRUEBA.COM</v>
      </c>
      <c r="BI5" s="3124">
        <f>'RC'!D8</f>
        <v>42019</v>
      </c>
      <c r="BJ5" t="str">
        <f>VLOOKUP($AT$5,Caratula1!$3:$60,19,0)</f>
        <v>1</v>
      </c>
      <c r="BK5" t="str">
        <f>VLOOKUP($AT$5,Caratula1!$3:$60,20,0)</f>
        <v>False</v>
      </c>
      <c r="BL5" s="3123" t="str">
        <f>'RC'!D9</f>
        <v>7020</v>
      </c>
      <c r="BM5" t="str">
        <f>VLOOKUP($AT$5,Caratula1!$3:$60,22,0)</f>
        <v>False</v>
      </c>
      <c r="BN5" t="str">
        <f>VLOOKUP($AT$5,Caratula1!$3:$60,23,0)</f>
        <v>False</v>
      </c>
      <c r="BO5" t="str">
        <f>VLOOKUP($AT$5,Caratula1!$3:$60,24,0)</f>
        <v>JUAN ARIAS</v>
      </c>
      <c r="BP5" t="str">
        <f>VLOOKUP($AT$5,Caratula1!$3:$60,25,0)</f>
        <v>100</v>
      </c>
      <c r="BQ5" t="str">
        <f>VLOOKUP($AT$5,Caratula1!$3:$60,37,0)</f>
        <v>Industrial / Azúcar / Ingenios Azucareros</v>
      </c>
      <c r="BR5">
        <f>'Estados Financieros'!I2</f>
        <v>0</v>
      </c>
    </row>
    <row r="6" spans="1:70" hidden="1" x14ac:dyDescent="0.25">
      <c r="A6">
        <v>1</v>
      </c>
      <c r="C6">
        <v>110105</v>
      </c>
      <c r="D6">
        <f>IFERROR(VLOOKUP($A$4&amp;$D$4&amp;C6,BalancesAnuales1!$A$2:$E$20009,5,0)+0,0)/A6</f>
        <v>0</v>
      </c>
      <c r="E6">
        <f>IFERROR(VLOOKUP($A$4&amp;$E$4&amp;C6,BalancesAnuales1!$A$2:$E$20009,5,0)+0,0)/A6</f>
        <v>0</v>
      </c>
      <c r="F6">
        <f>IFERROR(VLOOKUP($A$4&amp;$F$4&amp;C6,BalancesAnuales1!$A$2:$E$20009,5,0)+0,0)/A6</f>
        <v>0</v>
      </c>
      <c r="G6">
        <f>IFERROR(VLOOKUP($A$4&amp;$G$4&amp;C6,BalancesMensuales1!$A$2:$E$20009,5,0)+0,0)/A6</f>
        <v>0</v>
      </c>
      <c r="H6">
        <f>IFERROR(VLOOKUP($A$4&amp;$H$4&amp;C6,BalancesMensuales1!$A$2:$E$20009,5,0)+0,0)/A6</f>
        <v>0</v>
      </c>
      <c r="K6">
        <f>IFERROR(VLOOKUP("36",$M$5:$T$2004,6,0),0)</f>
        <v>0</v>
      </c>
      <c r="M6" t="str">
        <f>N6&amp;O6</f>
        <v>01</v>
      </c>
      <c r="N6">
        <f>IF(Q6=$A$4,N5+1,0)</f>
        <v>0</v>
      </c>
      <c r="O6">
        <f>LEN(R6)</f>
        <v>1</v>
      </c>
      <c r="P6">
        <f>NitAnioNIIF1!A3</f>
        <v>0</v>
      </c>
      <c r="Q6">
        <f>NitAnioNIIF1!B3</f>
        <v>0</v>
      </c>
      <c r="R6">
        <f>NitAnioNIIF1!C3</f>
        <v>0</v>
      </c>
      <c r="S6">
        <f>NitAnioNIIF1!D3</f>
        <v>0</v>
      </c>
      <c r="T6">
        <f>NitAnioNIIF1!E3</f>
        <v>0</v>
      </c>
      <c r="AB6" t="s">
        <v>55</v>
      </c>
      <c r="AC6" t="str">
        <f>IFERROR(PROPER(VLOOKUP(AB4,Caratula1!$A$1:$BJ$61,5,0)),"")</f>
        <v>Hn - Sociedad Anónima</v>
      </c>
      <c r="AD6">
        <f t="shared" si="0"/>
        <v>0</v>
      </c>
      <c r="AE6">
        <f>Accionistas1!B3</f>
        <v>0</v>
      </c>
      <c r="AF6">
        <f>Accionistas1!C3</f>
        <v>0</v>
      </c>
      <c r="AG6">
        <f>Accionistas1!D3</f>
        <v>0</v>
      </c>
      <c r="AH6">
        <f>Accionistas1!E3</f>
        <v>0</v>
      </c>
      <c r="AJ6">
        <v>2</v>
      </c>
      <c r="AK6" t="str">
        <f t="shared" si="1"/>
        <v/>
      </c>
      <c r="AL6" t="str">
        <f t="shared" si="2"/>
        <v/>
      </c>
      <c r="AM6" t="str">
        <f t="shared" si="3"/>
        <v/>
      </c>
      <c r="AT6" t="s">
        <v>56</v>
      </c>
    </row>
    <row r="7" spans="1:70" hidden="1" x14ac:dyDescent="0.25">
      <c r="C7">
        <v>110110</v>
      </c>
      <c r="D7">
        <f>IFERROR(VLOOKUP($A$4&amp;$D$4&amp;C7,BalancesAnuales1!$A$2:$E$20009,5,0)+0,0)/A6</f>
        <v>0</v>
      </c>
      <c r="E7">
        <f>IFERROR(VLOOKUP($A$4&amp;$E$4&amp;C7,BalancesAnuales1!$A$2:$E$20009,5,0)+0,0)/A6</f>
        <v>0</v>
      </c>
      <c r="F7">
        <f>IFERROR(VLOOKUP($A$4&amp;$F$4&amp;C7,BalancesAnuales1!$A$2:$E$20009,5,0)+0,0)/A6</f>
        <v>0</v>
      </c>
      <c r="G7">
        <f>IFERROR(VLOOKUP($A$4&amp;$G$4&amp;C7,BalancesMensuales1!$A$2:$E$20009,5,0)+0,0)/A6</f>
        <v>0</v>
      </c>
      <c r="H7">
        <f>IFERROR(VLOOKUP($A$4&amp;$H$4&amp;C7,BalancesMensuales1!$A$2:$E$20009,5,0)+0,0)/A6</f>
        <v>0</v>
      </c>
      <c r="K7">
        <f>IFERROR(VLOOKUP("46",$M$5:$T$2004,6,0),0)</f>
        <v>0</v>
      </c>
      <c r="M7" t="str">
        <f>N7&amp;O7</f>
        <v>01</v>
      </c>
      <c r="N7">
        <f>IF(Q7=$A$4,N6+1,0)</f>
        <v>0</v>
      </c>
      <c r="O7">
        <f>LEN(R7)</f>
        <v>1</v>
      </c>
      <c r="P7">
        <f>NitAnioNIIF1!A4</f>
        <v>0</v>
      </c>
      <c r="Q7">
        <f>NitAnioNIIF1!B4</f>
        <v>0</v>
      </c>
      <c r="R7">
        <f>NitAnioNIIF1!C4</f>
        <v>0</v>
      </c>
      <c r="S7">
        <f>NitAnioNIIF1!D4</f>
        <v>0</v>
      </c>
      <c r="T7">
        <f>NitAnioNIIF1!E4</f>
        <v>0</v>
      </c>
      <c r="AB7" t="s">
        <v>57</v>
      </c>
      <c r="AC7" t="str">
        <f>IFERROR(PROPER(VLOOKUP(AB4,Caratula1!$A$1:$BJ$61,6,0)),"")</f>
        <v>Prueba Da 27.08.23</v>
      </c>
      <c r="AD7">
        <f t="shared" si="0"/>
        <v>0</v>
      </c>
      <c r="AE7">
        <f>Accionistas1!B4</f>
        <v>0</v>
      </c>
      <c r="AF7">
        <f>Accionistas1!C4</f>
        <v>0</v>
      </c>
      <c r="AG7">
        <f>Accionistas1!D4</f>
        <v>0</v>
      </c>
      <c r="AH7">
        <f>Accionistas1!E4</f>
        <v>0</v>
      </c>
      <c r="AJ7">
        <v>3</v>
      </c>
      <c r="AK7" t="str">
        <f t="shared" si="1"/>
        <v/>
      </c>
      <c r="AL7" t="str">
        <f t="shared" si="2"/>
        <v/>
      </c>
      <c r="AM7" t="str">
        <f t="shared" si="3"/>
        <v/>
      </c>
      <c r="AT7" t="s">
        <v>33</v>
      </c>
      <c r="AU7" t="s">
        <v>47</v>
      </c>
      <c r="AV7" t="s">
        <v>48</v>
      </c>
      <c r="AW7" t="str">
        <f>"Balance"&amp;'Estados Financieros'!E4</f>
        <v>Balance2019</v>
      </c>
      <c r="AX7" t="str">
        <f>"Balance"&amp;'Estados Financieros'!F4</f>
        <v>Balance2020</v>
      </c>
      <c r="AY7" t="str">
        <f>"Balance"&amp;'Estados Financieros'!G4</f>
        <v>Balance2021</v>
      </c>
      <c r="AZ7" t="str">
        <f>"Balance Parcial - "&amp;'Estados Financieros'!H2</f>
        <v xml:space="preserve">Balance Parcial - </v>
      </c>
      <c r="BA7" t="s">
        <v>58</v>
      </c>
    </row>
    <row r="8" spans="1:70" hidden="1" x14ac:dyDescent="0.25">
      <c r="C8">
        <v>111010</v>
      </c>
      <c r="D8">
        <f>IFERROR(VLOOKUP($A$4&amp;$D$4&amp;C8,BalancesAnuales1!$A$2:$E$20009,5,0)+0,0)/A6</f>
        <v>0</v>
      </c>
      <c r="E8">
        <f>IFERROR(VLOOKUP($A$4&amp;$E$4&amp;C8,BalancesAnuales1!$A$2:$E$20009,5,0)+0,0)/A6</f>
        <v>0</v>
      </c>
      <c r="F8">
        <f>IFERROR(VLOOKUP($A$4&amp;$F$4&amp;C8,BalancesAnuales1!$A$2:$E$20009,5,0)+0,0)/A6</f>
        <v>0</v>
      </c>
      <c r="G8">
        <f>IFERROR(VLOOKUP($A$4&amp;$G$4&amp;C8,BalancesMensuales1!$A$2:$E$20009,5,0)+0,0)/A6</f>
        <v>0</v>
      </c>
      <c r="H8">
        <f>IFERROR(VLOOKUP($A$4&amp;$H$4&amp;C8,BalancesMensuales1!$A$2:$E$20009,5,0)+0,0)/A6</f>
        <v>0</v>
      </c>
      <c r="J8" t="s">
        <v>59</v>
      </c>
      <c r="K8" t="s">
        <v>60</v>
      </c>
      <c r="L8">
        <v>30</v>
      </c>
      <c r="M8" t="str">
        <f>N8&amp;O8</f>
        <v>01</v>
      </c>
      <c r="N8">
        <f>IF(Q8=$A$4,N7+1,0)</f>
        <v>0</v>
      </c>
      <c r="O8">
        <f>LEN(R8)</f>
        <v>1</v>
      </c>
      <c r="P8">
        <f>NitAnioNIIF1!A5</f>
        <v>0</v>
      </c>
      <c r="Q8">
        <f>NitAnioNIIF1!B5</f>
        <v>0</v>
      </c>
      <c r="R8">
        <f>NitAnioNIIF1!C5</f>
        <v>0</v>
      </c>
      <c r="S8">
        <f>NitAnioNIIF1!D5</f>
        <v>0</v>
      </c>
      <c r="T8">
        <f>NitAnioNIIF1!E5</f>
        <v>0</v>
      </c>
      <c r="U8" t="str">
        <f t="shared" ref="U8:U18" si="4">+K8</f>
        <v>Enero</v>
      </c>
      <c r="V8" t="str">
        <f t="shared" ref="V8:V18" si="5">+J8</f>
        <v>01</v>
      </c>
      <c r="AB8" t="s">
        <v>61</v>
      </c>
      <c r="AC8" t="str">
        <f>IFERROR(PROPER(VLOOKUP(AB4,Caratula1!$A$1:$BJ$61,7,0)),"")</f>
        <v>Juan Arias</v>
      </c>
      <c r="AD8">
        <f t="shared" si="0"/>
        <v>0</v>
      </c>
      <c r="AE8">
        <f>Accionistas1!B5</f>
        <v>0</v>
      </c>
      <c r="AF8">
        <f>Accionistas1!C5</f>
        <v>0</v>
      </c>
      <c r="AG8">
        <f>Accionistas1!D5</f>
        <v>0</v>
      </c>
      <c r="AH8">
        <f>Accionistas1!E5</f>
        <v>0</v>
      </c>
      <c r="AJ8">
        <v>4</v>
      </c>
      <c r="AK8" t="str">
        <f t="shared" si="1"/>
        <v/>
      </c>
      <c r="AL8" t="str">
        <f t="shared" si="2"/>
        <v/>
      </c>
      <c r="AM8" t="str">
        <f t="shared" si="3"/>
        <v/>
      </c>
      <c r="AT8" t="str">
        <f>IF(OR('RC'!$D$6="",'RC'!$D$6=0),"No se digitó el Nit de la compañía","OK")</f>
        <v>OK</v>
      </c>
      <c r="AU8" t="str">
        <f>IF(OR('RC'!$D$7="",'RC'!$D$7=0),"No se digitó el nombre de la compañía "&amp;AT5,"OK")</f>
        <v>OK</v>
      </c>
      <c r="AV8" t="str">
        <f>IF(T('RC'!D8)&lt;&gt;"","Fecha de Fundación Errada, Nit: "&amp;AT5,"OK")</f>
        <v>OK</v>
      </c>
      <c r="AW8" t="str">
        <f>IF(AND('Estados Financieros'!E375="OK",'Estados Financieros'!E460="OK"),"OK","El balance esta descuadrado para el año "&amp;'Estados Financieros'!E4&amp;", Nit: "&amp;'RC'!D6)</f>
        <v>OK</v>
      </c>
      <c r="AX8" t="str">
        <f>IF(AND('Estados Financieros'!F375="OK",'Estados Financieros'!F460="OK"),"OK","El balance esta descuadrado para el año "&amp;'Estados Financieros'!F4&amp;", Nit: "&amp;'RC'!D6)</f>
        <v>OK</v>
      </c>
      <c r="AY8" t="str">
        <f>IF(AND('Estados Financieros'!G375="OK",'Estados Financieros'!G460="OK"),"OK","El balance esta descuadrado para el año "&amp;'Estados Financieros'!G4&amp;", Nit:: "&amp;'RC'!D6)</f>
        <v>OK</v>
      </c>
      <c r="AZ8" t="str">
        <f>IF(AND('Estados Financieros'!H2=1900,'Estados Financieros'!H178&lt;&gt;0),"Valide la fecha de la información Parcial",IF(AND('Estados Financieros'!H375="OK",'Estados Financieros'!H460="OK"),"OK","El balance esta descuadrado para el año "&amp;'Estados Financieros'!H2&amp;", Nit:: "&amp;'RC'!D6))</f>
        <v>OK</v>
      </c>
      <c r="BA8" t="str">
        <f>IF('RC'!B21&lt;&gt;0,'RC'!C14&amp;'RC'!C15&amp;'RC'!C16&amp;'RC'!C17&amp;'RC'!C18&amp;'RC'!C19&amp;'RC'!C20,"OK")</f>
        <v>OK</v>
      </c>
    </row>
    <row r="9" spans="1:70" hidden="1" x14ac:dyDescent="0.25">
      <c r="C9">
        <v>110130</v>
      </c>
      <c r="D9">
        <f>IFERROR(VLOOKUP($A$4&amp;$D$4&amp;C9,BalancesAnuales1!$A$2:$E$20009,5,0)+0,0)/A6</f>
        <v>0</v>
      </c>
      <c r="E9">
        <f>IFERROR(VLOOKUP($A$4&amp;$E$4&amp;C9,BalancesAnuales1!$A$2:$E$20009,5,0)+0,0)/A6</f>
        <v>0</v>
      </c>
      <c r="F9">
        <f>IFERROR(VLOOKUP($A$4&amp;$F$4&amp;C9,BalancesAnuales1!$A$2:$E$20009,5,0)+0,0)/A6</f>
        <v>0</v>
      </c>
      <c r="G9">
        <f>IFERROR(VLOOKUP($A$4&amp;$G$4&amp;C9,BalancesMensuales1!$A$2:$E$20009,5,0)+0,0)/A6</f>
        <v>0</v>
      </c>
      <c r="H9">
        <f>IFERROR(VLOOKUP($A$4&amp;$H$4&amp;C9,BalancesMensuales1!$A$2:$E$20009,5,0)+0,0)/A6</f>
        <v>0</v>
      </c>
      <c r="J9" t="s">
        <v>62</v>
      </c>
      <c r="K9" t="s">
        <v>63</v>
      </c>
      <c r="L9">
        <v>60</v>
      </c>
      <c r="M9" t="str">
        <f>N9&amp;O9</f>
        <v>01</v>
      </c>
      <c r="N9">
        <f>IF(Q9=$A$4,N8+1,0)</f>
        <v>0</v>
      </c>
      <c r="O9">
        <f>LEN(R9)</f>
        <v>1</v>
      </c>
      <c r="P9">
        <f>NitAnioNIIF1!A6</f>
        <v>0</v>
      </c>
      <c r="Q9">
        <f>NitAnioNIIF1!B6</f>
        <v>0</v>
      </c>
      <c r="R9">
        <f>NitAnioNIIF1!C6</f>
        <v>0</v>
      </c>
      <c r="S9">
        <f>NitAnioNIIF1!D6</f>
        <v>0</v>
      </c>
      <c r="T9">
        <f>NitAnioNIIF1!E6</f>
        <v>0</v>
      </c>
      <c r="U9" t="str">
        <f t="shared" si="4"/>
        <v>Febrero</v>
      </c>
      <c r="V9" t="str">
        <f t="shared" si="5"/>
        <v>02</v>
      </c>
      <c r="AB9" t="s">
        <v>6</v>
      </c>
      <c r="AC9" t="str">
        <f>IFERROR(PROPER(VLOOKUP(AB4,Caratula1!$A$1:$BJ$61,8,0)),"")</f>
        <v>Representante</v>
      </c>
      <c r="AD9">
        <f t="shared" si="0"/>
        <v>0</v>
      </c>
      <c r="AE9">
        <f>Accionistas1!B6</f>
        <v>0</v>
      </c>
      <c r="AF9">
        <f>Accionistas1!C6</f>
        <v>0</v>
      </c>
      <c r="AG9">
        <f>Accionistas1!D6</f>
        <v>0</v>
      </c>
      <c r="AH9">
        <f>Accionistas1!E6</f>
        <v>0</v>
      </c>
      <c r="AJ9">
        <v>5</v>
      </c>
      <c r="AK9" t="str">
        <f t="shared" si="1"/>
        <v/>
      </c>
      <c r="AL9" t="str">
        <f t="shared" si="2"/>
        <v/>
      </c>
      <c r="AM9" t="str">
        <f t="shared" si="3"/>
        <v/>
      </c>
    </row>
    <row r="10" spans="1:70" hidden="1" x14ac:dyDescent="0.25">
      <c r="C10">
        <v>110125</v>
      </c>
      <c r="D10">
        <f>IFERROR(VLOOKUP($A$4&amp;$D$4&amp;C10,BalancesAnuales1!$A$2:$E$20009,5,0)+0,0)/A6</f>
        <v>0</v>
      </c>
      <c r="E10">
        <f>IFERROR(VLOOKUP($A$4&amp;$E$4&amp;C10,BalancesAnuales1!$A$2:$E$20009,5,0)+0,0)/A6</f>
        <v>0</v>
      </c>
      <c r="F10">
        <f>IFERROR(VLOOKUP($A$4&amp;$F$4&amp;C10,BalancesAnuales1!$A$2:$E$20009,5,0)+0,0)/A6</f>
        <v>0</v>
      </c>
      <c r="G10">
        <f>IFERROR(VLOOKUP($A$4&amp;$G$4&amp;C10,BalancesMensuales1!$A$2:$E$20009,5,0)+0,0)/A6</f>
        <v>0</v>
      </c>
      <c r="H10">
        <f>IFERROR(VLOOKUP($A$4&amp;$H$4&amp;C10,BalancesMensuales1!$A$2:$E$20009,5,0)+0,0)/A6</f>
        <v>0</v>
      </c>
      <c r="J10" t="s">
        <v>64</v>
      </c>
      <c r="K10" t="s">
        <v>65</v>
      </c>
      <c r="L10">
        <v>90</v>
      </c>
      <c r="U10" t="str">
        <f t="shared" si="4"/>
        <v>Marzo</v>
      </c>
      <c r="V10" t="str">
        <f t="shared" si="5"/>
        <v>03</v>
      </c>
      <c r="AB10" t="s">
        <v>66</v>
      </c>
      <c r="AC10" t="str">
        <f>IFERROR(UPPER(VLOOKUP(AB4,Caratula1!$A$1:$BJ$61,12,0)),"")</f>
        <v>SONAGUERA - COLÓN</v>
      </c>
      <c r="AD10">
        <f t="shared" si="0"/>
        <v>0</v>
      </c>
      <c r="AE10">
        <f>Accionistas1!B7</f>
        <v>0</v>
      </c>
      <c r="AF10">
        <f>Accionistas1!C7</f>
        <v>0</v>
      </c>
      <c r="AG10">
        <f>Accionistas1!D7</f>
        <v>0</v>
      </c>
      <c r="AH10">
        <f>Accionistas1!E7</f>
        <v>0</v>
      </c>
      <c r="AJ10">
        <v>6</v>
      </c>
      <c r="AK10" t="str">
        <f t="shared" si="1"/>
        <v/>
      </c>
      <c r="AL10" t="str">
        <f t="shared" si="2"/>
        <v/>
      </c>
      <c r="AM10" t="str">
        <f t="shared" si="3"/>
        <v/>
      </c>
    </row>
    <row r="11" spans="1:70" hidden="1" x14ac:dyDescent="0.25">
      <c r="C11">
        <v>1101</v>
      </c>
      <c r="D11">
        <f>IFERROR(VLOOKUP($A$4&amp;$D$4&amp;C11,BalancesAnuales1!$A$2:$E$20009,5,0)+0,0)/A6</f>
        <v>0</v>
      </c>
      <c r="E11">
        <f>IFERROR(VLOOKUP($A$4&amp;$E$4&amp;C11,BalancesAnuales1!$A$2:$E$20009,5,0)+0,0)/A6</f>
        <v>0</v>
      </c>
      <c r="F11">
        <f>IFERROR(VLOOKUP($A$4&amp;$F$4&amp;C11,BalancesAnuales1!$A$2:$E$20009,5,0)+0,0)/A6</f>
        <v>0</v>
      </c>
      <c r="G11">
        <f>IFERROR(VLOOKUP($A$4&amp;$G$4&amp;C11,BalancesMensuales1!$A$2:$E$20009,5,0)+0,0)/A6</f>
        <v>0</v>
      </c>
      <c r="H11">
        <f>IFERROR(VLOOKUP($A$4&amp;$H$4&amp;C11,BalancesMensuales1!$A$2:$E$20009,5,0)+0,0)/A6</f>
        <v>0</v>
      </c>
      <c r="J11" t="s">
        <v>67</v>
      </c>
      <c r="K11" t="s">
        <v>68</v>
      </c>
      <c r="L11">
        <v>120</v>
      </c>
      <c r="U11" t="str">
        <f t="shared" si="4"/>
        <v>Abril</v>
      </c>
      <c r="V11" t="str">
        <f t="shared" si="5"/>
        <v>04</v>
      </c>
      <c r="AB11" t="s">
        <v>8</v>
      </c>
      <c r="AC11" t="str">
        <f>IFERROR(PROPER(VLOOKUP(AB4,Caratula1!$A$1:$BJ$61,10,0)),"")</f>
        <v>Calle 1 1 1</v>
      </c>
      <c r="AD11">
        <f t="shared" si="0"/>
        <v>0</v>
      </c>
      <c r="AE11">
        <f>Accionistas1!B8</f>
        <v>0</v>
      </c>
      <c r="AF11">
        <f>Accionistas1!C8</f>
        <v>0</v>
      </c>
      <c r="AG11">
        <f>Accionistas1!D8</f>
        <v>0</v>
      </c>
      <c r="AH11">
        <f>Accionistas1!E8</f>
        <v>0</v>
      </c>
      <c r="AJ11">
        <v>7</v>
      </c>
      <c r="AK11" t="str">
        <f t="shared" si="1"/>
        <v/>
      </c>
      <c r="AL11" t="str">
        <f t="shared" si="2"/>
        <v/>
      </c>
      <c r="AM11" t="str">
        <f t="shared" si="3"/>
        <v/>
      </c>
    </row>
    <row r="12" spans="1:70" hidden="1" x14ac:dyDescent="0.25">
      <c r="C12">
        <v>110205</v>
      </c>
      <c r="D12">
        <f>IFERROR(VLOOKUP($A$4&amp;$D$4&amp;C12,BalancesAnuales1!$A$2:$E$20009,5,0)+0,0)/A6</f>
        <v>0</v>
      </c>
      <c r="E12">
        <f>IFERROR(VLOOKUP($A$4&amp;$E$4&amp;C12,BalancesAnuales1!$A$2:$E$20009,5,0)+0,0)/A6</f>
        <v>0</v>
      </c>
      <c r="F12">
        <f>IFERROR(VLOOKUP($A$4&amp;$F$4&amp;C12,BalancesAnuales1!$A$2:$E$20009,5,0)+0,0)/A6</f>
        <v>0</v>
      </c>
      <c r="G12">
        <f>IFERROR(VLOOKUP($A$4&amp;$G$4&amp;C12,BalancesMensuales1!$A$2:$E$20009,5,0)+0,0)/A6</f>
        <v>0</v>
      </c>
      <c r="H12">
        <f>IFERROR(VLOOKUP($A$4&amp;$H$4&amp;C12,BalancesMensuales1!$A$2:$E$20009,5,0)+0,0)/A6</f>
        <v>0</v>
      </c>
      <c r="J12" t="s">
        <v>69</v>
      </c>
      <c r="K12" t="s">
        <v>70</v>
      </c>
      <c r="L12">
        <v>150</v>
      </c>
      <c r="U12" t="str">
        <f t="shared" si="4"/>
        <v>Mayo</v>
      </c>
      <c r="V12" t="str">
        <f t="shared" si="5"/>
        <v>05</v>
      </c>
      <c r="AB12" t="s">
        <v>9</v>
      </c>
      <c r="AC12" t="str">
        <f>IFERROR(VLOOKUP(AB4,Caratula1!$A$1:$BJ$61,11,0),"")</f>
        <v>6018050512</v>
      </c>
      <c r="AD12">
        <f t="shared" si="0"/>
        <v>0</v>
      </c>
      <c r="AE12">
        <f>Accionistas1!B9</f>
        <v>0</v>
      </c>
      <c r="AF12">
        <f>Accionistas1!C9</f>
        <v>0</v>
      </c>
      <c r="AG12">
        <f>Accionistas1!D9</f>
        <v>0</v>
      </c>
      <c r="AH12">
        <f>Accionistas1!E9</f>
        <v>0</v>
      </c>
      <c r="AJ12">
        <v>8</v>
      </c>
      <c r="AK12" t="str">
        <f t="shared" si="1"/>
        <v/>
      </c>
      <c r="AL12" t="str">
        <f t="shared" si="2"/>
        <v/>
      </c>
      <c r="AM12" t="str">
        <f t="shared" si="3"/>
        <v/>
      </c>
    </row>
    <row r="13" spans="1:70" hidden="1" x14ac:dyDescent="0.25">
      <c r="C13">
        <v>110210</v>
      </c>
      <c r="D13">
        <f>IFERROR(VLOOKUP($A$4&amp;$D$4&amp;C13,BalancesAnuales1!$A$2:$E$20009,5,0)+0,0)/A6</f>
        <v>0</v>
      </c>
      <c r="E13">
        <f>IFERROR(VLOOKUP($A$4&amp;$E$4&amp;C13,BalancesAnuales1!$A$2:$E$20009,5,0)+0,0)/A6</f>
        <v>0</v>
      </c>
      <c r="F13">
        <f>IFERROR(VLOOKUP($A$4&amp;$F$4&amp;C13,BalancesAnuales1!$A$2:$E$20009,5,0)+0,0)/A6</f>
        <v>0</v>
      </c>
      <c r="G13">
        <f>IFERROR(VLOOKUP($A$4&amp;$G$4&amp;C13,BalancesMensuales1!$A$2:$E$20009,5,0)+0,0)/A6</f>
        <v>0</v>
      </c>
      <c r="H13">
        <f>IFERROR(VLOOKUP($A$4&amp;$H$4&amp;C13,BalancesMensuales1!$A$2:$E$20009,5,0)+0,0)/A6</f>
        <v>0</v>
      </c>
      <c r="J13" t="s">
        <v>71</v>
      </c>
      <c r="K13" t="s">
        <v>72</v>
      </c>
      <c r="L13">
        <v>180</v>
      </c>
      <c r="U13" t="str">
        <f t="shared" si="4"/>
        <v>Junio</v>
      </c>
      <c r="V13" t="str">
        <f t="shared" si="5"/>
        <v>06</v>
      </c>
      <c r="AB13" t="s">
        <v>10</v>
      </c>
      <c r="AD13">
        <f t="shared" si="0"/>
        <v>0</v>
      </c>
      <c r="AE13">
        <f>Accionistas1!B10</f>
        <v>0</v>
      </c>
      <c r="AF13">
        <f>Accionistas1!C10</f>
        <v>0</v>
      </c>
      <c r="AG13">
        <f>Accionistas1!D10</f>
        <v>0</v>
      </c>
      <c r="AH13">
        <f>Accionistas1!E10</f>
        <v>0</v>
      </c>
      <c r="AJ13">
        <v>9</v>
      </c>
      <c r="AK13" t="str">
        <f t="shared" si="1"/>
        <v/>
      </c>
      <c r="AL13" t="str">
        <f t="shared" si="2"/>
        <v/>
      </c>
      <c r="AM13" t="str">
        <f t="shared" si="3"/>
        <v/>
      </c>
    </row>
    <row r="14" spans="1:70" hidden="1" x14ac:dyDescent="0.25">
      <c r="C14">
        <v>110215</v>
      </c>
      <c r="D14">
        <f>IFERROR(VLOOKUP($A$4&amp;$D$4&amp;C14,BalancesAnuales1!$A$2:$E$20009,5,0)+0,0)/A6</f>
        <v>0</v>
      </c>
      <c r="E14">
        <f>IFERROR(VLOOKUP($A$4&amp;$E$4&amp;C14,BalancesAnuales1!$A$2:$E$20009,5,0)+0,0)/A6</f>
        <v>0</v>
      </c>
      <c r="F14">
        <f>IFERROR(VLOOKUP($A$4&amp;$F$4&amp;C14,BalancesAnuales1!$A$2:$E$20009,5,0)+0,0)/A6</f>
        <v>0</v>
      </c>
      <c r="G14">
        <f>IFERROR(VLOOKUP($A$4&amp;$G$4&amp;C14,BalancesMensuales1!$A$2:$E$20009,5,0)+0,0)/A6</f>
        <v>0</v>
      </c>
      <c r="H14">
        <f>IFERROR(VLOOKUP($A$4&amp;$H$4&amp;C14,BalancesMensuales1!$A$2:$E$20009,5,0)+0,0)/A6</f>
        <v>0</v>
      </c>
      <c r="J14" t="s">
        <v>73</v>
      </c>
      <c r="K14" t="s">
        <v>74</v>
      </c>
      <c r="L14">
        <v>210</v>
      </c>
      <c r="U14" t="str">
        <f t="shared" si="4"/>
        <v>Julio</v>
      </c>
      <c r="V14" t="str">
        <f t="shared" si="5"/>
        <v>07</v>
      </c>
      <c r="AB14" t="s">
        <v>75</v>
      </c>
      <c r="AC14" t="str">
        <f>IFERROR(VLOOKUP(AB4,Caratula1!$A$1:$BJ$61,15,0),"")</f>
        <v>12345</v>
      </c>
      <c r="AD14">
        <f t="shared" si="0"/>
        <v>0</v>
      </c>
      <c r="AE14">
        <f>Accionistas1!B11</f>
        <v>0</v>
      </c>
      <c r="AF14">
        <f>Accionistas1!C11</f>
        <v>0</v>
      </c>
      <c r="AG14">
        <f>Accionistas1!D11</f>
        <v>0</v>
      </c>
      <c r="AH14">
        <f>Accionistas1!E11</f>
        <v>0</v>
      </c>
      <c r="AJ14">
        <v>10</v>
      </c>
      <c r="AK14" t="str">
        <f>IF(AK13="","",0)</f>
        <v/>
      </c>
      <c r="AL14" t="str">
        <f>IF(AL13="","","OTROS ACCIONISTAS")</f>
        <v/>
      </c>
      <c r="AM14" t="str">
        <f t="shared" si="3"/>
        <v/>
      </c>
    </row>
    <row r="15" spans="1:70" hidden="1" x14ac:dyDescent="0.25">
      <c r="C15">
        <v>110225</v>
      </c>
      <c r="D15">
        <f>IFERROR(VLOOKUP($A$4&amp;$D$4&amp;C15,BalancesAnuales1!$A$2:$E$20009,5,0)+0,0)/A6</f>
        <v>0</v>
      </c>
      <c r="E15">
        <f>IFERROR(VLOOKUP($A$4&amp;$E$4&amp;C15,BalancesAnuales1!$A$2:$E$20009,5,0)+0,0)/A6</f>
        <v>0</v>
      </c>
      <c r="F15">
        <f>IFERROR(VLOOKUP($A$4&amp;$F$4&amp;C15,BalancesAnuales1!$A$2:$E$20009,5,0)+0,0)/A6</f>
        <v>0</v>
      </c>
      <c r="G15">
        <f>IFERROR(VLOOKUP($A$4&amp;$G$4&amp;C15,BalancesMensuales1!$A$2:$E$20009,5,0)+0,0)/A6</f>
        <v>0</v>
      </c>
      <c r="H15">
        <f>IFERROR(VLOOKUP($A$4&amp;$H$4&amp;C15,BalancesMensuales1!$A$2:$E$20009,5,0)+0,0)/A6</f>
        <v>0</v>
      </c>
      <c r="J15" t="s">
        <v>76</v>
      </c>
      <c r="K15" t="s">
        <v>77</v>
      </c>
      <c r="L15">
        <v>240</v>
      </c>
      <c r="U15" t="str">
        <f t="shared" si="4"/>
        <v>Agosto</v>
      </c>
      <c r="V15" t="str">
        <f t="shared" si="5"/>
        <v>08</v>
      </c>
      <c r="AB15" t="s">
        <v>13</v>
      </c>
      <c r="AC15" t="str">
        <f>IFERROR(LOWER(VLOOKUP(AB4,Caratula1!$A$1:$BJ$61,16,0)),"")</f>
        <v>prueba@prueba.com</v>
      </c>
      <c r="AD15">
        <f t="shared" si="0"/>
        <v>0</v>
      </c>
      <c r="AE15">
        <f>Accionistas1!B12</f>
        <v>0</v>
      </c>
      <c r="AF15">
        <f>Accionistas1!C12</f>
        <v>0</v>
      </c>
      <c r="AG15">
        <f>Accionistas1!D12</f>
        <v>0</v>
      </c>
      <c r="AH15">
        <f>Accionistas1!E12</f>
        <v>0</v>
      </c>
    </row>
    <row r="16" spans="1:70" hidden="1" x14ac:dyDescent="0.25">
      <c r="C16">
        <v>110235</v>
      </c>
      <c r="D16">
        <f>IFERROR(VLOOKUP($A$4&amp;$D$4&amp;C16,BalancesAnuales1!$A$2:$E$20009,5,0)+0,0)/A6</f>
        <v>0</v>
      </c>
      <c r="E16">
        <f>IFERROR(VLOOKUP($A$4&amp;$E$4&amp;C16,BalancesAnuales1!$A$2:$E$20009,5,0)+0,0)/A6</f>
        <v>0</v>
      </c>
      <c r="F16">
        <f>IFERROR(VLOOKUP($A$4&amp;$F$4&amp;C16,BalancesAnuales1!$A$2:$E$20009,5,0)+0,0)/A6</f>
        <v>0</v>
      </c>
      <c r="G16">
        <f>IFERROR(VLOOKUP($A$4&amp;$G$4&amp;C16,BalancesMensuales1!$A$2:$E$20009,5,0)+0,0)/A6</f>
        <v>0</v>
      </c>
      <c r="H16">
        <f>IFERROR(VLOOKUP($A$4&amp;$H$4&amp;C16,BalancesMensuales1!$A$2:$E$20009,5,0)+0,0)/A6</f>
        <v>0</v>
      </c>
      <c r="J16" t="s">
        <v>78</v>
      </c>
      <c r="K16" t="s">
        <v>79</v>
      </c>
      <c r="L16">
        <v>270</v>
      </c>
      <c r="U16" t="str">
        <f t="shared" si="4"/>
        <v>Septiembre</v>
      </c>
      <c r="V16" t="str">
        <f t="shared" si="5"/>
        <v>09</v>
      </c>
      <c r="AB16" t="s">
        <v>14</v>
      </c>
      <c r="AC16" t="str">
        <f>IFERROR(LOWER(VLOOKUP(AB4,Caratula1!$A$1:$BJ$61,17,0)),"")</f>
        <v>www.prueba.com</v>
      </c>
      <c r="AD16">
        <f t="shared" si="0"/>
        <v>0</v>
      </c>
      <c r="AE16">
        <f>Accionistas1!B13</f>
        <v>0</v>
      </c>
      <c r="AF16">
        <f>Accionistas1!C13</f>
        <v>0</v>
      </c>
      <c r="AG16">
        <f>Accionistas1!D13</f>
        <v>0</v>
      </c>
      <c r="AH16">
        <f>Accionistas1!E13</f>
        <v>0</v>
      </c>
    </row>
    <row r="17" spans="3:44" hidden="1" x14ac:dyDescent="0.25">
      <c r="C17">
        <v>110255</v>
      </c>
      <c r="D17">
        <f>IFERROR(VLOOKUP($A$4&amp;$D$4&amp;C17,BalancesAnuales1!$A$2:$E$20009,5,0)+0,0)/A6</f>
        <v>0</v>
      </c>
      <c r="E17">
        <f>IFERROR(VLOOKUP($A$4&amp;$E$4&amp;C17,BalancesAnuales1!$A$2:$E$20009,5,0)+0,0)/A6</f>
        <v>0</v>
      </c>
      <c r="F17">
        <f>IFERROR(VLOOKUP($A$4&amp;$F$4&amp;C17,BalancesAnuales1!$A$2:$E$20009,5,0)+0,0)/A6</f>
        <v>0</v>
      </c>
      <c r="G17">
        <f>IFERROR(VLOOKUP($A$4&amp;$G$4&amp;C17,BalancesMensuales1!$A$2:$E$20009,5,0)+0,0)/A6</f>
        <v>0</v>
      </c>
      <c r="H17">
        <f>IFERROR(VLOOKUP($A$4&amp;$H$4&amp;C17,BalancesMensuales1!$A$2:$E$20009,5,0)+0,0)/A6</f>
        <v>0</v>
      </c>
      <c r="J17" t="s">
        <v>80</v>
      </c>
      <c r="K17" t="s">
        <v>81</v>
      </c>
      <c r="L17">
        <v>300</v>
      </c>
      <c r="U17" t="str">
        <f t="shared" si="4"/>
        <v>Octubre</v>
      </c>
      <c r="V17" t="str">
        <f t="shared" si="5"/>
        <v>10</v>
      </c>
      <c r="AB17" t="s">
        <v>48</v>
      </c>
      <c r="AC17">
        <f>IFERROR(MID(VLOOKUP(AB4,Caratula1!$A$1:$BJ$61,18,0),1,10)+0,"")</f>
        <v>42019</v>
      </c>
      <c r="AQ17">
        <v>20</v>
      </c>
      <c r="AR17">
        <v>40</v>
      </c>
    </row>
    <row r="18" spans="3:44" hidden="1" x14ac:dyDescent="0.25">
      <c r="C18">
        <v>129700</v>
      </c>
      <c r="D18">
        <f>IFERROR(VLOOKUP($A$4&amp;$D$4&amp;C18,BalancesAnuales1!$A$2:$E$20009,5,0)+0,0)/A6</f>
        <v>0</v>
      </c>
      <c r="E18">
        <f>IFERROR(VLOOKUP($A$4&amp;$E$4&amp;C18,BalancesAnuales1!$A$2:$E$20009,5,0)+0,0)/A6</f>
        <v>0</v>
      </c>
      <c r="F18">
        <f>IFERROR(VLOOKUP($A$4&amp;$F$4&amp;C18,BalancesAnuales1!$A$2:$E$20009,5,0)+0,0)/A6</f>
        <v>0</v>
      </c>
      <c r="G18">
        <f>IFERROR(VLOOKUP($A$4&amp;$G$4&amp;C18,BalancesMensuales1!$A$2:$E$20009,5,0)+0,0)/A6</f>
        <v>0</v>
      </c>
      <c r="H18">
        <f>IFERROR(VLOOKUP($A$4&amp;$H$4&amp;C18,BalancesMensuales1!$A$2:$E$20009,5,0)+0,0)/A6</f>
        <v>0</v>
      </c>
      <c r="J18" t="s">
        <v>82</v>
      </c>
      <c r="K18" t="s">
        <v>83</v>
      </c>
      <c r="L18">
        <v>330</v>
      </c>
      <c r="U18" t="str">
        <f t="shared" si="4"/>
        <v>Noviembre</v>
      </c>
      <c r="V18" t="str">
        <f t="shared" si="5"/>
        <v>11</v>
      </c>
      <c r="AB18" t="s">
        <v>18</v>
      </c>
      <c r="AC18" t="str">
        <f>IFERROR(VLOOKUP(AB4,Caratula1!$A$1:$BJ$61,21,0),"")</f>
        <v>7020</v>
      </c>
      <c r="AI18">
        <f t="shared" ref="AI18:AI37" si="6">IF(AQ18=20,AR18,AQ18)</f>
        <v>40</v>
      </c>
      <c r="AJ18">
        <v>1</v>
      </c>
      <c r="AK18" t="str">
        <f t="shared" ref="AK18:AK37" si="7">IFERROR(VLOOKUP(AJ18,$AD$2010:$AJ$4035,2,0),"")</f>
        <v/>
      </c>
      <c r="AL18" t="str">
        <f t="shared" ref="AL18:AL37" si="8">IFERROR(VLOOKUP(AJ18,$AD$2010:$AJ$4035,3,0),"")</f>
        <v/>
      </c>
      <c r="AM18" t="str">
        <f t="shared" ref="AM18:AM37" si="9">IFERROR(VLOOKUP(AJ18,$AD$2010:$AJ$4035,4,0),"")</f>
        <v/>
      </c>
      <c r="AN18" t="str">
        <f t="shared" ref="AN18:AN37" si="10">IFERROR(VLOOKUP(AJ18,$AD$2010:$AJ$4035,5,0),"")</f>
        <v/>
      </c>
      <c r="AO18" t="str">
        <f t="shared" ref="AO18:AO37" si="11">IFERROR(VLOOKUP(AJ18,$AD$2010:$AJ$4035,6,0),"")</f>
        <v/>
      </c>
      <c r="AP18" t="str">
        <f t="shared" ref="AP18:AP37" si="12">IFERROR(VLOOKUP(AJ18,$AD$2010:$AJ$4035,7,0),"")</f>
        <v/>
      </c>
      <c r="AQ18">
        <f t="shared" ref="AQ18:AQ37" si="13">IF(AO18="6",AQ17+1,20)</f>
        <v>20</v>
      </c>
      <c r="AR18">
        <f t="shared" ref="AR18:AR37" si="14">IF(AO18="7",AR17+1,40)</f>
        <v>40</v>
      </c>
    </row>
    <row r="19" spans="3:44" hidden="1" x14ac:dyDescent="0.25">
      <c r="C19">
        <v>110260</v>
      </c>
      <c r="D19">
        <f>IFERROR(VLOOKUP($A$4&amp;$D$4&amp;C19,BalancesAnuales1!$A$2:$E$20009,5,0)+0,0)/A6</f>
        <v>0</v>
      </c>
      <c r="E19">
        <f>IFERROR(VLOOKUP($A$4&amp;$E$4&amp;C19,BalancesAnuales1!$A$2:$E$20009,5,0)+0,0)/A6</f>
        <v>0</v>
      </c>
      <c r="F19">
        <f>IFERROR(VLOOKUP($A$4&amp;$F$4&amp;C19,BalancesAnuales1!$A$2:$E$20009,5,0)+0,0)/A6</f>
        <v>0</v>
      </c>
      <c r="G19">
        <f>IFERROR(VLOOKUP($A$4&amp;$G$4&amp;C19,BalancesMensuales1!$A$2:$E$20009,5,0)+0,0)/A6</f>
        <v>0</v>
      </c>
      <c r="H19">
        <f>IFERROR(VLOOKUP($A$4&amp;$H$4&amp;C19,BalancesMensuales1!$A$2:$E$20009,5,0)+0,0)/A6</f>
        <v>0</v>
      </c>
      <c r="J19" t="s">
        <v>84</v>
      </c>
      <c r="K19" t="s">
        <v>85</v>
      </c>
      <c r="AB19" t="s">
        <v>23</v>
      </c>
      <c r="AC19" t="str">
        <f>IFERROR(VLOOKUP(AB4,Caratula1!$A$1:$BJ$61,37,0),"")</f>
        <v>Industrial / Azúcar / Ingenios Azucareros</v>
      </c>
      <c r="AI19">
        <f t="shared" si="6"/>
        <v>40</v>
      </c>
      <c r="AJ19">
        <v>2</v>
      </c>
      <c r="AK19" t="str">
        <f t="shared" si="7"/>
        <v/>
      </c>
      <c r="AL19" t="str">
        <f t="shared" si="8"/>
        <v/>
      </c>
      <c r="AM19" t="str">
        <f t="shared" si="9"/>
        <v/>
      </c>
      <c r="AN19" t="str">
        <f t="shared" si="10"/>
        <v/>
      </c>
      <c r="AO19" t="str">
        <f t="shared" si="11"/>
        <v/>
      </c>
      <c r="AP19" t="str">
        <f t="shared" si="12"/>
        <v/>
      </c>
      <c r="AQ19">
        <f t="shared" si="13"/>
        <v>20</v>
      </c>
      <c r="AR19">
        <f t="shared" si="14"/>
        <v>40</v>
      </c>
    </row>
    <row r="20" spans="3:44" hidden="1" x14ac:dyDescent="0.25">
      <c r="C20">
        <v>1102</v>
      </c>
      <c r="D20">
        <f>IFERROR(VLOOKUP($A$4&amp;$D$4&amp;C20,BalancesAnuales1!$A$2:$E$20009,5,0)+0,0)/A6</f>
        <v>0</v>
      </c>
      <c r="E20">
        <f>IFERROR(VLOOKUP($A$4&amp;$E$4&amp;C20,BalancesAnuales1!$A$2:$E$20009,5,0)+0,0)/A6</f>
        <v>0</v>
      </c>
      <c r="F20">
        <f>IFERROR(VLOOKUP($A$4&amp;$F$4&amp;C20,BalancesAnuales1!$A$2:$E$20009,5,0)+0,0)/A6</f>
        <v>0</v>
      </c>
      <c r="G20">
        <f>IFERROR(VLOOKUP($A$4&amp;$G$4&amp;C20,BalancesMensuales1!$A$2:$E$20009,5,0)+0,0)/A6</f>
        <v>0</v>
      </c>
      <c r="H20">
        <f>IFERROR(VLOOKUP($A$4&amp;$H$4&amp;C20,BalancesMensuales1!$A$2:$E$20009,5,0)+0,0)/A6</f>
        <v>0</v>
      </c>
      <c r="AB20" t="s">
        <v>86</v>
      </c>
      <c r="AC20" t="str">
        <f>IFERROR(PROPER(VLOOKUP(AB4,Caratula1!$A$1:$BJ$61,3,0)),"")</f>
        <v>Prueba Da</v>
      </c>
      <c r="AI20">
        <f t="shared" si="6"/>
        <v>40</v>
      </c>
      <c r="AJ20">
        <v>3</v>
      </c>
      <c r="AK20" t="str">
        <f t="shared" si="7"/>
        <v/>
      </c>
      <c r="AL20" t="str">
        <f t="shared" si="8"/>
        <v/>
      </c>
      <c r="AM20" t="str">
        <f t="shared" si="9"/>
        <v/>
      </c>
      <c r="AN20" t="str">
        <f t="shared" si="10"/>
        <v/>
      </c>
      <c r="AO20" t="str">
        <f t="shared" si="11"/>
        <v/>
      </c>
      <c r="AP20" t="str">
        <f t="shared" si="12"/>
        <v/>
      </c>
      <c r="AQ20">
        <f t="shared" si="13"/>
        <v>20</v>
      </c>
      <c r="AR20">
        <f t="shared" si="14"/>
        <v>40</v>
      </c>
    </row>
    <row r="21" spans="3:44" hidden="1" x14ac:dyDescent="0.25">
      <c r="C21">
        <v>110305</v>
      </c>
      <c r="D21">
        <f>IFERROR(VLOOKUP($A$4&amp;$D$4&amp;C21,BalancesAnuales1!$A$2:$E$20009,5,0)+0,0)/A6</f>
        <v>0</v>
      </c>
      <c r="E21">
        <f>IFERROR(VLOOKUP($A$4&amp;$E$4&amp;C21,BalancesAnuales1!$A$2:$E$20009,5,0)+0,0)/A6</f>
        <v>0</v>
      </c>
      <c r="F21">
        <f>IFERROR(VLOOKUP($A$4&amp;$F$4&amp;C21,BalancesAnuales1!$A$2:$E$20009,5,0)+0,0)/A6</f>
        <v>0</v>
      </c>
      <c r="G21">
        <f>IFERROR(VLOOKUP($A$4&amp;$G$4&amp;C21,BalancesMensuales1!$A$2:$E$20009,5,0)+0,0)/A6</f>
        <v>0</v>
      </c>
      <c r="H21">
        <f>IFERROR(VLOOKUP($A$4&amp;$H$4&amp;C21,BalancesMensuales1!$A$2:$E$20009,5,0)+0,0)/A6</f>
        <v>0</v>
      </c>
      <c r="AB21" t="s">
        <v>21</v>
      </c>
      <c r="AC21" t="str">
        <f>IFERROR(PROPER(VLOOKUP(AB4,Caratula1!$A$1:$BJ$61,24,0)),"")</f>
        <v>Juan Arias</v>
      </c>
      <c r="AI21">
        <f t="shared" si="6"/>
        <v>40</v>
      </c>
      <c r="AJ21">
        <v>4</v>
      </c>
      <c r="AK21" t="str">
        <f t="shared" si="7"/>
        <v/>
      </c>
      <c r="AL21" t="str">
        <f t="shared" si="8"/>
        <v/>
      </c>
      <c r="AM21" t="str">
        <f t="shared" si="9"/>
        <v/>
      </c>
      <c r="AN21" t="str">
        <f t="shared" si="10"/>
        <v/>
      </c>
      <c r="AO21" t="str">
        <f t="shared" si="11"/>
        <v/>
      </c>
      <c r="AP21" t="str">
        <f t="shared" si="12"/>
        <v/>
      </c>
      <c r="AQ21">
        <f t="shared" si="13"/>
        <v>20</v>
      </c>
      <c r="AR21">
        <f t="shared" si="14"/>
        <v>40</v>
      </c>
    </row>
    <row r="22" spans="3:44" hidden="1" x14ac:dyDescent="0.25">
      <c r="C22">
        <v>130510</v>
      </c>
      <c r="D22">
        <f>IFERROR(VLOOKUP($A$4&amp;$D$4&amp;C22,BalancesAnuales1!$A$2:$E$20009,5,0)+0,0)/A6</f>
        <v>0</v>
      </c>
      <c r="E22">
        <f>IFERROR(VLOOKUP($A$4&amp;$E$4&amp;C22,BalancesAnuales1!$A$2:$E$20009,5,0)+0,0)/A6</f>
        <v>0</v>
      </c>
      <c r="F22">
        <f>IFERROR(VLOOKUP($A$4&amp;$F$4&amp;C22,BalancesAnuales1!$A$2:$E$20009,5,0)+0,0)/A6</f>
        <v>0</v>
      </c>
      <c r="G22">
        <f>IFERROR(VLOOKUP($A$4&amp;$G$4&amp;C22,BalancesMensuales1!$A$2:$E$20009,5,0)+0,0)/A6</f>
        <v>0</v>
      </c>
      <c r="H22">
        <f>IFERROR(VLOOKUP($A$4&amp;$H$4&amp;C22,BalancesMensuales1!$A$2:$E$20009,5,0)+0,0)/A6</f>
        <v>0</v>
      </c>
      <c r="AB22" t="s">
        <v>87</v>
      </c>
      <c r="AC22" t="e">
        <f>VLOOKUP($AB$4,InformacionRIB!$2:$70,9,0)</f>
        <v>#N/A</v>
      </c>
      <c r="AI22">
        <f t="shared" si="6"/>
        <v>40</v>
      </c>
      <c r="AJ22">
        <v>5</v>
      </c>
      <c r="AK22" t="str">
        <f t="shared" si="7"/>
        <v/>
      </c>
      <c r="AL22" t="str">
        <f t="shared" si="8"/>
        <v/>
      </c>
      <c r="AM22" t="str">
        <f t="shared" si="9"/>
        <v/>
      </c>
      <c r="AN22" t="str">
        <f t="shared" si="10"/>
        <v/>
      </c>
      <c r="AO22" t="str">
        <f t="shared" si="11"/>
        <v/>
      </c>
      <c r="AP22" t="str">
        <f t="shared" si="12"/>
        <v/>
      </c>
      <c r="AQ22">
        <f t="shared" si="13"/>
        <v>20</v>
      </c>
      <c r="AR22">
        <f t="shared" si="14"/>
        <v>40</v>
      </c>
    </row>
    <row r="23" spans="3:44" hidden="1" x14ac:dyDescent="0.25">
      <c r="C23">
        <v>131000</v>
      </c>
      <c r="D23">
        <f>IFERROR(VLOOKUP($A$4&amp;$D$4&amp;C23,BalancesAnuales1!$A$2:$E$20009,5,0)+0,0)/A6</f>
        <v>0</v>
      </c>
      <c r="E23">
        <f>IFERROR(VLOOKUP($A$4&amp;$E$4&amp;C23,BalancesAnuales1!$A$2:$E$20009,5,0)+0,0)/A6</f>
        <v>0</v>
      </c>
      <c r="F23">
        <f>IFERROR(VLOOKUP($A$4&amp;$F$4&amp;C23,BalancesAnuales1!$A$2:$E$20009,5,0)+0,0)/A6</f>
        <v>0</v>
      </c>
      <c r="G23">
        <f>IFERROR(VLOOKUP($A$4&amp;$G$4&amp;C23,BalancesMensuales1!$A$2:$E$20009,5,0)+0,0)/A6</f>
        <v>0</v>
      </c>
      <c r="H23">
        <f>IFERROR(VLOOKUP($A$4&amp;$H$4&amp;C23,BalancesMensuales1!$A$2:$E$20009,5,0)+0,0)/A6</f>
        <v>0</v>
      </c>
      <c r="AB23" t="s">
        <v>88</v>
      </c>
      <c r="AC23" t="e">
        <f>PROPER(#REF!)</f>
        <v>#REF!</v>
      </c>
      <c r="AI23">
        <f t="shared" si="6"/>
        <v>40</v>
      </c>
      <c r="AJ23">
        <v>6</v>
      </c>
      <c r="AK23" t="str">
        <f t="shared" si="7"/>
        <v/>
      </c>
      <c r="AL23" t="str">
        <f t="shared" si="8"/>
        <v/>
      </c>
      <c r="AM23" t="str">
        <f t="shared" si="9"/>
        <v/>
      </c>
      <c r="AN23" t="str">
        <f t="shared" si="10"/>
        <v/>
      </c>
      <c r="AO23" t="str">
        <f t="shared" si="11"/>
        <v/>
      </c>
      <c r="AP23" t="str">
        <f t="shared" si="12"/>
        <v/>
      </c>
      <c r="AQ23">
        <f t="shared" si="13"/>
        <v>20</v>
      </c>
      <c r="AR23">
        <f t="shared" si="14"/>
        <v>40</v>
      </c>
    </row>
    <row r="24" spans="3:44" hidden="1" x14ac:dyDescent="0.25">
      <c r="C24">
        <v>110390</v>
      </c>
      <c r="D24">
        <f>IFERROR(VLOOKUP($A$4&amp;$D$4&amp;C24,BalancesAnuales1!$A$2:$E$20009,5,0)+0,0)/A6</f>
        <v>0</v>
      </c>
      <c r="E24">
        <f>IFERROR(VLOOKUP($A$4&amp;$E$4&amp;C24,BalancesAnuales1!$A$2:$E$20009,5,0)+0,0)/A6</f>
        <v>0</v>
      </c>
      <c r="F24">
        <f>IFERROR(VLOOKUP($A$4&amp;$F$4&amp;C24,BalancesAnuales1!$A$2:$E$20009,5,0)+0,0)/A6</f>
        <v>0</v>
      </c>
      <c r="G24">
        <f>IFERROR(VLOOKUP($A$4&amp;$G$4&amp;C24,BalancesMensuales1!$A$2:$E$20009,5,0)+0,0)/A6</f>
        <v>0</v>
      </c>
      <c r="H24">
        <f>IFERROR(VLOOKUP($A$4&amp;$H$4&amp;C24,BalancesMensuales1!$A$2:$E$20009,5,0)+0,0)/A6</f>
        <v>0</v>
      </c>
      <c r="AB24" t="s">
        <v>89</v>
      </c>
      <c r="AC24" t="e">
        <f>VLOOKUP(AB4,InformacionRIB!$2:$70,4,0)</f>
        <v>#N/A</v>
      </c>
      <c r="AI24">
        <f t="shared" si="6"/>
        <v>40</v>
      </c>
      <c r="AJ24">
        <v>7</v>
      </c>
      <c r="AK24" t="str">
        <f t="shared" si="7"/>
        <v/>
      </c>
      <c r="AL24" t="str">
        <f t="shared" si="8"/>
        <v/>
      </c>
      <c r="AM24" t="str">
        <f t="shared" si="9"/>
        <v/>
      </c>
      <c r="AN24" t="str">
        <f t="shared" si="10"/>
        <v/>
      </c>
      <c r="AO24" t="str">
        <f t="shared" si="11"/>
        <v/>
      </c>
      <c r="AP24" t="str">
        <f t="shared" si="12"/>
        <v/>
      </c>
      <c r="AQ24">
        <f t="shared" si="13"/>
        <v>20</v>
      </c>
      <c r="AR24">
        <f t="shared" si="14"/>
        <v>40</v>
      </c>
    </row>
    <row r="25" spans="3:44" hidden="1" x14ac:dyDescent="0.25">
      <c r="C25">
        <v>110395</v>
      </c>
      <c r="D25">
        <f>IFERROR(VLOOKUP($A$4&amp;$D$4&amp;C25,BalancesAnuales1!$A$2:$E$20009,5,0)+0,0)/A6</f>
        <v>0</v>
      </c>
      <c r="E25">
        <f>IFERROR(VLOOKUP($A$4&amp;$E$4&amp;C25,BalancesAnuales1!$A$2:$E$20009,5,0)+0,0)/A6</f>
        <v>0</v>
      </c>
      <c r="F25">
        <f>IFERROR(VLOOKUP($A$4&amp;$F$4&amp;C25,BalancesAnuales1!$A$2:$E$20009,5,0)+0,0)/A6</f>
        <v>0</v>
      </c>
      <c r="G25">
        <f>IFERROR(VLOOKUP($A$4&amp;$G$4&amp;C25,BalancesMensuales1!$A$2:$E$20009,5,0)+0,0)/A6</f>
        <v>0</v>
      </c>
      <c r="H25">
        <f>IFERROR(VLOOKUP($A$4&amp;$H$4&amp;C25,BalancesMensuales1!$A$2:$E$20009,5,0)+0,0)/A6</f>
        <v>0</v>
      </c>
      <c r="AB25" t="s">
        <v>90</v>
      </c>
      <c r="AC25" t="e">
        <f>VLOOKUP(AB4,InformacionRIB!$2:$70,10,0)</f>
        <v>#N/A</v>
      </c>
      <c r="AI25">
        <f t="shared" si="6"/>
        <v>40</v>
      </c>
      <c r="AJ25">
        <v>8</v>
      </c>
      <c r="AK25" t="str">
        <f t="shared" si="7"/>
        <v/>
      </c>
      <c r="AL25" t="str">
        <f t="shared" si="8"/>
        <v/>
      </c>
      <c r="AM25" t="str">
        <f t="shared" si="9"/>
        <v/>
      </c>
      <c r="AN25" t="str">
        <f t="shared" si="10"/>
        <v/>
      </c>
      <c r="AO25" t="str">
        <f t="shared" si="11"/>
        <v/>
      </c>
      <c r="AP25" t="str">
        <f t="shared" si="12"/>
        <v/>
      </c>
      <c r="AQ25">
        <f t="shared" si="13"/>
        <v>20</v>
      </c>
      <c r="AR25">
        <f t="shared" si="14"/>
        <v>40</v>
      </c>
    </row>
    <row r="26" spans="3:44" hidden="1" x14ac:dyDescent="0.25">
      <c r="C26">
        <v>1103</v>
      </c>
      <c r="D26">
        <f>IFERROR(VLOOKUP($A$4&amp;$D$4&amp;C26,BalancesAnuales1!$A$2:$E$20009,5,0)+0,0)/A6</f>
        <v>0</v>
      </c>
      <c r="E26">
        <f>IFERROR(VLOOKUP($A$4&amp;$E$4&amp;C26,BalancesAnuales1!$A$2:$E$20009,5,0)+0,0)/A6</f>
        <v>0</v>
      </c>
      <c r="F26">
        <f>IFERROR(VLOOKUP($A$4&amp;$F$4&amp;C26,BalancesAnuales1!$A$2:$E$20009,5,0)+0,0)/A6</f>
        <v>0</v>
      </c>
      <c r="G26">
        <f>IFERROR(VLOOKUP($A$4&amp;$G$4&amp;C26,BalancesMensuales1!$A$2:$E$20009,5,0)+0,0)/A6</f>
        <v>0</v>
      </c>
      <c r="H26">
        <f>IFERROR(VLOOKUP($A$4&amp;$H$4&amp;C26,BalancesMensuales1!$A$2:$E$20009,5,0)+0,0)/A6</f>
        <v>0</v>
      </c>
      <c r="AB26" t="s">
        <v>91</v>
      </c>
      <c r="AC26" t="str">
        <f>IFERROR(PROPER(VLOOKUP(AB4,Caratula1!$A$1:$BJ$61,38,0)),"")</f>
        <v/>
      </c>
      <c r="AI26">
        <f t="shared" si="6"/>
        <v>40</v>
      </c>
      <c r="AJ26">
        <v>9</v>
      </c>
      <c r="AK26" t="str">
        <f t="shared" si="7"/>
        <v/>
      </c>
      <c r="AL26" t="str">
        <f t="shared" si="8"/>
        <v/>
      </c>
      <c r="AM26" t="str">
        <f t="shared" si="9"/>
        <v/>
      </c>
      <c r="AN26" t="str">
        <f t="shared" si="10"/>
        <v/>
      </c>
      <c r="AO26" t="str">
        <f t="shared" si="11"/>
        <v/>
      </c>
      <c r="AP26" t="str">
        <f t="shared" si="12"/>
        <v/>
      </c>
      <c r="AQ26">
        <f t="shared" si="13"/>
        <v>20</v>
      </c>
      <c r="AR26">
        <f t="shared" si="14"/>
        <v>40</v>
      </c>
    </row>
    <row r="27" spans="3:44" hidden="1" x14ac:dyDescent="0.25">
      <c r="C27">
        <v>132000</v>
      </c>
      <c r="D27">
        <f>IFERROR(VLOOKUP($A$4&amp;$D$4&amp;C27,BalancesAnuales1!$A$2:$E$20009,5,0)+0,0)/A6</f>
        <v>0</v>
      </c>
      <c r="E27">
        <f>IFERROR(VLOOKUP($A$4&amp;$E$4&amp;C27,BalancesAnuales1!$A$2:$E$20009,5,0)+0,0)/A6</f>
        <v>0</v>
      </c>
      <c r="F27">
        <f>IFERROR(VLOOKUP($A$4&amp;$F$4&amp;C27,BalancesAnuales1!$A$2:$E$20009,5,0)+0,0)/A6</f>
        <v>0</v>
      </c>
      <c r="G27">
        <f>IFERROR(VLOOKUP($A$4&amp;$G$4&amp;C27,BalancesMensuales1!$A$2:$E$20009,5,0)+0,0)/A6</f>
        <v>0</v>
      </c>
      <c r="H27">
        <f>IFERROR(VLOOKUP($A$4&amp;$H$4&amp;C27,BalancesMensuales1!$A$2:$E$20009,5,0)+0,0)/A6</f>
        <v>0</v>
      </c>
      <c r="AB27" t="s">
        <v>92</v>
      </c>
      <c r="AC27" t="str">
        <f>IFERROR(PROPER(VLOOKUP($AB$4,InformacionRIB!$2:$70,8,0)),"N.D.")</f>
        <v>N.D.</v>
      </c>
      <c r="AI27">
        <f t="shared" si="6"/>
        <v>40</v>
      </c>
      <c r="AJ27">
        <v>10</v>
      </c>
      <c r="AK27" t="str">
        <f t="shared" si="7"/>
        <v/>
      </c>
      <c r="AL27" t="str">
        <f t="shared" si="8"/>
        <v/>
      </c>
      <c r="AM27" t="str">
        <f t="shared" si="9"/>
        <v/>
      </c>
      <c r="AN27" t="str">
        <f t="shared" si="10"/>
        <v/>
      </c>
      <c r="AO27" t="str">
        <f t="shared" si="11"/>
        <v/>
      </c>
      <c r="AP27" t="str">
        <f t="shared" si="12"/>
        <v/>
      </c>
      <c r="AQ27">
        <f t="shared" si="13"/>
        <v>20</v>
      </c>
      <c r="AR27">
        <f t="shared" si="14"/>
        <v>40</v>
      </c>
    </row>
    <row r="28" spans="3:44" hidden="1" x14ac:dyDescent="0.25">
      <c r="C28">
        <v>132500</v>
      </c>
      <c r="D28">
        <f>IFERROR(VLOOKUP($A$4&amp;$D$4&amp;C28,BalancesAnuales1!$A$2:$E$20009,5,0)+0,0)/A6</f>
        <v>0</v>
      </c>
      <c r="E28">
        <f>IFERROR(VLOOKUP($A$4&amp;$E$4&amp;C28,BalancesAnuales1!$A$2:$E$20009,5,0)+0,0)/A6</f>
        <v>0</v>
      </c>
      <c r="F28">
        <f>IFERROR(VLOOKUP($A$4&amp;$F$4&amp;C28,BalancesAnuales1!$A$2:$E$20009,5,0)+0,0)/A6</f>
        <v>0</v>
      </c>
      <c r="G28">
        <f>IFERROR(VLOOKUP($A$4&amp;$G$4&amp;C28,BalancesMensuales1!$A$2:$E$20009,5,0)+0,0)/A6</f>
        <v>0</v>
      </c>
      <c r="H28">
        <f>IFERROR(VLOOKUP($A$4&amp;$H$4&amp;C28,BalancesMensuales1!$A$2:$E$20009,5,0)+0,0)/A6</f>
        <v>0</v>
      </c>
      <c r="AB28" t="s">
        <v>93</v>
      </c>
      <c r="AC28" t="e">
        <f>PROPER(VLOOKUP($AB$4,InformacionRIB!$2:$70,13,0))</f>
        <v>#N/A</v>
      </c>
      <c r="AI28">
        <f t="shared" si="6"/>
        <v>40</v>
      </c>
      <c r="AJ28">
        <v>11</v>
      </c>
      <c r="AK28" t="str">
        <f t="shared" si="7"/>
        <v/>
      </c>
      <c r="AL28" t="str">
        <f t="shared" si="8"/>
        <v/>
      </c>
      <c r="AM28" t="str">
        <f t="shared" si="9"/>
        <v/>
      </c>
      <c r="AN28" t="str">
        <f t="shared" si="10"/>
        <v/>
      </c>
      <c r="AO28" t="str">
        <f t="shared" si="11"/>
        <v/>
      </c>
      <c r="AP28" t="str">
        <f t="shared" si="12"/>
        <v/>
      </c>
      <c r="AQ28">
        <f t="shared" si="13"/>
        <v>20</v>
      </c>
      <c r="AR28">
        <f t="shared" si="14"/>
        <v>40</v>
      </c>
    </row>
    <row r="29" spans="3:44" hidden="1" x14ac:dyDescent="0.25">
      <c r="C29">
        <v>133000</v>
      </c>
      <c r="D29">
        <f>IFERROR(VLOOKUP($A$4&amp;$D$4&amp;C29,BalancesAnuales1!$A$2:$E$20009,5,0)+0,0)/A6</f>
        <v>0</v>
      </c>
      <c r="E29">
        <f>IFERROR(VLOOKUP($A$4&amp;$E$4&amp;C29,BalancesAnuales1!$A$2:$E$20009,5,0)+0,0)/A6</f>
        <v>0</v>
      </c>
      <c r="F29">
        <f>IFERROR(VLOOKUP($A$4&amp;$F$4&amp;C29,BalancesAnuales1!$A$2:$E$20009,5,0)+0,0)/A6</f>
        <v>0</v>
      </c>
      <c r="G29">
        <f>IFERROR(VLOOKUP($A$4&amp;$G$4&amp;C29,BalancesMensuales1!$A$2:$E$20009,5,0)+0,0)/A6</f>
        <v>0</v>
      </c>
      <c r="H29">
        <f>IFERROR(VLOOKUP($A$4&amp;$H$4&amp;C29,BalancesMensuales1!$A$2:$E$20009,5,0)+0,0)/A6</f>
        <v>0</v>
      </c>
      <c r="AB29" t="s">
        <v>94</v>
      </c>
      <c r="AC29" t="e">
        <f>PROPER(VLOOKUP($AB$4,InformacionRIB!$2:$70,14,0))</f>
        <v>#N/A</v>
      </c>
      <c r="AI29">
        <f t="shared" si="6"/>
        <v>40</v>
      </c>
      <c r="AJ29">
        <v>12</v>
      </c>
      <c r="AK29" t="str">
        <f t="shared" si="7"/>
        <v/>
      </c>
      <c r="AL29" t="str">
        <f t="shared" si="8"/>
        <v/>
      </c>
      <c r="AM29" t="str">
        <f t="shared" si="9"/>
        <v/>
      </c>
      <c r="AN29" t="str">
        <f t="shared" si="10"/>
        <v/>
      </c>
      <c r="AO29" t="str">
        <f t="shared" si="11"/>
        <v/>
      </c>
      <c r="AP29" t="str">
        <f t="shared" si="12"/>
        <v/>
      </c>
      <c r="AQ29">
        <f t="shared" si="13"/>
        <v>20</v>
      </c>
      <c r="AR29">
        <f t="shared" si="14"/>
        <v>40</v>
      </c>
    </row>
    <row r="30" spans="3:44" hidden="1" x14ac:dyDescent="0.25">
      <c r="C30">
        <v>133500</v>
      </c>
      <c r="D30">
        <f>IFERROR(VLOOKUP($A$4&amp;$D$4&amp;C30,BalancesAnuales1!$A$2:$E$20009,5,0)+0,0)/A6</f>
        <v>0</v>
      </c>
      <c r="E30">
        <f>IFERROR(VLOOKUP($A$4&amp;$E$4&amp;C30,BalancesAnuales1!$A$2:$E$20009,5,0)+0,0)/A6</f>
        <v>0</v>
      </c>
      <c r="F30">
        <f>IFERROR(VLOOKUP($A$4&amp;$F$4&amp;C30,BalancesAnuales1!$A$2:$E$20009,5,0)+0,0)/A6</f>
        <v>0</v>
      </c>
      <c r="G30">
        <f>IFERROR(VLOOKUP($A$4&amp;$G$4&amp;C30,BalancesMensuales1!$A$2:$E$20009,5,0)+0,0)/A6</f>
        <v>0</v>
      </c>
      <c r="H30">
        <f>IFERROR(VLOOKUP($A$4&amp;$H$4&amp;C30,BalancesMensuales1!$A$2:$E$20009,5,0)+0,0)/A6</f>
        <v>0</v>
      </c>
      <c r="AB30" t="s">
        <v>95</v>
      </c>
      <c r="AC30" t="str">
        <f>IFERROR(IF(VLOOKUP($AB$4,InformacionRIB!$2:$70,11,0)="True","Si","No"),"N.D.")</f>
        <v>N.D.</v>
      </c>
      <c r="AI30">
        <f t="shared" si="6"/>
        <v>40</v>
      </c>
      <c r="AJ30">
        <v>13</v>
      </c>
      <c r="AK30" t="str">
        <f t="shared" si="7"/>
        <v/>
      </c>
      <c r="AL30" t="str">
        <f t="shared" si="8"/>
        <v/>
      </c>
      <c r="AM30" t="str">
        <f t="shared" si="9"/>
        <v/>
      </c>
      <c r="AN30" t="str">
        <f t="shared" si="10"/>
        <v/>
      </c>
      <c r="AO30" t="str">
        <f t="shared" si="11"/>
        <v/>
      </c>
      <c r="AP30" t="str">
        <f t="shared" si="12"/>
        <v/>
      </c>
      <c r="AQ30">
        <f t="shared" si="13"/>
        <v>20</v>
      </c>
      <c r="AR30">
        <f t="shared" si="14"/>
        <v>40</v>
      </c>
    </row>
    <row r="31" spans="3:44" hidden="1" x14ac:dyDescent="0.25">
      <c r="C31">
        <v>134000</v>
      </c>
      <c r="D31">
        <f>IFERROR(VLOOKUP($A$4&amp;$D$4&amp;C31,BalancesAnuales1!$A$2:$E$20009,5,0)+0,0)/A6</f>
        <v>0</v>
      </c>
      <c r="E31">
        <f>IFERROR(VLOOKUP($A$4&amp;$E$4&amp;C31,BalancesAnuales1!$A$2:$E$20009,5,0)+0,0)/A6</f>
        <v>0</v>
      </c>
      <c r="F31">
        <f>IFERROR(VLOOKUP($A$4&amp;$F$4&amp;C31,BalancesAnuales1!$A$2:$E$20009,5,0)+0,0)/A6</f>
        <v>0</v>
      </c>
      <c r="G31">
        <f>IFERROR(VLOOKUP($A$4&amp;$G$4&amp;C31,BalancesMensuales1!$A$2:$E$20009,5,0)+0,0)/A6</f>
        <v>0</v>
      </c>
      <c r="H31">
        <f>IFERROR(VLOOKUP($A$4&amp;$H$4&amp;C31,BalancesMensuales1!$A$2:$E$20009,5,0)+0,0)/A6</f>
        <v>0</v>
      </c>
      <c r="AB31" t="s">
        <v>96</v>
      </c>
      <c r="AC31">
        <f>PresenciaCliente!E3+0</f>
        <v>0</v>
      </c>
      <c r="AI31">
        <f t="shared" si="6"/>
        <v>40</v>
      </c>
      <c r="AJ31">
        <v>14</v>
      </c>
      <c r="AK31" t="str">
        <f t="shared" si="7"/>
        <v/>
      </c>
      <c r="AL31" t="str">
        <f t="shared" si="8"/>
        <v/>
      </c>
      <c r="AM31" t="str">
        <f t="shared" si="9"/>
        <v/>
      </c>
      <c r="AN31" t="str">
        <f t="shared" si="10"/>
        <v/>
      </c>
      <c r="AO31" t="str">
        <f t="shared" si="11"/>
        <v/>
      </c>
      <c r="AP31" t="str">
        <f t="shared" si="12"/>
        <v/>
      </c>
      <c r="AQ31">
        <f t="shared" si="13"/>
        <v>20</v>
      </c>
      <c r="AR31">
        <f t="shared" si="14"/>
        <v>40</v>
      </c>
    </row>
    <row r="32" spans="3:44" hidden="1" x14ac:dyDescent="0.25">
      <c r="C32">
        <v>134500</v>
      </c>
      <c r="D32">
        <f>IFERROR(VLOOKUP($A$4&amp;$D$4&amp;C32,BalancesAnuales1!$A$2:$E$20009,5,0)+0,0)/A6</f>
        <v>0</v>
      </c>
      <c r="E32">
        <f>IFERROR(VLOOKUP($A$4&amp;$E$4&amp;C32,BalancesAnuales1!$A$2:$E$20009,5,0)+0,0)/A6</f>
        <v>0</v>
      </c>
      <c r="F32">
        <f>IFERROR(VLOOKUP($A$4&amp;$F$4&amp;C32,BalancesAnuales1!$A$2:$E$20009,5,0)+0,0)/A6</f>
        <v>0</v>
      </c>
      <c r="G32">
        <f>IFERROR(VLOOKUP($A$4&amp;$G$4&amp;C32,BalancesMensuales1!$A$2:$E$20009,5,0)+0,0)/A6</f>
        <v>0</v>
      </c>
      <c r="H32">
        <f>IFERROR(VLOOKUP($A$4&amp;$H$4&amp;C32,BalancesMensuales1!$A$2:$E$20009,5,0)+0,0)/A6</f>
        <v>0</v>
      </c>
      <c r="AB32" t="s">
        <v>97</v>
      </c>
      <c r="AC32">
        <f>(PresenciaCliente!G3+0)/100</f>
        <v>0</v>
      </c>
      <c r="AI32">
        <f t="shared" si="6"/>
        <v>40</v>
      </c>
      <c r="AJ32">
        <v>15</v>
      </c>
      <c r="AK32" t="str">
        <f t="shared" si="7"/>
        <v/>
      </c>
      <c r="AL32" t="str">
        <f t="shared" si="8"/>
        <v/>
      </c>
      <c r="AM32" t="str">
        <f t="shared" si="9"/>
        <v/>
      </c>
      <c r="AN32" t="str">
        <f t="shared" si="10"/>
        <v/>
      </c>
      <c r="AO32" t="str">
        <f t="shared" si="11"/>
        <v/>
      </c>
      <c r="AP32" t="str">
        <f t="shared" si="12"/>
        <v/>
      </c>
      <c r="AQ32">
        <f t="shared" si="13"/>
        <v>20</v>
      </c>
      <c r="AR32">
        <f t="shared" si="14"/>
        <v>40</v>
      </c>
    </row>
    <row r="33" spans="3:44" hidden="1" x14ac:dyDescent="0.25">
      <c r="C33">
        <v>135000</v>
      </c>
      <c r="D33">
        <f>IFERROR(VLOOKUP($A$4&amp;$D$4&amp;C33,BalancesAnuales1!$A$2:$E$20009,5,0)+0,0)/A6</f>
        <v>0</v>
      </c>
      <c r="E33">
        <f>IFERROR(VLOOKUP($A$4&amp;$E$4&amp;C33,BalancesAnuales1!$A$2:$E$20009,5,0)+0,0)/A6</f>
        <v>0</v>
      </c>
      <c r="F33">
        <f>IFERROR(VLOOKUP($A$4&amp;$F$4&amp;C33,BalancesAnuales1!$A$2:$E$20009,5,0)+0,0)/A6</f>
        <v>0</v>
      </c>
      <c r="G33">
        <f>IFERROR(VLOOKUP($A$4&amp;$G$4&amp;C33,BalancesMensuales1!$A$2:$E$20009,5,0)+0,0)/A6</f>
        <v>0</v>
      </c>
      <c r="H33">
        <f>IFERROR(VLOOKUP($A$4&amp;$H$4&amp;C33,BalancesMensuales1!$A$2:$E$20009,5,0)+0,0)/A6</f>
        <v>0</v>
      </c>
      <c r="AB33" t="s">
        <v>98</v>
      </c>
      <c r="AC33">
        <f>PresenciaCliente!D3+0</f>
        <v>0</v>
      </c>
      <c r="AI33">
        <f t="shared" si="6"/>
        <v>40</v>
      </c>
      <c r="AJ33">
        <v>16</v>
      </c>
      <c r="AK33" t="str">
        <f t="shared" si="7"/>
        <v/>
      </c>
      <c r="AL33" t="str">
        <f t="shared" si="8"/>
        <v/>
      </c>
      <c r="AM33" t="str">
        <f t="shared" si="9"/>
        <v/>
      </c>
      <c r="AN33" t="str">
        <f t="shared" si="10"/>
        <v/>
      </c>
      <c r="AO33" t="str">
        <f t="shared" si="11"/>
        <v/>
      </c>
      <c r="AP33" t="str">
        <f t="shared" si="12"/>
        <v/>
      </c>
      <c r="AQ33">
        <f t="shared" si="13"/>
        <v>20</v>
      </c>
      <c r="AR33">
        <f t="shared" si="14"/>
        <v>40</v>
      </c>
    </row>
    <row r="34" spans="3:44" hidden="1" x14ac:dyDescent="0.25">
      <c r="C34">
        <v>135500</v>
      </c>
      <c r="D34">
        <f>IFERROR(VLOOKUP($A$4&amp;$D$4&amp;C34,BalancesAnuales1!$A$2:$E$20009,5,0)+0,0)/A6</f>
        <v>0</v>
      </c>
      <c r="E34">
        <f>IFERROR(VLOOKUP($A$4&amp;$E$4&amp;C34,BalancesAnuales1!$A$2:$E$20009,5,0)+0,0)/A6</f>
        <v>0</v>
      </c>
      <c r="F34">
        <f>IFERROR(VLOOKUP($A$4&amp;$F$4&amp;C34,BalancesAnuales1!$A$2:$E$20009,5,0)+0,0)/A6</f>
        <v>0</v>
      </c>
      <c r="G34">
        <f>IFERROR(VLOOKUP($A$4&amp;$G$4&amp;C34,BalancesMensuales1!$A$2:$E$20009,5,0)+0,0)/A6</f>
        <v>0</v>
      </c>
      <c r="H34">
        <f>IFERROR(VLOOKUP($A$4&amp;$H$4&amp;C34,BalancesMensuales1!$A$2:$E$20009,5,0)+0,0)/A6</f>
        <v>0</v>
      </c>
      <c r="AB34" t="s">
        <v>99</v>
      </c>
      <c r="AC34">
        <f>(PresenciaCliente!I3+0)/100</f>
        <v>0</v>
      </c>
      <c r="AI34">
        <f t="shared" si="6"/>
        <v>40</v>
      </c>
      <c r="AJ34">
        <v>17</v>
      </c>
      <c r="AK34" t="str">
        <f t="shared" si="7"/>
        <v/>
      </c>
      <c r="AL34" t="str">
        <f t="shared" si="8"/>
        <v/>
      </c>
      <c r="AM34" t="str">
        <f t="shared" si="9"/>
        <v/>
      </c>
      <c r="AN34" t="str">
        <f t="shared" si="10"/>
        <v/>
      </c>
      <c r="AO34" t="str">
        <f t="shared" si="11"/>
        <v/>
      </c>
      <c r="AP34" t="str">
        <f t="shared" si="12"/>
        <v/>
      </c>
      <c r="AQ34">
        <f t="shared" si="13"/>
        <v>20</v>
      </c>
      <c r="AR34">
        <f t="shared" si="14"/>
        <v>40</v>
      </c>
    </row>
    <row r="35" spans="3:44" hidden="1" x14ac:dyDescent="0.25">
      <c r="C35">
        <v>136000</v>
      </c>
      <c r="D35">
        <f>IFERROR(VLOOKUP($A$4&amp;$D$4&amp;C35,BalancesAnuales1!$A$2:$E$20009,5,0)+0,0)/A6</f>
        <v>0</v>
      </c>
      <c r="E35">
        <f>IFERROR(VLOOKUP($A$4&amp;$E$4&amp;C35,BalancesAnuales1!$A$2:$E$20009,5,0)+0,0)/A6</f>
        <v>0</v>
      </c>
      <c r="F35">
        <f>IFERROR(VLOOKUP($A$4&amp;$F$4&amp;C35,BalancesAnuales1!$A$2:$E$20009,5,0)+0,0)/A6</f>
        <v>0</v>
      </c>
      <c r="G35">
        <f>IFERROR(VLOOKUP($A$4&amp;$G$4&amp;C35,BalancesMensuales1!$A$2:$E$20009,5,0)+0,0)/A6</f>
        <v>0</v>
      </c>
      <c r="H35">
        <f>IFERROR(VLOOKUP($A$4&amp;$H$4&amp;C35,BalancesMensuales1!$A$2:$E$20009,5,0)+0,0)/A6</f>
        <v>0</v>
      </c>
      <c r="AB35" t="s">
        <v>100</v>
      </c>
      <c r="AC35">
        <f>(PresenciaCliente!C3+0)/100</f>
        <v>0</v>
      </c>
      <c r="AI35">
        <f t="shared" si="6"/>
        <v>40</v>
      </c>
      <c r="AJ35">
        <v>18</v>
      </c>
      <c r="AK35" t="str">
        <f t="shared" si="7"/>
        <v/>
      </c>
      <c r="AL35" t="str">
        <f t="shared" si="8"/>
        <v/>
      </c>
      <c r="AM35" t="str">
        <f t="shared" si="9"/>
        <v/>
      </c>
      <c r="AN35" t="str">
        <f t="shared" si="10"/>
        <v/>
      </c>
      <c r="AO35" t="str">
        <f t="shared" si="11"/>
        <v/>
      </c>
      <c r="AP35" t="str">
        <f t="shared" si="12"/>
        <v/>
      </c>
      <c r="AQ35">
        <f t="shared" si="13"/>
        <v>20</v>
      </c>
      <c r="AR35">
        <f t="shared" si="14"/>
        <v>40</v>
      </c>
    </row>
    <row r="36" spans="3:44" hidden="1" x14ac:dyDescent="0.25">
      <c r="C36">
        <v>136500</v>
      </c>
      <c r="D36">
        <f>IFERROR(VLOOKUP($A$4&amp;$D$4&amp;C36,BalancesAnuales1!$A$2:$E$20009,5,0)+0,0)/A6</f>
        <v>0</v>
      </c>
      <c r="E36">
        <f>IFERROR(VLOOKUP($A$4&amp;$E$4&amp;C36,BalancesAnuales1!$A$2:$E$20009,5,0)+0,0)/A6</f>
        <v>0</v>
      </c>
      <c r="F36">
        <f>IFERROR(VLOOKUP($A$4&amp;$F$4&amp;C36,BalancesAnuales1!$A$2:$E$20009,5,0)+0,0)/A6</f>
        <v>0</v>
      </c>
      <c r="G36">
        <f>IFERROR(VLOOKUP($A$4&amp;$G$4&amp;C36,BalancesMensuales1!$A$2:$E$20009,5,0)+0,0)/A6</f>
        <v>0</v>
      </c>
      <c r="H36">
        <f>IFERROR(VLOOKUP($A$4&amp;$H$4&amp;C36,BalancesMensuales1!$A$2:$E$20009,5,0)+0,0)/A6</f>
        <v>0</v>
      </c>
      <c r="AB36" t="s">
        <v>101</v>
      </c>
      <c r="AC36">
        <f>PresenciaCliente!H3</f>
        <v>0</v>
      </c>
      <c r="AI36">
        <f t="shared" si="6"/>
        <v>40</v>
      </c>
      <c r="AJ36">
        <v>19</v>
      </c>
      <c r="AK36" t="str">
        <f t="shared" si="7"/>
        <v/>
      </c>
      <c r="AL36" t="str">
        <f t="shared" si="8"/>
        <v/>
      </c>
      <c r="AM36" t="str">
        <f t="shared" si="9"/>
        <v/>
      </c>
      <c r="AN36" t="str">
        <f t="shared" si="10"/>
        <v/>
      </c>
      <c r="AO36" t="str">
        <f t="shared" si="11"/>
        <v/>
      </c>
      <c r="AP36" t="str">
        <f t="shared" si="12"/>
        <v/>
      </c>
      <c r="AQ36">
        <f t="shared" si="13"/>
        <v>20</v>
      </c>
      <c r="AR36">
        <f t="shared" si="14"/>
        <v>40</v>
      </c>
    </row>
    <row r="37" spans="3:44" hidden="1" x14ac:dyDescent="0.25">
      <c r="C37">
        <v>137000</v>
      </c>
      <c r="D37">
        <f>IFERROR(VLOOKUP($A$4&amp;$D$4&amp;C37,BalancesAnuales1!$A$2:$E$20009,5,0)+0,0)/A6</f>
        <v>0</v>
      </c>
      <c r="E37">
        <f>IFERROR(VLOOKUP($A$4&amp;$E$4&amp;C37,BalancesAnuales1!$A$2:$E$20009,5,0)+0,0)/A6</f>
        <v>0</v>
      </c>
      <c r="F37">
        <f>IFERROR(VLOOKUP($A$4&amp;$F$4&amp;C37,BalancesAnuales1!$A$2:$E$20009,5,0)+0,0)/A6</f>
        <v>0</v>
      </c>
      <c r="G37">
        <f>IFERROR(VLOOKUP($A$4&amp;$G$4&amp;C37,BalancesMensuales1!$A$2:$E$20009,5,0)+0,0)/A6</f>
        <v>0</v>
      </c>
      <c r="H37">
        <f>IFERROR(VLOOKUP($A$4&amp;$H$4&amp;C37,BalancesMensuales1!$A$2:$E$20009,5,0)+0,0)/A6</f>
        <v>0</v>
      </c>
      <c r="AB37" t="s">
        <v>102</v>
      </c>
      <c r="AC37">
        <f>InstalacionesxEmpXRib!C3+0</f>
        <v>0</v>
      </c>
      <c r="AI37">
        <f t="shared" si="6"/>
        <v>40</v>
      </c>
      <c r="AJ37">
        <v>20</v>
      </c>
      <c r="AK37" t="str">
        <f t="shared" si="7"/>
        <v/>
      </c>
      <c r="AL37" t="str">
        <f t="shared" si="8"/>
        <v/>
      </c>
      <c r="AM37" t="str">
        <f t="shared" si="9"/>
        <v/>
      </c>
      <c r="AN37" t="str">
        <f t="shared" si="10"/>
        <v/>
      </c>
      <c r="AO37" t="str">
        <f t="shared" si="11"/>
        <v/>
      </c>
      <c r="AP37" t="str">
        <f t="shared" si="12"/>
        <v/>
      </c>
      <c r="AQ37">
        <f t="shared" si="13"/>
        <v>20</v>
      </c>
      <c r="AR37">
        <f t="shared" si="14"/>
        <v>40</v>
      </c>
    </row>
    <row r="38" spans="3:44" hidden="1" x14ac:dyDescent="0.25">
      <c r="C38">
        <v>139000</v>
      </c>
      <c r="D38">
        <f>IFERROR(VLOOKUP($A$4&amp;$D$4&amp;C38,BalancesAnuales1!$A$2:$E$20009,5,0)+0,0)/A6</f>
        <v>0</v>
      </c>
      <c r="E38">
        <f>IFERROR(VLOOKUP($A$4&amp;$E$4&amp;C38,BalancesAnuales1!$A$2:$E$20009,5,0)+0,0)/A6</f>
        <v>0</v>
      </c>
      <c r="F38">
        <f>IFERROR(VLOOKUP($A$4&amp;$F$4&amp;C38,BalancesAnuales1!$A$2:$E$20009,5,0)+0,0)/A6</f>
        <v>0</v>
      </c>
      <c r="G38">
        <f>IFERROR(VLOOKUP($A$4&amp;$G$4&amp;C38,BalancesMensuales1!$A$2:$E$20009,5,0)+0,0)/A6</f>
        <v>0</v>
      </c>
      <c r="H38">
        <f>IFERROR(VLOOKUP($A$4&amp;$H$4&amp;C38,BalancesMensuales1!$A$2:$E$20009,5,0)+0,0)/A6</f>
        <v>0</v>
      </c>
      <c r="AB38" t="s">
        <v>103</v>
      </c>
      <c r="AC38">
        <f>Caratula1!AC3</f>
        <v>0</v>
      </c>
    </row>
    <row r="39" spans="3:44" hidden="1" x14ac:dyDescent="0.25">
      <c r="C39">
        <v>139500</v>
      </c>
      <c r="D39">
        <f>IFERROR(VLOOKUP($A$4&amp;$D$4&amp;C39,BalancesAnuales1!$A$2:$E$20009,5,0)+0,0)/A6</f>
        <v>0</v>
      </c>
      <c r="E39">
        <f>IFERROR(VLOOKUP($A$4&amp;$E$4&amp;C39,BalancesAnuales1!$A$2:$E$20009,5,0)+0,0)/A6</f>
        <v>0</v>
      </c>
      <c r="F39">
        <f>IFERROR(VLOOKUP($A$4&amp;$F$4&amp;C39,BalancesAnuales1!$A$2:$E$20009,5,0)+0,0)/A6</f>
        <v>0</v>
      </c>
      <c r="G39">
        <f>IFERROR(VLOOKUP($A$4&amp;$G$4&amp;C39,BalancesMensuales1!$A$2:$E$20009,5,0)+0,0)/A6</f>
        <v>0</v>
      </c>
      <c r="H39">
        <f>IFERROR(VLOOKUP($A$4&amp;$H$4&amp;C39,BalancesMensuales1!$A$2:$E$20009,5,0)+0,0)/A6</f>
        <v>0</v>
      </c>
      <c r="AB39" t="s">
        <v>104</v>
      </c>
      <c r="AC39">
        <f>Caratula1!AD3</f>
        <v>0</v>
      </c>
      <c r="AJ39">
        <v>21</v>
      </c>
      <c r="AK39" t="str">
        <f t="shared" ref="AK39:AK48" si="15">PROPER(IFERROR(VLOOKUP(AJ39,$AI$18:$AP$37,5,0),""))</f>
        <v/>
      </c>
    </row>
    <row r="40" spans="3:44" hidden="1" x14ac:dyDescent="0.25">
      <c r="C40">
        <v>139905</v>
      </c>
      <c r="D40">
        <f>IFERROR(VLOOKUP($A$4&amp;$D$4&amp;C40,BalancesAnuales1!$A$2:$E$20009,5,0)+0,0)/A6</f>
        <v>0</v>
      </c>
      <c r="E40">
        <f>IFERROR(VLOOKUP($A$4&amp;$E$4&amp;C40,BalancesAnuales1!$A$2:$E$20009,5,0)+0,0)/A6</f>
        <v>0</v>
      </c>
      <c r="F40">
        <f>IFERROR(VLOOKUP($A$4&amp;$F$4&amp;C40,BalancesAnuales1!$A$2:$E$20009,5,0)+0,0)/A6</f>
        <v>0</v>
      </c>
      <c r="G40">
        <f>IFERROR(VLOOKUP($A$4&amp;$G$4&amp;C40,BalancesMensuales1!$A$2:$E$20009,5,0)+0,0)/A6</f>
        <v>0</v>
      </c>
      <c r="H40">
        <f>IFERROR(VLOOKUP($A$4&amp;$H$4&amp;C40,BalancesMensuales1!$A$2:$E$20009,5,0)+0,0)/A6</f>
        <v>0</v>
      </c>
      <c r="AB40" t="s">
        <v>105</v>
      </c>
      <c r="AC40" t="str">
        <f>PROPER(OperacionesEmpXRib!H3)</f>
        <v/>
      </c>
      <c r="AJ40">
        <v>22</v>
      </c>
      <c r="AK40" t="str">
        <f t="shared" si="15"/>
        <v/>
      </c>
    </row>
    <row r="41" spans="3:44" hidden="1" x14ac:dyDescent="0.25">
      <c r="C41">
        <v>1106</v>
      </c>
      <c r="D41">
        <f>IFERROR(VLOOKUP($A$4&amp;$D$4&amp;C41,BalancesAnuales1!$A$2:$E$20009,5,0)+0,0)/A6</f>
        <v>0</v>
      </c>
      <c r="E41">
        <f>IFERROR(VLOOKUP($A$4&amp;$E$4&amp;C41,BalancesAnuales1!$A$2:$E$20009,5,0)+0,0)/A6</f>
        <v>0</v>
      </c>
      <c r="F41">
        <f>IFERROR(VLOOKUP($A$4&amp;$F$4&amp;C41,BalancesAnuales1!$A$2:$E$20009,5,0)+0,0)/A6</f>
        <v>0</v>
      </c>
      <c r="G41">
        <f>IFERROR(VLOOKUP($A$4&amp;$G$4&amp;C41,BalancesMensuales1!$A$2:$E$20009,5,0)+0,0)/A6</f>
        <v>0</v>
      </c>
      <c r="H41">
        <f>IFERROR(VLOOKUP($A$4&amp;$H$4&amp;C41,BalancesMensuales1!$A$2:$E$20009,5,0)+0,0)/A6</f>
        <v>0</v>
      </c>
      <c r="AJ41">
        <v>23</v>
      </c>
      <c r="AK41" t="str">
        <f t="shared" si="15"/>
        <v/>
      </c>
    </row>
    <row r="42" spans="3:44" hidden="1" x14ac:dyDescent="0.25">
      <c r="C42">
        <v>110405</v>
      </c>
      <c r="D42">
        <f>IFERROR(VLOOKUP($A$4&amp;$D$4&amp;C42,BalancesAnuales1!$A$2:$E$20009,5,0)+0,0)/A6</f>
        <v>0</v>
      </c>
      <c r="E42">
        <f>IFERROR(VLOOKUP($A$4&amp;$E$4&amp;C42,BalancesAnuales1!$A$2:$E$20009,5,0)+0,0)/A6</f>
        <v>0</v>
      </c>
      <c r="F42">
        <f>IFERROR(VLOOKUP($A$4&amp;$F$4&amp;C42,BalancesAnuales1!$A$2:$E$20009,5,0)+0,0)/A6</f>
        <v>0</v>
      </c>
      <c r="G42">
        <f>IFERROR(VLOOKUP($A$4&amp;$G$4&amp;C42,BalancesMensuales1!$A$2:$E$20009,5,0)+0,0)/A6</f>
        <v>0</v>
      </c>
      <c r="H42">
        <f>IFERROR(VLOOKUP($A$4&amp;$H$4&amp;C42,BalancesMensuales1!$A$2:$E$20009,5,0)+0,0)/A6</f>
        <v>0</v>
      </c>
      <c r="AJ42">
        <v>24</v>
      </c>
      <c r="AK42" t="str">
        <f t="shared" si="15"/>
        <v/>
      </c>
    </row>
    <row r="43" spans="3:44" hidden="1" x14ac:dyDescent="0.25">
      <c r="C43">
        <v>110410</v>
      </c>
      <c r="D43">
        <f>IFERROR(VLOOKUP($A$4&amp;$D$4&amp;C43,BalancesAnuales1!$A$2:$E$20009,5,0)+0,0)/A6</f>
        <v>0</v>
      </c>
      <c r="E43">
        <f>IFERROR(VLOOKUP($A$4&amp;$E$4&amp;C43,BalancesAnuales1!$A$2:$E$20009,5,0)+0,0)/A6</f>
        <v>0</v>
      </c>
      <c r="F43">
        <f>IFERROR(VLOOKUP($A$4&amp;$F$4&amp;C43,BalancesAnuales1!$A$2:$E$20009,5,0)+0,0)/A6</f>
        <v>0</v>
      </c>
      <c r="G43">
        <f>IFERROR(VLOOKUP($A$4&amp;$G$4&amp;C43,BalancesMensuales1!$A$2:$E$20009,5,0)+0,0)/A6</f>
        <v>0</v>
      </c>
      <c r="H43">
        <f>IFERROR(VLOOKUP($A$4&amp;$H$4&amp;C43,BalancesMensuales1!$A$2:$E$20009,5,0)+0,0)/A6</f>
        <v>0</v>
      </c>
      <c r="AA43" t="s">
        <v>106</v>
      </c>
      <c r="AB43" t="str">
        <f>IFERROR(VLOOKUP(1,$Z$65:$AC$214,3,0),"")</f>
        <v/>
      </c>
      <c r="AC43" t="str">
        <f>IFERROR(VLOOKUP(1,$Z$65:$AC$214,4,0)+0,"")</f>
        <v/>
      </c>
      <c r="AJ43">
        <v>25</v>
      </c>
      <c r="AK43" t="str">
        <f t="shared" si="15"/>
        <v/>
      </c>
    </row>
    <row r="44" spans="3:44" hidden="1" x14ac:dyDescent="0.25">
      <c r="C44">
        <v>142500</v>
      </c>
      <c r="D44">
        <f>IFERROR(VLOOKUP($A$4&amp;$D$4&amp;C44,BalancesAnuales1!$A$2:$E$20009,5,0)+0,0)/A6</f>
        <v>0</v>
      </c>
      <c r="E44">
        <f>IFERROR(VLOOKUP($A$4&amp;$E$4&amp;C44,BalancesAnuales1!$A$2:$E$20009,5,0)+0,0)/A6</f>
        <v>0</v>
      </c>
      <c r="F44">
        <f>IFERROR(VLOOKUP($A$4&amp;$F$4&amp;C44,BalancesAnuales1!$A$2:$E$20009,5,0)+0,0)/A6</f>
        <v>0</v>
      </c>
      <c r="G44">
        <f>IFERROR(VLOOKUP($A$4&amp;$G$4&amp;C44,BalancesMensuales1!$A$2:$E$20009,5,0)+0,0)/A6</f>
        <v>0</v>
      </c>
      <c r="H44">
        <f>IFERROR(VLOOKUP($A$4&amp;$H$4&amp;C44,BalancesMensuales1!$A$2:$E$20009,5,0)+0,0)/A6</f>
        <v>0</v>
      </c>
      <c r="AB44" t="str">
        <f>IFERROR(VLOOKUP(2,$Z$65:$AC$214,3,0),"")</f>
        <v/>
      </c>
      <c r="AC44" t="str">
        <f>IFERROR(VLOOKUP(2,$Z$65:$AC$214,4,0)+0,"")</f>
        <v/>
      </c>
      <c r="AJ44">
        <v>26</v>
      </c>
      <c r="AK44" t="str">
        <f t="shared" si="15"/>
        <v/>
      </c>
    </row>
    <row r="45" spans="3:44" hidden="1" x14ac:dyDescent="0.25">
      <c r="C45">
        <v>110415</v>
      </c>
      <c r="D45">
        <f>IFERROR(VLOOKUP($A$4&amp;$D$4&amp;C45,BalancesAnuales1!$A$2:$E$20009,5,0)+0,0)/A6</f>
        <v>0</v>
      </c>
      <c r="E45">
        <f>IFERROR(VLOOKUP($A$4&amp;$E$4&amp;C45,BalancesAnuales1!$A$2:$E$20009,5,0)+0,0)/A6</f>
        <v>0</v>
      </c>
      <c r="F45">
        <f>IFERROR(VLOOKUP($A$4&amp;$F$4&amp;C45,BalancesAnuales1!$A$2:$E$20009,5,0)+0,0)/A6</f>
        <v>0</v>
      </c>
      <c r="G45">
        <f>IFERROR(VLOOKUP($A$4&amp;$G$4&amp;C45,BalancesMensuales1!$A$2:$E$20009,5,0)+0,0)/A6</f>
        <v>0</v>
      </c>
      <c r="H45">
        <f>IFERROR(VLOOKUP($A$4&amp;$H$4&amp;C45,BalancesMensuales1!$A$2:$E$20009,5,0)+0,0)/A6</f>
        <v>0</v>
      </c>
      <c r="AB45" t="str">
        <f>IFERROR(VLOOKUP(3,$Z$65:$AC$214,3,0),"")</f>
        <v/>
      </c>
      <c r="AC45" t="str">
        <f>IFERROR(VLOOKUP(3,$Z$65:$AC$214,4,0)+0,"")</f>
        <v/>
      </c>
      <c r="AJ45">
        <v>27</v>
      </c>
      <c r="AK45" t="str">
        <f t="shared" si="15"/>
        <v/>
      </c>
    </row>
    <row r="46" spans="3:44" hidden="1" x14ac:dyDescent="0.25">
      <c r="C46">
        <v>143500</v>
      </c>
      <c r="D46">
        <f>IFERROR(VLOOKUP($A$4&amp;$D$4&amp;C46,BalancesAnuales1!$A$2:$E$20009,5,0)+0,0)/A6</f>
        <v>0</v>
      </c>
      <c r="E46">
        <f>IFERROR(VLOOKUP($A$4&amp;$E$4&amp;C46,BalancesAnuales1!$A$2:$E$20009,5,0)+0,0)/A6</f>
        <v>0</v>
      </c>
      <c r="F46">
        <f>IFERROR(VLOOKUP($A$4&amp;$F$4&amp;C46,BalancesAnuales1!$A$2:$E$20009,5,0)+0,0)/A6</f>
        <v>0</v>
      </c>
      <c r="G46">
        <f>IFERROR(VLOOKUP($A$4&amp;$G$4&amp;C46,BalancesMensuales1!$A$2:$E$20009,5,0)+0,0)/A6</f>
        <v>0</v>
      </c>
      <c r="H46">
        <f>IFERROR(VLOOKUP($A$4&amp;$H$4&amp;C46,BalancesMensuales1!$A$2:$E$20009,5,0)+0,0)/A6</f>
        <v>0</v>
      </c>
      <c r="AB46" t="str">
        <f>IFERROR(VLOOKUP(4,$Z$65:$AC$214,3,0),"")</f>
        <v/>
      </c>
      <c r="AC46" t="str">
        <f>IFERROR(VLOOKUP(4,$Z$65:$AC$214,4,0)+0,"")</f>
        <v/>
      </c>
      <c r="AJ46">
        <v>28</v>
      </c>
      <c r="AK46" t="str">
        <f t="shared" si="15"/>
        <v/>
      </c>
    </row>
    <row r="47" spans="3:44" hidden="1" x14ac:dyDescent="0.25">
      <c r="C47">
        <v>110420</v>
      </c>
      <c r="D47">
        <f>IFERROR(VLOOKUP($A$4&amp;$D$4&amp;C47,BalancesAnuales1!$A$2:$E$20009,5,0)+0,0)/A6</f>
        <v>0</v>
      </c>
      <c r="E47">
        <f>IFERROR(VLOOKUP($A$4&amp;$E$4&amp;C47,BalancesAnuales1!$A$2:$E$20009,5,0)+0,0)/A6</f>
        <v>0</v>
      </c>
      <c r="F47">
        <f>IFERROR(VLOOKUP($A$4&amp;$F$4&amp;C47,BalancesAnuales1!$A$2:$E$20009,5,0)+0,0)/A6</f>
        <v>0</v>
      </c>
      <c r="G47">
        <f>IFERROR(VLOOKUP($A$4&amp;$G$4&amp;C47,BalancesMensuales1!$A$2:$E$20009,5,0)+0,0)/A6</f>
        <v>0</v>
      </c>
      <c r="H47">
        <f>IFERROR(VLOOKUP($A$4&amp;$H$4&amp;C47,BalancesMensuales1!$A$2:$E$20009,5,0)+0,0)/A6</f>
        <v>0</v>
      </c>
      <c r="AJ47">
        <v>29</v>
      </c>
      <c r="AK47" t="str">
        <f t="shared" si="15"/>
        <v/>
      </c>
    </row>
    <row r="48" spans="3:44" hidden="1" x14ac:dyDescent="0.25">
      <c r="C48">
        <v>110495</v>
      </c>
      <c r="D48">
        <f>IFERROR(VLOOKUP($A$4&amp;$D$4&amp;C48,BalancesAnuales1!$A$2:$E$20009,5,0)+0,0)/A6</f>
        <v>0</v>
      </c>
      <c r="E48">
        <f>IFERROR(VLOOKUP($A$4&amp;$E$4&amp;C48,BalancesAnuales1!$A$2:$E$20009,5,0)+0,0)/A6</f>
        <v>0</v>
      </c>
      <c r="F48">
        <f>IFERROR(VLOOKUP($A$4&amp;$F$4&amp;C48,BalancesAnuales1!$A$2:$E$20009,5,0)+0,0)/A6</f>
        <v>0</v>
      </c>
      <c r="G48">
        <f>IFERROR(VLOOKUP($A$4&amp;$G$4&amp;C48,BalancesMensuales1!$A$2:$E$20009,5,0)+0,0)/A6</f>
        <v>0</v>
      </c>
      <c r="H48">
        <f>IFERROR(VLOOKUP($A$4&amp;$H$4&amp;C48,BalancesMensuales1!$A$2:$E$20009,5,0)+0,0)/A6</f>
        <v>0</v>
      </c>
      <c r="AA48" t="s">
        <v>107</v>
      </c>
      <c r="AB48" t="str">
        <f>IFERROR(VLOOKUP(1,$Z$218:$AC$367,3,0),"")</f>
        <v/>
      </c>
      <c r="AC48" t="str">
        <f>IFERROR(VLOOKUP(1,$Z$218:$AC$367,4,0)+0,"")</f>
        <v/>
      </c>
      <c r="AJ48">
        <v>30</v>
      </c>
      <c r="AK48" t="str">
        <f t="shared" si="15"/>
        <v/>
      </c>
    </row>
    <row r="49" spans="3:37" hidden="1" x14ac:dyDescent="0.25">
      <c r="C49">
        <v>110490</v>
      </c>
      <c r="D49">
        <f>IFERROR(VLOOKUP($A$4&amp;$D$4&amp;C49,BalancesAnuales1!$A$2:$E$20009,5,0)+0,0)/A6</f>
        <v>0</v>
      </c>
      <c r="E49">
        <f>IFERROR(VLOOKUP($A$4&amp;$E$4&amp;C49,BalancesAnuales1!$A$2:$E$20009,5,0)+0,0)/A6</f>
        <v>0</v>
      </c>
      <c r="F49">
        <f>IFERROR(VLOOKUP($A$4&amp;$F$4&amp;C49,BalancesAnuales1!$A$2:$E$20009,5,0)+0,0)/A6</f>
        <v>0</v>
      </c>
      <c r="G49">
        <f>IFERROR(VLOOKUP($A$4&amp;$G$4&amp;C49,BalancesMensuales1!$A$2:$E$20009,5,0)+0,0)/A6</f>
        <v>0</v>
      </c>
      <c r="H49">
        <f>IFERROR(VLOOKUP($A$4&amp;$H$4&amp;C49,BalancesMensuales1!$A$2:$E$20009,5,0)+0,0)/A6</f>
        <v>0</v>
      </c>
      <c r="AB49" t="str">
        <f>IFERROR(VLOOKUP(2,$Z$218:$AC$367,3,0),"")</f>
        <v/>
      </c>
      <c r="AC49" t="str">
        <f>IFERROR(VLOOKUP(2,$Z$218:$AC$367,4,0)+0,"")</f>
        <v/>
      </c>
    </row>
    <row r="50" spans="3:37" hidden="1" x14ac:dyDescent="0.25">
      <c r="C50">
        <v>110491</v>
      </c>
      <c r="D50">
        <f>IFERROR(VLOOKUP($A$4&amp;$D$4&amp;C50,BalancesAnuales1!$A$2:$E$20009,5,0)+0,0)/A6</f>
        <v>0</v>
      </c>
      <c r="E50">
        <f>IFERROR(VLOOKUP($A$4&amp;$E$4&amp;C50,BalancesAnuales1!$A$2:$E$20009,5,0)+0,0)/A6</f>
        <v>0</v>
      </c>
      <c r="F50">
        <f>IFERROR(VLOOKUP($A$4&amp;$F$4&amp;C50,BalancesAnuales1!$A$2:$E$20009,5,0)+0,0)/A6</f>
        <v>0</v>
      </c>
      <c r="G50">
        <f>IFERROR(VLOOKUP($A$4&amp;$G$4&amp;C50,BalancesMensuales1!$A$2:$E$20009,5,0)+0,0)/A6</f>
        <v>0</v>
      </c>
      <c r="H50">
        <f>IFERROR(VLOOKUP($A$4&amp;$H$4&amp;C50,BalancesMensuales1!$A$2:$E$20009,5,0)+0,0)/A6</f>
        <v>0</v>
      </c>
      <c r="AB50" t="str">
        <f>IFERROR(VLOOKUP(3,$Z$218:$AC$367,3,0),"")</f>
        <v/>
      </c>
      <c r="AC50" t="str">
        <f>IFERROR(VLOOKUP(3,$Z$218:$AC$367,4,0)+0,"")</f>
        <v/>
      </c>
      <c r="AJ50">
        <v>41</v>
      </c>
      <c r="AK50" t="str">
        <f t="shared" ref="AK50:AK59" si="16">PROPER(IFERROR(VLOOKUP(AJ50,$AI$18:$AP$37,5,0),""))</f>
        <v/>
      </c>
    </row>
    <row r="51" spans="3:37" hidden="1" x14ac:dyDescent="0.25">
      <c r="C51">
        <v>149900</v>
      </c>
      <c r="D51">
        <f>IFERROR(VLOOKUP($A$4&amp;$D$4&amp;C51,BalancesAnuales1!$A$2:$E$20009,5,0)+0,0)/A6</f>
        <v>0</v>
      </c>
      <c r="E51">
        <f>IFERROR(VLOOKUP($A$4&amp;$E$4&amp;C51,BalancesAnuales1!$A$2:$E$20009,5,0)+0,0)/A6</f>
        <v>0</v>
      </c>
      <c r="F51">
        <f>IFERROR(VLOOKUP($A$4&amp;$F$4&amp;C51,BalancesAnuales1!$A$2:$E$20009,5,0)+0,0)/A6</f>
        <v>0</v>
      </c>
      <c r="G51">
        <f>IFERROR(VLOOKUP($A$4&amp;$G$4&amp;C51,BalancesMensuales1!$A$2:$E$20009,5,0)+0,0)/A6</f>
        <v>0</v>
      </c>
      <c r="H51">
        <f>IFERROR(VLOOKUP($A$4&amp;$H$4&amp;C51,BalancesMensuales1!$A$2:$E$20009,5,0)+0,0)/A6</f>
        <v>0</v>
      </c>
      <c r="AB51" t="str">
        <f>IFERROR(VLOOKUP(4,$Z$218:$AC$367,3,0),"")</f>
        <v/>
      </c>
      <c r="AC51" t="str">
        <f>IFERROR(VLOOKUP(4,$Z$218:$AC$367,4,0)+0,"")</f>
        <v/>
      </c>
      <c r="AJ51">
        <v>42</v>
      </c>
      <c r="AK51" t="str">
        <f t="shared" si="16"/>
        <v/>
      </c>
    </row>
    <row r="52" spans="3:37" hidden="1" x14ac:dyDescent="0.25">
      <c r="C52">
        <v>140005</v>
      </c>
      <c r="D52">
        <f>IFERROR(VLOOKUP($A$4&amp;$D$4&amp;C52,BalancesAnuales1!$A$2:$E$20009,5,0)+0,0)/A6</f>
        <v>0</v>
      </c>
      <c r="E52">
        <f>IFERROR(VLOOKUP($A$4&amp;$E$4&amp;C52,BalancesAnuales1!$A$2:$E$20009,5,0)+0,0)/A6</f>
        <v>0</v>
      </c>
      <c r="F52">
        <f>IFERROR(VLOOKUP($A$4&amp;$F$4&amp;C52,BalancesAnuales1!$A$2:$E$20009,5,0)+0,0)/A6</f>
        <v>0</v>
      </c>
      <c r="G52">
        <f>IFERROR(VLOOKUP($A$4&amp;$G$4&amp;C52,BalancesMensuales1!$A$2:$E$20009,5,0)+0,0)/A6</f>
        <v>0</v>
      </c>
      <c r="H52">
        <f>IFERROR(VLOOKUP($A$4&amp;$H$4&amp;C52,BalancesMensuales1!$A$2:$E$20009,5,0)+0,0)/A6</f>
        <v>0</v>
      </c>
      <c r="AJ52">
        <v>43</v>
      </c>
      <c r="AK52" t="str">
        <f t="shared" si="16"/>
        <v/>
      </c>
    </row>
    <row r="53" spans="3:37" hidden="1" x14ac:dyDescent="0.25">
      <c r="C53">
        <v>145500</v>
      </c>
      <c r="D53">
        <f>IFERROR(VLOOKUP($A$4&amp;$D$4&amp;C53,BalancesAnuales1!$A$2:$E$20009,5,0)+0,0)/A6</f>
        <v>0</v>
      </c>
      <c r="E53">
        <f>IFERROR(VLOOKUP($A$4&amp;$E$4&amp;C53,BalancesAnuales1!$A$2:$E$20009,5,0)+0,0)/A6</f>
        <v>0</v>
      </c>
      <c r="F53">
        <f>IFERROR(VLOOKUP($A$4&amp;$F$4&amp;C53,BalancesAnuales1!$A$2:$E$20009,5,0)+0,0)/A6</f>
        <v>0</v>
      </c>
      <c r="G53">
        <f>IFERROR(VLOOKUP($A$4&amp;$G$4&amp;C53,BalancesMensuales1!$A$2:$E$20009,5,0)+0,0)/A6</f>
        <v>0</v>
      </c>
      <c r="H53">
        <f>IFERROR(VLOOKUP($A$4&amp;$H$4&amp;C53,BalancesMensuales1!$A$2:$E$20009,5,0)+0,0)/A6</f>
        <v>0</v>
      </c>
      <c r="AA53" t="s">
        <v>108</v>
      </c>
      <c r="AB53" t="str">
        <f>IFERROR(VLOOKUP(1,$Z$371:$AC$520,3,0),"")</f>
        <v/>
      </c>
      <c r="AC53" t="str">
        <f>IFERROR(VLOOKUP(1,$Z$371:$AC$520,4,0)+0,"")</f>
        <v/>
      </c>
      <c r="AJ53">
        <v>44</v>
      </c>
      <c r="AK53" t="str">
        <f t="shared" si="16"/>
        <v/>
      </c>
    </row>
    <row r="54" spans="3:37" hidden="1" x14ac:dyDescent="0.25">
      <c r="C54">
        <v>146000</v>
      </c>
      <c r="D54">
        <f>IFERROR(VLOOKUP($A$4&amp;$D$4&amp;C54,BalancesAnuales1!$A$2:$E$20009,5,0)+0,0)/A6</f>
        <v>0</v>
      </c>
      <c r="E54">
        <f>IFERROR(VLOOKUP($A$4&amp;$E$4&amp;C54,BalancesAnuales1!$A$2:$E$20009,5,0)+0,0)/A6</f>
        <v>0</v>
      </c>
      <c r="F54">
        <f>IFERROR(VLOOKUP($A$4&amp;$F$4&amp;C54,BalancesAnuales1!$A$2:$E$20009,5,0)+0,0)/A6</f>
        <v>0</v>
      </c>
      <c r="G54">
        <f>IFERROR(VLOOKUP($A$4&amp;$G$4&amp;C54,BalancesMensuales1!$A$2:$E$20009,5,0)+0,0)/A6</f>
        <v>0</v>
      </c>
      <c r="H54">
        <f>IFERROR(VLOOKUP($A$4&amp;$H$4&amp;C54,BalancesMensuales1!$A$2:$E$20009,5,0)+0,0)/A6</f>
        <v>0</v>
      </c>
      <c r="AB54" t="str">
        <f>IFERROR(VLOOKUP(2,$Z$371:$AC$520,3,0),"")</f>
        <v/>
      </c>
      <c r="AC54" t="str">
        <f>IFERROR(VLOOKUP(2,$Z$371:$AC$520,4,0)+0,"")</f>
        <v/>
      </c>
      <c r="AJ54">
        <v>45</v>
      </c>
      <c r="AK54" t="str">
        <f t="shared" si="16"/>
        <v/>
      </c>
    </row>
    <row r="55" spans="3:37" hidden="1" x14ac:dyDescent="0.25">
      <c r="C55">
        <v>149510</v>
      </c>
      <c r="D55">
        <f>IFERROR(VLOOKUP($A$4&amp;$D$4&amp;C55,BalancesAnuales1!$A$2:$E$20009,5,0)+0,0)/A6</f>
        <v>0</v>
      </c>
      <c r="E55">
        <f>IFERROR(VLOOKUP($A$4&amp;$E$4&amp;C55,BalancesAnuales1!$A$2:$E$20009,5,0)+0,0)/A6</f>
        <v>0</v>
      </c>
      <c r="F55">
        <f>IFERROR(VLOOKUP($A$4&amp;$F$4&amp;C55,BalancesAnuales1!$A$2:$E$20009,5,0)+0,0)/A6</f>
        <v>0</v>
      </c>
      <c r="G55">
        <f>IFERROR(VLOOKUP($A$4&amp;$G$4&amp;C55,BalancesMensuales1!$A$2:$E$20009,5,0)+0,0)/A6</f>
        <v>0</v>
      </c>
      <c r="H55">
        <f>IFERROR(VLOOKUP($A$4&amp;$H$4&amp;C55,BalancesMensuales1!$A$2:$E$20009,5,0)+0,0)/A6</f>
        <v>0</v>
      </c>
      <c r="AB55" t="str">
        <f>IFERROR(VLOOKUP(3,$Z$371:$AC$520,3,0),"")</f>
        <v/>
      </c>
      <c r="AC55" t="str">
        <f>IFERROR(VLOOKUP(3,$Z$371:$AC$520,4,0)+0,"")</f>
        <v/>
      </c>
      <c r="AJ55">
        <v>46</v>
      </c>
      <c r="AK55" t="str">
        <f t="shared" si="16"/>
        <v/>
      </c>
    </row>
    <row r="56" spans="3:37" hidden="1" x14ac:dyDescent="0.25">
      <c r="C56">
        <v>149901</v>
      </c>
      <c r="D56">
        <f>IFERROR(VLOOKUP($A$4&amp;$D$4&amp;C56,BalancesAnuales1!$A$2:$E$20009,5,0)+0,0)/A6</f>
        <v>0</v>
      </c>
      <c r="E56">
        <f>IFERROR(VLOOKUP($A$4&amp;$E$4&amp;C56,BalancesAnuales1!$A$2:$E$20009,5,0)+0,0)/A6</f>
        <v>0</v>
      </c>
      <c r="F56">
        <f>IFERROR(VLOOKUP($A$4&amp;$F$4&amp;C56,BalancesAnuales1!$A$2:$E$20009,5,0)+0,0)/A6</f>
        <v>0</v>
      </c>
      <c r="G56">
        <f>IFERROR(VLOOKUP($A$4&amp;$G$4&amp;C56,BalancesMensuales1!$A$2:$E$20009,5,0)+0,0)/A6</f>
        <v>0</v>
      </c>
      <c r="H56">
        <f>IFERROR(VLOOKUP($A$4&amp;$H$4&amp;C56,BalancesMensuales1!$A$2:$E$20009,5,0)+0,0)/A6</f>
        <v>0</v>
      </c>
      <c r="AB56" t="str">
        <f>IFERROR(VLOOKUP(4,$Z$371:$AC$520,3,0),"")</f>
        <v/>
      </c>
      <c r="AC56" t="str">
        <f>IFERROR(VLOOKUP(4,$Z$371:$AC$520,4,0)+0,"")</f>
        <v/>
      </c>
      <c r="AJ56">
        <v>47</v>
      </c>
      <c r="AK56" t="str">
        <f t="shared" si="16"/>
        <v/>
      </c>
    </row>
    <row r="57" spans="3:37" hidden="1" x14ac:dyDescent="0.25">
      <c r="C57">
        <v>149902</v>
      </c>
      <c r="D57">
        <f>IFERROR(VLOOKUP($A$4&amp;$D$4&amp;C57,BalancesAnuales1!$A$2:$E$20009,5,0)+0,0)/A6</f>
        <v>0</v>
      </c>
      <c r="E57">
        <f>IFERROR(VLOOKUP($A$4&amp;$E$4&amp;C57,BalancesAnuales1!$A$2:$E$20009,5,0)+0,0)/A6</f>
        <v>0</v>
      </c>
      <c r="F57">
        <f>IFERROR(VLOOKUP($A$4&amp;$F$4&amp;C57,BalancesAnuales1!$A$2:$E$20009,5,0)+0,0)/A6</f>
        <v>0</v>
      </c>
      <c r="G57">
        <f>IFERROR(VLOOKUP($A$4&amp;$G$4&amp;C57,BalancesMensuales1!$A$2:$E$20009,5,0)+0,0)/A6</f>
        <v>0</v>
      </c>
      <c r="H57">
        <f>IFERROR(VLOOKUP($A$4&amp;$H$4&amp;C57,BalancesMensuales1!$A$2:$E$20009,5,0)+0,0)/A6</f>
        <v>0</v>
      </c>
      <c r="AJ57">
        <v>48</v>
      </c>
      <c r="AK57" t="str">
        <f t="shared" si="16"/>
        <v/>
      </c>
    </row>
    <row r="58" spans="3:37" hidden="1" x14ac:dyDescent="0.25">
      <c r="C58">
        <v>149910</v>
      </c>
      <c r="D58">
        <f>IFERROR(VLOOKUP($A$4&amp;$D$4&amp;C58,BalancesAnuales1!$A$2:$E$20009,5,0)+0,0)/A6</f>
        <v>0</v>
      </c>
      <c r="E58">
        <f>IFERROR(VLOOKUP($A$4&amp;$E$4&amp;C58,BalancesAnuales1!$A$2:$E$20009,5,0)+0,0)/A6</f>
        <v>0</v>
      </c>
      <c r="F58">
        <f>IFERROR(VLOOKUP($A$4&amp;$F$4&amp;C58,BalancesAnuales1!$A$2:$E$20009,5,0)+0,0)/A6</f>
        <v>0</v>
      </c>
      <c r="G58">
        <f>IFERROR(VLOOKUP($A$4&amp;$G$4&amp;C58,BalancesMensuales1!$A$2:$E$20009,5,0)+0,0)/A6</f>
        <v>0</v>
      </c>
      <c r="H58">
        <f>IFERROR(VLOOKUP($A$4&amp;$H$4&amp;C58,BalancesMensuales1!$A$2:$E$20009,5,0)+0,0)/A6</f>
        <v>0</v>
      </c>
      <c r="AA58" t="s">
        <v>109</v>
      </c>
      <c r="AB58" t="str">
        <f>IFERROR(VLOOKUP(1,$Z$524:$AC$673,3,0),"")</f>
        <v/>
      </c>
      <c r="AC58" t="str">
        <f>IFERROR(VLOOKUP(1,$Z$524:$AC$673,4,0)+0,"")</f>
        <v/>
      </c>
      <c r="AJ58">
        <v>49</v>
      </c>
      <c r="AK58" t="str">
        <f t="shared" si="16"/>
        <v/>
      </c>
    </row>
    <row r="59" spans="3:37" hidden="1" x14ac:dyDescent="0.25">
      <c r="C59">
        <v>140010</v>
      </c>
      <c r="D59">
        <f>IFERROR(VLOOKUP($A$4&amp;$D$4&amp;C59,BalancesAnuales1!$A$2:$E$20009,5,0)+0,0)/A6</f>
        <v>0</v>
      </c>
      <c r="E59">
        <f>IFERROR(VLOOKUP($A$4&amp;$E$4&amp;C59,BalancesAnuales1!$A$2:$E$20009,5,0)+0,0)/A6</f>
        <v>0</v>
      </c>
      <c r="F59">
        <f>IFERROR(VLOOKUP($A$4&amp;$F$4&amp;C59,BalancesAnuales1!$A$2:$E$20009,5,0)+0,0)/A6</f>
        <v>0</v>
      </c>
      <c r="G59">
        <f>IFERROR(VLOOKUP($A$4&amp;$G$4&amp;C59,BalancesMensuales1!$A$2:$E$20009,5,0)+0,0)/A6</f>
        <v>0</v>
      </c>
      <c r="H59">
        <f>IFERROR(VLOOKUP($A$4&amp;$H$4&amp;C59,BalancesMensuales1!$A$2:$E$20009,5,0)+0,0)/A6</f>
        <v>0</v>
      </c>
      <c r="AB59" t="str">
        <f>IFERROR(VLOOKUP(2,$Z$524:$AC$673,3,0),"")</f>
        <v/>
      </c>
      <c r="AC59" t="str">
        <f>IFERROR(VLOOKUP(2,$Z$524:$AC$673,4,0)+0,"")</f>
        <v/>
      </c>
      <c r="AJ59">
        <v>50</v>
      </c>
      <c r="AK59" t="str">
        <f t="shared" si="16"/>
        <v/>
      </c>
    </row>
    <row r="60" spans="3:37" hidden="1" x14ac:dyDescent="0.25">
      <c r="C60">
        <v>170500</v>
      </c>
      <c r="D60">
        <f>IFERROR(VLOOKUP($A$4&amp;$D$4&amp;C60,BalancesAnuales1!$A$2:$E$20009,5,0)+0,0)/A6</f>
        <v>0</v>
      </c>
      <c r="E60">
        <f>IFERROR(VLOOKUP($A$4&amp;$E$4&amp;C60,BalancesAnuales1!$A$2:$E$20009,5,0)+0,0)/A6</f>
        <v>0</v>
      </c>
      <c r="F60">
        <f>IFERROR(VLOOKUP($A$4&amp;$F$4&amp;C60,BalancesAnuales1!$A$2:$E$20009,5,0)+0,0)/A6</f>
        <v>0</v>
      </c>
      <c r="G60">
        <f>IFERROR(VLOOKUP($A$4&amp;$G$4&amp;C60,BalancesMensuales1!$A$2:$E$20009,5,0)+0,0)/A6</f>
        <v>0</v>
      </c>
      <c r="H60">
        <f>IFERROR(VLOOKUP($A$4&amp;$H$4&amp;C60,BalancesMensuales1!$A$2:$E$20009,5,0)+0,0)/A6</f>
        <v>0</v>
      </c>
      <c r="AB60" t="str">
        <f>IFERROR(VLOOKUP(3,$Z$524:$AC$673,3,0),"")</f>
        <v/>
      </c>
      <c r="AC60" t="str">
        <f>IFERROR(VLOOKUP(3,$Z$524:$AC$673,4,0)+0,"")</f>
        <v/>
      </c>
    </row>
    <row r="61" spans="3:37" hidden="1" x14ac:dyDescent="0.25">
      <c r="C61">
        <v>171000</v>
      </c>
      <c r="D61">
        <f>IFERROR(VLOOKUP($A$4&amp;$D$4&amp;C61,BalancesAnuales1!$A$2:$E$20009,5,0)+0,0)/A6</f>
        <v>0</v>
      </c>
      <c r="E61">
        <f>IFERROR(VLOOKUP($A$4&amp;$E$4&amp;C61,BalancesAnuales1!$A$2:$E$20009,5,0)+0,0)/A6</f>
        <v>0</v>
      </c>
      <c r="F61">
        <f>IFERROR(VLOOKUP($A$4&amp;$F$4&amp;C61,BalancesAnuales1!$A$2:$E$20009,5,0)+0,0)/A6</f>
        <v>0</v>
      </c>
      <c r="G61">
        <f>IFERROR(VLOOKUP($A$4&amp;$G$4&amp;C61,BalancesMensuales1!$A$2:$E$20009,5,0)+0,0)/A6</f>
        <v>0</v>
      </c>
      <c r="H61">
        <f>IFERROR(VLOOKUP($A$4&amp;$H$4&amp;C61,BalancesMensuales1!$A$2:$E$20009,5,0)+0,0)/A6</f>
        <v>0</v>
      </c>
      <c r="AB61" t="str">
        <f>IFERROR(VLOOKUP(4,$Z$524:$AC$673,3,0),"")</f>
        <v/>
      </c>
      <c r="AC61" t="str">
        <f>IFERROR(VLOOKUP(4,$Z$524:$AC$673,4,0)+0,"")</f>
        <v/>
      </c>
    </row>
    <row r="62" spans="3:37" hidden="1" x14ac:dyDescent="0.25">
      <c r="C62">
        <v>173000</v>
      </c>
      <c r="D62">
        <f>IFERROR(VLOOKUP($A$4&amp;$D$4&amp;C62,BalancesAnuales1!$A$2:$E$20009,5,0)+0,0)/A6</f>
        <v>0</v>
      </c>
      <c r="E62">
        <f>IFERROR(VLOOKUP($A$4&amp;$E$4&amp;C62,BalancesAnuales1!$A$2:$E$20009,5,0)+0,0)/A6</f>
        <v>0</v>
      </c>
      <c r="F62">
        <f>IFERROR(VLOOKUP($A$4&amp;$F$4&amp;C62,BalancesAnuales1!$A$2:$E$20009,5,0)+0,0)/A6</f>
        <v>0</v>
      </c>
      <c r="G62">
        <f>IFERROR(VLOOKUP($A$4&amp;$G$4&amp;C62,BalancesMensuales1!$A$2:$E$20009,5,0)+0,0)/A6</f>
        <v>0</v>
      </c>
      <c r="H62">
        <f>IFERROR(VLOOKUP($A$4&amp;$H$4&amp;C62,BalancesMensuales1!$A$2:$E$20009,5,0)+0,0)/A6</f>
        <v>0</v>
      </c>
    </row>
    <row r="63" spans="3:37" hidden="1" x14ac:dyDescent="0.25">
      <c r="C63">
        <v>179500</v>
      </c>
      <c r="D63">
        <f>IFERROR(VLOOKUP($A$4&amp;$D$4&amp;C63,BalancesAnuales1!$A$2:$E$20009,5,0)+0,0)/A6</f>
        <v>0</v>
      </c>
      <c r="E63">
        <f>IFERROR(VLOOKUP($A$4&amp;$E$4&amp;C63,BalancesAnuales1!$A$2:$E$20009,5,0)+0,0)/A6</f>
        <v>0</v>
      </c>
      <c r="F63">
        <f>IFERROR(VLOOKUP($A$4&amp;$F$4&amp;C63,BalancesAnuales1!$A$2:$E$20009,5,0)+0,0)/A6</f>
        <v>0</v>
      </c>
      <c r="G63">
        <f>IFERROR(VLOOKUP($A$4&amp;$G$4&amp;C63,BalancesMensuales1!$A$2:$E$20009,5,0)+0,0)/A6</f>
        <v>0</v>
      </c>
      <c r="H63">
        <f>IFERROR(VLOOKUP($A$4&amp;$H$4&amp;C63,BalancesMensuales1!$A$2:$E$20009,5,0)+0,0)/A6</f>
        <v>0</v>
      </c>
      <c r="AA63" t="s">
        <v>106</v>
      </c>
    </row>
    <row r="64" spans="3:37" hidden="1" x14ac:dyDescent="0.25">
      <c r="C64">
        <v>179700</v>
      </c>
      <c r="D64">
        <f>IFERROR(VLOOKUP($A$4&amp;$D$4&amp;C64,BalancesAnuales1!$A$2:$E$20009,5,0)+0,0)/A6</f>
        <v>0</v>
      </c>
      <c r="E64">
        <f>IFERROR(VLOOKUP($A$4&amp;$E$4&amp;C64,BalancesAnuales1!$A$2:$E$20009,5,0)+0,0)/A6</f>
        <v>0</v>
      </c>
      <c r="F64">
        <f>IFERROR(VLOOKUP($A$4&amp;$F$4&amp;C64,BalancesAnuales1!$A$2:$E$20009,5,0)+0,0)/A6</f>
        <v>0</v>
      </c>
      <c r="G64">
        <f>IFERROR(VLOOKUP($A$4&amp;$G$4&amp;C64,BalancesMensuales1!$A$2:$E$20009,5,0)+0,0)/A6</f>
        <v>0</v>
      </c>
      <c r="H64">
        <f>IFERROR(VLOOKUP($A$4&amp;$H$4&amp;C64,BalancesMensuales1!$A$2:$E$20009,5,0)+0,0)/A6</f>
        <v>0</v>
      </c>
      <c r="AA64" t="s">
        <v>33</v>
      </c>
      <c r="AB64" t="s">
        <v>110</v>
      </c>
      <c r="AC64" t="s">
        <v>111</v>
      </c>
    </row>
    <row r="65" spans="3:29" hidden="1" x14ac:dyDescent="0.25">
      <c r="C65">
        <v>1107</v>
      </c>
      <c r="D65">
        <f>IFERROR(VLOOKUP($A$4&amp;$D$4&amp;C65,BalancesAnuales1!$A$2:$E$20009,5,0)+0,0)/A6</f>
        <v>0</v>
      </c>
      <c r="E65">
        <f>IFERROR(VLOOKUP($A$4&amp;$E$4&amp;C65,BalancesAnuales1!$A$2:$E$20009,5,0)+0,0)/A6</f>
        <v>0</v>
      </c>
      <c r="F65">
        <f>IFERROR(VLOOKUP($A$4&amp;$F$4&amp;C65,BalancesAnuales1!$A$2:$E$20009,5,0)+0,0)/A6</f>
        <v>0</v>
      </c>
      <c r="G65">
        <f>IFERROR(VLOOKUP($A$4&amp;$G$4&amp;C65,BalancesMensuales1!$A$2:$E$20009,5,0)+0,0)/A6</f>
        <v>0</v>
      </c>
      <c r="H65">
        <f>IFERROR(VLOOKUP($A$4&amp;$H$4&amp;C65,BalancesMensuales1!$A$2:$E$20009,5,0)+0,0)/A6</f>
        <v>0</v>
      </c>
      <c r="Z65">
        <f t="shared" ref="Z65:Z96" si="17">IF(AA65=$A$4,Z64+1,0)</f>
        <v>0</v>
      </c>
      <c r="AA65">
        <f>ProductosRIB!A3</f>
        <v>0</v>
      </c>
      <c r="AB65" t="str">
        <f>PROPER(ProductosRIB!D3&amp;IF(ProductosRIB!F3="",""," - Marca: "&amp;ProductosRIB!F3))</f>
        <v/>
      </c>
      <c r="AC65">
        <f>ProductosRIB!E3</f>
        <v>0</v>
      </c>
    </row>
    <row r="66" spans="3:29" hidden="1" x14ac:dyDescent="0.25">
      <c r="C66">
        <v>189500</v>
      </c>
      <c r="D66">
        <f>IFERROR(VLOOKUP($A$4&amp;$D$4&amp;C66,BalancesAnuales1!$A$2:$E$20009,5,0)+0,0)/A6</f>
        <v>0</v>
      </c>
      <c r="E66">
        <f>IFERROR(VLOOKUP($A$4&amp;$E$4&amp;C66,BalancesAnuales1!$A$2:$E$20009,5,0)+0,0)/A6</f>
        <v>0</v>
      </c>
      <c r="F66">
        <f>IFERROR(VLOOKUP($A$4&amp;$F$4&amp;C66,BalancesAnuales1!$A$2:$E$20009,5,0)+0,0)/A6</f>
        <v>0</v>
      </c>
      <c r="G66">
        <f>IFERROR(VLOOKUP($A$4&amp;$G$4&amp;C66,BalancesMensuales1!$A$2:$E$20009,5,0)+0,0)/A6</f>
        <v>0</v>
      </c>
      <c r="H66">
        <f>IFERROR(VLOOKUP($A$4&amp;$H$4&amp;C66,BalancesMensuales1!$A$2:$E$20009,5,0)+0,0)/A6</f>
        <v>0</v>
      </c>
      <c r="Z66">
        <f t="shared" si="17"/>
        <v>0</v>
      </c>
      <c r="AA66">
        <f>ProductosRIB!A4</f>
        <v>0</v>
      </c>
      <c r="AB66" t="str">
        <f>PROPER(ProductosRIB!D4&amp;IF(ProductosRIB!F4="",""," - Marca: "&amp;ProductosRIB!F4))</f>
        <v/>
      </c>
      <c r="AC66">
        <f>ProductosRIB!E4</f>
        <v>0</v>
      </c>
    </row>
    <row r="67" spans="3:29" hidden="1" x14ac:dyDescent="0.25">
      <c r="C67">
        <v>181000</v>
      </c>
      <c r="D67">
        <f>IFERROR(VLOOKUP($A$4&amp;$D$4&amp;C67,BalancesAnuales1!$A$2:$E$20009,5,0)+0,0)/A6</f>
        <v>0</v>
      </c>
      <c r="E67">
        <f>IFERROR(VLOOKUP($A$4&amp;$E$4&amp;C67,BalancesAnuales1!$A$2:$E$20009,5,0)+0,0)/A6</f>
        <v>0</v>
      </c>
      <c r="F67">
        <f>IFERROR(VLOOKUP($A$4&amp;$F$4&amp;C67,BalancesAnuales1!$A$2:$E$20009,5,0)+0,0)/A6</f>
        <v>0</v>
      </c>
      <c r="G67">
        <f>IFERROR(VLOOKUP($A$4&amp;$G$4&amp;C67,BalancesMensuales1!$A$2:$E$20009,5,0)+0,0)/A6</f>
        <v>0</v>
      </c>
      <c r="H67">
        <f>IFERROR(VLOOKUP($A$4&amp;$H$4&amp;C67,BalancesMensuales1!$A$2:$E$20009,5,0)+0,0)/A6</f>
        <v>0</v>
      </c>
      <c r="Z67">
        <f t="shared" si="17"/>
        <v>0</v>
      </c>
      <c r="AA67">
        <f>ProductosRIB!A5</f>
        <v>0</v>
      </c>
      <c r="AB67" t="str">
        <f>PROPER(ProductosRIB!D5&amp;IF(ProductosRIB!F5="",""," - Marca: "&amp;ProductosRIB!F5))</f>
        <v/>
      </c>
      <c r="AC67">
        <f>ProductosRIB!E5</f>
        <v>0</v>
      </c>
    </row>
    <row r="68" spans="3:29" hidden="1" x14ac:dyDescent="0.25">
      <c r="C68">
        <v>180000</v>
      </c>
      <c r="D68">
        <f>IFERROR(VLOOKUP($A$4&amp;$D$4&amp;C68,BalancesAnuales1!$A$2:$E$20009,5,0)+0,0)/A6</f>
        <v>0</v>
      </c>
      <c r="E68">
        <f>IFERROR(VLOOKUP($A$4&amp;$E$4&amp;C68,BalancesAnuales1!$A$2:$E$20009,5,0)+0,0)/A6</f>
        <v>0</v>
      </c>
      <c r="F68">
        <f>IFERROR(VLOOKUP($A$4&amp;$F$4&amp;C68,BalancesAnuales1!$A$2:$E$20009,5,0)+0,0)/A6</f>
        <v>0</v>
      </c>
      <c r="G68">
        <f>IFERROR(VLOOKUP($A$4&amp;$G$4&amp;C68,BalancesMensuales1!$A$2:$E$20009,5,0)+0,0)/A6</f>
        <v>0</v>
      </c>
      <c r="H68">
        <f>IFERROR(VLOOKUP($A$4&amp;$H$4&amp;C68,BalancesMensuales1!$A$2:$E$20009,5,0)+0,0)/A6</f>
        <v>0</v>
      </c>
      <c r="Z68">
        <f t="shared" si="17"/>
        <v>0</v>
      </c>
      <c r="AA68">
        <f>ProductosRIB!A6</f>
        <v>0</v>
      </c>
      <c r="AB68" t="str">
        <f>PROPER(ProductosRIB!D6&amp;IF(ProductosRIB!F6="",""," - Marca: "&amp;ProductosRIB!F6))</f>
        <v/>
      </c>
      <c r="AC68">
        <f>ProductosRIB!E6</f>
        <v>0</v>
      </c>
    </row>
    <row r="69" spans="3:29" hidden="1" x14ac:dyDescent="0.25">
      <c r="C69">
        <v>11</v>
      </c>
      <c r="D69">
        <f>IFERROR(VLOOKUP($A$4&amp;$D$4&amp;C69,BalancesAnuales1!$A$2:$E$20009,5,0)+0,0)/A6</f>
        <v>0</v>
      </c>
      <c r="E69">
        <f>IFERROR(VLOOKUP($A$4&amp;$E$4&amp;C69,BalancesAnuales1!$A$2:$E$20009,5,0)+0,0)/A6</f>
        <v>0</v>
      </c>
      <c r="F69">
        <f>IFERROR(VLOOKUP($A$4&amp;$F$4&amp;C69,BalancesAnuales1!$A$2:$E$20009,5,0)+0,0)/A6</f>
        <v>0</v>
      </c>
      <c r="G69">
        <f>IFERROR(VLOOKUP($A$4&amp;$G$4&amp;C69,BalancesMensuales1!$A$2:$E$20009,5,0)+0,0)/A6</f>
        <v>0</v>
      </c>
      <c r="H69">
        <f>IFERROR(VLOOKUP($A$4&amp;$H$4&amp;C69,BalancesMensuales1!$A$2:$E$20009,5,0)+0,0)/A6</f>
        <v>0</v>
      </c>
      <c r="Z69">
        <f t="shared" si="17"/>
        <v>0</v>
      </c>
      <c r="AA69">
        <f>ProductosRIB!A7</f>
        <v>0</v>
      </c>
      <c r="AB69" t="str">
        <f>PROPER(ProductosRIB!D7&amp;IF(ProductosRIB!F7="",""," - Marca: "&amp;ProductosRIB!F7))</f>
        <v/>
      </c>
      <c r="AC69">
        <f>ProductosRIB!E7</f>
        <v>0</v>
      </c>
    </row>
    <row r="70" spans="3:29" hidden="1" x14ac:dyDescent="0.25">
      <c r="C70">
        <v>120104</v>
      </c>
      <c r="D70">
        <f>IFERROR(VLOOKUP($A$4&amp;$D$4&amp;C70,BalancesAnuales1!$A$2:$E$20009,5,0)+0,0)/A6</f>
        <v>0</v>
      </c>
      <c r="E70">
        <f>IFERROR(VLOOKUP($A$4&amp;$E$4&amp;C70,BalancesAnuales1!$A$2:$E$20009,5,0)+0,0)/A6</f>
        <v>0</v>
      </c>
      <c r="F70">
        <f>IFERROR(VLOOKUP($A$4&amp;$F$4&amp;C70,BalancesAnuales1!$A$2:$E$20009,5,0)+0,0)/A6</f>
        <v>0</v>
      </c>
      <c r="G70">
        <f>IFERROR(VLOOKUP($A$4&amp;$G$4&amp;C70,BalancesMensuales1!$A$2:$E$20009,5,0)+0,0)/A6</f>
        <v>0</v>
      </c>
      <c r="H70">
        <f>IFERROR(VLOOKUP($A$4&amp;$H$4&amp;C70,BalancesMensuales1!$A$2:$E$20009,5,0)+0,0)/A6</f>
        <v>0</v>
      </c>
      <c r="Z70">
        <f t="shared" si="17"/>
        <v>0</v>
      </c>
      <c r="AA70">
        <f>ProductosRIB!A8</f>
        <v>0</v>
      </c>
      <c r="AB70" t="str">
        <f>PROPER(ProductosRIB!D8&amp;IF(ProductosRIB!F8="",""," - Marca: "&amp;ProductosRIB!F8))</f>
        <v/>
      </c>
      <c r="AC70">
        <f>ProductosRIB!E8</f>
        <v>0</v>
      </c>
    </row>
    <row r="71" spans="3:29" hidden="1" x14ac:dyDescent="0.25">
      <c r="C71">
        <v>120108</v>
      </c>
      <c r="D71">
        <f>IFERROR(VLOOKUP($A$4&amp;$D$4&amp;C71,BalancesAnuales1!$A$2:$E$20009,5,0)+0,0)/A6</f>
        <v>0</v>
      </c>
      <c r="E71">
        <f>IFERROR(VLOOKUP($A$4&amp;$E$4&amp;C71,BalancesAnuales1!$A$2:$E$20009,5,0)+0,0)/A6</f>
        <v>0</v>
      </c>
      <c r="F71">
        <f>IFERROR(VLOOKUP($A$4&amp;$F$4&amp;C71,BalancesAnuales1!$A$2:$E$20009,5,0)+0,0)/A6</f>
        <v>0</v>
      </c>
      <c r="G71">
        <f>IFERROR(VLOOKUP($A$4&amp;$G$4&amp;C71,BalancesMensuales1!$A$2:$E$20009,5,0)+0,0)/A6</f>
        <v>0</v>
      </c>
      <c r="H71">
        <f>IFERROR(VLOOKUP($A$4&amp;$H$4&amp;C71,BalancesMensuales1!$A$2:$E$20009,5,0)+0,0)/A6</f>
        <v>0</v>
      </c>
      <c r="Z71">
        <f t="shared" si="17"/>
        <v>0</v>
      </c>
      <c r="AA71">
        <f>ProductosRIB!A9</f>
        <v>0</v>
      </c>
      <c r="AB71" t="str">
        <f>PROPER(ProductosRIB!D9&amp;IF(ProductosRIB!F9="",""," - Marca: "&amp;ProductosRIB!F9))</f>
        <v/>
      </c>
      <c r="AC71">
        <f>ProductosRIB!E9</f>
        <v>0</v>
      </c>
    </row>
    <row r="72" spans="3:29" hidden="1" x14ac:dyDescent="0.25">
      <c r="C72">
        <v>151201</v>
      </c>
      <c r="D72">
        <f>IFERROR(VLOOKUP($A$4&amp;$D$4&amp;C72,BalancesAnuales1!$A$2:$E$20009,5,0)+0,0)/A6</f>
        <v>0</v>
      </c>
      <c r="E72">
        <f>IFERROR(VLOOKUP($A$4&amp;$E$4&amp;C72,BalancesAnuales1!$A$2:$E$20009,5,0)+0,0)/A6</f>
        <v>0</v>
      </c>
      <c r="F72">
        <f>IFERROR(VLOOKUP($A$4&amp;$F$4&amp;C72,BalancesAnuales1!$A$2:$E$20009,5,0)+0,0)/A6</f>
        <v>0</v>
      </c>
      <c r="G72">
        <f>IFERROR(VLOOKUP($A$4&amp;$G$4&amp;C72,BalancesMensuales1!$A$2:$E$20009,5,0)+0,0)/A6</f>
        <v>0</v>
      </c>
      <c r="H72">
        <f>IFERROR(VLOOKUP($A$4&amp;$H$4&amp;C72,BalancesMensuales1!$A$2:$E$20009,5,0)+0,0)/A6</f>
        <v>0</v>
      </c>
      <c r="Z72">
        <f t="shared" si="17"/>
        <v>0</v>
      </c>
      <c r="AA72">
        <f>ProductosRIB!A10</f>
        <v>0</v>
      </c>
      <c r="AB72" t="str">
        <f>PROPER(ProductosRIB!D10&amp;IF(ProductosRIB!F10="",""," - Marca: "&amp;ProductosRIB!F10))</f>
        <v/>
      </c>
      <c r="AC72">
        <f>ProductosRIB!E10</f>
        <v>0</v>
      </c>
    </row>
    <row r="73" spans="3:29" hidden="1" x14ac:dyDescent="0.25">
      <c r="C73">
        <v>120116</v>
      </c>
      <c r="D73">
        <f>IFERROR(VLOOKUP($A$4&amp;$D$4&amp;C73,BalancesAnuales1!$A$2:$E$20009,5,0)+0,0)/A6</f>
        <v>0</v>
      </c>
      <c r="E73">
        <f>IFERROR(VLOOKUP($A$4&amp;$E$4&amp;C73,BalancesAnuales1!$A$2:$E$20009,5,0)+0,0)/A6</f>
        <v>0</v>
      </c>
      <c r="F73">
        <f>IFERROR(VLOOKUP($A$4&amp;$F$4&amp;C73,BalancesAnuales1!$A$2:$E$20009,5,0)+0,0)/A6</f>
        <v>0</v>
      </c>
      <c r="G73">
        <f>IFERROR(VLOOKUP($A$4&amp;$G$4&amp;C73,BalancesMensuales1!$A$2:$E$20009,5,0)+0,0)/A6</f>
        <v>0</v>
      </c>
      <c r="H73">
        <f>IFERROR(VLOOKUP($A$4&amp;$H$4&amp;C73,BalancesMensuales1!$A$2:$E$20009,5,0)+0,0)/A6</f>
        <v>0</v>
      </c>
      <c r="Z73">
        <f t="shared" si="17"/>
        <v>0</v>
      </c>
      <c r="AA73">
        <f>ProductosRIB!A11</f>
        <v>0</v>
      </c>
      <c r="AB73" t="str">
        <f>PROPER(ProductosRIB!D11&amp;IF(ProductosRIB!F11="",""," - Marca: "&amp;ProductosRIB!F11))</f>
        <v/>
      </c>
      <c r="AC73">
        <f>ProductosRIB!E11</f>
        <v>0</v>
      </c>
    </row>
    <row r="74" spans="3:29" hidden="1" x14ac:dyDescent="0.25">
      <c r="C74">
        <v>120120</v>
      </c>
      <c r="D74">
        <f>IFERROR(VLOOKUP($A$4&amp;$D$4&amp;C74,BalancesAnuales1!$A$2:$E$20009,5,0)+0,0)/A6</f>
        <v>0</v>
      </c>
      <c r="E74">
        <f>IFERROR(VLOOKUP($A$4&amp;$E$4&amp;C74,BalancesAnuales1!$A$2:$E$20009,5,0)+0,0)/A6</f>
        <v>0</v>
      </c>
      <c r="F74">
        <f>IFERROR(VLOOKUP($A$4&amp;$F$4&amp;C74,BalancesAnuales1!$A$2:$E$20009,5,0)+0,0)/A6</f>
        <v>0</v>
      </c>
      <c r="G74">
        <f>IFERROR(VLOOKUP($A$4&amp;$G$4&amp;C74,BalancesMensuales1!$A$2:$E$20009,5,0)+0,0)/A6</f>
        <v>0</v>
      </c>
      <c r="H74">
        <f>IFERROR(VLOOKUP($A$4&amp;$H$4&amp;C74,BalancesMensuales1!$A$2:$E$20009,5,0)+0,0)/A6</f>
        <v>0</v>
      </c>
      <c r="Z74">
        <f t="shared" si="17"/>
        <v>0</v>
      </c>
      <c r="AA74">
        <f>ProductosRIB!A12</f>
        <v>0</v>
      </c>
      <c r="AB74" t="str">
        <f>PROPER(ProductosRIB!D12&amp;IF(ProductosRIB!F12="",""," - Marca: "&amp;ProductosRIB!F12))</f>
        <v/>
      </c>
      <c r="AC74">
        <f>ProductosRIB!E12</f>
        <v>0</v>
      </c>
    </row>
    <row r="75" spans="3:29" hidden="1" x14ac:dyDescent="0.25">
      <c r="C75">
        <v>120124</v>
      </c>
      <c r="D75">
        <f>IFERROR(VLOOKUP($A$4&amp;$D$4&amp;C75,BalancesAnuales1!$A$2:$E$20009,5,0)+0,0)/A6</f>
        <v>0</v>
      </c>
      <c r="E75">
        <f>IFERROR(VLOOKUP($A$4&amp;$E$4&amp;C75,BalancesAnuales1!$A$2:$E$20009,5,0)+0,0)/A6</f>
        <v>0</v>
      </c>
      <c r="F75">
        <f>IFERROR(VLOOKUP($A$4&amp;$F$4&amp;C75,BalancesAnuales1!$A$2:$E$20009,5,0)+0,0)/A6</f>
        <v>0</v>
      </c>
      <c r="G75">
        <f>IFERROR(VLOOKUP($A$4&amp;$G$4&amp;C75,BalancesMensuales1!$A$2:$E$20009,5,0)+0,0)/A6</f>
        <v>0</v>
      </c>
      <c r="H75">
        <f>IFERROR(VLOOKUP($A$4&amp;$H$4&amp;C75,BalancesMensuales1!$A$2:$E$20009,5,0)+0,0)/A6</f>
        <v>0</v>
      </c>
      <c r="Z75">
        <f t="shared" si="17"/>
        <v>0</v>
      </c>
      <c r="AA75">
        <f>ProductosRIB!A13</f>
        <v>0</v>
      </c>
      <c r="AB75" t="str">
        <f>PROPER(ProductosRIB!D13&amp;IF(ProductosRIB!F13="",""," - Marca: "&amp;ProductosRIB!F13))</f>
        <v/>
      </c>
      <c r="AC75">
        <f>ProductosRIB!E13</f>
        <v>0</v>
      </c>
    </row>
    <row r="76" spans="3:29" hidden="1" x14ac:dyDescent="0.25">
      <c r="C76">
        <v>120128</v>
      </c>
      <c r="D76">
        <f>IFERROR(VLOOKUP($A$4&amp;$D$4&amp;C76,BalancesAnuales1!$A$2:$E$20009,5,0)+0,0)/A6</f>
        <v>0</v>
      </c>
      <c r="E76">
        <f>IFERROR(VLOOKUP($A$4&amp;$E$4&amp;C76,BalancesAnuales1!$A$2:$E$20009,5,0)+0,0)/A6</f>
        <v>0</v>
      </c>
      <c r="F76">
        <f>IFERROR(VLOOKUP($A$4&amp;$F$4&amp;C76,BalancesAnuales1!$A$2:$E$20009,5,0)+0,0)/A6</f>
        <v>0</v>
      </c>
      <c r="G76">
        <f>IFERROR(VLOOKUP($A$4&amp;$G$4&amp;C76,BalancesMensuales1!$A$2:$E$20009,5,0)+0,0)/A6</f>
        <v>0</v>
      </c>
      <c r="H76">
        <f>IFERROR(VLOOKUP($A$4&amp;$H$4&amp;C76,BalancesMensuales1!$A$2:$E$20009,5,0)+0,0)/A6</f>
        <v>0</v>
      </c>
      <c r="Z76">
        <f t="shared" si="17"/>
        <v>0</v>
      </c>
      <c r="AA76">
        <f>ProductosRIB!A14</f>
        <v>0</v>
      </c>
      <c r="AB76" t="str">
        <f>PROPER(ProductosRIB!D14&amp;IF(ProductosRIB!F14="",""," - Marca: "&amp;ProductosRIB!F14))</f>
        <v/>
      </c>
      <c r="AC76">
        <f>ProductosRIB!E14</f>
        <v>0</v>
      </c>
    </row>
    <row r="77" spans="3:29" hidden="1" x14ac:dyDescent="0.25">
      <c r="C77">
        <v>120140</v>
      </c>
      <c r="D77">
        <f>IFERROR(VLOOKUP($A$4&amp;$D$4&amp;C77,BalancesAnuales1!$A$2:$E$20009,5,0)+0,0)/A6</f>
        <v>0</v>
      </c>
      <c r="E77">
        <f>IFERROR(VLOOKUP($A$4&amp;$E$4&amp;C77,BalancesAnuales1!$A$2:$E$20009,5,0)+0,0)/A6</f>
        <v>0</v>
      </c>
      <c r="F77">
        <f>IFERROR(VLOOKUP($A$4&amp;$F$4&amp;C77,BalancesAnuales1!$A$2:$E$20009,5,0)+0,0)/A6</f>
        <v>0</v>
      </c>
      <c r="G77">
        <f>IFERROR(VLOOKUP($A$4&amp;$G$4&amp;C77,BalancesMensuales1!$A$2:$E$20009,5,0)+0,0)/A6</f>
        <v>0</v>
      </c>
      <c r="H77">
        <f>IFERROR(VLOOKUP($A$4&amp;$H$4&amp;C77,BalancesMensuales1!$A$2:$E$20009,5,0)+0,0)/A6</f>
        <v>0</v>
      </c>
      <c r="Z77">
        <f t="shared" si="17"/>
        <v>0</v>
      </c>
      <c r="AA77">
        <f>ProductosRIB!A15</f>
        <v>0</v>
      </c>
      <c r="AB77" t="str">
        <f>PROPER(ProductosRIB!D15&amp;IF(ProductosRIB!F15="",""," - Marca: "&amp;ProductosRIB!F15))</f>
        <v/>
      </c>
      <c r="AC77">
        <f>ProductosRIB!E15</f>
        <v>0</v>
      </c>
    </row>
    <row r="78" spans="3:29" hidden="1" x14ac:dyDescent="0.25">
      <c r="C78">
        <v>155601</v>
      </c>
      <c r="D78">
        <f>IFERROR(VLOOKUP($A$4&amp;$D$4&amp;C78,BalancesAnuales1!$A$2:$E$20009,5,0)+0,0)/A6</f>
        <v>0</v>
      </c>
      <c r="E78">
        <f>IFERROR(VLOOKUP($A$4&amp;$E$4&amp;C78,BalancesAnuales1!$A$2:$E$20009,5,0)+0,0)/A6</f>
        <v>0</v>
      </c>
      <c r="F78">
        <f>IFERROR(VLOOKUP($A$4&amp;$F$4&amp;C78,BalancesAnuales1!$A$2:$E$20009,5,0)+0,0)/A6</f>
        <v>0</v>
      </c>
      <c r="G78">
        <f>IFERROR(VLOOKUP($A$4&amp;$G$4&amp;C78,BalancesMensuales1!$A$2:$E$20009,5,0)+0,0)/A6</f>
        <v>0</v>
      </c>
      <c r="H78">
        <f>IFERROR(VLOOKUP($A$4&amp;$H$4&amp;C78,BalancesMensuales1!$A$2:$E$20009,5,0)+0,0)/A6</f>
        <v>0</v>
      </c>
      <c r="Z78">
        <f t="shared" si="17"/>
        <v>0</v>
      </c>
      <c r="AA78">
        <f>ProductosRIB!A16</f>
        <v>0</v>
      </c>
      <c r="AB78" t="str">
        <f>PROPER(ProductosRIB!D16&amp;IF(ProductosRIB!F16="",""," - Marca: "&amp;ProductosRIB!F16))</f>
        <v/>
      </c>
      <c r="AC78">
        <f>ProductosRIB!E16</f>
        <v>0</v>
      </c>
    </row>
    <row r="79" spans="3:29" hidden="1" x14ac:dyDescent="0.25">
      <c r="C79">
        <v>156001</v>
      </c>
      <c r="D79">
        <f>IFERROR(VLOOKUP($A$4&amp;$D$4&amp;C79,BalancesAnuales1!$A$2:$E$20009,5,0)+0,0)/A6</f>
        <v>0</v>
      </c>
      <c r="E79">
        <f>IFERROR(VLOOKUP($A$4&amp;$E$4&amp;C79,BalancesAnuales1!$A$2:$E$20009,5,0)+0,0)/A6</f>
        <v>0</v>
      </c>
      <c r="F79">
        <f>IFERROR(VLOOKUP($A$4&amp;$F$4&amp;C79,BalancesAnuales1!$A$2:$E$20009,5,0)+0,0)/A6</f>
        <v>0</v>
      </c>
      <c r="G79">
        <f>IFERROR(VLOOKUP($A$4&amp;$G$4&amp;C79,BalancesMensuales1!$A$2:$E$20009,5,0)+0,0)/A6</f>
        <v>0</v>
      </c>
      <c r="H79">
        <f>IFERROR(VLOOKUP($A$4&amp;$H$4&amp;C79,BalancesMensuales1!$A$2:$E$20009,5,0)+0,0)/A6</f>
        <v>0</v>
      </c>
      <c r="Z79">
        <f t="shared" si="17"/>
        <v>0</v>
      </c>
      <c r="AA79">
        <f>ProductosRIB!A17</f>
        <v>0</v>
      </c>
      <c r="AB79" t="str">
        <f>PROPER(ProductosRIB!D17&amp;IF(ProductosRIB!F17="",""," - Marca: "&amp;ProductosRIB!F17))</f>
        <v/>
      </c>
      <c r="AC79">
        <f>ProductosRIB!E17</f>
        <v>0</v>
      </c>
    </row>
    <row r="80" spans="3:29" hidden="1" x14ac:dyDescent="0.25">
      <c r="C80">
        <v>156401</v>
      </c>
      <c r="D80">
        <f>IFERROR(VLOOKUP($A$4&amp;$D$4&amp;C80,BalancesAnuales1!$A$2:$E$20009,5,0)+0,0)/A6</f>
        <v>0</v>
      </c>
      <c r="E80">
        <f>IFERROR(VLOOKUP($A$4&amp;$E$4&amp;C80,BalancesAnuales1!$A$2:$E$20009,5,0)+0,0)/A6</f>
        <v>0</v>
      </c>
      <c r="F80">
        <f>IFERROR(VLOOKUP($A$4&amp;$F$4&amp;C80,BalancesAnuales1!$A$2:$E$20009,5,0)+0,0)/A6</f>
        <v>0</v>
      </c>
      <c r="G80">
        <f>IFERROR(VLOOKUP($A$4&amp;$G$4&amp;C80,BalancesMensuales1!$A$2:$E$20009,5,0)+0,0)/A6</f>
        <v>0</v>
      </c>
      <c r="H80">
        <f>IFERROR(VLOOKUP($A$4&amp;$H$4&amp;C80,BalancesMensuales1!$A$2:$E$20009,5,0)+0,0)/A6</f>
        <v>0</v>
      </c>
      <c r="Z80">
        <f t="shared" si="17"/>
        <v>0</v>
      </c>
      <c r="AA80">
        <f>ProductosRIB!A18</f>
        <v>0</v>
      </c>
      <c r="AB80" t="str">
        <f>PROPER(ProductosRIB!D18&amp;IF(ProductosRIB!F18="",""," - Marca: "&amp;ProductosRIB!F18))</f>
        <v/>
      </c>
      <c r="AC80">
        <f>ProductosRIB!E18</f>
        <v>0</v>
      </c>
    </row>
    <row r="81" spans="3:29" hidden="1" x14ac:dyDescent="0.25">
      <c r="C81">
        <v>157201</v>
      </c>
      <c r="D81">
        <f>IFERROR(VLOOKUP($A$4&amp;$D$4&amp;C81,BalancesAnuales1!$A$2:$E$20009,5,0)+0,0)/A6</f>
        <v>0</v>
      </c>
      <c r="E81">
        <f>IFERROR(VLOOKUP($A$4&amp;$E$4&amp;C81,BalancesAnuales1!$A$2:$E$20009,5,0)+0,0)/A6</f>
        <v>0</v>
      </c>
      <c r="F81">
        <f>IFERROR(VLOOKUP($A$4&amp;$F$4&amp;C81,BalancesAnuales1!$A$2:$E$20009,5,0)+0,0)/A6</f>
        <v>0</v>
      </c>
      <c r="G81">
        <f>IFERROR(VLOOKUP($A$4&amp;$G$4&amp;C81,BalancesMensuales1!$A$2:$E$20009,5,0)+0,0)/A6</f>
        <v>0</v>
      </c>
      <c r="H81">
        <f>IFERROR(VLOOKUP($A$4&amp;$H$4&amp;C81,BalancesMensuales1!$A$2:$E$20009,5,0)+0,0)/A6</f>
        <v>0</v>
      </c>
      <c r="Z81">
        <f t="shared" si="17"/>
        <v>0</v>
      </c>
      <c r="AA81">
        <f>ProductosRIB!A19</f>
        <v>0</v>
      </c>
      <c r="AB81" t="str">
        <f>PROPER(ProductosRIB!D19&amp;IF(ProductosRIB!F19="",""," - Marca: "&amp;ProductosRIB!F19))</f>
        <v/>
      </c>
      <c r="AC81">
        <f>ProductosRIB!E19</f>
        <v>0</v>
      </c>
    </row>
    <row r="82" spans="3:29" hidden="1" x14ac:dyDescent="0.25">
      <c r="C82">
        <v>157601</v>
      </c>
      <c r="D82">
        <f>IFERROR(VLOOKUP($A$4&amp;$D$4&amp;C82,BalancesAnuales1!$A$2:$E$20009,5,0)+0,0)/A6</f>
        <v>0</v>
      </c>
      <c r="E82">
        <f>IFERROR(VLOOKUP($A$4&amp;$E$4&amp;C82,BalancesAnuales1!$A$2:$E$20009,5,0)+0,0)/A6</f>
        <v>0</v>
      </c>
      <c r="F82">
        <f>IFERROR(VLOOKUP($A$4&amp;$F$4&amp;C82,BalancesAnuales1!$A$2:$E$20009,5,0)+0,0)/A6</f>
        <v>0</v>
      </c>
      <c r="G82">
        <f>IFERROR(VLOOKUP($A$4&amp;$G$4&amp;C82,BalancesMensuales1!$A$2:$E$20009,5,0)+0,0)/A6</f>
        <v>0</v>
      </c>
      <c r="H82">
        <f>IFERROR(VLOOKUP($A$4&amp;$H$4&amp;C82,BalancesMensuales1!$A$2:$E$20009,5,0)+0,0)/A6</f>
        <v>0</v>
      </c>
      <c r="Z82">
        <f t="shared" si="17"/>
        <v>0</v>
      </c>
      <c r="AA82">
        <f>ProductosRIB!A20</f>
        <v>0</v>
      </c>
      <c r="AB82" t="str">
        <f>PROPER(ProductosRIB!D20&amp;IF(ProductosRIB!F20="",""," - Marca: "&amp;ProductosRIB!F20))</f>
        <v/>
      </c>
      <c r="AC82">
        <f>ProductosRIB!E20</f>
        <v>0</v>
      </c>
    </row>
    <row r="83" spans="3:29" hidden="1" x14ac:dyDescent="0.25">
      <c r="C83">
        <v>158401</v>
      </c>
      <c r="D83">
        <f>IFERROR(VLOOKUP($A$4&amp;$D$4&amp;C83,BalancesAnuales1!$A$2:$E$20009,5,0)+0,0)/A6</f>
        <v>0</v>
      </c>
      <c r="E83">
        <f>IFERROR(VLOOKUP($A$4&amp;$E$4&amp;C83,BalancesAnuales1!$A$2:$E$20009,5,0)+0,0)/A6</f>
        <v>0</v>
      </c>
      <c r="F83">
        <f>IFERROR(VLOOKUP($A$4&amp;$F$4&amp;C83,BalancesAnuales1!$A$2:$E$20009,5,0)+0,0)/A6</f>
        <v>0</v>
      </c>
      <c r="G83">
        <f>IFERROR(VLOOKUP($A$4&amp;$G$4&amp;C83,BalancesMensuales1!$A$2:$E$20009,5,0)+0,0)/A6</f>
        <v>0</v>
      </c>
      <c r="H83">
        <f>IFERROR(VLOOKUP($A$4&amp;$H$4&amp;C83,BalancesMensuales1!$A$2:$E$20009,5,0)+0,0)/A6</f>
        <v>0</v>
      </c>
      <c r="Z83">
        <f t="shared" si="17"/>
        <v>0</v>
      </c>
      <c r="AA83">
        <f>ProductosRIB!A21</f>
        <v>0</v>
      </c>
      <c r="AB83" t="str">
        <f>PROPER(ProductosRIB!D21&amp;IF(ProductosRIB!F21="",""," - Marca: "&amp;ProductosRIB!F21))</f>
        <v/>
      </c>
      <c r="AC83">
        <f>ProductosRIB!E21</f>
        <v>0</v>
      </c>
    </row>
    <row r="84" spans="3:29" hidden="1" x14ac:dyDescent="0.25">
      <c r="C84">
        <v>158801</v>
      </c>
      <c r="D84">
        <f>IFERROR(VLOOKUP($A$4&amp;$D$4&amp;C84,BalancesAnuales1!$A$2:$E$20009,5,0)+0,0)/A6</f>
        <v>0</v>
      </c>
      <c r="E84">
        <f>IFERROR(VLOOKUP($A$4&amp;$E$4&amp;C84,BalancesAnuales1!$A$2:$E$20009,5,0)+0,0)/A6</f>
        <v>0</v>
      </c>
      <c r="F84">
        <f>IFERROR(VLOOKUP($A$4&amp;$F$4&amp;C84,BalancesAnuales1!$A$2:$E$20009,5,0)+0,0)/A6</f>
        <v>0</v>
      </c>
      <c r="G84">
        <f>IFERROR(VLOOKUP($A$4&amp;$G$4&amp;C84,BalancesMensuales1!$A$2:$E$20009,5,0)+0,0)/A6</f>
        <v>0</v>
      </c>
      <c r="H84">
        <f>IFERROR(VLOOKUP($A$4&amp;$H$4&amp;C84,BalancesMensuales1!$A$2:$E$20009,5,0)+0,0)/A6</f>
        <v>0</v>
      </c>
      <c r="Z84">
        <f t="shared" si="17"/>
        <v>0</v>
      </c>
      <c r="AA84">
        <f>ProductosRIB!A22</f>
        <v>0</v>
      </c>
      <c r="AB84" t="str">
        <f>PROPER(ProductosRIB!D22&amp;IF(ProductosRIB!F22="",""," - Marca: "&amp;ProductosRIB!F22))</f>
        <v/>
      </c>
      <c r="AC84">
        <f>ProductosRIB!E22</f>
        <v>0</v>
      </c>
    </row>
    <row r="85" spans="3:29" hidden="1" x14ac:dyDescent="0.25">
      <c r="C85">
        <v>120145</v>
      </c>
      <c r="D85">
        <f>IFERROR(VLOOKUP($A$4&amp;$D$4&amp;C85,BalancesAnuales1!$A$2:$E$20009,5,0)+0,0)/A6</f>
        <v>0</v>
      </c>
      <c r="E85">
        <f>IFERROR(VLOOKUP($A$4&amp;$E$4&amp;C85,BalancesAnuales1!$A$2:$E$20009,5,0)+0,0)/A6</f>
        <v>0</v>
      </c>
      <c r="F85">
        <f>IFERROR(VLOOKUP($A$4&amp;$F$4&amp;C85,BalancesAnuales1!$A$2:$E$20009,5,0)+0,0)/A6</f>
        <v>0</v>
      </c>
      <c r="G85">
        <f>IFERROR(VLOOKUP($A$4&amp;$G$4&amp;C85,BalancesMensuales1!$A$2:$E$20009,5,0)+0,0)/A6</f>
        <v>0</v>
      </c>
      <c r="H85">
        <f>IFERROR(VLOOKUP($A$4&amp;$H$4&amp;C85,BalancesMensuales1!$A$2:$E$20009,5,0)+0,0)/A6</f>
        <v>0</v>
      </c>
      <c r="Z85">
        <f t="shared" si="17"/>
        <v>0</v>
      </c>
      <c r="AA85">
        <f>ProductosRIB!A23</f>
        <v>0</v>
      </c>
      <c r="AB85" t="str">
        <f>PROPER(ProductosRIB!D23&amp;IF(ProductosRIB!F23="",""," - Marca: "&amp;ProductosRIB!F23))</f>
        <v/>
      </c>
      <c r="AC85">
        <f>ProductosRIB!E23</f>
        <v>0</v>
      </c>
    </row>
    <row r="86" spans="3:29" hidden="1" x14ac:dyDescent="0.25">
      <c r="C86">
        <v>120195</v>
      </c>
      <c r="D86">
        <f>IFERROR(VLOOKUP($A$4&amp;$D$4&amp;C86,BalancesAnuales1!$A$2:$E$20009,5,0)+0,0)/A6</f>
        <v>0</v>
      </c>
      <c r="E86">
        <f>IFERROR(VLOOKUP($A$4&amp;$E$4&amp;C86,BalancesAnuales1!$A$2:$E$20009,5,0)+0,0)/A6</f>
        <v>0</v>
      </c>
      <c r="F86">
        <f>IFERROR(VLOOKUP($A$4&amp;$F$4&amp;C86,BalancesAnuales1!$A$2:$E$20009,5,0)+0,0)/A6</f>
        <v>0</v>
      </c>
      <c r="G86">
        <f>IFERROR(VLOOKUP($A$4&amp;$G$4&amp;C86,BalancesMensuales1!$A$2:$E$20009,5,0)+0,0)/A6</f>
        <v>0</v>
      </c>
      <c r="H86">
        <f>IFERROR(VLOOKUP($A$4&amp;$H$4&amp;C86,BalancesMensuales1!$A$2:$E$20009,5,0)+0,0)/A6</f>
        <v>0</v>
      </c>
      <c r="Z86">
        <f t="shared" si="17"/>
        <v>0</v>
      </c>
      <c r="AA86">
        <f>ProductosRIB!A24</f>
        <v>0</v>
      </c>
      <c r="AB86" t="str">
        <f>PROPER(ProductosRIB!D24&amp;IF(ProductosRIB!F24="",""," - Marca: "&amp;ProductosRIB!F24))</f>
        <v/>
      </c>
      <c r="AC86">
        <f>ProductosRIB!E24</f>
        <v>0</v>
      </c>
    </row>
    <row r="87" spans="3:29" hidden="1" x14ac:dyDescent="0.25">
      <c r="C87">
        <v>159701</v>
      </c>
      <c r="D87">
        <f>IFERROR(VLOOKUP($A$4&amp;$D$4&amp;C87,BalancesAnuales1!$A$2:$E$20009,5,0)+0,0)/A6</f>
        <v>0</v>
      </c>
      <c r="E87">
        <f>IFERROR(VLOOKUP($A$4&amp;$E$4&amp;C87,BalancesAnuales1!$A$2:$E$20009,5,0)+0,0)/A6</f>
        <v>0</v>
      </c>
      <c r="F87">
        <f>IFERROR(VLOOKUP($A$4&amp;$F$4&amp;C87,BalancesAnuales1!$A$2:$E$20009,5,0)+0,0)/A6</f>
        <v>0</v>
      </c>
      <c r="G87">
        <f>IFERROR(VLOOKUP($A$4&amp;$G$4&amp;C87,BalancesMensuales1!$A$2:$E$20009,5,0)+0,0)/A6</f>
        <v>0</v>
      </c>
      <c r="H87">
        <f>IFERROR(VLOOKUP($A$4&amp;$H$4&amp;C87,BalancesMensuales1!$A$2:$E$20009,5,0)+0,0)/A6</f>
        <v>0</v>
      </c>
      <c r="Z87">
        <f t="shared" si="17"/>
        <v>0</v>
      </c>
      <c r="AA87">
        <f>ProductosRIB!A25</f>
        <v>0</v>
      </c>
      <c r="AB87" t="str">
        <f>PROPER(ProductosRIB!D25&amp;IF(ProductosRIB!F25="",""," - Marca: "&amp;ProductosRIB!F25))</f>
        <v/>
      </c>
      <c r="AC87">
        <f>ProductosRIB!E25</f>
        <v>0</v>
      </c>
    </row>
    <row r="88" spans="3:29" hidden="1" x14ac:dyDescent="0.25">
      <c r="C88">
        <v>159899</v>
      </c>
      <c r="D88">
        <f>IFERROR(VLOOKUP($A$4&amp;$D$4&amp;C88,BalancesAnuales1!$A$2:$E$20009,5,0)+0,0)/A6</f>
        <v>0</v>
      </c>
      <c r="E88">
        <f>IFERROR(VLOOKUP($A$4&amp;$E$4&amp;C88,BalancesAnuales1!$A$2:$E$20009,5,0)+0,0)/A6</f>
        <v>0</v>
      </c>
      <c r="F88">
        <f>IFERROR(VLOOKUP($A$4&amp;$F$4&amp;C88,BalancesAnuales1!$A$2:$E$20009,5,0)+0,0)/A6</f>
        <v>0</v>
      </c>
      <c r="G88">
        <f>IFERROR(VLOOKUP($A$4&amp;$G$4&amp;C88,BalancesMensuales1!$A$2:$E$20009,5,0)+0,0)/A6</f>
        <v>0</v>
      </c>
      <c r="H88">
        <f>IFERROR(VLOOKUP($A$4&amp;$H$4&amp;C88,BalancesMensuales1!$A$2:$E$20009,5,0)+0,0)/A6</f>
        <v>0</v>
      </c>
      <c r="Z88">
        <f t="shared" si="17"/>
        <v>0</v>
      </c>
      <c r="AA88">
        <f>ProductosRIB!A26</f>
        <v>0</v>
      </c>
      <c r="AB88" t="str">
        <f>PROPER(ProductosRIB!D26&amp;IF(ProductosRIB!F26="",""," - Marca: "&amp;ProductosRIB!F26))</f>
        <v/>
      </c>
      <c r="AC88">
        <f>ProductosRIB!E26</f>
        <v>0</v>
      </c>
    </row>
    <row r="89" spans="3:29" hidden="1" x14ac:dyDescent="0.25">
      <c r="C89">
        <v>159901</v>
      </c>
      <c r="D89">
        <f>IFERROR(VLOOKUP($A$4&amp;$D$4&amp;C89,BalancesAnuales1!$A$2:$E$20009,5,0)+0,0)/A6</f>
        <v>0</v>
      </c>
      <c r="E89">
        <f>IFERROR(VLOOKUP($A$4&amp;$E$4&amp;C89,BalancesAnuales1!$A$2:$E$20009,5,0)+0,0)/A6</f>
        <v>0</v>
      </c>
      <c r="F89">
        <f>IFERROR(VLOOKUP($A$4&amp;$F$4&amp;C89,BalancesAnuales1!$A$2:$E$20009,5,0)+0,0)/A6</f>
        <v>0</v>
      </c>
      <c r="G89">
        <f>IFERROR(VLOOKUP($A$4&amp;$G$4&amp;C89,BalancesMensuales1!$A$2:$E$20009,5,0)+0,0)/A6</f>
        <v>0</v>
      </c>
      <c r="H89">
        <f>IFERROR(VLOOKUP($A$4&amp;$H$4&amp;C89,BalancesMensuales1!$A$2:$E$20009,5,0)+0,0)/A6</f>
        <v>0</v>
      </c>
      <c r="Z89">
        <f t="shared" si="17"/>
        <v>0</v>
      </c>
      <c r="AA89">
        <f>ProductosRIB!A27</f>
        <v>0</v>
      </c>
      <c r="AB89" t="str">
        <f>PROPER(ProductosRIB!D27&amp;IF(ProductosRIB!F27="",""," - Marca: "&amp;ProductosRIB!F27))</f>
        <v/>
      </c>
      <c r="AC89">
        <f>ProductosRIB!E27</f>
        <v>0</v>
      </c>
    </row>
    <row r="90" spans="3:29" hidden="1" x14ac:dyDescent="0.25">
      <c r="C90">
        <v>1201</v>
      </c>
      <c r="D90">
        <f>IFERROR(VLOOKUP($A$4&amp;$D$4&amp;C90,BalancesAnuales1!$A$2:$E$20009,5,0)+0,0)/A6</f>
        <v>0</v>
      </c>
      <c r="E90">
        <f>IFERROR(VLOOKUP($A$4&amp;$E$4&amp;C90,BalancesAnuales1!$A$2:$E$20009,5,0)+0,0)/A6</f>
        <v>0</v>
      </c>
      <c r="F90">
        <f>IFERROR(VLOOKUP($A$4&amp;$F$4&amp;C90,BalancesAnuales1!$A$2:$E$20009,5,0)+0,0)/A6</f>
        <v>0</v>
      </c>
      <c r="G90">
        <f>IFERROR(VLOOKUP($A$4&amp;$G$4&amp;C90,BalancesMensuales1!$A$2:$E$20009,5,0)+0,0)/A6</f>
        <v>0</v>
      </c>
      <c r="H90">
        <f>IFERROR(VLOOKUP($A$4&amp;$H$4&amp;C90,BalancesMensuales1!$A$2:$E$20009,5,0)+0,0)/A6</f>
        <v>0</v>
      </c>
      <c r="Z90">
        <f t="shared" si="17"/>
        <v>0</v>
      </c>
      <c r="AA90">
        <f>ProductosRIB!A28</f>
        <v>0</v>
      </c>
      <c r="AB90" t="str">
        <f>PROPER(ProductosRIB!D28&amp;IF(ProductosRIB!F28="",""," - Marca: "&amp;ProductosRIB!F28))</f>
        <v/>
      </c>
      <c r="AC90">
        <f>ProductosRIB!E28</f>
        <v>0</v>
      </c>
    </row>
    <row r="91" spans="3:29" hidden="1" x14ac:dyDescent="0.25">
      <c r="C91">
        <v>130506</v>
      </c>
      <c r="D91">
        <f>IFERROR(VLOOKUP($A$4&amp;$D$4&amp;C91,BalancesAnuales1!$A$2:$E$20009,5,0)+0,0)/A6</f>
        <v>0</v>
      </c>
      <c r="E91">
        <f>IFERROR(VLOOKUP($A$4&amp;$E$4&amp;C91,BalancesAnuales1!$A$2:$E$20009,5,0)+0,0)/A6</f>
        <v>0</v>
      </c>
      <c r="F91">
        <f>IFERROR(VLOOKUP($A$4&amp;$F$4&amp;C91,BalancesAnuales1!$A$2:$E$20009,5,0)+0,0)/A6</f>
        <v>0</v>
      </c>
      <c r="G91">
        <f>IFERROR(VLOOKUP($A$4&amp;$G$4&amp;C91,BalancesMensuales1!$A$2:$E$20009,5,0)+0,0)/A6</f>
        <v>0</v>
      </c>
      <c r="H91">
        <f>IFERROR(VLOOKUP($A$4&amp;$H$4&amp;C91,BalancesMensuales1!$A$2:$E$20009,5,0)+0,0)/A6</f>
        <v>0</v>
      </c>
      <c r="Z91">
        <f t="shared" si="17"/>
        <v>0</v>
      </c>
      <c r="AA91">
        <f>ProductosRIB!A29</f>
        <v>0</v>
      </c>
      <c r="AB91" t="str">
        <f>PROPER(ProductosRIB!D29&amp;IF(ProductosRIB!F29="",""," - Marca: "&amp;ProductosRIB!F29))</f>
        <v/>
      </c>
      <c r="AC91">
        <f>ProductosRIB!E29</f>
        <v>0</v>
      </c>
    </row>
    <row r="92" spans="3:29" hidden="1" x14ac:dyDescent="0.25">
      <c r="C92">
        <v>130511</v>
      </c>
      <c r="D92">
        <f>IFERROR(VLOOKUP($A$4&amp;$D$4&amp;C92,BalancesAnuales1!$A$2:$E$20009,5,0)+0,0)/A6</f>
        <v>0</v>
      </c>
      <c r="E92">
        <f>IFERROR(VLOOKUP($A$4&amp;$E$4&amp;C92,BalancesAnuales1!$A$2:$E$20009,5,0)+0,0)/A6</f>
        <v>0</v>
      </c>
      <c r="F92">
        <f>IFERROR(VLOOKUP($A$4&amp;$F$4&amp;C92,BalancesAnuales1!$A$2:$E$20009,5,0)+0,0)/A6</f>
        <v>0</v>
      </c>
      <c r="G92">
        <f>IFERROR(VLOOKUP($A$4&amp;$G$4&amp;C92,BalancesMensuales1!$A$2:$E$20009,5,0)+0,0)/A6</f>
        <v>0</v>
      </c>
      <c r="H92">
        <f>IFERROR(VLOOKUP($A$4&amp;$H$4&amp;C92,BalancesMensuales1!$A$2:$E$20009,5,0)+0,0)/A6</f>
        <v>0</v>
      </c>
      <c r="Z92">
        <f t="shared" si="17"/>
        <v>0</v>
      </c>
      <c r="AA92">
        <f>ProductosRIB!A30</f>
        <v>0</v>
      </c>
      <c r="AB92" t="str">
        <f>PROPER(ProductosRIB!D30&amp;IF(ProductosRIB!F30="",""," - Marca: "&amp;ProductosRIB!F30))</f>
        <v/>
      </c>
      <c r="AC92">
        <f>ProductosRIB!E30</f>
        <v>0</v>
      </c>
    </row>
    <row r="93" spans="3:29" hidden="1" x14ac:dyDescent="0.25">
      <c r="C93">
        <v>131001</v>
      </c>
      <c r="D93">
        <f>IFERROR(VLOOKUP($A$4&amp;$D$4&amp;C93,BalancesAnuales1!$A$2:$E$20009,5,0)+0,0)/A6</f>
        <v>0</v>
      </c>
      <c r="E93">
        <f>IFERROR(VLOOKUP($A$4&amp;$E$4&amp;C93,BalancesAnuales1!$A$2:$E$20009,5,0)+0,0)/A6</f>
        <v>0</v>
      </c>
      <c r="F93">
        <f>IFERROR(VLOOKUP($A$4&amp;$F$4&amp;C93,BalancesAnuales1!$A$2:$E$20009,5,0)+0,0)/A6</f>
        <v>0</v>
      </c>
      <c r="G93">
        <f>IFERROR(VLOOKUP($A$4&amp;$G$4&amp;C93,BalancesMensuales1!$A$2:$E$20009,5,0)+0,0)/A6</f>
        <v>0</v>
      </c>
      <c r="H93">
        <f>IFERROR(VLOOKUP($A$4&amp;$H$4&amp;C93,BalancesMensuales1!$A$2:$E$20009,5,0)+0,0)/A6</f>
        <v>0</v>
      </c>
      <c r="Z93">
        <f t="shared" si="17"/>
        <v>0</v>
      </c>
      <c r="AA93">
        <f>ProductosRIB!A31</f>
        <v>0</v>
      </c>
      <c r="AB93" t="str">
        <f>PROPER(ProductosRIB!D31&amp;IF(ProductosRIB!F31="",""," - Marca: "&amp;ProductosRIB!F31))</f>
        <v/>
      </c>
      <c r="AC93">
        <f>ProductosRIB!E31</f>
        <v>0</v>
      </c>
    </row>
    <row r="94" spans="3:29" hidden="1" x14ac:dyDescent="0.25">
      <c r="C94">
        <v>131501</v>
      </c>
      <c r="D94">
        <f>IFERROR(VLOOKUP($A$4&amp;$D$4&amp;C94,BalancesAnuales1!$A$2:$E$20009,5,0)+0,0)/A6</f>
        <v>0</v>
      </c>
      <c r="E94">
        <f>IFERROR(VLOOKUP($A$4&amp;$E$4&amp;C94,BalancesAnuales1!$A$2:$E$20009,5,0)+0,0)/A6</f>
        <v>0</v>
      </c>
      <c r="F94">
        <f>IFERROR(VLOOKUP($A$4&amp;$F$4&amp;C94,BalancesAnuales1!$A$2:$E$20009,5,0)+0,0)/A6</f>
        <v>0</v>
      </c>
      <c r="G94">
        <f>IFERROR(VLOOKUP($A$4&amp;$G$4&amp;C94,BalancesMensuales1!$A$2:$E$20009,5,0)+0,0)/A6</f>
        <v>0</v>
      </c>
      <c r="H94">
        <f>IFERROR(VLOOKUP($A$4&amp;$H$4&amp;C94,BalancesMensuales1!$A$2:$E$20009,5,0)+0,0)/A6</f>
        <v>0</v>
      </c>
      <c r="Z94">
        <f t="shared" si="17"/>
        <v>0</v>
      </c>
      <c r="AA94">
        <f>ProductosRIB!A32</f>
        <v>0</v>
      </c>
      <c r="AB94" t="str">
        <f>PROPER(ProductosRIB!D32&amp;IF(ProductosRIB!F32="",""," - Marca: "&amp;ProductosRIB!F32))</f>
        <v/>
      </c>
      <c r="AC94">
        <f>ProductosRIB!E32</f>
        <v>0</v>
      </c>
    </row>
    <row r="95" spans="3:29" hidden="1" x14ac:dyDescent="0.25">
      <c r="C95">
        <v>132001</v>
      </c>
      <c r="D95">
        <f>IFERROR(VLOOKUP($A$4&amp;$D$4&amp;C95,BalancesAnuales1!$A$2:$E$20009,5,0)+0,0)/A6</f>
        <v>0</v>
      </c>
      <c r="E95">
        <f>IFERROR(VLOOKUP($A$4&amp;$E$4&amp;C95,BalancesAnuales1!$A$2:$E$20009,5,0)+0,0)/A6</f>
        <v>0</v>
      </c>
      <c r="F95">
        <f>IFERROR(VLOOKUP($A$4&amp;$F$4&amp;C95,BalancesAnuales1!$A$2:$E$20009,5,0)+0,0)/A6</f>
        <v>0</v>
      </c>
      <c r="G95">
        <f>IFERROR(VLOOKUP($A$4&amp;$G$4&amp;C95,BalancesMensuales1!$A$2:$E$20009,5,0)+0,0)/A6</f>
        <v>0</v>
      </c>
      <c r="H95">
        <f>IFERROR(VLOOKUP($A$4&amp;$H$4&amp;C95,BalancesMensuales1!$A$2:$E$20009,5,0)+0,0)/A6</f>
        <v>0</v>
      </c>
      <c r="Z95">
        <f t="shared" si="17"/>
        <v>0</v>
      </c>
      <c r="AA95">
        <f>ProductosRIB!A33</f>
        <v>0</v>
      </c>
      <c r="AB95" t="str">
        <f>PROPER(ProductosRIB!D33&amp;IF(ProductosRIB!F33="",""," - Marca: "&amp;ProductosRIB!F33))</f>
        <v/>
      </c>
      <c r="AC95">
        <f>ProductosRIB!E33</f>
        <v>0</v>
      </c>
    </row>
    <row r="96" spans="3:29" hidden="1" x14ac:dyDescent="0.25">
      <c r="C96">
        <v>132501</v>
      </c>
      <c r="D96">
        <f>IFERROR(VLOOKUP($A$4&amp;$D$4&amp;C96,BalancesAnuales1!$A$2:$E$20009,5,0)+0,0)/A6</f>
        <v>0</v>
      </c>
      <c r="E96">
        <f>IFERROR(VLOOKUP($A$4&amp;$E$4&amp;C96,BalancesAnuales1!$A$2:$E$20009,5,0)+0,0)/A6</f>
        <v>0</v>
      </c>
      <c r="F96">
        <f>IFERROR(VLOOKUP($A$4&amp;$F$4&amp;C96,BalancesAnuales1!$A$2:$E$20009,5,0)+0,0)/A6</f>
        <v>0</v>
      </c>
      <c r="G96">
        <f>IFERROR(VLOOKUP($A$4&amp;$G$4&amp;C96,BalancesMensuales1!$A$2:$E$20009,5,0)+0,0)/A6</f>
        <v>0</v>
      </c>
      <c r="H96">
        <f>IFERROR(VLOOKUP($A$4&amp;$H$4&amp;C96,BalancesMensuales1!$A$2:$E$20009,5,0)+0,0)/A6</f>
        <v>0</v>
      </c>
      <c r="Z96">
        <f t="shared" si="17"/>
        <v>0</v>
      </c>
      <c r="AA96">
        <f>ProductosRIB!A34</f>
        <v>0</v>
      </c>
      <c r="AB96" t="str">
        <f>PROPER(ProductosRIB!D34&amp;IF(ProductosRIB!F34="",""," - Marca: "&amp;ProductosRIB!F34))</f>
        <v/>
      </c>
      <c r="AC96">
        <f>ProductosRIB!E34</f>
        <v>0</v>
      </c>
    </row>
    <row r="97" spans="3:29" hidden="1" x14ac:dyDescent="0.25">
      <c r="C97">
        <v>133001</v>
      </c>
      <c r="D97">
        <f>IFERROR(VLOOKUP($A$4&amp;$D$4&amp;C97,BalancesAnuales1!$A$2:$E$20009,5,0)+0,0)/A6</f>
        <v>0</v>
      </c>
      <c r="E97">
        <f>IFERROR(VLOOKUP($A$4&amp;$E$4&amp;C97,BalancesAnuales1!$A$2:$E$20009,5,0)+0,0)/A6</f>
        <v>0</v>
      </c>
      <c r="F97">
        <f>IFERROR(VLOOKUP($A$4&amp;$F$4&amp;C97,BalancesAnuales1!$A$2:$E$20009,5,0)+0,0)/A6</f>
        <v>0</v>
      </c>
      <c r="G97">
        <f>IFERROR(VLOOKUP($A$4&amp;$G$4&amp;C97,BalancesMensuales1!$A$2:$E$20009,5,0)+0,0)/A6</f>
        <v>0</v>
      </c>
      <c r="H97">
        <f>IFERROR(VLOOKUP($A$4&amp;$H$4&amp;C97,BalancesMensuales1!$A$2:$E$20009,5,0)+0,0)/A6</f>
        <v>0</v>
      </c>
      <c r="Z97">
        <f t="shared" ref="Z97:Z128" si="18">IF(AA97=$A$4,Z96+1,0)</f>
        <v>0</v>
      </c>
      <c r="AA97">
        <f>ProductosRIB!A35</f>
        <v>0</v>
      </c>
      <c r="AB97" t="str">
        <f>PROPER(ProductosRIB!D35&amp;IF(ProductosRIB!F35="",""," - Marca: "&amp;ProductosRIB!F35))</f>
        <v/>
      </c>
      <c r="AC97">
        <f>ProductosRIB!E35</f>
        <v>0</v>
      </c>
    </row>
    <row r="98" spans="3:29" hidden="1" x14ac:dyDescent="0.25">
      <c r="C98">
        <v>133501</v>
      </c>
      <c r="D98">
        <f>IFERROR(VLOOKUP($A$4&amp;$D$4&amp;C98,BalancesAnuales1!$A$2:$E$20009,5,0)+0,0)/A6</f>
        <v>0</v>
      </c>
      <c r="E98">
        <f>IFERROR(VLOOKUP($A$4&amp;$E$4&amp;C98,BalancesAnuales1!$A$2:$E$20009,5,0)+0,0)/A6</f>
        <v>0</v>
      </c>
      <c r="F98">
        <f>IFERROR(VLOOKUP($A$4&amp;$F$4&amp;C98,BalancesAnuales1!$A$2:$E$20009,5,0)+0,0)/A6</f>
        <v>0</v>
      </c>
      <c r="G98">
        <f>IFERROR(VLOOKUP($A$4&amp;$G$4&amp;C98,BalancesMensuales1!$A$2:$E$20009,5,0)+0,0)/A6</f>
        <v>0</v>
      </c>
      <c r="H98">
        <f>IFERROR(VLOOKUP($A$4&amp;$H$4&amp;C98,BalancesMensuales1!$A$2:$E$20009,5,0)+0,0)/A6</f>
        <v>0</v>
      </c>
      <c r="Z98">
        <f t="shared" si="18"/>
        <v>0</v>
      </c>
      <c r="AA98">
        <f>ProductosRIB!A36</f>
        <v>0</v>
      </c>
      <c r="AB98" t="str">
        <f>PROPER(ProductosRIB!D36&amp;IF(ProductosRIB!F36="",""," - Marca: "&amp;ProductosRIB!F36))</f>
        <v/>
      </c>
      <c r="AC98">
        <f>ProductosRIB!E36</f>
        <v>0</v>
      </c>
    </row>
    <row r="99" spans="3:29" hidden="1" x14ac:dyDescent="0.25">
      <c r="C99">
        <v>134001</v>
      </c>
      <c r="D99">
        <f>IFERROR(VLOOKUP($A$4&amp;$D$4&amp;C99,BalancesAnuales1!$A$2:$E$20009,5,0)+0,0)/A6</f>
        <v>0</v>
      </c>
      <c r="E99">
        <f>IFERROR(VLOOKUP($A$4&amp;$E$4&amp;C99,BalancesAnuales1!$A$2:$E$20009,5,0)+0,0)/A6</f>
        <v>0</v>
      </c>
      <c r="F99">
        <f>IFERROR(VLOOKUP($A$4&amp;$F$4&amp;C99,BalancesAnuales1!$A$2:$E$20009,5,0)+0,0)/A6</f>
        <v>0</v>
      </c>
      <c r="G99">
        <f>IFERROR(VLOOKUP($A$4&amp;$G$4&amp;C99,BalancesMensuales1!$A$2:$E$20009,5,0)+0,0)/A6</f>
        <v>0</v>
      </c>
      <c r="H99">
        <f>IFERROR(VLOOKUP($A$4&amp;$H$4&amp;C99,BalancesMensuales1!$A$2:$E$20009,5,0)+0,0)/A6</f>
        <v>0</v>
      </c>
      <c r="Z99">
        <f t="shared" si="18"/>
        <v>0</v>
      </c>
      <c r="AA99">
        <f>ProductosRIB!A37</f>
        <v>0</v>
      </c>
      <c r="AB99" t="str">
        <f>PROPER(ProductosRIB!D37&amp;IF(ProductosRIB!F37="",""," - Marca: "&amp;ProductosRIB!F37))</f>
        <v/>
      </c>
      <c r="AC99">
        <f>ProductosRIB!E37</f>
        <v>0</v>
      </c>
    </row>
    <row r="100" spans="3:29" hidden="1" x14ac:dyDescent="0.25">
      <c r="C100">
        <v>134501</v>
      </c>
      <c r="D100">
        <f>IFERROR(VLOOKUP($A$4&amp;$D$4&amp;C100,BalancesAnuales1!$A$2:$E$20009,5,0)+0,0)/A6</f>
        <v>0</v>
      </c>
      <c r="E100">
        <f>IFERROR(VLOOKUP($A$4&amp;$E$4&amp;C100,BalancesAnuales1!$A$2:$E$20009,5,0)+0,0)/A6</f>
        <v>0</v>
      </c>
      <c r="F100">
        <f>IFERROR(VLOOKUP($A$4&amp;$F$4&amp;C100,BalancesAnuales1!$A$2:$E$20009,5,0)+0,0)/A6</f>
        <v>0</v>
      </c>
      <c r="G100">
        <f>IFERROR(VLOOKUP($A$4&amp;$G$4&amp;C100,BalancesMensuales1!$A$2:$E$20009,5,0)+0,0)/A6</f>
        <v>0</v>
      </c>
      <c r="H100">
        <f>IFERROR(VLOOKUP($A$4&amp;$H$4&amp;C100,BalancesMensuales1!$A$2:$E$20009,5,0)+0,0)/A6</f>
        <v>0</v>
      </c>
      <c r="Z100">
        <f t="shared" si="18"/>
        <v>0</v>
      </c>
      <c r="AA100">
        <f>ProductosRIB!A38</f>
        <v>0</v>
      </c>
      <c r="AB100" t="str">
        <f>PROPER(ProductosRIB!D38&amp;IF(ProductosRIB!F38="",""," - Marca: "&amp;ProductosRIB!F38))</f>
        <v/>
      </c>
      <c r="AC100">
        <f>ProductosRIB!E38</f>
        <v>0</v>
      </c>
    </row>
    <row r="101" spans="3:29" hidden="1" x14ac:dyDescent="0.25">
      <c r="C101">
        <v>135001</v>
      </c>
      <c r="D101">
        <f>IFERROR(VLOOKUP($A$4&amp;$D$4&amp;C101,BalancesAnuales1!$A$2:$E$20009,5,0)+0,0)/A6</f>
        <v>0</v>
      </c>
      <c r="E101">
        <f>IFERROR(VLOOKUP($A$4&amp;$E$4&amp;C101,BalancesAnuales1!$A$2:$E$20009,5,0)+0,0)/A6</f>
        <v>0</v>
      </c>
      <c r="F101">
        <f>IFERROR(VLOOKUP($A$4&amp;$F$4&amp;C101,BalancesAnuales1!$A$2:$E$20009,5,0)+0,0)/A6</f>
        <v>0</v>
      </c>
      <c r="G101">
        <f>IFERROR(VLOOKUP($A$4&amp;$G$4&amp;C101,BalancesMensuales1!$A$2:$E$20009,5,0)+0,0)/A6</f>
        <v>0</v>
      </c>
      <c r="H101">
        <f>IFERROR(VLOOKUP($A$4&amp;$H$4&amp;C101,BalancesMensuales1!$A$2:$E$20009,5,0)+0,0)/A6</f>
        <v>0</v>
      </c>
      <c r="Z101">
        <f t="shared" si="18"/>
        <v>0</v>
      </c>
      <c r="AA101">
        <f>ProductosRIB!A39</f>
        <v>0</v>
      </c>
      <c r="AB101" t="str">
        <f>PROPER(ProductosRIB!D39&amp;IF(ProductosRIB!F39="",""," - Marca: "&amp;ProductosRIB!F39))</f>
        <v/>
      </c>
      <c r="AC101">
        <f>ProductosRIB!E39</f>
        <v>0</v>
      </c>
    </row>
    <row r="102" spans="3:29" hidden="1" x14ac:dyDescent="0.25">
      <c r="C102">
        <v>135501</v>
      </c>
      <c r="D102">
        <f>IFERROR(VLOOKUP($A$4&amp;$D$4&amp;C102,BalancesAnuales1!$A$2:$E$20009,5,0)+0,0)/A6</f>
        <v>0</v>
      </c>
      <c r="E102">
        <f>IFERROR(VLOOKUP($A$4&amp;$E$4&amp;C102,BalancesAnuales1!$A$2:$E$20009,5,0)+0,0)/A6</f>
        <v>0</v>
      </c>
      <c r="F102">
        <f>IFERROR(VLOOKUP($A$4&amp;$F$4&amp;C102,BalancesAnuales1!$A$2:$E$20009,5,0)+0,0)/A6</f>
        <v>0</v>
      </c>
      <c r="G102">
        <f>IFERROR(VLOOKUP($A$4&amp;$G$4&amp;C102,BalancesMensuales1!$A$2:$E$20009,5,0)+0,0)/A6</f>
        <v>0</v>
      </c>
      <c r="H102">
        <f>IFERROR(VLOOKUP($A$4&amp;$H$4&amp;C102,BalancesMensuales1!$A$2:$E$20009,5,0)+0,0)/A6</f>
        <v>0</v>
      </c>
      <c r="Z102">
        <f t="shared" si="18"/>
        <v>0</v>
      </c>
      <c r="AA102">
        <f>ProductosRIB!A40</f>
        <v>0</v>
      </c>
      <c r="AB102" t="str">
        <f>PROPER(ProductosRIB!D40&amp;IF(ProductosRIB!F40="",""," - Marca: "&amp;ProductosRIB!F40))</f>
        <v/>
      </c>
      <c r="AC102">
        <f>ProductosRIB!E40</f>
        <v>0</v>
      </c>
    </row>
    <row r="103" spans="3:29" hidden="1" x14ac:dyDescent="0.25">
      <c r="C103">
        <v>136001</v>
      </c>
      <c r="D103">
        <f>IFERROR(VLOOKUP($A$4&amp;$D$4&amp;C103,BalancesAnuales1!$A$2:$E$20009,5,0)+0,0)/A6</f>
        <v>0</v>
      </c>
      <c r="E103">
        <f>IFERROR(VLOOKUP($A$4&amp;$E$4&amp;C103,BalancesAnuales1!$A$2:$E$20009,5,0)+0,0)/A6</f>
        <v>0</v>
      </c>
      <c r="F103">
        <f>IFERROR(VLOOKUP($A$4&amp;$F$4&amp;C103,BalancesAnuales1!$A$2:$E$20009,5,0)+0,0)/A6</f>
        <v>0</v>
      </c>
      <c r="G103">
        <f>IFERROR(VLOOKUP($A$4&amp;$G$4&amp;C103,BalancesMensuales1!$A$2:$E$20009,5,0)+0,0)/A6</f>
        <v>0</v>
      </c>
      <c r="H103">
        <f>IFERROR(VLOOKUP($A$4&amp;$H$4&amp;C103,BalancesMensuales1!$A$2:$E$20009,5,0)+0,0)/A6</f>
        <v>0</v>
      </c>
      <c r="Z103">
        <f t="shared" si="18"/>
        <v>0</v>
      </c>
      <c r="AA103">
        <f>ProductosRIB!A41</f>
        <v>0</v>
      </c>
      <c r="AB103" t="str">
        <f>PROPER(ProductosRIB!D41&amp;IF(ProductosRIB!F41="",""," - Marca: "&amp;ProductosRIB!F41))</f>
        <v/>
      </c>
      <c r="AC103">
        <f>ProductosRIB!E41</f>
        <v>0</v>
      </c>
    </row>
    <row r="104" spans="3:29" hidden="1" x14ac:dyDescent="0.25">
      <c r="C104">
        <v>136501</v>
      </c>
      <c r="D104">
        <f>IFERROR(VLOOKUP($A$4&amp;$D$4&amp;C104,BalancesAnuales1!$A$2:$E$20009,5,0)+0,0)/A6</f>
        <v>0</v>
      </c>
      <c r="E104">
        <f>IFERROR(VLOOKUP($A$4&amp;$E$4&amp;C104,BalancesAnuales1!$A$2:$E$20009,5,0)+0,0)/A6</f>
        <v>0</v>
      </c>
      <c r="F104">
        <f>IFERROR(VLOOKUP($A$4&amp;$F$4&amp;C104,BalancesAnuales1!$A$2:$E$20009,5,0)+0,0)/A6</f>
        <v>0</v>
      </c>
      <c r="G104">
        <f>IFERROR(VLOOKUP($A$4&amp;$G$4&amp;C104,BalancesMensuales1!$A$2:$E$20009,5,0)+0,0)/A6</f>
        <v>0</v>
      </c>
      <c r="H104">
        <f>IFERROR(VLOOKUP($A$4&amp;$H$4&amp;C104,BalancesMensuales1!$A$2:$E$20009,5,0)+0,0)/A6</f>
        <v>0</v>
      </c>
      <c r="Z104">
        <f t="shared" si="18"/>
        <v>0</v>
      </c>
      <c r="AA104">
        <f>ProductosRIB!A42</f>
        <v>0</v>
      </c>
      <c r="AB104" t="str">
        <f>PROPER(ProductosRIB!D42&amp;IF(ProductosRIB!F42="",""," - Marca: "&amp;ProductosRIB!F42))</f>
        <v/>
      </c>
      <c r="AC104">
        <f>ProductosRIB!E42</f>
        <v>0</v>
      </c>
    </row>
    <row r="105" spans="3:29" hidden="1" x14ac:dyDescent="0.25">
      <c r="C105">
        <v>137001</v>
      </c>
      <c r="D105">
        <f>IFERROR(VLOOKUP($A$4&amp;$D$4&amp;C105,BalancesAnuales1!$A$2:$E$20009,5,0)+0,0)/A6</f>
        <v>0</v>
      </c>
      <c r="E105">
        <f>IFERROR(VLOOKUP($A$4&amp;$E$4&amp;C105,BalancesAnuales1!$A$2:$E$20009,5,0)+0,0)/A6</f>
        <v>0</v>
      </c>
      <c r="F105">
        <f>IFERROR(VLOOKUP($A$4&amp;$F$4&amp;C105,BalancesAnuales1!$A$2:$E$20009,5,0)+0,0)/A6</f>
        <v>0</v>
      </c>
      <c r="G105">
        <f>IFERROR(VLOOKUP($A$4&amp;$G$4&amp;C105,BalancesMensuales1!$A$2:$E$20009,5,0)+0,0)/A6</f>
        <v>0</v>
      </c>
      <c r="H105">
        <f>IFERROR(VLOOKUP($A$4&amp;$H$4&amp;C105,BalancesMensuales1!$A$2:$E$20009,5,0)+0,0)/A6</f>
        <v>0</v>
      </c>
      <c r="Z105">
        <f t="shared" si="18"/>
        <v>0</v>
      </c>
      <c r="AA105">
        <f>ProductosRIB!A43</f>
        <v>0</v>
      </c>
      <c r="AB105" t="str">
        <f>PROPER(ProductosRIB!D43&amp;IF(ProductosRIB!F43="",""," - Marca: "&amp;ProductosRIB!F43))</f>
        <v/>
      </c>
      <c r="AC105">
        <f>ProductosRIB!E43</f>
        <v>0</v>
      </c>
    </row>
    <row r="106" spans="3:29" hidden="1" x14ac:dyDescent="0.25">
      <c r="C106">
        <v>138001</v>
      </c>
      <c r="D106">
        <f>IFERROR(VLOOKUP($A$4&amp;$D$4&amp;C106,BalancesAnuales1!$A$2:$E$20009,5,0)+0,0)/A6</f>
        <v>0</v>
      </c>
      <c r="E106">
        <f>IFERROR(VLOOKUP($A$4&amp;$E$4&amp;C106,BalancesAnuales1!$A$2:$E$20009,5,0)+0,0)/A6</f>
        <v>0</v>
      </c>
      <c r="F106">
        <f>IFERROR(VLOOKUP($A$4&amp;$F$4&amp;C106,BalancesAnuales1!$A$2:$E$20009,5,0)+0,0)/A6</f>
        <v>0</v>
      </c>
      <c r="G106">
        <f>IFERROR(VLOOKUP($A$4&amp;$G$4&amp;C106,BalancesMensuales1!$A$2:$E$20009,5,0)+0,0)/A6</f>
        <v>0</v>
      </c>
      <c r="H106">
        <f>IFERROR(VLOOKUP($A$4&amp;$H$4&amp;C106,BalancesMensuales1!$A$2:$E$20009,5,0)+0,0)/A6</f>
        <v>0</v>
      </c>
      <c r="Z106">
        <f t="shared" si="18"/>
        <v>0</v>
      </c>
      <c r="AA106">
        <f>ProductosRIB!A44</f>
        <v>0</v>
      </c>
      <c r="AB106" t="str">
        <f>PROPER(ProductosRIB!D44&amp;IF(ProductosRIB!F44="",""," - Marca: "&amp;ProductosRIB!F44))</f>
        <v/>
      </c>
      <c r="AC106">
        <f>ProductosRIB!E44</f>
        <v>0</v>
      </c>
    </row>
    <row r="107" spans="3:29" hidden="1" x14ac:dyDescent="0.25">
      <c r="C107">
        <v>138501</v>
      </c>
      <c r="D107">
        <f>IFERROR(VLOOKUP($A$4&amp;$D$4&amp;C107,BalancesAnuales1!$A$2:$E$20009,5,0)+0,0)/A6</f>
        <v>0</v>
      </c>
      <c r="E107">
        <f>IFERROR(VLOOKUP($A$4&amp;$E$4&amp;C107,BalancesAnuales1!$A$2:$E$20009,5,0)+0,0)/A6</f>
        <v>0</v>
      </c>
      <c r="F107">
        <f>IFERROR(VLOOKUP($A$4&amp;$F$4&amp;C107,BalancesAnuales1!$A$2:$E$20009,5,0)+0,0)/A6</f>
        <v>0</v>
      </c>
      <c r="G107">
        <f>IFERROR(VLOOKUP($A$4&amp;$G$4&amp;C107,BalancesMensuales1!$A$2:$E$20009,5,0)+0,0)/A6</f>
        <v>0</v>
      </c>
      <c r="H107">
        <f>IFERROR(VLOOKUP($A$4&amp;$H$4&amp;C107,BalancesMensuales1!$A$2:$E$20009,5,0)+0,0)/A6</f>
        <v>0</v>
      </c>
      <c r="Z107">
        <f t="shared" si="18"/>
        <v>0</v>
      </c>
      <c r="AA107">
        <f>ProductosRIB!A45</f>
        <v>0</v>
      </c>
      <c r="AB107" t="str">
        <f>PROPER(ProductosRIB!D45&amp;IF(ProductosRIB!F45="",""," - Marca: "&amp;ProductosRIB!F45))</f>
        <v/>
      </c>
      <c r="AC107">
        <f>ProductosRIB!E45</f>
        <v>0</v>
      </c>
    </row>
    <row r="108" spans="3:29" hidden="1" x14ac:dyDescent="0.25">
      <c r="C108">
        <v>139001</v>
      </c>
      <c r="D108">
        <f>IFERROR(VLOOKUP($A$4&amp;$D$4&amp;C108,BalancesAnuales1!$A$2:$E$20009,5,0)+0,0)/A6</f>
        <v>0</v>
      </c>
      <c r="E108">
        <f>IFERROR(VLOOKUP($A$4&amp;$E$4&amp;C108,BalancesAnuales1!$A$2:$E$20009,5,0)+0,0)/A6</f>
        <v>0</v>
      </c>
      <c r="F108">
        <f>IFERROR(VLOOKUP($A$4&amp;$F$4&amp;C108,BalancesAnuales1!$A$2:$E$20009,5,0)+0,0)/A6</f>
        <v>0</v>
      </c>
      <c r="G108">
        <f>IFERROR(VLOOKUP($A$4&amp;$G$4&amp;C108,BalancesMensuales1!$A$2:$E$20009,5,0)+0,0)/A6</f>
        <v>0</v>
      </c>
      <c r="H108">
        <f>IFERROR(VLOOKUP($A$4&amp;$H$4&amp;C108,BalancesMensuales1!$A$2:$E$20009,5,0)+0,0)/A6</f>
        <v>0</v>
      </c>
      <c r="Z108">
        <f t="shared" si="18"/>
        <v>0</v>
      </c>
      <c r="AA108">
        <f>ProductosRIB!A46</f>
        <v>0</v>
      </c>
      <c r="AB108" t="str">
        <f>PROPER(ProductosRIB!D46&amp;IF(ProductosRIB!F46="",""," - Marca: "&amp;ProductosRIB!F46))</f>
        <v/>
      </c>
      <c r="AC108">
        <f>ProductosRIB!E46</f>
        <v>0</v>
      </c>
    </row>
    <row r="109" spans="3:29" hidden="1" x14ac:dyDescent="0.25">
      <c r="C109">
        <v>139901</v>
      </c>
      <c r="D109">
        <f>IFERROR(VLOOKUP($A$4&amp;$D$4&amp;C109,BalancesAnuales1!$A$2:$E$20009,5,0)+0,0)/A6</f>
        <v>0</v>
      </c>
      <c r="E109">
        <f>IFERROR(VLOOKUP($A$4&amp;$E$4&amp;C109,BalancesAnuales1!$A$2:$E$20009,5,0)+0,0)/A6</f>
        <v>0</v>
      </c>
      <c r="F109">
        <f>IFERROR(VLOOKUP($A$4&amp;$F$4&amp;C109,BalancesAnuales1!$A$2:$E$20009,5,0)+0,0)/A6</f>
        <v>0</v>
      </c>
      <c r="G109">
        <f>IFERROR(VLOOKUP($A$4&amp;$G$4&amp;C109,BalancesMensuales1!$A$2:$E$20009,5,0)+0,0)/A6</f>
        <v>0</v>
      </c>
      <c r="H109">
        <f>IFERROR(VLOOKUP($A$4&amp;$H$4&amp;C109,BalancesMensuales1!$A$2:$E$20009,5,0)+0,0)/A6</f>
        <v>0</v>
      </c>
      <c r="Z109">
        <f t="shared" si="18"/>
        <v>0</v>
      </c>
      <c r="AA109">
        <f>ProductosRIB!A47</f>
        <v>0</v>
      </c>
      <c r="AB109" t="str">
        <f>PROPER(ProductosRIB!D47&amp;IF(ProductosRIB!F47="",""," - Marca: "&amp;ProductosRIB!F47))</f>
        <v/>
      </c>
      <c r="AC109">
        <f>ProductosRIB!E47</f>
        <v>0</v>
      </c>
    </row>
    <row r="110" spans="3:29" hidden="1" x14ac:dyDescent="0.25">
      <c r="C110">
        <v>1205</v>
      </c>
      <c r="D110">
        <f>IFERROR(VLOOKUP($A$4&amp;$D$4&amp;C110,BalancesAnuales1!$A$2:$E$20009,5,0)+0,0)/A6</f>
        <v>0</v>
      </c>
      <c r="E110">
        <f>IFERROR(VLOOKUP($A$4&amp;$E$4&amp;C110,BalancesAnuales1!$A$2:$E$20009,5,0)+0,0)/A6</f>
        <v>0</v>
      </c>
      <c r="F110">
        <f>IFERROR(VLOOKUP($A$4&amp;$F$4&amp;C110,BalancesAnuales1!$A$2:$E$20009,5,0)+0,0)/A6</f>
        <v>0</v>
      </c>
      <c r="G110">
        <f>IFERROR(VLOOKUP($A$4&amp;$G$4&amp;C110,BalancesMensuales1!$A$2:$E$20009,5,0)+0,0)/A6</f>
        <v>0</v>
      </c>
      <c r="H110">
        <f>IFERROR(VLOOKUP($A$4&amp;$H$4&amp;C110,BalancesMensuales1!$A$2:$E$20009,5,0)+0,0)/A6</f>
        <v>0</v>
      </c>
      <c r="Z110">
        <f t="shared" si="18"/>
        <v>0</v>
      </c>
      <c r="AA110">
        <f>ProductosRIB!A48</f>
        <v>0</v>
      </c>
      <c r="AB110" t="str">
        <f>PROPER(ProductosRIB!D48&amp;IF(ProductosRIB!F48="",""," - Marca: "&amp;ProductosRIB!F48))</f>
        <v/>
      </c>
      <c r="AC110">
        <f>ProductosRIB!E48</f>
        <v>0</v>
      </c>
    </row>
    <row r="111" spans="3:29" hidden="1" x14ac:dyDescent="0.25">
      <c r="C111">
        <v>120501</v>
      </c>
      <c r="D111">
        <f>IFERROR(VLOOKUP($A$4&amp;$D$4&amp;C111,BalancesAnuales1!$A$2:$E$20009,5,0)+0,0)/A6</f>
        <v>0</v>
      </c>
      <c r="E111">
        <f>IFERROR(VLOOKUP($A$4&amp;$E$4&amp;C111,BalancesAnuales1!$A$2:$E$20009,5,0)+0,0)/A6</f>
        <v>0</v>
      </c>
      <c r="F111">
        <f>IFERROR(VLOOKUP($A$4&amp;$F$4&amp;C111,BalancesAnuales1!$A$2:$E$20009,5,0)+0,0)/A6</f>
        <v>0</v>
      </c>
      <c r="G111">
        <f>IFERROR(VLOOKUP($A$4&amp;$G$4&amp;C111,BalancesMensuales1!$A$2:$E$20009,5,0)+0,0)/A6</f>
        <v>0</v>
      </c>
      <c r="H111">
        <f>IFERROR(VLOOKUP($A$4&amp;$H$4&amp;C111,BalancesMensuales1!$A$2:$E$20009,5,0)+0,0)/A6</f>
        <v>0</v>
      </c>
      <c r="Z111">
        <f t="shared" si="18"/>
        <v>0</v>
      </c>
      <c r="AA111">
        <f>ProductosRIB!A49</f>
        <v>0</v>
      </c>
      <c r="AB111" t="str">
        <f>PROPER(ProductosRIB!D49&amp;IF(ProductosRIB!F49="",""," - Marca: "&amp;ProductosRIB!F49))</f>
        <v/>
      </c>
      <c r="AC111">
        <f>ProductosRIB!E49</f>
        <v>0</v>
      </c>
    </row>
    <row r="112" spans="3:29" hidden="1" x14ac:dyDescent="0.25">
      <c r="C112">
        <v>121001</v>
      </c>
      <c r="D112">
        <f>IFERROR(VLOOKUP($A$4&amp;$D$4&amp;C112,BalancesAnuales1!$A$2:$E$20009,5,0)+0,0)/A6</f>
        <v>0</v>
      </c>
      <c r="E112">
        <f>IFERROR(VLOOKUP($A$4&amp;$E$4&amp;C112,BalancesAnuales1!$A$2:$E$20009,5,0)+0,0)/A6</f>
        <v>0</v>
      </c>
      <c r="F112">
        <f>IFERROR(VLOOKUP($A$4&amp;$F$4&amp;C112,BalancesAnuales1!$A$2:$E$20009,5,0)+0,0)/A6</f>
        <v>0</v>
      </c>
      <c r="G112">
        <f>IFERROR(VLOOKUP($A$4&amp;$G$4&amp;C112,BalancesMensuales1!$A$2:$E$20009,5,0)+0,0)/A6</f>
        <v>0</v>
      </c>
      <c r="H112">
        <f>IFERROR(VLOOKUP($A$4&amp;$H$4&amp;C112,BalancesMensuales1!$A$2:$E$20009,5,0)+0,0)/A6</f>
        <v>0</v>
      </c>
      <c r="Z112">
        <f t="shared" si="18"/>
        <v>0</v>
      </c>
      <c r="AA112">
        <f>ProductosRIB!A50</f>
        <v>0</v>
      </c>
      <c r="AB112" t="str">
        <f>PROPER(ProductosRIB!D50&amp;IF(ProductosRIB!F50="",""," - Marca: "&amp;ProductosRIB!F50))</f>
        <v/>
      </c>
      <c r="AC112">
        <f>ProductosRIB!E50</f>
        <v>0</v>
      </c>
    </row>
    <row r="113" spans="3:29" hidden="1" x14ac:dyDescent="0.25">
      <c r="C113">
        <v>121501</v>
      </c>
      <c r="D113">
        <f>IFERROR(VLOOKUP($A$4&amp;$D$4&amp;C113,BalancesAnuales1!$A$2:$E$20009,5,0)+0,0)/A6</f>
        <v>0</v>
      </c>
      <c r="E113">
        <f>IFERROR(VLOOKUP($A$4&amp;$E$4&amp;C113,BalancesAnuales1!$A$2:$E$20009,5,0)+0,0)/A6</f>
        <v>0</v>
      </c>
      <c r="F113">
        <f>IFERROR(VLOOKUP($A$4&amp;$F$4&amp;C113,BalancesAnuales1!$A$2:$E$20009,5,0)+0,0)/A6</f>
        <v>0</v>
      </c>
      <c r="G113">
        <f>IFERROR(VLOOKUP($A$4&amp;$G$4&amp;C113,BalancesMensuales1!$A$2:$E$20009,5,0)+0,0)/A6</f>
        <v>0</v>
      </c>
      <c r="H113">
        <f>IFERROR(VLOOKUP($A$4&amp;$H$4&amp;C113,BalancesMensuales1!$A$2:$E$20009,5,0)+0,0)/A6</f>
        <v>0</v>
      </c>
      <c r="Z113">
        <f t="shared" si="18"/>
        <v>0</v>
      </c>
      <c r="AA113">
        <f>ProductosRIB!A51</f>
        <v>0</v>
      </c>
      <c r="AB113" t="str">
        <f>PROPER(ProductosRIB!D51&amp;IF(ProductosRIB!F51="",""," - Marca: "&amp;ProductosRIB!F51))</f>
        <v/>
      </c>
      <c r="AC113">
        <f>ProductosRIB!E51</f>
        <v>0</v>
      </c>
    </row>
    <row r="114" spans="3:29" hidden="1" x14ac:dyDescent="0.25">
      <c r="C114">
        <v>123501</v>
      </c>
      <c r="D114">
        <f>IFERROR(VLOOKUP($A$4&amp;$D$4&amp;C114,BalancesAnuales1!$A$2:$E$20009,5,0)+0,0)/A6</f>
        <v>0</v>
      </c>
      <c r="E114">
        <f>IFERROR(VLOOKUP($A$4&amp;$E$4&amp;C114,BalancesAnuales1!$A$2:$E$20009,5,0)+0,0)/A6</f>
        <v>0</v>
      </c>
      <c r="F114">
        <f>IFERROR(VLOOKUP($A$4&amp;$F$4&amp;C114,BalancesAnuales1!$A$2:$E$20009,5,0)+0,0)/A6</f>
        <v>0</v>
      </c>
      <c r="G114">
        <f>IFERROR(VLOOKUP($A$4&amp;$G$4&amp;C114,BalancesMensuales1!$A$2:$E$20009,5,0)+0,0)/A6</f>
        <v>0</v>
      </c>
      <c r="H114">
        <f>IFERROR(VLOOKUP($A$4&amp;$H$4&amp;C114,BalancesMensuales1!$A$2:$E$20009,5,0)+0,0)/A6</f>
        <v>0</v>
      </c>
      <c r="Z114">
        <f t="shared" si="18"/>
        <v>0</v>
      </c>
      <c r="AA114">
        <f>ProductosRIB!A52</f>
        <v>0</v>
      </c>
      <c r="AB114" t="str">
        <f>PROPER(ProductosRIB!D52&amp;IF(ProductosRIB!F52="",""," - Marca: "&amp;ProductosRIB!F52))</f>
        <v/>
      </c>
      <c r="AC114">
        <f>ProductosRIB!E52</f>
        <v>0</v>
      </c>
    </row>
    <row r="115" spans="3:29" hidden="1" x14ac:dyDescent="0.25">
      <c r="C115">
        <v>125501</v>
      </c>
      <c r="D115">
        <f>IFERROR(VLOOKUP($A$4&amp;$D$4&amp;C115,BalancesAnuales1!$A$2:$E$20009,5,0)+0,0)/A6</f>
        <v>0</v>
      </c>
      <c r="E115">
        <f>IFERROR(VLOOKUP($A$4&amp;$E$4&amp;C115,BalancesAnuales1!$A$2:$E$20009,5,0)+0,0)/A6</f>
        <v>0</v>
      </c>
      <c r="F115">
        <f>IFERROR(VLOOKUP($A$4&amp;$F$4&amp;C115,BalancesAnuales1!$A$2:$E$20009,5,0)+0,0)/A6</f>
        <v>0</v>
      </c>
      <c r="G115">
        <f>IFERROR(VLOOKUP($A$4&amp;$G$4&amp;C115,BalancesMensuales1!$A$2:$E$20009,5,0)+0,0)/A6</f>
        <v>0</v>
      </c>
      <c r="H115">
        <f>IFERROR(VLOOKUP($A$4&amp;$H$4&amp;C115,BalancesMensuales1!$A$2:$E$20009,5,0)+0,0)/A6</f>
        <v>0</v>
      </c>
      <c r="Z115">
        <f t="shared" si="18"/>
        <v>0</v>
      </c>
      <c r="AA115">
        <f>ProductosRIB!A53</f>
        <v>0</v>
      </c>
      <c r="AB115" t="str">
        <f>PROPER(ProductosRIB!D53&amp;IF(ProductosRIB!F53="",""," - Marca: "&amp;ProductosRIB!F53))</f>
        <v/>
      </c>
      <c r="AC115">
        <f>ProductosRIB!E53</f>
        <v>0</v>
      </c>
    </row>
    <row r="116" spans="3:29" hidden="1" x14ac:dyDescent="0.25">
      <c r="C116">
        <v>126001</v>
      </c>
      <c r="D116">
        <f>IFERROR(VLOOKUP($A$4&amp;$D$4&amp;C116,BalancesAnuales1!$A$2:$E$20009,5,0)+0,0)/A6</f>
        <v>0</v>
      </c>
      <c r="E116">
        <f>IFERROR(VLOOKUP($A$4&amp;$E$4&amp;C116,BalancesAnuales1!$A$2:$E$20009,5,0)+0,0)/A6</f>
        <v>0</v>
      </c>
      <c r="F116">
        <f>IFERROR(VLOOKUP($A$4&amp;$F$4&amp;C116,BalancesAnuales1!$A$2:$E$20009,5,0)+0,0)/A6</f>
        <v>0</v>
      </c>
      <c r="G116">
        <f>IFERROR(VLOOKUP($A$4&amp;$G$4&amp;C116,BalancesMensuales1!$A$2:$E$20009,5,0)+0,0)/A6</f>
        <v>0</v>
      </c>
      <c r="H116">
        <f>IFERROR(VLOOKUP($A$4&amp;$H$4&amp;C116,BalancesMensuales1!$A$2:$E$20009,5,0)+0,0)/A6</f>
        <v>0</v>
      </c>
      <c r="Z116">
        <f t="shared" si="18"/>
        <v>0</v>
      </c>
      <c r="AA116">
        <f>ProductosRIB!A54</f>
        <v>0</v>
      </c>
      <c r="AB116" t="str">
        <f>PROPER(ProductosRIB!D54&amp;IF(ProductosRIB!F54="",""," - Marca: "&amp;ProductosRIB!F54))</f>
        <v/>
      </c>
      <c r="AC116">
        <f>ProductosRIB!E54</f>
        <v>0</v>
      </c>
    </row>
    <row r="117" spans="3:29" hidden="1" x14ac:dyDescent="0.25">
      <c r="C117">
        <v>129501</v>
      </c>
      <c r="D117">
        <f>IFERROR(VLOOKUP($A$4&amp;$D$4&amp;C117,BalancesAnuales1!$A$2:$E$20009,5,0)+0,0)/A6</f>
        <v>0</v>
      </c>
      <c r="E117">
        <f>IFERROR(VLOOKUP($A$4&amp;$E$4&amp;C117,BalancesAnuales1!$A$2:$E$20009,5,0)+0,0)/A6</f>
        <v>0</v>
      </c>
      <c r="F117">
        <f>IFERROR(VLOOKUP($A$4&amp;$F$4&amp;C117,BalancesAnuales1!$A$2:$E$20009,5,0)+0,0)/A6</f>
        <v>0</v>
      </c>
      <c r="G117">
        <f>IFERROR(VLOOKUP($A$4&amp;$G$4&amp;C117,BalancesMensuales1!$A$2:$E$20009,5,0)+0,0)/A6</f>
        <v>0</v>
      </c>
      <c r="H117">
        <f>IFERROR(VLOOKUP($A$4&amp;$H$4&amp;C117,BalancesMensuales1!$A$2:$E$20009,5,0)+0,0)/A6</f>
        <v>0</v>
      </c>
      <c r="Z117">
        <f t="shared" si="18"/>
        <v>0</v>
      </c>
      <c r="AA117">
        <f>ProductosRIB!A55</f>
        <v>0</v>
      </c>
      <c r="AB117" t="str">
        <f>PROPER(ProductosRIB!D55&amp;IF(ProductosRIB!F55="",""," - Marca: "&amp;ProductosRIB!F55))</f>
        <v/>
      </c>
      <c r="AC117">
        <f>ProductosRIB!E55</f>
        <v>0</v>
      </c>
    </row>
    <row r="118" spans="3:29" hidden="1" x14ac:dyDescent="0.25">
      <c r="C118">
        <v>129701</v>
      </c>
      <c r="D118">
        <f>IFERROR(VLOOKUP($A$4&amp;$D$4&amp;C118,BalancesAnuales1!$A$2:$E$20009,5,0)+0,0)/A6</f>
        <v>0</v>
      </c>
      <c r="E118">
        <f>IFERROR(VLOOKUP($A$4&amp;$E$4&amp;C118,BalancesAnuales1!$A$2:$E$20009,5,0)+0,0)/A6</f>
        <v>0</v>
      </c>
      <c r="F118">
        <f>IFERROR(VLOOKUP($A$4&amp;$F$4&amp;C118,BalancesAnuales1!$A$2:$E$20009,5,0)+0,0)/A6</f>
        <v>0</v>
      </c>
      <c r="G118">
        <f>IFERROR(VLOOKUP($A$4&amp;$G$4&amp;C118,BalancesMensuales1!$A$2:$E$20009,5,0)+0,0)/A6</f>
        <v>0</v>
      </c>
      <c r="H118">
        <f>IFERROR(VLOOKUP($A$4&amp;$H$4&amp;C118,BalancesMensuales1!$A$2:$E$20009,5,0)+0,0)/A6</f>
        <v>0</v>
      </c>
      <c r="Z118">
        <f t="shared" si="18"/>
        <v>0</v>
      </c>
      <c r="AA118">
        <f>ProductosRIB!A56</f>
        <v>0</v>
      </c>
      <c r="AB118" t="str">
        <f>PROPER(ProductosRIB!D56&amp;IF(ProductosRIB!F56="",""," - Marca: "&amp;ProductosRIB!F56))</f>
        <v/>
      </c>
      <c r="AC118">
        <f>ProductosRIB!E56</f>
        <v>0</v>
      </c>
    </row>
    <row r="119" spans="3:29" hidden="1" x14ac:dyDescent="0.25">
      <c r="C119">
        <v>129901</v>
      </c>
      <c r="D119">
        <f>IFERROR(VLOOKUP($A$4&amp;$D$4&amp;C119,BalancesAnuales1!$A$2:$E$20009,5,0)+0,0)/A6</f>
        <v>0</v>
      </c>
      <c r="E119">
        <f>IFERROR(VLOOKUP($A$4&amp;$E$4&amp;C119,BalancesAnuales1!$A$2:$E$20009,5,0)+0,0)/A6</f>
        <v>0</v>
      </c>
      <c r="F119">
        <f>IFERROR(VLOOKUP($A$4&amp;$F$4&amp;C119,BalancesAnuales1!$A$2:$E$20009,5,0)+0,0)/A6</f>
        <v>0</v>
      </c>
      <c r="G119">
        <f>IFERROR(VLOOKUP($A$4&amp;$G$4&amp;C119,BalancesMensuales1!$A$2:$E$20009,5,0)+0,0)/A6</f>
        <v>0</v>
      </c>
      <c r="H119">
        <f>IFERROR(VLOOKUP($A$4&amp;$H$4&amp;C119,BalancesMensuales1!$A$2:$E$20009,5,0)+0,0)/A6</f>
        <v>0</v>
      </c>
      <c r="Z119">
        <f t="shared" si="18"/>
        <v>0</v>
      </c>
      <c r="AA119">
        <f>ProductosRIB!A57</f>
        <v>0</v>
      </c>
      <c r="AB119" t="str">
        <f>PROPER(ProductosRIB!D57&amp;IF(ProductosRIB!F57="",""," - Marca: "&amp;ProductosRIB!F57))</f>
        <v/>
      </c>
      <c r="AC119">
        <f>ProductosRIB!E57</f>
        <v>0</v>
      </c>
    </row>
    <row r="120" spans="3:29" hidden="1" x14ac:dyDescent="0.25">
      <c r="C120">
        <v>1203</v>
      </c>
      <c r="D120">
        <f>IFERROR(VLOOKUP($A$4&amp;$D$4&amp;C120,BalancesAnuales1!$A$2:$E$20009,5,0)+0,0)/A6</f>
        <v>0</v>
      </c>
      <c r="E120">
        <f>IFERROR(VLOOKUP($A$4&amp;$E$4&amp;C120,BalancesAnuales1!$A$2:$E$20009,5,0)+0,0)/A6</f>
        <v>0</v>
      </c>
      <c r="F120">
        <f>IFERROR(VLOOKUP($A$4&amp;$F$4&amp;C120,BalancesAnuales1!$A$2:$E$20009,5,0)+0,0)/A6</f>
        <v>0</v>
      </c>
      <c r="G120">
        <f>IFERROR(VLOOKUP($A$4&amp;$G$4&amp;C120,BalancesMensuales1!$A$2:$E$20009,5,0)+0,0)/A6</f>
        <v>0</v>
      </c>
      <c r="H120">
        <f>IFERROR(VLOOKUP($A$4&amp;$H$4&amp;C120,BalancesMensuales1!$A$2:$E$20009,5,0)+0,0)/A6</f>
        <v>0</v>
      </c>
      <c r="Z120">
        <f t="shared" si="18"/>
        <v>0</v>
      </c>
      <c r="AA120">
        <f>ProductosRIB!A58</f>
        <v>0</v>
      </c>
      <c r="AB120" t="str">
        <f>PROPER(ProductosRIB!D58&amp;IF(ProductosRIB!F58="",""," - Marca: "&amp;ProductosRIB!F58))</f>
        <v/>
      </c>
      <c r="AC120">
        <f>ProductosRIB!E58</f>
        <v>0</v>
      </c>
    </row>
    <row r="121" spans="3:29" hidden="1" x14ac:dyDescent="0.25">
      <c r="C121">
        <v>120610</v>
      </c>
      <c r="D121">
        <f>IFERROR(VLOOKUP($A$4&amp;$D$4&amp;C121,BalancesAnuales1!$A$2:$E$20009,5,0)+0,0)/A6</f>
        <v>0</v>
      </c>
      <c r="E121">
        <f>IFERROR(VLOOKUP($A$4&amp;$E$4&amp;C121,BalancesAnuales1!$A$2:$E$20009,5,0)+0,0)/A6</f>
        <v>0</v>
      </c>
      <c r="F121">
        <f>IFERROR(VLOOKUP($A$4&amp;$F$4&amp;C121,BalancesAnuales1!$A$2:$E$20009,5,0)+0,0)/A6</f>
        <v>0</v>
      </c>
      <c r="G121">
        <f>IFERROR(VLOOKUP($A$4&amp;$G$4&amp;C121,BalancesMensuales1!$A$2:$E$20009,5,0)+0,0)/A6</f>
        <v>0</v>
      </c>
      <c r="H121">
        <f>IFERROR(VLOOKUP($A$4&amp;$H$4&amp;C121,BalancesMensuales1!$A$2:$E$20009,5,0)+0,0)/A6</f>
        <v>0</v>
      </c>
      <c r="Z121">
        <f t="shared" si="18"/>
        <v>0</v>
      </c>
      <c r="AA121">
        <f>ProductosRIB!A59</f>
        <v>0</v>
      </c>
      <c r="AB121" t="str">
        <f>PROPER(ProductosRIB!D59&amp;IF(ProductosRIB!F59="",""," - Marca: "&amp;ProductosRIB!F59))</f>
        <v/>
      </c>
      <c r="AC121">
        <f>ProductosRIB!E59</f>
        <v>0</v>
      </c>
    </row>
    <row r="122" spans="3:29" hidden="1" x14ac:dyDescent="0.25">
      <c r="C122">
        <v>120615</v>
      </c>
      <c r="D122">
        <f>IFERROR(VLOOKUP($A$4&amp;$D$4&amp;C122,BalancesAnuales1!$A$2:$E$20009,5,0)+0,0)/A6</f>
        <v>0</v>
      </c>
      <c r="E122">
        <f>IFERROR(VLOOKUP($A$4&amp;$E$4&amp;C122,BalancesAnuales1!$A$2:$E$20009,5,0)+0,0)/A6</f>
        <v>0</v>
      </c>
      <c r="F122">
        <f>IFERROR(VLOOKUP($A$4&amp;$F$4&amp;C122,BalancesAnuales1!$A$2:$E$20009,5,0)+0,0)/A6</f>
        <v>0</v>
      </c>
      <c r="G122">
        <f>IFERROR(VLOOKUP($A$4&amp;$G$4&amp;C122,BalancesMensuales1!$A$2:$E$20009,5,0)+0,0)/A6</f>
        <v>0</v>
      </c>
      <c r="H122">
        <f>IFERROR(VLOOKUP($A$4&amp;$H$4&amp;C122,BalancesMensuales1!$A$2:$E$20009,5,0)+0,0)/A6</f>
        <v>0</v>
      </c>
      <c r="Z122">
        <f t="shared" si="18"/>
        <v>0</v>
      </c>
      <c r="AA122">
        <f>ProductosRIB!A60</f>
        <v>0</v>
      </c>
      <c r="AB122" t="str">
        <f>PROPER(ProductosRIB!D60&amp;IF(ProductosRIB!F60="",""," - Marca: "&amp;ProductosRIB!F60))</f>
        <v/>
      </c>
      <c r="AC122">
        <f>ProductosRIB!E60</f>
        <v>0</v>
      </c>
    </row>
    <row r="123" spans="3:29" hidden="1" x14ac:dyDescent="0.25">
      <c r="C123">
        <v>173001</v>
      </c>
      <c r="D123">
        <f>IFERROR(VLOOKUP($A$4&amp;$D$4&amp;C123,BalancesAnuales1!$A$2:$E$20009,5,0)+0,0)/A6</f>
        <v>0</v>
      </c>
      <c r="E123">
        <f>IFERROR(VLOOKUP($A$4&amp;$E$4&amp;C123,BalancesAnuales1!$A$2:$E$20009,5,0)+0,0)/A6</f>
        <v>0</v>
      </c>
      <c r="F123">
        <f>IFERROR(VLOOKUP($A$4&amp;$F$4&amp;C123,BalancesAnuales1!$A$2:$E$20009,5,0)+0,0)/A6</f>
        <v>0</v>
      </c>
      <c r="G123">
        <f>IFERROR(VLOOKUP($A$4&amp;$G$4&amp;C123,BalancesMensuales1!$A$2:$E$20009,5,0)+0,0)/A6</f>
        <v>0</v>
      </c>
      <c r="H123">
        <f>IFERROR(VLOOKUP($A$4&amp;$H$4&amp;C123,BalancesMensuales1!$A$2:$E$20009,5,0)+0,0)/A6</f>
        <v>0</v>
      </c>
      <c r="Z123">
        <f t="shared" si="18"/>
        <v>0</v>
      </c>
      <c r="AA123">
        <f>ProductosRIB!A61</f>
        <v>0</v>
      </c>
      <c r="AB123" t="str">
        <f>PROPER(ProductosRIB!D61&amp;IF(ProductosRIB!F61="",""," - Marca: "&amp;ProductosRIB!F61))</f>
        <v/>
      </c>
      <c r="AC123">
        <f>ProductosRIB!E61</f>
        <v>0</v>
      </c>
    </row>
    <row r="124" spans="3:29" hidden="1" x14ac:dyDescent="0.25">
      <c r="C124">
        <v>120620</v>
      </c>
      <c r="D124">
        <f>IFERROR(VLOOKUP($A$4&amp;$D$4&amp;C124,BalancesAnuales1!$A$2:$E$20009,5,0)+0,0)/A6</f>
        <v>0</v>
      </c>
      <c r="E124">
        <f>IFERROR(VLOOKUP($A$4&amp;$E$4&amp;C124,BalancesAnuales1!$A$2:$E$20009,5,0)+0,0)/A6</f>
        <v>0</v>
      </c>
      <c r="F124">
        <f>IFERROR(VLOOKUP($A$4&amp;$F$4&amp;C124,BalancesAnuales1!$A$2:$E$20009,5,0)+0,0)/A6</f>
        <v>0</v>
      </c>
      <c r="G124">
        <f>IFERROR(VLOOKUP($A$4&amp;$G$4&amp;C124,BalancesMensuales1!$A$2:$E$20009,5,0)+0,0)/A6</f>
        <v>0</v>
      </c>
      <c r="H124">
        <f>IFERROR(VLOOKUP($A$4&amp;$H$4&amp;C124,BalancesMensuales1!$A$2:$E$20009,5,0)+0,0)/A6</f>
        <v>0</v>
      </c>
      <c r="Z124">
        <f t="shared" si="18"/>
        <v>0</v>
      </c>
      <c r="AA124">
        <f>ProductosRIB!A62</f>
        <v>0</v>
      </c>
      <c r="AB124" t="str">
        <f>PROPER(ProductosRIB!D62&amp;IF(ProductosRIB!F62="",""," - Marca: "&amp;ProductosRIB!F62))</f>
        <v/>
      </c>
      <c r="AC124">
        <f>ProductosRIB!E62</f>
        <v>0</v>
      </c>
    </row>
    <row r="125" spans="3:29" hidden="1" x14ac:dyDescent="0.25">
      <c r="C125">
        <v>179701</v>
      </c>
      <c r="D125">
        <f>IFERROR(VLOOKUP($A$4&amp;$D$4&amp;C125,BalancesAnuales1!$A$2:$E$20009,5,0)+0,0)/A6</f>
        <v>0</v>
      </c>
      <c r="E125">
        <f>IFERROR(VLOOKUP($A$4&amp;$E$4&amp;C125,BalancesAnuales1!$A$2:$E$20009,5,0)+0,0)/A6</f>
        <v>0</v>
      </c>
      <c r="F125">
        <f>IFERROR(VLOOKUP($A$4&amp;$F$4&amp;C125,BalancesAnuales1!$A$2:$E$20009,5,0)+0,0)/A6</f>
        <v>0</v>
      </c>
      <c r="G125">
        <f>IFERROR(VLOOKUP($A$4&amp;$G$4&amp;C125,BalancesMensuales1!$A$2:$E$20009,5,0)+0,0)/A6</f>
        <v>0</v>
      </c>
      <c r="H125">
        <f>IFERROR(VLOOKUP($A$4&amp;$H$4&amp;C125,BalancesMensuales1!$A$2:$E$20009,5,0)+0,0)/A6</f>
        <v>0</v>
      </c>
      <c r="Z125">
        <f t="shared" si="18"/>
        <v>0</v>
      </c>
      <c r="AA125">
        <f>ProductosRIB!A63</f>
        <v>0</v>
      </c>
      <c r="AB125" t="str">
        <f>PROPER(ProductosRIB!D63&amp;IF(ProductosRIB!F63="",""," - Marca: "&amp;ProductosRIB!F63))</f>
        <v/>
      </c>
      <c r="AC125">
        <f>ProductosRIB!E63</f>
        <v>0</v>
      </c>
    </row>
    <row r="126" spans="3:29" hidden="1" x14ac:dyDescent="0.25">
      <c r="C126">
        <v>179801</v>
      </c>
      <c r="D126">
        <f>IFERROR(VLOOKUP($A$4&amp;$D$4&amp;C126,BalancesAnuales1!$A$2:$E$20009,5,0)+0,0)/A6</f>
        <v>0</v>
      </c>
      <c r="E126">
        <f>IFERROR(VLOOKUP($A$4&amp;$E$4&amp;C126,BalancesAnuales1!$A$2:$E$20009,5,0)+0,0)/A6</f>
        <v>0</v>
      </c>
      <c r="F126">
        <f>IFERROR(VLOOKUP($A$4&amp;$F$4&amp;C126,BalancesAnuales1!$A$2:$E$20009,5,0)+0,0)/A6</f>
        <v>0</v>
      </c>
      <c r="G126">
        <f>IFERROR(VLOOKUP($A$4&amp;$G$4&amp;C126,BalancesMensuales1!$A$2:$E$20009,5,0)+0,0)/A6</f>
        <v>0</v>
      </c>
      <c r="H126">
        <f>IFERROR(VLOOKUP($A$4&amp;$H$4&amp;C126,BalancesMensuales1!$A$2:$E$20009,5,0)+0,0)/A6</f>
        <v>0</v>
      </c>
      <c r="Z126">
        <f t="shared" si="18"/>
        <v>0</v>
      </c>
      <c r="AA126">
        <f>ProductosRIB!A64</f>
        <v>0</v>
      </c>
      <c r="AB126" t="str">
        <f>PROPER(ProductosRIB!D64&amp;IF(ProductosRIB!F64="",""," - Marca: "&amp;ProductosRIB!F64))</f>
        <v/>
      </c>
      <c r="AC126">
        <f>ProductosRIB!E64</f>
        <v>0</v>
      </c>
    </row>
    <row r="127" spans="3:29" hidden="1" x14ac:dyDescent="0.25">
      <c r="C127">
        <v>1206</v>
      </c>
      <c r="D127">
        <f>IFERROR(VLOOKUP($A$4&amp;$D$4&amp;C127,BalancesAnuales1!$A$2:$E$20009,5,0)+0,0)/A6</f>
        <v>0</v>
      </c>
      <c r="E127">
        <f>IFERROR(VLOOKUP($A$4&amp;$E$4&amp;C127,BalancesAnuales1!$A$2:$E$20009,5,0)+0,0)/A6</f>
        <v>0</v>
      </c>
      <c r="F127">
        <f>IFERROR(VLOOKUP($A$4&amp;$F$4&amp;C127,BalancesAnuales1!$A$2:$E$20009,5,0)+0,0)/A6</f>
        <v>0</v>
      </c>
      <c r="G127">
        <f>IFERROR(VLOOKUP($A$4&amp;$G$4&amp;C127,BalancesMensuales1!$A$2:$E$20009,5,0)+0,0)/A6</f>
        <v>0</v>
      </c>
      <c r="H127">
        <f>IFERROR(VLOOKUP($A$4&amp;$H$4&amp;C127,BalancesMensuales1!$A$2:$E$20009,5,0)+0,0)/A6</f>
        <v>0</v>
      </c>
      <c r="Z127">
        <f t="shared" si="18"/>
        <v>0</v>
      </c>
      <c r="AA127">
        <f>ProductosRIB!A65</f>
        <v>0</v>
      </c>
      <c r="AB127" t="str">
        <f>PROPER(ProductosRIB!D65&amp;IF(ProductosRIB!F65="",""," - Marca: "&amp;ProductosRIB!F65))</f>
        <v/>
      </c>
      <c r="AC127">
        <f>ProductosRIB!E65</f>
        <v>0</v>
      </c>
    </row>
    <row r="128" spans="3:29" hidden="1" x14ac:dyDescent="0.25">
      <c r="C128">
        <v>160501</v>
      </c>
      <c r="D128">
        <f>IFERROR(VLOOKUP($A$4&amp;$D$4&amp;C128,BalancesAnuales1!$A$2:$E$20009,5,0)+0,0)/A6</f>
        <v>0</v>
      </c>
      <c r="E128">
        <f>IFERROR(VLOOKUP($A$4&amp;$E$4&amp;C128,BalancesAnuales1!$A$2:$E$20009,5,0)+0,0)/A6</f>
        <v>0</v>
      </c>
      <c r="F128">
        <f>IFERROR(VLOOKUP($A$4&amp;$F$4&amp;C128,BalancesAnuales1!$A$2:$E$20009,5,0)+0,0)/A6</f>
        <v>0</v>
      </c>
      <c r="G128">
        <f>IFERROR(VLOOKUP($A$4&amp;$G$4&amp;C128,BalancesMensuales1!$A$2:$E$20009,5,0)+0,0)/A6</f>
        <v>0</v>
      </c>
      <c r="H128">
        <f>IFERROR(VLOOKUP($A$4&amp;$H$4&amp;C128,BalancesMensuales1!$A$2:$E$20009,5,0)+0,0)/A6</f>
        <v>0</v>
      </c>
      <c r="Z128">
        <f t="shared" si="18"/>
        <v>0</v>
      </c>
      <c r="AA128">
        <f>ProductosRIB!A66</f>
        <v>0</v>
      </c>
      <c r="AB128" t="str">
        <f>PROPER(ProductosRIB!D66&amp;IF(ProductosRIB!F66="",""," - Marca: "&amp;ProductosRIB!F66))</f>
        <v/>
      </c>
      <c r="AC128">
        <f>ProductosRIB!E66</f>
        <v>0</v>
      </c>
    </row>
    <row r="129" spans="3:29" hidden="1" x14ac:dyDescent="0.25">
      <c r="C129">
        <v>161001</v>
      </c>
      <c r="D129">
        <f>IFERROR(VLOOKUP($A$4&amp;$D$4&amp;C129,BalancesAnuales1!$A$2:$E$20009,5,0)+0,0)/A6</f>
        <v>0</v>
      </c>
      <c r="E129">
        <f>IFERROR(VLOOKUP($A$4&amp;$E$4&amp;C129,BalancesAnuales1!$A$2:$E$20009,5,0)+0,0)/A6</f>
        <v>0</v>
      </c>
      <c r="F129">
        <f>IFERROR(VLOOKUP($A$4&amp;$F$4&amp;C129,BalancesAnuales1!$A$2:$E$20009,5,0)+0,0)/A6</f>
        <v>0</v>
      </c>
      <c r="G129">
        <f>IFERROR(VLOOKUP($A$4&amp;$G$4&amp;C129,BalancesMensuales1!$A$2:$E$20009,5,0)+0,0)/A6</f>
        <v>0</v>
      </c>
      <c r="H129">
        <f>IFERROR(VLOOKUP($A$4&amp;$H$4&amp;C129,BalancesMensuales1!$A$2:$E$20009,5,0)+0,0)/A6</f>
        <v>0</v>
      </c>
      <c r="Z129">
        <f t="shared" ref="Z129:Z160" si="19">IF(AA129=$A$4,Z128+1,0)</f>
        <v>0</v>
      </c>
      <c r="AA129">
        <f>ProductosRIB!A67</f>
        <v>0</v>
      </c>
      <c r="AB129" t="str">
        <f>PROPER(ProductosRIB!D67&amp;IF(ProductosRIB!F67="",""," - Marca: "&amp;ProductosRIB!F67))</f>
        <v/>
      </c>
      <c r="AC129">
        <f>ProductosRIB!E67</f>
        <v>0</v>
      </c>
    </row>
    <row r="130" spans="3:29" hidden="1" x14ac:dyDescent="0.25">
      <c r="C130">
        <v>163001</v>
      </c>
      <c r="D130">
        <f>IFERROR(VLOOKUP($A$4&amp;$D$4&amp;C130,BalancesAnuales1!$A$2:$E$20009,5,0)+0,0)/A6</f>
        <v>0</v>
      </c>
      <c r="E130">
        <f>IFERROR(VLOOKUP($A$4&amp;$E$4&amp;C130,BalancesAnuales1!$A$2:$E$20009,5,0)+0,0)/A6</f>
        <v>0</v>
      </c>
      <c r="F130">
        <f>IFERROR(VLOOKUP($A$4&amp;$F$4&amp;C130,BalancesAnuales1!$A$2:$E$20009,5,0)+0,0)/A6</f>
        <v>0</v>
      </c>
      <c r="G130">
        <f>IFERROR(VLOOKUP($A$4&amp;$G$4&amp;C130,BalancesMensuales1!$A$2:$E$20009,5,0)+0,0)/A6</f>
        <v>0</v>
      </c>
      <c r="H130">
        <f>IFERROR(VLOOKUP($A$4&amp;$H$4&amp;C130,BalancesMensuales1!$A$2:$E$20009,5,0)+0,0)/A6</f>
        <v>0</v>
      </c>
      <c r="Z130">
        <f t="shared" si="19"/>
        <v>0</v>
      </c>
      <c r="AA130">
        <f>ProductosRIB!A68</f>
        <v>0</v>
      </c>
      <c r="AB130" t="str">
        <f>PROPER(ProductosRIB!D68&amp;IF(ProductosRIB!F68="",""," - Marca: "&amp;ProductosRIB!F68))</f>
        <v/>
      </c>
      <c r="AC130">
        <f>ProductosRIB!E68</f>
        <v>0</v>
      </c>
    </row>
    <row r="131" spans="3:29" hidden="1" x14ac:dyDescent="0.25">
      <c r="C131">
        <v>164001</v>
      </c>
      <c r="D131">
        <f>IFERROR(VLOOKUP($A$4&amp;$D$4&amp;C131,BalancesAnuales1!$A$2:$E$20009,5,0)+0,0)/A6</f>
        <v>0</v>
      </c>
      <c r="E131">
        <f>IFERROR(VLOOKUP($A$4&amp;$E$4&amp;C131,BalancesAnuales1!$A$2:$E$20009,5,0)+0,0)/A6</f>
        <v>0</v>
      </c>
      <c r="F131">
        <f>IFERROR(VLOOKUP($A$4&amp;$F$4&amp;C131,BalancesAnuales1!$A$2:$E$20009,5,0)+0,0)/A6</f>
        <v>0</v>
      </c>
      <c r="G131">
        <f>IFERROR(VLOOKUP($A$4&amp;$G$4&amp;C131,BalancesMensuales1!$A$2:$E$20009,5,0)+0,0)/A6</f>
        <v>0</v>
      </c>
      <c r="H131">
        <f>IFERROR(VLOOKUP($A$4&amp;$H$4&amp;C131,BalancesMensuales1!$A$2:$E$20009,5,0)+0,0)/A6</f>
        <v>0</v>
      </c>
      <c r="Z131">
        <f t="shared" si="19"/>
        <v>0</v>
      </c>
      <c r="AA131">
        <f>ProductosRIB!A69</f>
        <v>0</v>
      </c>
      <c r="AB131" t="str">
        <f>PROPER(ProductosRIB!D69&amp;IF(ProductosRIB!F69="",""," - Marca: "&amp;ProductosRIB!F69))</f>
        <v/>
      </c>
      <c r="AC131">
        <f>ProductosRIB!E69</f>
        <v>0</v>
      </c>
    </row>
    <row r="132" spans="3:29" hidden="1" x14ac:dyDescent="0.25">
      <c r="C132">
        <v>109801</v>
      </c>
      <c r="D132">
        <f>IFERROR(VLOOKUP($A$4&amp;$D$4&amp;C132,BalancesAnuales1!$A$2:$E$20009,5,0)+0,0)/A6</f>
        <v>0</v>
      </c>
      <c r="E132">
        <f>IFERROR(VLOOKUP($A$4&amp;$E$4&amp;C132,BalancesAnuales1!$A$2:$E$20009,5,0)+0,0)/A6</f>
        <v>0</v>
      </c>
      <c r="F132">
        <f>IFERROR(VLOOKUP($A$4&amp;$F$4&amp;C132,BalancesAnuales1!$A$2:$E$20009,5,0)+0,0)/A6</f>
        <v>0</v>
      </c>
      <c r="G132">
        <f>IFERROR(VLOOKUP($A$4&amp;$G$4&amp;C132,BalancesMensuales1!$A$2:$E$20009,5,0)+0,0)/A6</f>
        <v>0</v>
      </c>
      <c r="H132">
        <f>IFERROR(VLOOKUP($A$4&amp;$H$4&amp;C132,BalancesMensuales1!$A$2:$E$20009,5,0)+0,0)/A6</f>
        <v>0</v>
      </c>
      <c r="Z132">
        <f t="shared" si="19"/>
        <v>0</v>
      </c>
      <c r="AA132">
        <f>ProductosRIB!A70</f>
        <v>0</v>
      </c>
      <c r="AB132" t="str">
        <f>PROPER(ProductosRIB!D70&amp;IF(ProductosRIB!F70="",""," - Marca: "&amp;ProductosRIB!F70))</f>
        <v/>
      </c>
      <c r="AC132">
        <f>ProductosRIB!E70</f>
        <v>0</v>
      </c>
    </row>
    <row r="133" spans="3:29" hidden="1" x14ac:dyDescent="0.25">
      <c r="C133">
        <v>169899</v>
      </c>
      <c r="D133">
        <f>IFERROR(VLOOKUP($A$4&amp;$D$4&amp;C133,BalancesAnuales1!$A$2:$E$20009,5,0)+0,0)/A6</f>
        <v>0</v>
      </c>
      <c r="E133">
        <f>IFERROR(VLOOKUP($A$4&amp;$E$4&amp;C133,BalancesAnuales1!$A$2:$E$20009,5,0)+0,0)/A6</f>
        <v>0</v>
      </c>
      <c r="F133">
        <f>IFERROR(VLOOKUP($A$4&amp;$F$4&amp;C133,BalancesAnuales1!$A$2:$E$20009,5,0)+0,0)/A6</f>
        <v>0</v>
      </c>
      <c r="G133">
        <f>IFERROR(VLOOKUP($A$4&amp;$G$4&amp;C133,BalancesMensuales1!$A$2:$E$20009,5,0)+0,0)/A6</f>
        <v>0</v>
      </c>
      <c r="H133">
        <f>IFERROR(VLOOKUP($A$4&amp;$H$4&amp;C133,BalancesMensuales1!$A$2:$E$20009,5,0)+0,0)/A6</f>
        <v>0</v>
      </c>
      <c r="Z133">
        <f t="shared" si="19"/>
        <v>0</v>
      </c>
      <c r="AA133">
        <f>ProductosRIB!A71</f>
        <v>0</v>
      </c>
      <c r="AB133" t="str">
        <f>PROPER(ProductosRIB!D71&amp;IF(ProductosRIB!F71="",""," - Marca: "&amp;ProductosRIB!F71))</f>
        <v/>
      </c>
      <c r="AC133">
        <f>ProductosRIB!E71</f>
        <v>0</v>
      </c>
    </row>
    <row r="134" spans="3:29" hidden="1" x14ac:dyDescent="0.25">
      <c r="C134">
        <v>169901</v>
      </c>
      <c r="D134">
        <f>IFERROR(VLOOKUP($A$4&amp;$D$4&amp;C134,BalancesAnuales1!$A$2:$E$20009,5,0)+0,0)/A6</f>
        <v>0</v>
      </c>
      <c r="E134">
        <f>IFERROR(VLOOKUP($A$4&amp;$E$4&amp;C134,BalancesAnuales1!$A$2:$E$20009,5,0)+0,0)/A6</f>
        <v>0</v>
      </c>
      <c r="F134">
        <f>IFERROR(VLOOKUP($A$4&amp;$F$4&amp;C134,BalancesAnuales1!$A$2:$E$20009,5,0)+0,0)/A6</f>
        <v>0</v>
      </c>
      <c r="G134">
        <f>IFERROR(VLOOKUP($A$4&amp;$G$4&amp;C134,BalancesMensuales1!$A$2:$E$20009,5,0)+0,0)/A6</f>
        <v>0</v>
      </c>
      <c r="H134">
        <f>IFERROR(VLOOKUP($A$4&amp;$H$4&amp;C134,BalancesMensuales1!$A$2:$E$20009,5,0)+0,0)/A6</f>
        <v>0</v>
      </c>
      <c r="Z134">
        <f t="shared" si="19"/>
        <v>0</v>
      </c>
      <c r="AA134">
        <f>ProductosRIB!A72</f>
        <v>0</v>
      </c>
      <c r="AB134" t="str">
        <f>PROPER(ProductosRIB!D72&amp;IF(ProductosRIB!F72="",""," - Marca: "&amp;ProductosRIB!F72))</f>
        <v/>
      </c>
      <c r="AC134">
        <f>ProductosRIB!E72</f>
        <v>0</v>
      </c>
    </row>
    <row r="135" spans="3:29" hidden="1" x14ac:dyDescent="0.25">
      <c r="C135">
        <v>1202</v>
      </c>
      <c r="D135">
        <f>IFERROR(VLOOKUP($A$4&amp;$D$4&amp;C135,BalancesAnuales1!$A$2:$E$20009,5,0)+0,0)/A6</f>
        <v>0</v>
      </c>
      <c r="E135">
        <f>IFERROR(VLOOKUP($A$4&amp;$E$4&amp;C135,BalancesAnuales1!$A$2:$E$20009,5,0)+0,0)/A6</f>
        <v>0</v>
      </c>
      <c r="F135">
        <f>IFERROR(VLOOKUP($A$4&amp;$F$4&amp;C135,BalancesAnuales1!$A$2:$E$20009,5,0)+0,0)/A6</f>
        <v>0</v>
      </c>
      <c r="G135">
        <f>IFERROR(VLOOKUP($A$4&amp;$G$4&amp;C135,BalancesMensuales1!$A$2:$E$20009,5,0)+0,0)/A6</f>
        <v>0</v>
      </c>
      <c r="H135">
        <f>IFERROR(VLOOKUP($A$4&amp;$H$4&amp;C135,BalancesMensuales1!$A$2:$E$20009,5,0)+0,0)/A6</f>
        <v>0</v>
      </c>
      <c r="Z135">
        <f t="shared" si="19"/>
        <v>0</v>
      </c>
      <c r="AA135">
        <f>ProductosRIB!A73</f>
        <v>0</v>
      </c>
      <c r="AB135" t="str">
        <f>PROPER(ProductosRIB!D73&amp;IF(ProductosRIB!F73="",""," - Marca: "&amp;ProductosRIB!F73))</f>
        <v/>
      </c>
      <c r="AC135">
        <f>ProductosRIB!E73</f>
        <v>0</v>
      </c>
    </row>
    <row r="136" spans="3:29" hidden="1" x14ac:dyDescent="0.25">
      <c r="C136">
        <v>180501</v>
      </c>
      <c r="D136">
        <f>IFERROR(VLOOKUP($A$4&amp;$D$4&amp;C136,BalancesAnuales1!$A$2:$E$20009,5,0)+0,0)/A6</f>
        <v>0</v>
      </c>
      <c r="E136">
        <f>IFERROR(VLOOKUP($A$4&amp;$E$4&amp;C136,BalancesAnuales1!$A$2:$E$20009,5,0)+0,0)/A6</f>
        <v>0</v>
      </c>
      <c r="F136">
        <f>IFERROR(VLOOKUP($A$4&amp;$F$4&amp;C136,BalancesAnuales1!$A$2:$E$20009,5,0)+0,0)/A6</f>
        <v>0</v>
      </c>
      <c r="G136">
        <f>IFERROR(VLOOKUP($A$4&amp;$G$4&amp;C136,BalancesMensuales1!$A$2:$E$20009,5,0)+0,0)/A6</f>
        <v>0</v>
      </c>
      <c r="H136">
        <f>IFERROR(VLOOKUP($A$4&amp;$H$4&amp;C136,BalancesMensuales1!$A$2:$E$20009,5,0)+0,0)/A6</f>
        <v>0</v>
      </c>
      <c r="Z136">
        <f t="shared" si="19"/>
        <v>0</v>
      </c>
      <c r="AA136">
        <f>ProductosRIB!A74</f>
        <v>0</v>
      </c>
      <c r="AB136" t="str">
        <f>PROPER(ProductosRIB!D74&amp;IF(ProductosRIB!F74="",""," - Marca: "&amp;ProductosRIB!F74))</f>
        <v/>
      </c>
      <c r="AC136">
        <f>ProductosRIB!E74</f>
        <v>0</v>
      </c>
    </row>
    <row r="137" spans="3:29" hidden="1" x14ac:dyDescent="0.25">
      <c r="C137">
        <v>189501</v>
      </c>
      <c r="D137">
        <f>IFERROR(VLOOKUP($A$4&amp;$D$4&amp;C137,BalancesAnuales1!$A$2:$E$20009,5,0)+0,0)/A6</f>
        <v>0</v>
      </c>
      <c r="E137">
        <f>IFERROR(VLOOKUP($A$4&amp;$E$4&amp;C137,BalancesAnuales1!$A$2:$E$20009,5,0)+0,0)/A6</f>
        <v>0</v>
      </c>
      <c r="F137">
        <f>IFERROR(VLOOKUP($A$4&amp;$F$4&amp;C137,BalancesAnuales1!$A$2:$E$20009,5,0)+0,0)/A6</f>
        <v>0</v>
      </c>
      <c r="G137">
        <f>IFERROR(VLOOKUP($A$4&amp;$G$4&amp;C137,BalancesMensuales1!$A$2:$E$20009,5,0)+0,0)/A6</f>
        <v>0</v>
      </c>
      <c r="H137">
        <f>IFERROR(VLOOKUP($A$4&amp;$H$4&amp;C137,BalancesMensuales1!$A$2:$E$20009,5,0)+0,0)/A6</f>
        <v>0</v>
      </c>
      <c r="Z137">
        <f t="shared" si="19"/>
        <v>0</v>
      </c>
      <c r="AA137">
        <f>ProductosRIB!A75</f>
        <v>0</v>
      </c>
      <c r="AB137" t="str">
        <f>PROPER(ProductosRIB!D75&amp;IF(ProductosRIB!F75="",""," - Marca: "&amp;ProductosRIB!F75))</f>
        <v/>
      </c>
      <c r="AC137">
        <f>ProductosRIB!E75</f>
        <v>0</v>
      </c>
    </row>
    <row r="138" spans="3:29" hidden="1" x14ac:dyDescent="0.25">
      <c r="C138">
        <v>189520</v>
      </c>
      <c r="D138">
        <f>IFERROR(VLOOKUP($A$4&amp;$D$4&amp;C138,BalancesAnuales1!$A$2:$E$20009,5,0)+0,0)/A6</f>
        <v>0</v>
      </c>
      <c r="E138">
        <f>IFERROR(VLOOKUP($A$4&amp;$E$4&amp;C138,BalancesAnuales1!$A$2:$E$20009,5,0)+0,0)/A6</f>
        <v>0</v>
      </c>
      <c r="F138">
        <f>IFERROR(VLOOKUP($A$4&amp;$F$4&amp;C138,BalancesAnuales1!$A$2:$E$20009,5,0)+0,0)/A6</f>
        <v>0</v>
      </c>
      <c r="G138">
        <f>IFERROR(VLOOKUP($A$4&amp;$G$4&amp;C138,BalancesMensuales1!$A$2:$E$20009,5,0)+0,0)/A6</f>
        <v>0</v>
      </c>
      <c r="H138">
        <f>IFERROR(VLOOKUP($A$4&amp;$H$4&amp;C138,BalancesMensuales1!$A$2:$E$20009,5,0)+0,0)/A6</f>
        <v>0</v>
      </c>
      <c r="Z138">
        <f t="shared" si="19"/>
        <v>0</v>
      </c>
      <c r="AA138">
        <f>ProductosRIB!A76</f>
        <v>0</v>
      </c>
      <c r="AB138" t="str">
        <f>PROPER(ProductosRIB!D76&amp;IF(ProductosRIB!F76="",""," - Marca: "&amp;ProductosRIB!F76))</f>
        <v/>
      </c>
      <c r="AC138">
        <f>ProductosRIB!E76</f>
        <v>0</v>
      </c>
    </row>
    <row r="139" spans="3:29" hidden="1" x14ac:dyDescent="0.25">
      <c r="C139">
        <v>189701</v>
      </c>
      <c r="D139">
        <f>IFERROR(VLOOKUP($A$4&amp;$D$4&amp;C139,BalancesAnuales1!$A$2:$E$20009,5,0)+0,0)/A6</f>
        <v>0</v>
      </c>
      <c r="E139">
        <f>IFERROR(VLOOKUP($A$4&amp;$E$4&amp;C139,BalancesAnuales1!$A$2:$E$20009,5,0)+0,0)/A6</f>
        <v>0</v>
      </c>
      <c r="F139">
        <f>IFERROR(VLOOKUP($A$4&amp;$F$4&amp;C139,BalancesAnuales1!$A$2:$E$20009,5,0)+0,0)/A6</f>
        <v>0</v>
      </c>
      <c r="G139">
        <f>IFERROR(VLOOKUP($A$4&amp;$G$4&amp;C139,BalancesMensuales1!$A$2:$E$20009,5,0)+0,0)/A6</f>
        <v>0</v>
      </c>
      <c r="H139">
        <f>IFERROR(VLOOKUP($A$4&amp;$H$4&amp;C139,BalancesMensuales1!$A$2:$E$20009,5,0)+0,0)/A6</f>
        <v>0</v>
      </c>
      <c r="Z139">
        <f t="shared" si="19"/>
        <v>0</v>
      </c>
      <c r="AA139">
        <f>ProductosRIB!A77</f>
        <v>0</v>
      </c>
      <c r="AB139" t="str">
        <f>PROPER(ProductosRIB!D77&amp;IF(ProductosRIB!F77="",""," - Marca: "&amp;ProductosRIB!F77))</f>
        <v/>
      </c>
      <c r="AC139">
        <f>ProductosRIB!E77</f>
        <v>0</v>
      </c>
    </row>
    <row r="140" spans="3:29" hidden="1" x14ac:dyDescent="0.25">
      <c r="C140">
        <v>189901</v>
      </c>
      <c r="D140">
        <f>IFERROR(VLOOKUP($A$4&amp;$D$4&amp;C140,BalancesAnuales1!$A$2:$E$20009,5,0)+0,0)/A6</f>
        <v>0</v>
      </c>
      <c r="E140">
        <f>IFERROR(VLOOKUP($A$4&amp;$E$4&amp;C140,BalancesAnuales1!$A$2:$E$20009,5,0)+0,0)/A6</f>
        <v>0</v>
      </c>
      <c r="F140">
        <f>IFERROR(VLOOKUP($A$4&amp;$F$4&amp;C140,BalancesAnuales1!$A$2:$E$20009,5,0)+0,0)/A6</f>
        <v>0</v>
      </c>
      <c r="G140">
        <f>IFERROR(VLOOKUP($A$4&amp;$G$4&amp;C140,BalancesMensuales1!$A$2:$E$20009,5,0)+0,0)/A6</f>
        <v>0</v>
      </c>
      <c r="H140">
        <f>IFERROR(VLOOKUP($A$4&amp;$H$4&amp;C140,BalancesMensuales1!$A$2:$E$20009,5,0)+0,0)/A6</f>
        <v>0</v>
      </c>
      <c r="Z140">
        <f t="shared" si="19"/>
        <v>0</v>
      </c>
      <c r="AA140">
        <f>ProductosRIB!A78</f>
        <v>0</v>
      </c>
      <c r="AB140" t="str">
        <f>PROPER(ProductosRIB!D78&amp;IF(ProductosRIB!F78="",""," - Marca: "&amp;ProductosRIB!F78))</f>
        <v/>
      </c>
      <c r="AC140">
        <f>ProductosRIB!E78</f>
        <v>0</v>
      </c>
    </row>
    <row r="141" spans="3:29" hidden="1" x14ac:dyDescent="0.25">
      <c r="C141">
        <v>1207</v>
      </c>
      <c r="D141">
        <f>IFERROR(VLOOKUP($A$4&amp;$D$4&amp;C141,BalancesAnuales1!$A$2:$E$20009,5,0)+0,0)/A6</f>
        <v>0</v>
      </c>
      <c r="E141">
        <f>IFERROR(VLOOKUP($A$4&amp;$E$4&amp;C141,BalancesAnuales1!$A$2:$E$20009,5,0)+0,0)/A6</f>
        <v>0</v>
      </c>
      <c r="F141">
        <f>IFERROR(VLOOKUP($A$4&amp;$F$4&amp;C141,BalancesAnuales1!$A$2:$E$20009,5,0)+0,0)/A6</f>
        <v>0</v>
      </c>
      <c r="G141">
        <f>IFERROR(VLOOKUP($A$4&amp;$G$4&amp;C141,BalancesMensuales1!$A$2:$E$20009,5,0)+0,0)/A6</f>
        <v>0</v>
      </c>
      <c r="H141">
        <f>IFERROR(VLOOKUP($A$4&amp;$H$4&amp;C141,BalancesMensuales1!$A$2:$E$20009,5,0)+0,0)/A6</f>
        <v>0</v>
      </c>
      <c r="Z141">
        <f t="shared" si="19"/>
        <v>0</v>
      </c>
      <c r="AA141">
        <f>ProductosRIB!A79</f>
        <v>0</v>
      </c>
      <c r="AB141" t="str">
        <f>PROPER(ProductosRIB!D79&amp;IF(ProductosRIB!F79="",""," - Marca: "&amp;ProductosRIB!F79))</f>
        <v/>
      </c>
      <c r="AC141">
        <f>ProductosRIB!E79</f>
        <v>0</v>
      </c>
    </row>
    <row r="142" spans="3:29" hidden="1" x14ac:dyDescent="0.25">
      <c r="C142">
        <v>190501</v>
      </c>
      <c r="D142">
        <f>IFERROR(VLOOKUP($A$4&amp;$D$4&amp;C142,BalancesAnuales1!$A$2:$E$20009,5,0)+0,0)/A6</f>
        <v>0</v>
      </c>
      <c r="E142">
        <f>IFERROR(VLOOKUP($A$4&amp;$E$4&amp;C142,BalancesAnuales1!$A$2:$E$20009,5,0)+0,0)/A6</f>
        <v>0</v>
      </c>
      <c r="F142">
        <f>IFERROR(VLOOKUP($A$4&amp;$F$4&amp;C142,BalancesAnuales1!$A$2:$E$20009,5,0)+0,0)/A6</f>
        <v>0</v>
      </c>
      <c r="G142">
        <f>IFERROR(VLOOKUP($A$4&amp;$G$4&amp;C142,BalancesMensuales1!$A$2:$E$20009,5,0)+0,0)/A6</f>
        <v>0</v>
      </c>
      <c r="H142">
        <f>IFERROR(VLOOKUP($A$4&amp;$H$4&amp;C142,BalancesMensuales1!$A$2:$E$20009,5,0)+0,0)/A6</f>
        <v>0</v>
      </c>
      <c r="Z142">
        <f t="shared" si="19"/>
        <v>0</v>
      </c>
      <c r="AA142">
        <f>ProductosRIB!A80</f>
        <v>0</v>
      </c>
      <c r="AB142" t="str">
        <f>PROPER(ProductosRIB!D80&amp;IF(ProductosRIB!F80="",""," - Marca: "&amp;ProductosRIB!F80))</f>
        <v/>
      </c>
      <c r="AC142">
        <f>ProductosRIB!E80</f>
        <v>0</v>
      </c>
    </row>
    <row r="143" spans="3:29" hidden="1" x14ac:dyDescent="0.25">
      <c r="C143">
        <v>191001</v>
      </c>
      <c r="D143">
        <f>IFERROR(VLOOKUP($A$4&amp;$D$4&amp;C143,BalancesAnuales1!$A$2:$E$20009,5,0)+0,0)/A6</f>
        <v>0</v>
      </c>
      <c r="E143">
        <f>IFERROR(VLOOKUP($A$4&amp;$E$4&amp;C143,BalancesAnuales1!$A$2:$E$20009,5,0)+0,0)/A6</f>
        <v>0</v>
      </c>
      <c r="F143">
        <f>IFERROR(VLOOKUP($A$4&amp;$F$4&amp;C143,BalancesAnuales1!$A$2:$E$20009,5,0)+0,0)/A6</f>
        <v>0</v>
      </c>
      <c r="G143">
        <f>IFERROR(VLOOKUP($A$4&amp;$G$4&amp;C143,BalancesMensuales1!$A$2:$E$20009,5,0)+0,0)/A6</f>
        <v>0</v>
      </c>
      <c r="H143">
        <f>IFERROR(VLOOKUP($A$4&amp;$H$4&amp;C143,BalancesMensuales1!$A$2:$E$20009,5,0)+0,0)/A6</f>
        <v>0</v>
      </c>
      <c r="Z143">
        <f t="shared" si="19"/>
        <v>0</v>
      </c>
      <c r="AA143">
        <f>ProductosRIB!A81</f>
        <v>0</v>
      </c>
      <c r="AB143" t="str">
        <f>PROPER(ProductosRIB!D81&amp;IF(ProductosRIB!F81="",""," - Marca: "&amp;ProductosRIB!F81))</f>
        <v/>
      </c>
      <c r="AC143">
        <f>ProductosRIB!E81</f>
        <v>0</v>
      </c>
    </row>
    <row r="144" spans="3:29" hidden="1" x14ac:dyDescent="0.25">
      <c r="C144">
        <v>199501</v>
      </c>
      <c r="D144">
        <f>IFERROR(VLOOKUP($A$4&amp;$D$4&amp;C144,BalancesAnuales1!$A$2:$E$20009,5,0)+0,0)/A6</f>
        <v>0</v>
      </c>
      <c r="E144">
        <f>IFERROR(VLOOKUP($A$4&amp;$E$4&amp;C144,BalancesAnuales1!$A$2:$E$20009,5,0)+0,0)/A6</f>
        <v>0</v>
      </c>
      <c r="F144">
        <f>IFERROR(VLOOKUP($A$4&amp;$F$4&amp;C144,BalancesAnuales1!$A$2:$E$20009,5,0)+0,0)/A6</f>
        <v>0</v>
      </c>
      <c r="G144">
        <f>IFERROR(VLOOKUP($A$4&amp;$G$4&amp;C144,BalancesMensuales1!$A$2:$E$20009,5,0)+0,0)/A6</f>
        <v>0</v>
      </c>
      <c r="H144">
        <f>IFERROR(VLOOKUP($A$4&amp;$H$4&amp;C144,BalancesMensuales1!$A$2:$E$20009,5,0)+0,0)/A6</f>
        <v>0</v>
      </c>
      <c r="Z144">
        <f t="shared" si="19"/>
        <v>0</v>
      </c>
      <c r="AA144">
        <f>ProductosRIB!A82</f>
        <v>0</v>
      </c>
      <c r="AB144" t="str">
        <f>PROPER(ProductosRIB!D82&amp;IF(ProductosRIB!F82="",""," - Marca: "&amp;ProductosRIB!F82))</f>
        <v/>
      </c>
      <c r="AC144">
        <f>ProductosRIB!E82</f>
        <v>0</v>
      </c>
    </row>
    <row r="145" spans="3:29" hidden="1" x14ac:dyDescent="0.25">
      <c r="C145">
        <v>1208</v>
      </c>
      <c r="D145">
        <f>IFERROR(VLOOKUP($A$4&amp;$D$4&amp;C145,BalancesAnuales1!$A$2:$E$20009,5,0)+0,0)/A6</f>
        <v>0</v>
      </c>
      <c r="E145">
        <f>IFERROR(VLOOKUP($A$4&amp;$E$4&amp;C145,BalancesAnuales1!$A$2:$E$20009,5,0)+0,0)/A6</f>
        <v>0</v>
      </c>
      <c r="F145">
        <f>IFERROR(VLOOKUP($A$4&amp;$F$4&amp;C145,BalancesAnuales1!$A$2:$E$20009,5,0)+0,0)/A6</f>
        <v>0</v>
      </c>
      <c r="G145">
        <f>IFERROR(VLOOKUP($A$4&amp;$G$4&amp;C145,BalancesMensuales1!$A$2:$E$20009,5,0)+0,0)/A6</f>
        <v>0</v>
      </c>
      <c r="H145">
        <f>IFERROR(VLOOKUP($A$4&amp;$H$4&amp;C145,BalancesMensuales1!$A$2:$E$20009,5,0)+0,0)/A6</f>
        <v>0</v>
      </c>
      <c r="Z145">
        <f t="shared" si="19"/>
        <v>0</v>
      </c>
      <c r="AA145">
        <f>ProductosRIB!A83</f>
        <v>0</v>
      </c>
      <c r="AB145" t="str">
        <f>PROPER(ProductosRIB!D83&amp;IF(ProductosRIB!F83="",""," - Marca: "&amp;ProductosRIB!F83))</f>
        <v/>
      </c>
      <c r="AC145">
        <f>ProductosRIB!E83</f>
        <v>0</v>
      </c>
    </row>
    <row r="146" spans="3:29" hidden="1" x14ac:dyDescent="0.25">
      <c r="C146">
        <v>12</v>
      </c>
      <c r="D146">
        <f>IFERROR(VLOOKUP($A$4&amp;$D$4&amp;C146,BalancesAnuales1!$A$2:$E$20009,5,0)+0,0)/A6</f>
        <v>0</v>
      </c>
      <c r="E146">
        <f>IFERROR(VLOOKUP($A$4&amp;$E$4&amp;C146,BalancesAnuales1!$A$2:$E$20009,5,0)+0,0)/A6</f>
        <v>0</v>
      </c>
      <c r="F146">
        <f>IFERROR(VLOOKUP($A$4&amp;$F$4&amp;C146,BalancesAnuales1!$A$2:$E$20009,5,0)+0,0)/A6</f>
        <v>0</v>
      </c>
      <c r="G146">
        <f>IFERROR(VLOOKUP($A$4&amp;$G$4&amp;C146,BalancesMensuales1!$A$2:$E$20009,5,0)+0,0)/A6</f>
        <v>0</v>
      </c>
      <c r="H146">
        <f>IFERROR(VLOOKUP($A$4&amp;$H$4&amp;C146,BalancesMensuales1!$A$2:$E$20009,5,0)+0,0)/A6</f>
        <v>0</v>
      </c>
      <c r="Z146">
        <f t="shared" si="19"/>
        <v>0</v>
      </c>
      <c r="AA146">
        <f>ProductosRIB!A84</f>
        <v>0</v>
      </c>
      <c r="AB146" t="str">
        <f>PROPER(ProductosRIB!D84&amp;IF(ProductosRIB!F84="",""," - Marca: "&amp;ProductosRIB!F84))</f>
        <v/>
      </c>
      <c r="AC146">
        <f>ProductosRIB!E84</f>
        <v>0</v>
      </c>
    </row>
    <row r="147" spans="3:29" hidden="1" x14ac:dyDescent="0.25">
      <c r="C147">
        <v>1</v>
      </c>
      <c r="D147">
        <f>IFERROR(VLOOKUP($A$4&amp;$D$4&amp;C147,BalancesAnuales1!$A$2:$E$20009,5,0)+0,0)/A6</f>
        <v>0</v>
      </c>
      <c r="E147">
        <f>IFERROR(VLOOKUP($A$4&amp;$E$4&amp;C147,BalancesAnuales1!$A$2:$E$20009,5,0)+0,0)/A6</f>
        <v>0</v>
      </c>
      <c r="F147">
        <f>IFERROR(VLOOKUP($A$4&amp;$F$4&amp;C147,BalancesAnuales1!$A$2:$E$20009,5,0)+0,0)/A6</f>
        <v>0</v>
      </c>
      <c r="G147">
        <f>IFERROR(VLOOKUP($A$4&amp;$G$4&amp;C147,BalancesMensuales1!$A$2:$E$20009,5,0)+0,0)/A6</f>
        <v>0</v>
      </c>
      <c r="H147">
        <f>IFERROR(VLOOKUP($A$4&amp;$H$4&amp;C147,BalancesMensuales1!$A$2:$E$20009,5,0)+0,0)/A6</f>
        <v>0</v>
      </c>
      <c r="Z147">
        <f t="shared" si="19"/>
        <v>0</v>
      </c>
      <c r="AA147">
        <f>ProductosRIB!A85</f>
        <v>0</v>
      </c>
      <c r="AB147" t="str">
        <f>PROPER(ProductosRIB!D85&amp;IF(ProductosRIB!F85="",""," - Marca: "&amp;ProductosRIB!F85))</f>
        <v/>
      </c>
      <c r="AC147">
        <f>ProductosRIB!E85</f>
        <v>0</v>
      </c>
    </row>
    <row r="148" spans="3:29" hidden="1" x14ac:dyDescent="0.25">
      <c r="Z148">
        <f t="shared" si="19"/>
        <v>0</v>
      </c>
      <c r="AA148">
        <f>ProductosRIB!A86</f>
        <v>0</v>
      </c>
      <c r="AB148" t="str">
        <f>PROPER(ProductosRIB!D86&amp;IF(ProductosRIB!F86="",""," - Marca: "&amp;ProductosRIB!F86))</f>
        <v/>
      </c>
      <c r="AC148">
        <f>ProductosRIB!E86</f>
        <v>0</v>
      </c>
    </row>
    <row r="149" spans="3:29" hidden="1" x14ac:dyDescent="0.25">
      <c r="C149">
        <v>108100</v>
      </c>
      <c r="D149">
        <f>IFERROR(VLOOKUP($A$4&amp;$D$4&amp;C149,BalancesAnuales1!$A$2:$E$20009,5,0)+0,0)/A6</f>
        <v>0</v>
      </c>
      <c r="E149">
        <f>IFERROR(VLOOKUP($A$4&amp;$E$4&amp;C149,BalancesAnuales1!$A$2:$E$20009,5,0)+0,0)/A6</f>
        <v>0</v>
      </c>
      <c r="F149">
        <f>IFERROR(VLOOKUP($A$4&amp;$F$4&amp;C149,BalancesAnuales1!$A$2:$E$20009,5,0)+0,0)/A6</f>
        <v>0</v>
      </c>
      <c r="G149">
        <f>IFERROR(VLOOKUP($A$4&amp;$G$4&amp;C149,BalancesMensuales1!$A$2:$E$20009,5,0)+0,0)/A6</f>
        <v>0</v>
      </c>
      <c r="H149">
        <f>IFERROR(VLOOKUP($A$4&amp;$H$4&amp;C149,BalancesMensuales1!$A$2:$E$20009,5,0)+0,0)/A6</f>
        <v>0</v>
      </c>
      <c r="Z149">
        <f t="shared" si="19"/>
        <v>0</v>
      </c>
      <c r="AA149">
        <f>ProductosRIB!A87</f>
        <v>0</v>
      </c>
      <c r="AB149" t="str">
        <f>PROPER(ProductosRIB!D87&amp;IF(ProductosRIB!F87="",""," - Marca: "&amp;ProductosRIB!F87))</f>
        <v/>
      </c>
      <c r="AC149">
        <f>ProductosRIB!E87</f>
        <v>0</v>
      </c>
    </row>
    <row r="150" spans="3:29" hidden="1" x14ac:dyDescent="0.25">
      <c r="C150">
        <v>108200</v>
      </c>
      <c r="D150">
        <f>IFERROR(VLOOKUP($A$4&amp;$D$4&amp;C150,BalancesAnuales1!$A$2:$E$20009,5,0)+0,0)/A6</f>
        <v>0</v>
      </c>
      <c r="E150">
        <f>IFERROR(VLOOKUP($A$4&amp;$E$4&amp;C150,BalancesAnuales1!$A$2:$E$20009,5,0)+0,0)/A6</f>
        <v>0</v>
      </c>
      <c r="F150">
        <f>IFERROR(VLOOKUP($A$4&amp;$F$4&amp;C150,BalancesAnuales1!$A$2:$E$20009,5,0)+0,0)/A6</f>
        <v>0</v>
      </c>
      <c r="G150">
        <f>IFERROR(VLOOKUP($A$4&amp;$G$4&amp;C150,BalancesMensuales1!$A$2:$E$20009,5,0)+0,0)/A6</f>
        <v>0</v>
      </c>
      <c r="H150">
        <f>IFERROR(VLOOKUP($A$4&amp;$H$4&amp;C150,BalancesMensuales1!$A$2:$E$20009,5,0)+0,0)/A6</f>
        <v>0</v>
      </c>
      <c r="Z150">
        <f t="shared" si="19"/>
        <v>0</v>
      </c>
      <c r="AA150">
        <f>ProductosRIB!A88</f>
        <v>0</v>
      </c>
      <c r="AB150" t="str">
        <f>PROPER(ProductosRIB!D88&amp;IF(ProductosRIB!F88="",""," - Marca: "&amp;ProductosRIB!F88))</f>
        <v/>
      </c>
      <c r="AC150">
        <f>ProductosRIB!E88</f>
        <v>0</v>
      </c>
    </row>
    <row r="151" spans="3:29" hidden="1" x14ac:dyDescent="0.25">
      <c r="C151">
        <v>108300</v>
      </c>
      <c r="D151">
        <f>IFERROR(VLOOKUP($A$4&amp;$D$4&amp;C151,BalancesAnuales1!$A$2:$E$20009,5,0)+0,0)/A6</f>
        <v>0</v>
      </c>
      <c r="E151">
        <f>IFERROR(VLOOKUP($A$4&amp;$E$4&amp;C151,BalancesAnuales1!$A$2:$E$20009,5,0)+0,0)/A6</f>
        <v>0</v>
      </c>
      <c r="F151">
        <f>IFERROR(VLOOKUP($A$4&amp;$F$4&amp;C151,BalancesAnuales1!$A$2:$E$20009,5,0)+0,0)/A6</f>
        <v>0</v>
      </c>
      <c r="G151">
        <f>IFERROR(VLOOKUP($A$4&amp;$G$4&amp;C151,BalancesMensuales1!$A$2:$E$20009,5,0)+0,0)/A6</f>
        <v>0</v>
      </c>
      <c r="H151">
        <f>IFERROR(VLOOKUP($A$4&amp;$H$4&amp;C151,BalancesMensuales1!$A$2:$E$20009,5,0)+0,0)/A6</f>
        <v>0</v>
      </c>
      <c r="Z151">
        <f t="shared" si="19"/>
        <v>0</v>
      </c>
      <c r="AA151">
        <f>ProductosRIB!A89</f>
        <v>0</v>
      </c>
      <c r="AB151" t="str">
        <f>PROPER(ProductosRIB!D89&amp;IF(ProductosRIB!F89="",""," - Marca: "&amp;ProductosRIB!F89))</f>
        <v/>
      </c>
      <c r="AC151">
        <f>ProductosRIB!E89</f>
        <v>0</v>
      </c>
    </row>
    <row r="152" spans="3:29" hidden="1" x14ac:dyDescent="0.25">
      <c r="C152">
        <v>108400</v>
      </c>
      <c r="D152">
        <f>IFERROR(VLOOKUP($A$4&amp;$D$4&amp;C152,BalancesAnuales1!$A$2:$E$20009,5,0)+0,0)/A6</f>
        <v>0</v>
      </c>
      <c r="E152">
        <f>IFERROR(VLOOKUP($A$4&amp;$E$4&amp;C152,BalancesAnuales1!$A$2:$E$20009,5,0)+0,0)/A6</f>
        <v>0</v>
      </c>
      <c r="F152">
        <f>IFERROR(VLOOKUP($A$4&amp;$F$4&amp;C152,BalancesAnuales1!$A$2:$E$20009,5,0)+0,0)/A6</f>
        <v>0</v>
      </c>
      <c r="G152">
        <f>IFERROR(VLOOKUP($A$4&amp;$G$4&amp;C152,BalancesMensuales1!$A$2:$E$20009,5,0)+0,0)/A6</f>
        <v>0</v>
      </c>
      <c r="H152">
        <f>IFERROR(VLOOKUP($A$4&amp;$H$4&amp;C152,BalancesMensuales1!$A$2:$E$20009,5,0)+0,0)/A6</f>
        <v>0</v>
      </c>
      <c r="Z152">
        <f t="shared" si="19"/>
        <v>0</v>
      </c>
      <c r="AA152">
        <f>ProductosRIB!A90</f>
        <v>0</v>
      </c>
      <c r="AB152" t="str">
        <f>PROPER(ProductosRIB!D90&amp;IF(ProductosRIB!F90="",""," - Marca: "&amp;ProductosRIB!F90))</f>
        <v/>
      </c>
      <c r="AC152">
        <f>ProductosRIB!E90</f>
        <v>0</v>
      </c>
    </row>
    <row r="153" spans="3:29" hidden="1" x14ac:dyDescent="0.25">
      <c r="C153">
        <v>108000</v>
      </c>
      <c r="D153">
        <f>IFERROR(VLOOKUP($A$4&amp;$D$4&amp;C153,BalancesAnuales1!$A$2:$E$20009,5,0)+0,0)/A6</f>
        <v>0</v>
      </c>
      <c r="E153">
        <f>IFERROR(VLOOKUP($A$4&amp;$E$4&amp;C153,BalancesAnuales1!$A$2:$E$20009,5,0)+0,0)/A6</f>
        <v>0</v>
      </c>
      <c r="F153">
        <f>IFERROR(VLOOKUP($A$4&amp;$F$4&amp;C153,BalancesAnuales1!$A$2:$E$20009,5,0)+0,0)/A6</f>
        <v>0</v>
      </c>
      <c r="G153">
        <f>IFERROR(VLOOKUP($A$4&amp;$G$4&amp;C153,BalancesMensuales1!$A$2:$E$20009,5,0)+0,0)/A6</f>
        <v>0</v>
      </c>
      <c r="H153">
        <f>IFERROR(VLOOKUP($A$4&amp;$H$4&amp;C153,BalancesMensuales1!$A$2:$E$20009,5,0)+0,0)/A6</f>
        <v>0</v>
      </c>
      <c r="Z153">
        <f t="shared" si="19"/>
        <v>0</v>
      </c>
      <c r="AA153">
        <f>ProductosRIB!A91</f>
        <v>0</v>
      </c>
      <c r="AB153" t="str">
        <f>PROPER(ProductosRIB!D91&amp;IF(ProductosRIB!F91="",""," - Marca: "&amp;ProductosRIB!F91))</f>
        <v/>
      </c>
      <c r="AC153">
        <f>ProductosRIB!E91</f>
        <v>0</v>
      </c>
    </row>
    <row r="154" spans="3:29" hidden="1" x14ac:dyDescent="0.25">
      <c r="Z154">
        <f t="shared" si="19"/>
        <v>0</v>
      </c>
      <c r="AA154">
        <f>ProductosRIB!A92</f>
        <v>0</v>
      </c>
      <c r="AB154" t="str">
        <f>PROPER(ProductosRIB!D92&amp;IF(ProductosRIB!F92="",""," - Marca: "&amp;ProductosRIB!F92))</f>
        <v/>
      </c>
      <c r="AC154">
        <f>ProductosRIB!E92</f>
        <v>0</v>
      </c>
    </row>
    <row r="155" spans="3:29" hidden="1" x14ac:dyDescent="0.25">
      <c r="C155">
        <v>210500</v>
      </c>
      <c r="D155">
        <f>IFERROR(VLOOKUP($A$4&amp;$D$4&amp;C155,BalancesAnuales1!$A$2:$E$20009,5,0)+0,0)/A6</f>
        <v>0</v>
      </c>
      <c r="E155">
        <f>IFERROR(VLOOKUP($A$4&amp;$E$4&amp;C155,BalancesAnuales1!$A$2:$E$20009,5,0)+0,0)/A6</f>
        <v>0</v>
      </c>
      <c r="F155">
        <f>IFERROR(VLOOKUP($A$4&amp;$F$4&amp;C155,BalancesAnuales1!$A$2:$E$20009,5,0)+0,0)/A6</f>
        <v>0</v>
      </c>
      <c r="G155">
        <f>IFERROR(VLOOKUP($A$4&amp;$G$4&amp;C155,BalancesMensuales1!$A$2:$E$20009,5,0)+0,0)/A6</f>
        <v>0</v>
      </c>
      <c r="H155">
        <f>IFERROR(VLOOKUP($A$4&amp;$H$4&amp;C155,BalancesMensuales1!$A$2:$E$20009,5,0)+0,0)/A6</f>
        <v>0</v>
      </c>
      <c r="Z155">
        <f t="shared" si="19"/>
        <v>0</v>
      </c>
      <c r="AA155">
        <f>ProductosRIB!A93</f>
        <v>0</v>
      </c>
      <c r="AB155" t="str">
        <f>PROPER(ProductosRIB!D93&amp;IF(ProductosRIB!F93="",""," - Marca: "&amp;ProductosRIB!F93))</f>
        <v/>
      </c>
      <c r="AC155">
        <f>ProductosRIB!E93</f>
        <v>0</v>
      </c>
    </row>
    <row r="156" spans="3:29" hidden="1" x14ac:dyDescent="0.25">
      <c r="C156">
        <v>211500</v>
      </c>
      <c r="D156">
        <f>IFERROR(VLOOKUP($A$4&amp;$D$4&amp;C156,BalancesAnuales1!$A$2:$E$20009,5,0)+0,0)/A6</f>
        <v>0</v>
      </c>
      <c r="E156">
        <f>IFERROR(VLOOKUP($A$4&amp;$E$4&amp;C156,BalancesAnuales1!$A$2:$E$20009,5,0)+0,0)/A6</f>
        <v>0</v>
      </c>
      <c r="F156">
        <f>IFERROR(VLOOKUP($A$4&amp;$F$4&amp;C156,BalancesAnuales1!$A$2:$E$20009,5,0)+0,0)/A6</f>
        <v>0</v>
      </c>
      <c r="G156">
        <f>IFERROR(VLOOKUP($A$4&amp;$G$4&amp;C156,BalancesMensuales1!$A$2:$E$20009,5,0)+0,0)/A6</f>
        <v>0</v>
      </c>
      <c r="H156">
        <f>IFERROR(VLOOKUP($A$4&amp;$H$4&amp;C156,BalancesMensuales1!$A$2:$E$20009,5,0)+0,0)/A6</f>
        <v>0</v>
      </c>
      <c r="Z156">
        <f t="shared" si="19"/>
        <v>0</v>
      </c>
      <c r="AA156">
        <f>ProductosRIB!A94</f>
        <v>0</v>
      </c>
      <c r="AB156" t="str">
        <f>PROPER(ProductosRIB!D94&amp;IF(ProductosRIB!F94="",""," - Marca: "&amp;ProductosRIB!F94))</f>
        <v/>
      </c>
      <c r="AC156">
        <f>ProductosRIB!E94</f>
        <v>0</v>
      </c>
    </row>
    <row r="157" spans="3:29" hidden="1" x14ac:dyDescent="0.25">
      <c r="C157">
        <v>219500</v>
      </c>
      <c r="D157">
        <f>IFERROR(VLOOKUP($A$4&amp;$D$4&amp;C157,BalancesAnuales1!$A$2:$E$20009,5,0)+0,0)/A6</f>
        <v>0</v>
      </c>
      <c r="E157">
        <f>IFERROR(VLOOKUP($A$4&amp;$E$4&amp;C157,BalancesAnuales1!$A$2:$E$20009,5,0)+0,0)/A6</f>
        <v>0</v>
      </c>
      <c r="F157">
        <f>IFERROR(VLOOKUP($A$4&amp;$F$4&amp;C157,BalancesAnuales1!$A$2:$E$20009,5,0)+0,0)/A6</f>
        <v>0</v>
      </c>
      <c r="G157">
        <f>IFERROR(VLOOKUP($A$4&amp;$G$4&amp;C157,BalancesMensuales1!$A$2:$E$20009,5,0)+0,0)/A6</f>
        <v>0</v>
      </c>
      <c r="H157">
        <f>IFERROR(VLOOKUP($A$4&amp;$H$4&amp;C157,BalancesMensuales1!$A$2:$E$20009,5,0)+0,0)/A6</f>
        <v>0</v>
      </c>
      <c r="Z157">
        <f t="shared" si="19"/>
        <v>0</v>
      </c>
      <c r="AA157">
        <f>ProductosRIB!A95</f>
        <v>0</v>
      </c>
      <c r="AB157" t="str">
        <f>PROPER(ProductosRIB!D95&amp;IF(ProductosRIB!F95="",""," - Marca: "&amp;ProductosRIB!F95))</f>
        <v/>
      </c>
      <c r="AC157">
        <f>ProductosRIB!E95</f>
        <v>0</v>
      </c>
    </row>
    <row r="158" spans="3:29" hidden="1" x14ac:dyDescent="0.25">
      <c r="C158">
        <v>2101</v>
      </c>
      <c r="D158">
        <f>IFERROR(VLOOKUP($A$4&amp;$D$4&amp;C158,BalancesAnuales1!$A$2:$E$20009,5,0)+0,0)/A6</f>
        <v>0</v>
      </c>
      <c r="E158">
        <f>IFERROR(VLOOKUP($A$4&amp;$E$4&amp;C158,BalancesAnuales1!$A$2:$E$20009,5,0)+0,0)/A6</f>
        <v>0</v>
      </c>
      <c r="F158">
        <f>IFERROR(VLOOKUP($A$4&amp;$F$4&amp;C158,BalancesAnuales1!$A$2:$E$20009,5,0)+0,0)/A6</f>
        <v>0</v>
      </c>
      <c r="G158">
        <f>IFERROR(VLOOKUP($A$4&amp;$G$4&amp;C158,BalancesMensuales1!$A$2:$E$20009,5,0)+0,0)/A6</f>
        <v>0</v>
      </c>
      <c r="H158">
        <f>IFERROR(VLOOKUP($A$4&amp;$H$4&amp;C158,BalancesMensuales1!$A$2:$E$20009,5,0)+0,0)/A6</f>
        <v>0</v>
      </c>
      <c r="Z158">
        <f t="shared" si="19"/>
        <v>0</v>
      </c>
      <c r="AA158">
        <f>ProductosRIB!A96</f>
        <v>0</v>
      </c>
      <c r="AB158" t="str">
        <f>PROPER(ProductosRIB!D96&amp;IF(ProductosRIB!F96="",""," - Marca: "&amp;ProductosRIB!F96))</f>
        <v/>
      </c>
      <c r="AC158">
        <f>ProductosRIB!E96</f>
        <v>0</v>
      </c>
    </row>
    <row r="159" spans="3:29" hidden="1" x14ac:dyDescent="0.25">
      <c r="C159">
        <v>220500</v>
      </c>
      <c r="D159">
        <f>IFERROR(VLOOKUP($A$4&amp;$D$4&amp;C159,BalancesAnuales1!$A$2:$E$20009,5,0)+0,0)/A6</f>
        <v>0</v>
      </c>
      <c r="E159">
        <f>IFERROR(VLOOKUP($A$4&amp;$E$4&amp;C159,BalancesAnuales1!$A$2:$E$20009,5,0)+0,0)/A6</f>
        <v>0</v>
      </c>
      <c r="F159">
        <f>IFERROR(VLOOKUP($A$4&amp;$F$4&amp;C159,BalancesAnuales1!$A$2:$E$20009,5,0)+0,0)/A6</f>
        <v>0</v>
      </c>
      <c r="G159">
        <f>IFERROR(VLOOKUP($A$4&amp;$G$4&amp;C159,BalancesMensuales1!$A$2:$E$20009,5,0)+0,0)/A6</f>
        <v>0</v>
      </c>
      <c r="H159">
        <f>IFERROR(VLOOKUP($A$4&amp;$H$4&amp;C159,BalancesMensuales1!$A$2:$E$20009,5,0)+0,0)/A6</f>
        <v>0</v>
      </c>
      <c r="Z159">
        <f t="shared" si="19"/>
        <v>0</v>
      </c>
      <c r="AA159">
        <f>ProductosRIB!A97</f>
        <v>0</v>
      </c>
      <c r="AB159" t="str">
        <f>PROPER(ProductosRIB!D97&amp;IF(ProductosRIB!F97="",""," - Marca: "&amp;ProductosRIB!F97))</f>
        <v/>
      </c>
      <c r="AC159">
        <f>ProductosRIB!E97</f>
        <v>0</v>
      </c>
    </row>
    <row r="160" spans="3:29" hidden="1" x14ac:dyDescent="0.25">
      <c r="C160">
        <v>221000</v>
      </c>
      <c r="D160">
        <f>IFERROR(VLOOKUP($A$4&amp;$D$4&amp;C160,BalancesAnuales1!$A$2:$E$20009,5,0)+0,0)/A6</f>
        <v>0</v>
      </c>
      <c r="E160">
        <f>IFERROR(VLOOKUP($A$4&amp;$E$4&amp;C160,BalancesAnuales1!$A$2:$E$20009,5,0)+0,0)/A6</f>
        <v>0</v>
      </c>
      <c r="F160">
        <f>IFERROR(VLOOKUP($A$4&amp;$F$4&amp;C160,BalancesAnuales1!$A$2:$E$20009,5,0)+0,0)/A6</f>
        <v>0</v>
      </c>
      <c r="G160">
        <f>IFERROR(VLOOKUP($A$4&amp;$G$4&amp;C160,BalancesMensuales1!$A$2:$E$20009,5,0)+0,0)/A6</f>
        <v>0</v>
      </c>
      <c r="H160">
        <f>IFERROR(VLOOKUP($A$4&amp;$H$4&amp;C160,BalancesMensuales1!$A$2:$E$20009,5,0)+0,0)/A6</f>
        <v>0</v>
      </c>
      <c r="Z160">
        <f t="shared" si="19"/>
        <v>0</v>
      </c>
      <c r="AA160">
        <f>ProductosRIB!A98</f>
        <v>0</v>
      </c>
      <c r="AB160" t="str">
        <f>PROPER(ProductosRIB!D98&amp;IF(ProductosRIB!F98="",""," - Marca: "&amp;ProductosRIB!F98))</f>
        <v/>
      </c>
      <c r="AC160">
        <f>ProductosRIB!E98</f>
        <v>0</v>
      </c>
    </row>
    <row r="161" spans="3:29" hidden="1" x14ac:dyDescent="0.25">
      <c r="C161">
        <v>221500</v>
      </c>
      <c r="D161">
        <f>IFERROR(VLOOKUP($A$4&amp;$D$4&amp;C161,BalancesAnuales1!$A$2:$E$20009,5,0)+0,0)/A6</f>
        <v>0</v>
      </c>
      <c r="E161">
        <f>IFERROR(VLOOKUP($A$4&amp;$E$4&amp;C161,BalancesAnuales1!$A$2:$E$20009,5,0)+0,0)/A6</f>
        <v>0</v>
      </c>
      <c r="F161">
        <f>IFERROR(VLOOKUP($A$4&amp;$F$4&amp;C161,BalancesAnuales1!$A$2:$E$20009,5,0)+0,0)/A6</f>
        <v>0</v>
      </c>
      <c r="G161">
        <f>IFERROR(VLOOKUP($A$4&amp;$G$4&amp;C161,BalancesMensuales1!$A$2:$E$20009,5,0)+0,0)/A6</f>
        <v>0</v>
      </c>
      <c r="H161">
        <f>IFERROR(VLOOKUP($A$4&amp;$H$4&amp;C161,BalancesMensuales1!$A$2:$E$20009,5,0)+0,0)/A6</f>
        <v>0</v>
      </c>
      <c r="Z161">
        <f t="shared" ref="Z161:Z192" si="20">IF(AA161=$A$4,Z160+1,0)</f>
        <v>0</v>
      </c>
      <c r="AA161">
        <f>ProductosRIB!A99</f>
        <v>0</v>
      </c>
      <c r="AB161" t="str">
        <f>PROPER(ProductosRIB!D99&amp;IF(ProductosRIB!F99="",""," - Marca: "&amp;ProductosRIB!F99))</f>
        <v/>
      </c>
      <c r="AC161">
        <f>ProductosRIB!E99</f>
        <v>0</v>
      </c>
    </row>
    <row r="162" spans="3:29" hidden="1" x14ac:dyDescent="0.25">
      <c r="C162">
        <v>2102</v>
      </c>
      <c r="D162">
        <f>IFERROR(VLOOKUP($A$4&amp;$D$4&amp;C162,BalancesAnuales1!$A$2:$E$20009,5,0)+0,0)/A6</f>
        <v>0</v>
      </c>
      <c r="E162">
        <f>IFERROR(VLOOKUP($A$4&amp;$E$4&amp;C162,BalancesAnuales1!$A$2:$E$20009,5,0)+0,0)/A6</f>
        <v>0</v>
      </c>
      <c r="F162">
        <f>IFERROR(VLOOKUP($A$4&amp;$F$4&amp;C162,BalancesAnuales1!$A$2:$E$20009,5,0)+0,0)/A6</f>
        <v>0</v>
      </c>
      <c r="G162">
        <f>IFERROR(VLOOKUP($A$4&amp;$G$4&amp;C162,BalancesMensuales1!$A$2:$E$20009,5,0)+0,0)/A6</f>
        <v>0</v>
      </c>
      <c r="H162">
        <f>IFERROR(VLOOKUP($A$4&amp;$H$4&amp;C162,BalancesMensuales1!$A$2:$E$20009,5,0)+0,0)/A6</f>
        <v>0</v>
      </c>
      <c r="Z162">
        <f t="shared" si="20"/>
        <v>0</v>
      </c>
      <c r="AA162">
        <f>ProductosRIB!A100</f>
        <v>0</v>
      </c>
      <c r="AB162" t="str">
        <f>PROPER(ProductosRIB!D100&amp;IF(ProductosRIB!F100="",""," - Marca: "&amp;ProductosRIB!F100))</f>
        <v/>
      </c>
      <c r="AC162">
        <f>ProductosRIB!E100</f>
        <v>0</v>
      </c>
    </row>
    <row r="163" spans="3:29" hidden="1" x14ac:dyDescent="0.25">
      <c r="C163">
        <v>230500</v>
      </c>
      <c r="D163">
        <f>IFERROR(VLOOKUP($A$4&amp;$D$4&amp;C163,BalancesAnuales1!$A$2:$E$20009,5,0)+0,0)/A6</f>
        <v>0</v>
      </c>
      <c r="E163">
        <f>IFERROR(VLOOKUP($A$4&amp;$E$4&amp;C163,BalancesAnuales1!$A$2:$E$20009,5,0)+0,0)/A6</f>
        <v>0</v>
      </c>
      <c r="F163">
        <f>IFERROR(VLOOKUP($A$4&amp;$F$4&amp;C163,BalancesAnuales1!$A$2:$E$20009,5,0)+0,0)/A6</f>
        <v>0</v>
      </c>
      <c r="G163">
        <f>IFERROR(VLOOKUP($A$4&amp;$G$4&amp;C163,BalancesMensuales1!$A$2:$E$20009,5,0)+0,0)/A6</f>
        <v>0</v>
      </c>
      <c r="H163">
        <f>IFERROR(VLOOKUP($A$4&amp;$H$4&amp;C163,BalancesMensuales1!$A$2:$E$20009,5,0)+0,0)/A6</f>
        <v>0</v>
      </c>
      <c r="Z163">
        <f t="shared" si="20"/>
        <v>0</v>
      </c>
      <c r="AA163">
        <f>ProductosRIB!A101</f>
        <v>0</v>
      </c>
      <c r="AB163" t="str">
        <f>PROPER(ProductosRIB!D101&amp;IF(ProductosRIB!F101="",""," - Marca: "&amp;ProductosRIB!F101))</f>
        <v/>
      </c>
      <c r="AC163">
        <f>ProductosRIB!E101</f>
        <v>0</v>
      </c>
    </row>
    <row r="164" spans="3:29" hidden="1" x14ac:dyDescent="0.25">
      <c r="C164">
        <v>231000</v>
      </c>
      <c r="D164">
        <f>IFERROR(VLOOKUP($A$4&amp;$D$4&amp;C164,BalancesAnuales1!$A$2:$E$20009,5,0)+0,0)/A6</f>
        <v>0</v>
      </c>
      <c r="E164">
        <f>IFERROR(VLOOKUP($A$4&amp;$E$4&amp;C164,BalancesAnuales1!$A$2:$E$20009,5,0)+0,0)/A6</f>
        <v>0</v>
      </c>
      <c r="F164">
        <f>IFERROR(VLOOKUP($A$4&amp;$F$4&amp;C164,BalancesAnuales1!$A$2:$E$20009,5,0)+0,0)/A6</f>
        <v>0</v>
      </c>
      <c r="G164">
        <f>IFERROR(VLOOKUP($A$4&amp;$G$4&amp;C164,BalancesMensuales1!$A$2:$E$20009,5,0)+0,0)/A6</f>
        <v>0</v>
      </c>
      <c r="H164">
        <f>IFERROR(VLOOKUP($A$4&amp;$H$4&amp;C164,BalancesMensuales1!$A$2:$E$20009,5,0)+0,0)/A6</f>
        <v>0</v>
      </c>
      <c r="Z164">
        <f t="shared" si="20"/>
        <v>0</v>
      </c>
      <c r="AA164">
        <f>ProductosRIB!A102</f>
        <v>0</v>
      </c>
      <c r="AB164" t="str">
        <f>PROPER(ProductosRIB!D102&amp;IF(ProductosRIB!F102="",""," - Marca: "&amp;ProductosRIB!F102))</f>
        <v/>
      </c>
      <c r="AC164">
        <f>ProductosRIB!E102</f>
        <v>0</v>
      </c>
    </row>
    <row r="165" spans="3:29" hidden="1" x14ac:dyDescent="0.25">
      <c r="C165">
        <v>231500</v>
      </c>
      <c r="D165">
        <f>IFERROR(VLOOKUP($A$4&amp;$D$4&amp;C165,BalancesAnuales1!$A$2:$E$20009,5,0)+0,0)/A6</f>
        <v>0</v>
      </c>
      <c r="E165">
        <f>IFERROR(VLOOKUP($A$4&amp;$E$4&amp;C165,BalancesAnuales1!$A$2:$E$20009,5,0)+0,0)/A6</f>
        <v>0</v>
      </c>
      <c r="F165">
        <f>IFERROR(VLOOKUP($A$4&amp;$F$4&amp;C165,BalancesAnuales1!$A$2:$E$20009,5,0)+0,0)/A6</f>
        <v>0</v>
      </c>
      <c r="G165">
        <f>IFERROR(VLOOKUP($A$4&amp;$G$4&amp;C165,BalancesMensuales1!$A$2:$E$20009,5,0)+0,0)/A6</f>
        <v>0</v>
      </c>
      <c r="H165">
        <f>IFERROR(VLOOKUP($A$4&amp;$H$4&amp;C165,BalancesMensuales1!$A$2:$E$20009,5,0)+0,0)/A6</f>
        <v>0</v>
      </c>
      <c r="Z165">
        <f t="shared" si="20"/>
        <v>0</v>
      </c>
      <c r="AA165">
        <f>ProductosRIB!A103</f>
        <v>0</v>
      </c>
      <c r="AB165" t="str">
        <f>PROPER(ProductosRIB!D103&amp;IF(ProductosRIB!F103="",""," - Marca: "&amp;ProductosRIB!F103))</f>
        <v/>
      </c>
      <c r="AC165">
        <f>ProductosRIB!E103</f>
        <v>0</v>
      </c>
    </row>
    <row r="166" spans="3:29" hidden="1" x14ac:dyDescent="0.25">
      <c r="C166">
        <v>232000</v>
      </c>
      <c r="D166">
        <f>IFERROR(VLOOKUP($A$4&amp;$D$4&amp;C166,BalancesAnuales1!$A$2:$E$20009,5,0)+0,0)/A6</f>
        <v>0</v>
      </c>
      <c r="E166">
        <f>IFERROR(VLOOKUP($A$4&amp;$E$4&amp;C166,BalancesAnuales1!$A$2:$E$20009,5,0)+0,0)/A6</f>
        <v>0</v>
      </c>
      <c r="F166">
        <f>IFERROR(VLOOKUP($A$4&amp;$F$4&amp;C166,BalancesAnuales1!$A$2:$E$20009,5,0)+0,0)/A6</f>
        <v>0</v>
      </c>
      <c r="G166">
        <f>IFERROR(VLOOKUP($A$4&amp;$G$4&amp;C166,BalancesMensuales1!$A$2:$E$20009,5,0)+0,0)/A6</f>
        <v>0</v>
      </c>
      <c r="H166">
        <f>IFERROR(VLOOKUP($A$4&amp;$H$4&amp;C166,BalancesMensuales1!$A$2:$E$20009,5,0)+0,0)/A6</f>
        <v>0</v>
      </c>
      <c r="Z166">
        <f t="shared" si="20"/>
        <v>0</v>
      </c>
      <c r="AA166">
        <f>ProductosRIB!A104</f>
        <v>0</v>
      </c>
      <c r="AB166" t="str">
        <f>PROPER(ProductosRIB!D104&amp;IF(ProductosRIB!F104="",""," - Marca: "&amp;ProductosRIB!F104))</f>
        <v/>
      </c>
      <c r="AC166">
        <f>ProductosRIB!E104</f>
        <v>0</v>
      </c>
    </row>
    <row r="167" spans="3:29" hidden="1" x14ac:dyDescent="0.25">
      <c r="C167">
        <v>233500</v>
      </c>
      <c r="D167">
        <f>IFERROR(VLOOKUP($A$4&amp;$D$4&amp;C167,BalancesAnuales1!$A$2:$E$20009,5,0)+0,0)/A6</f>
        <v>0</v>
      </c>
      <c r="E167">
        <f>IFERROR(VLOOKUP($A$4&amp;$E$4&amp;C167,BalancesAnuales1!$A$2:$E$20009,5,0)+0,0)/A6</f>
        <v>0</v>
      </c>
      <c r="F167">
        <f>IFERROR(VLOOKUP($A$4&amp;$F$4&amp;C167,BalancesAnuales1!$A$2:$E$20009,5,0)+0,0)/A6</f>
        <v>0</v>
      </c>
      <c r="G167">
        <f>IFERROR(VLOOKUP($A$4&amp;$G$4&amp;C167,BalancesMensuales1!$A$2:$E$20009,5,0)+0,0)/A6</f>
        <v>0</v>
      </c>
      <c r="H167">
        <f>IFERROR(VLOOKUP($A$4&amp;$H$4&amp;C167,BalancesMensuales1!$A$2:$E$20009,5,0)+0,0)/A6</f>
        <v>0</v>
      </c>
      <c r="Z167">
        <f t="shared" si="20"/>
        <v>0</v>
      </c>
      <c r="AA167">
        <f>ProductosRIB!A105</f>
        <v>0</v>
      </c>
      <c r="AB167" t="str">
        <f>PROPER(ProductosRIB!D105&amp;IF(ProductosRIB!F105="",""," - Marca: "&amp;ProductosRIB!F105))</f>
        <v/>
      </c>
      <c r="AC167">
        <f>ProductosRIB!E105</f>
        <v>0</v>
      </c>
    </row>
    <row r="168" spans="3:29" hidden="1" x14ac:dyDescent="0.25">
      <c r="C168">
        <v>234500</v>
      </c>
      <c r="D168">
        <f>IFERROR(VLOOKUP($A$4&amp;$D$4&amp;C168,BalancesAnuales1!$A$2:$E$20009,5,0)+0,0)/A6</f>
        <v>0</v>
      </c>
      <c r="E168">
        <f>IFERROR(VLOOKUP($A$4&amp;$E$4&amp;C168,BalancesAnuales1!$A$2:$E$20009,5,0)+0,0)/A6</f>
        <v>0</v>
      </c>
      <c r="F168">
        <f>IFERROR(VLOOKUP($A$4&amp;$F$4&amp;C168,BalancesAnuales1!$A$2:$E$20009,5,0)+0,0)/A6</f>
        <v>0</v>
      </c>
      <c r="G168">
        <f>IFERROR(VLOOKUP($A$4&amp;$G$4&amp;C168,BalancesMensuales1!$A$2:$E$20009,5,0)+0,0)/A6</f>
        <v>0</v>
      </c>
      <c r="H168">
        <f>IFERROR(VLOOKUP($A$4&amp;$H$4&amp;C168,BalancesMensuales1!$A$2:$E$20009,5,0)+0,0)/A6</f>
        <v>0</v>
      </c>
      <c r="Z168">
        <f t="shared" si="20"/>
        <v>0</v>
      </c>
      <c r="AA168">
        <f>ProductosRIB!A106</f>
        <v>0</v>
      </c>
      <c r="AB168" t="str">
        <f>PROPER(ProductosRIB!D106&amp;IF(ProductosRIB!F106="",""," - Marca: "&amp;ProductosRIB!F106))</f>
        <v/>
      </c>
      <c r="AC168">
        <f>ProductosRIB!E106</f>
        <v>0</v>
      </c>
    </row>
    <row r="169" spans="3:29" hidden="1" x14ac:dyDescent="0.25">
      <c r="C169">
        <v>235000</v>
      </c>
      <c r="D169">
        <f>IFERROR(VLOOKUP($A$4&amp;$D$4&amp;C169,BalancesAnuales1!$A$2:$E$20009,5,0)+0,0)/A6</f>
        <v>0</v>
      </c>
      <c r="E169">
        <f>IFERROR(VLOOKUP($A$4&amp;$E$4&amp;C169,BalancesAnuales1!$A$2:$E$20009,5,0)+0,0)/A6</f>
        <v>0</v>
      </c>
      <c r="F169">
        <f>IFERROR(VLOOKUP($A$4&amp;$F$4&amp;C169,BalancesAnuales1!$A$2:$E$20009,5,0)+0,0)/A6</f>
        <v>0</v>
      </c>
      <c r="G169">
        <f>IFERROR(VLOOKUP($A$4&amp;$G$4&amp;C169,BalancesMensuales1!$A$2:$E$20009,5,0)+0,0)/A6</f>
        <v>0</v>
      </c>
      <c r="H169">
        <f>IFERROR(VLOOKUP($A$4&amp;$H$4&amp;C169,BalancesMensuales1!$A$2:$E$20009,5,0)+0,0)/A6</f>
        <v>0</v>
      </c>
      <c r="Z169">
        <f t="shared" si="20"/>
        <v>0</v>
      </c>
      <c r="AA169">
        <f>ProductosRIB!A107</f>
        <v>0</v>
      </c>
      <c r="AB169" t="str">
        <f>PROPER(ProductosRIB!D107&amp;IF(ProductosRIB!F107="",""," - Marca: "&amp;ProductosRIB!F107))</f>
        <v/>
      </c>
      <c r="AC169">
        <f>ProductosRIB!E107</f>
        <v>0</v>
      </c>
    </row>
    <row r="170" spans="3:29" hidden="1" x14ac:dyDescent="0.25">
      <c r="C170">
        <v>235500</v>
      </c>
      <c r="D170">
        <f>IFERROR(VLOOKUP($A$4&amp;$D$4&amp;C170,BalancesAnuales1!$A$2:$E$20009,5,0)+0,0)/A6</f>
        <v>0</v>
      </c>
      <c r="E170">
        <f>IFERROR(VLOOKUP($A$4&amp;$E$4&amp;C170,BalancesAnuales1!$A$2:$E$20009,5,0)+0,0)/A6</f>
        <v>0</v>
      </c>
      <c r="F170">
        <f>IFERROR(VLOOKUP($A$4&amp;$F$4&amp;C170,BalancesAnuales1!$A$2:$E$20009,5,0)+0,0)/A6</f>
        <v>0</v>
      </c>
      <c r="G170">
        <f>IFERROR(VLOOKUP($A$4&amp;$G$4&amp;C170,BalancesMensuales1!$A$2:$E$20009,5,0)+0,0)/A6</f>
        <v>0</v>
      </c>
      <c r="H170">
        <f>IFERROR(VLOOKUP($A$4&amp;$H$4&amp;C170,BalancesMensuales1!$A$2:$E$20009,5,0)+0,0)/A6</f>
        <v>0</v>
      </c>
      <c r="Z170">
        <f t="shared" si="20"/>
        <v>0</v>
      </c>
      <c r="AA170">
        <f>ProductosRIB!A108</f>
        <v>0</v>
      </c>
      <c r="AB170" t="str">
        <f>PROPER(ProductosRIB!D108&amp;IF(ProductosRIB!F108="",""," - Marca: "&amp;ProductosRIB!F108))</f>
        <v/>
      </c>
      <c r="AC170">
        <f>ProductosRIB!E108</f>
        <v>0</v>
      </c>
    </row>
    <row r="171" spans="3:29" hidden="1" x14ac:dyDescent="0.25">
      <c r="C171">
        <v>236000</v>
      </c>
      <c r="D171">
        <f>IFERROR(VLOOKUP($A$4&amp;$D$4&amp;C171,BalancesAnuales1!$A$2:$E$20009,5,0)+0,0)/A6</f>
        <v>0</v>
      </c>
      <c r="E171">
        <f>IFERROR(VLOOKUP($A$4&amp;$E$4&amp;C171,BalancesAnuales1!$A$2:$E$20009,5,0)+0,0)/A6</f>
        <v>0</v>
      </c>
      <c r="F171">
        <f>IFERROR(VLOOKUP($A$4&amp;$F$4&amp;C171,BalancesAnuales1!$A$2:$E$20009,5,0)+0,0)/A6</f>
        <v>0</v>
      </c>
      <c r="G171">
        <f>IFERROR(VLOOKUP($A$4&amp;$G$4&amp;C171,BalancesMensuales1!$A$2:$E$20009,5,0)+0,0)/A6</f>
        <v>0</v>
      </c>
      <c r="H171">
        <f>IFERROR(VLOOKUP($A$4&amp;$H$4&amp;C171,BalancesMensuales1!$A$2:$E$20009,5,0)+0,0)/A6</f>
        <v>0</v>
      </c>
      <c r="Z171">
        <f t="shared" si="20"/>
        <v>0</v>
      </c>
      <c r="AA171">
        <f>ProductosRIB!A109</f>
        <v>0</v>
      </c>
      <c r="AB171" t="str">
        <f>PROPER(ProductosRIB!D109&amp;IF(ProductosRIB!F109="",""," - Marca: "&amp;ProductosRIB!F109))</f>
        <v/>
      </c>
      <c r="AC171">
        <f>ProductosRIB!E109</f>
        <v>0</v>
      </c>
    </row>
    <row r="172" spans="3:29" hidden="1" x14ac:dyDescent="0.25">
      <c r="C172">
        <v>236500</v>
      </c>
      <c r="D172">
        <f>IFERROR(VLOOKUP($A$4&amp;$D$4&amp;C172,BalancesAnuales1!$A$2:$E$20009,5,0)+0,0)/A6</f>
        <v>0</v>
      </c>
      <c r="E172">
        <f>IFERROR(VLOOKUP($A$4&amp;$E$4&amp;C172,BalancesAnuales1!$A$2:$E$20009,5,0)+0,0)/A6</f>
        <v>0</v>
      </c>
      <c r="F172">
        <f>IFERROR(VLOOKUP($A$4&amp;$F$4&amp;C172,BalancesAnuales1!$A$2:$E$20009,5,0)+0,0)/A6</f>
        <v>0</v>
      </c>
      <c r="G172">
        <f>IFERROR(VLOOKUP($A$4&amp;$G$4&amp;C172,BalancesMensuales1!$A$2:$E$20009,5,0)+0,0)/A6</f>
        <v>0</v>
      </c>
      <c r="H172">
        <f>IFERROR(VLOOKUP($A$4&amp;$H$4&amp;C172,BalancesMensuales1!$A$2:$E$20009,5,0)+0,0)/A6</f>
        <v>0</v>
      </c>
      <c r="Z172">
        <f t="shared" si="20"/>
        <v>0</v>
      </c>
      <c r="AA172">
        <f>ProductosRIB!A110</f>
        <v>0</v>
      </c>
      <c r="AB172" t="str">
        <f>PROPER(ProductosRIB!D110&amp;IF(ProductosRIB!F110="",""," - Marca: "&amp;ProductosRIB!F110))</f>
        <v/>
      </c>
      <c r="AC172">
        <f>ProductosRIB!E110</f>
        <v>0</v>
      </c>
    </row>
    <row r="173" spans="3:29" hidden="1" x14ac:dyDescent="0.25">
      <c r="C173">
        <v>236700</v>
      </c>
      <c r="D173">
        <f>IFERROR(VLOOKUP($A$4&amp;$D$4&amp;C173,BalancesAnuales1!$A$2:$E$20009,5,0)+0,0)/A6</f>
        <v>0</v>
      </c>
      <c r="E173">
        <f>IFERROR(VLOOKUP($A$4&amp;$E$4&amp;C173,BalancesAnuales1!$A$2:$E$20009,5,0)+0,0)/A6</f>
        <v>0</v>
      </c>
      <c r="F173">
        <f>IFERROR(VLOOKUP($A$4&amp;$F$4&amp;C173,BalancesAnuales1!$A$2:$E$20009,5,0)+0,0)/A6</f>
        <v>0</v>
      </c>
      <c r="G173">
        <f>IFERROR(VLOOKUP($A$4&amp;$G$4&amp;C173,BalancesMensuales1!$A$2:$E$20009,5,0)+0,0)/A6</f>
        <v>0</v>
      </c>
      <c r="H173">
        <f>IFERROR(VLOOKUP($A$4&amp;$H$4&amp;C173,BalancesMensuales1!$A$2:$E$20009,5,0)+0,0)/A6</f>
        <v>0</v>
      </c>
      <c r="Z173">
        <f t="shared" si="20"/>
        <v>0</v>
      </c>
      <c r="AA173">
        <f>ProductosRIB!A111</f>
        <v>0</v>
      </c>
      <c r="AB173" t="str">
        <f>PROPER(ProductosRIB!D111&amp;IF(ProductosRIB!F111="",""," - Marca: "&amp;ProductosRIB!F111))</f>
        <v/>
      </c>
      <c r="AC173">
        <f>ProductosRIB!E111</f>
        <v>0</v>
      </c>
    </row>
    <row r="174" spans="3:29" hidden="1" x14ac:dyDescent="0.25">
      <c r="C174">
        <v>236800</v>
      </c>
      <c r="D174">
        <f>IFERROR(VLOOKUP($A$4&amp;$D$4&amp;C174,BalancesAnuales1!$A$2:$E$20009,5,0)+0,0)/A6</f>
        <v>0</v>
      </c>
      <c r="E174">
        <f>IFERROR(VLOOKUP($A$4&amp;$E$4&amp;C174,BalancesAnuales1!$A$2:$E$20009,5,0)+0,0)/A6</f>
        <v>0</v>
      </c>
      <c r="F174">
        <f>IFERROR(VLOOKUP($A$4&amp;$F$4&amp;C174,BalancesAnuales1!$A$2:$E$20009,5,0)+0,0)/A6</f>
        <v>0</v>
      </c>
      <c r="G174">
        <f>IFERROR(VLOOKUP($A$4&amp;$G$4&amp;C174,BalancesMensuales1!$A$2:$E$20009,5,0)+0,0)/A6</f>
        <v>0</v>
      </c>
      <c r="H174">
        <f>IFERROR(VLOOKUP($A$4&amp;$H$4&amp;C174,BalancesMensuales1!$A$2:$E$20009,5,0)+0,0)/A6</f>
        <v>0</v>
      </c>
      <c r="Z174">
        <f t="shared" si="20"/>
        <v>0</v>
      </c>
      <c r="AA174">
        <f>ProductosRIB!A112</f>
        <v>0</v>
      </c>
      <c r="AB174" t="str">
        <f>PROPER(ProductosRIB!D112&amp;IF(ProductosRIB!F112="",""," - Marca: "&amp;ProductosRIB!F112))</f>
        <v/>
      </c>
      <c r="AC174">
        <f>ProductosRIB!E112</f>
        <v>0</v>
      </c>
    </row>
    <row r="175" spans="3:29" hidden="1" x14ac:dyDescent="0.25">
      <c r="C175">
        <v>237000</v>
      </c>
      <c r="D175">
        <f>IFERROR(VLOOKUP($A$4&amp;$D$4&amp;C175,BalancesAnuales1!$A$2:$E$20009,5,0)+0,0)/A6</f>
        <v>0</v>
      </c>
      <c r="E175">
        <f>IFERROR(VLOOKUP($A$4&amp;$E$4&amp;C175,BalancesAnuales1!$A$2:$E$20009,5,0)+0,0)/A6</f>
        <v>0</v>
      </c>
      <c r="F175">
        <f>IFERROR(VLOOKUP($A$4&amp;$F$4&amp;C175,BalancesAnuales1!$A$2:$E$20009,5,0)+0,0)/A6</f>
        <v>0</v>
      </c>
      <c r="G175">
        <f>IFERROR(VLOOKUP($A$4&amp;$G$4&amp;C175,BalancesMensuales1!$A$2:$E$20009,5,0)+0,0)/A6</f>
        <v>0</v>
      </c>
      <c r="H175">
        <f>IFERROR(VLOOKUP($A$4&amp;$H$4&amp;C175,BalancesMensuales1!$A$2:$E$20009,5,0)+0,0)/A6</f>
        <v>0</v>
      </c>
      <c r="Z175">
        <f t="shared" si="20"/>
        <v>0</v>
      </c>
      <c r="AA175">
        <f>ProductosRIB!A113</f>
        <v>0</v>
      </c>
      <c r="AB175" t="str">
        <f>PROPER(ProductosRIB!D113&amp;IF(ProductosRIB!F113="",""," - Marca: "&amp;ProductosRIB!F113))</f>
        <v/>
      </c>
      <c r="AC175">
        <f>ProductosRIB!E113</f>
        <v>0</v>
      </c>
    </row>
    <row r="176" spans="3:29" hidden="1" x14ac:dyDescent="0.25">
      <c r="C176">
        <v>238000</v>
      </c>
      <c r="D176">
        <f>IFERROR(VLOOKUP($A$4&amp;$D$4&amp;C176,BalancesAnuales1!$A$2:$E$20009,5,0)+0,0)/A6</f>
        <v>0</v>
      </c>
      <c r="E176">
        <f>IFERROR(VLOOKUP($A$4&amp;$E$4&amp;C176,BalancesAnuales1!$A$2:$E$20009,5,0)+0,0)/A6</f>
        <v>0</v>
      </c>
      <c r="F176">
        <f>IFERROR(VLOOKUP($A$4&amp;$F$4&amp;C176,BalancesAnuales1!$A$2:$E$20009,5,0)+0,0)/A6</f>
        <v>0</v>
      </c>
      <c r="G176">
        <f>IFERROR(VLOOKUP($A$4&amp;$G$4&amp;C176,BalancesMensuales1!$A$2:$E$20009,5,0)+0,0)/A6</f>
        <v>0</v>
      </c>
      <c r="H176">
        <f>IFERROR(VLOOKUP($A$4&amp;$H$4&amp;C176,BalancesMensuales1!$A$2:$E$20009,5,0)+0,0)/A6</f>
        <v>0</v>
      </c>
      <c r="Z176">
        <f t="shared" si="20"/>
        <v>0</v>
      </c>
      <c r="AA176">
        <f>ProductosRIB!A114</f>
        <v>0</v>
      </c>
      <c r="AB176" t="str">
        <f>PROPER(ProductosRIB!D114&amp;IF(ProductosRIB!F114="",""," - Marca: "&amp;ProductosRIB!F114))</f>
        <v/>
      </c>
      <c r="AC176">
        <f>ProductosRIB!E114</f>
        <v>0</v>
      </c>
    </row>
    <row r="177" spans="3:29" hidden="1" x14ac:dyDescent="0.25">
      <c r="C177">
        <v>2103</v>
      </c>
      <c r="D177">
        <f>IFERROR(VLOOKUP($A$4&amp;$D$4&amp;C177,BalancesAnuales1!$A$2:$E$20009,5,0)+0,0)/A6</f>
        <v>0</v>
      </c>
      <c r="E177">
        <f>IFERROR(VLOOKUP($A$4&amp;$E$4&amp;C177,BalancesAnuales1!$A$2:$E$20009,5,0)+0,0)/A6</f>
        <v>0</v>
      </c>
      <c r="F177">
        <f>IFERROR(VLOOKUP($A$4&amp;$F$4&amp;C177,BalancesAnuales1!$A$2:$E$20009,5,0)+0,0)/A6</f>
        <v>0</v>
      </c>
      <c r="G177">
        <f>IFERROR(VLOOKUP($A$4&amp;$G$4&amp;C177,BalancesMensuales1!$A$2:$E$20009,5,0)+0,0)/A6</f>
        <v>0</v>
      </c>
      <c r="H177">
        <f>IFERROR(VLOOKUP($A$4&amp;$H$4&amp;C177,BalancesMensuales1!$A$2:$E$20009,5,0)+0,0)/A6</f>
        <v>0</v>
      </c>
      <c r="Z177">
        <f t="shared" si="20"/>
        <v>0</v>
      </c>
      <c r="AA177">
        <f>ProductosRIB!A115</f>
        <v>0</v>
      </c>
      <c r="AB177" t="str">
        <f>PROPER(ProductosRIB!D115&amp;IF(ProductosRIB!F115="",""," - Marca: "&amp;ProductosRIB!F115))</f>
        <v/>
      </c>
      <c r="AC177">
        <f>ProductosRIB!E115</f>
        <v>0</v>
      </c>
    </row>
    <row r="178" spans="3:29" hidden="1" x14ac:dyDescent="0.25">
      <c r="C178">
        <v>240400</v>
      </c>
      <c r="D178">
        <f>IFERROR(VLOOKUP($A$4&amp;$D$4&amp;C178,BalancesAnuales1!$A$2:$E$20009,5,0)+0,0)/A6</f>
        <v>0</v>
      </c>
      <c r="E178">
        <f>IFERROR(VLOOKUP($A$4&amp;$E$4&amp;C178,BalancesAnuales1!$A$2:$E$20009,5,0)+0,0)/A6</f>
        <v>0</v>
      </c>
      <c r="F178">
        <f>IFERROR(VLOOKUP($A$4&amp;$F$4&amp;C178,BalancesAnuales1!$A$2:$E$20009,5,0)+0,0)/A6</f>
        <v>0</v>
      </c>
      <c r="G178">
        <f>IFERROR(VLOOKUP($A$4&amp;$G$4&amp;C178,BalancesMensuales1!$A$2:$E$20009,5,0)+0,0)/A6</f>
        <v>0</v>
      </c>
      <c r="H178">
        <f>IFERROR(VLOOKUP($A$4&amp;$H$4&amp;C178,BalancesMensuales1!$A$2:$E$20009,5,0)+0,0)/A6</f>
        <v>0</v>
      </c>
      <c r="Z178">
        <f t="shared" si="20"/>
        <v>0</v>
      </c>
      <c r="AA178">
        <f>ProductosRIB!A116</f>
        <v>0</v>
      </c>
      <c r="AB178" t="str">
        <f>PROPER(ProductosRIB!D116&amp;IF(ProductosRIB!F116="",""," - Marca: "&amp;ProductosRIB!F116))</f>
        <v/>
      </c>
      <c r="AC178">
        <f>ProductosRIB!E116</f>
        <v>0</v>
      </c>
    </row>
    <row r="179" spans="3:29" hidden="1" x14ac:dyDescent="0.25">
      <c r="C179">
        <v>240800</v>
      </c>
      <c r="D179">
        <f>IFERROR(VLOOKUP($A$4&amp;$D$4&amp;C179,BalancesAnuales1!$A$2:$E$20009,5,0)+0,0)/A6</f>
        <v>0</v>
      </c>
      <c r="E179">
        <f>IFERROR(VLOOKUP($A$4&amp;$E$4&amp;C179,BalancesAnuales1!$A$2:$E$20009,5,0)+0,0)/A6</f>
        <v>0</v>
      </c>
      <c r="F179">
        <f>IFERROR(VLOOKUP($A$4&amp;$F$4&amp;C179,BalancesAnuales1!$A$2:$E$20009,5,0)+0,0)/A6</f>
        <v>0</v>
      </c>
      <c r="G179">
        <f>IFERROR(VLOOKUP($A$4&amp;$G$4&amp;C179,BalancesMensuales1!$A$2:$E$20009,5,0)+0,0)/A6</f>
        <v>0</v>
      </c>
      <c r="H179">
        <f>IFERROR(VLOOKUP($A$4&amp;$H$4&amp;C179,BalancesMensuales1!$A$2:$E$20009,5,0)+0,0)/A6</f>
        <v>0</v>
      </c>
      <c r="Z179">
        <f t="shared" si="20"/>
        <v>0</v>
      </c>
      <c r="AA179">
        <f>ProductosRIB!A117</f>
        <v>0</v>
      </c>
      <c r="AB179" t="str">
        <f>PROPER(ProductosRIB!D117&amp;IF(ProductosRIB!F117="",""," - Marca: "&amp;ProductosRIB!F117))</f>
        <v/>
      </c>
      <c r="AC179">
        <f>ProductosRIB!E117</f>
        <v>0</v>
      </c>
    </row>
    <row r="180" spans="3:29" hidden="1" x14ac:dyDescent="0.25">
      <c r="C180">
        <v>241200</v>
      </c>
      <c r="D180">
        <f>IFERROR(VLOOKUP($A$4&amp;$D$4&amp;C180,BalancesAnuales1!$A$2:$E$20009,5,0)+0,0)/A6</f>
        <v>0</v>
      </c>
      <c r="E180">
        <f>IFERROR(VLOOKUP($A$4&amp;$E$4&amp;C180,BalancesAnuales1!$A$2:$E$20009,5,0)+0,0)/A6</f>
        <v>0</v>
      </c>
      <c r="F180">
        <f>IFERROR(VLOOKUP($A$4&amp;$F$4&amp;C180,BalancesAnuales1!$A$2:$E$20009,5,0)+0,0)/A6</f>
        <v>0</v>
      </c>
      <c r="G180">
        <f>IFERROR(VLOOKUP($A$4&amp;$G$4&amp;C180,BalancesMensuales1!$A$2:$E$20009,5,0)+0,0)/A6</f>
        <v>0</v>
      </c>
      <c r="H180">
        <f>IFERROR(VLOOKUP($A$4&amp;$H$4&amp;C180,BalancesMensuales1!$A$2:$E$20009,5,0)+0,0)/A6</f>
        <v>0</v>
      </c>
      <c r="Z180">
        <f t="shared" si="20"/>
        <v>0</v>
      </c>
      <c r="AA180">
        <f>ProductosRIB!A118</f>
        <v>0</v>
      </c>
      <c r="AB180" t="str">
        <f>PROPER(ProductosRIB!D118&amp;IF(ProductosRIB!F118="",""," - Marca: "&amp;ProductosRIB!F118))</f>
        <v/>
      </c>
      <c r="AC180">
        <f>ProductosRIB!E118</f>
        <v>0</v>
      </c>
    </row>
    <row r="181" spans="3:29" hidden="1" x14ac:dyDescent="0.25">
      <c r="C181">
        <v>249500</v>
      </c>
      <c r="D181">
        <f>IFERROR(VLOOKUP($A$4&amp;$D$4&amp;C181,BalancesAnuales1!$A$2:$E$20009,5,0)+0,0)/A6</f>
        <v>0</v>
      </c>
      <c r="E181">
        <f>IFERROR(VLOOKUP($A$4&amp;$E$4&amp;C181,BalancesAnuales1!$A$2:$E$20009,5,0)+0,0)/A6</f>
        <v>0</v>
      </c>
      <c r="F181">
        <f>IFERROR(VLOOKUP($A$4&amp;$F$4&amp;C181,BalancesAnuales1!$A$2:$E$20009,5,0)+0,0)/A6</f>
        <v>0</v>
      </c>
      <c r="G181">
        <f>IFERROR(VLOOKUP($A$4&amp;$G$4&amp;C181,BalancesMensuales1!$A$2:$E$20009,5,0)+0,0)/A6</f>
        <v>0</v>
      </c>
      <c r="H181">
        <f>IFERROR(VLOOKUP($A$4&amp;$H$4&amp;C181,BalancesMensuales1!$A$2:$E$20009,5,0)+0,0)/A6</f>
        <v>0</v>
      </c>
      <c r="Z181">
        <f t="shared" si="20"/>
        <v>0</v>
      </c>
      <c r="AA181">
        <f>ProductosRIB!A119</f>
        <v>0</v>
      </c>
      <c r="AB181" t="str">
        <f>PROPER(ProductosRIB!D119&amp;IF(ProductosRIB!F119="",""," - Marca: "&amp;ProductosRIB!F119))</f>
        <v/>
      </c>
      <c r="AC181">
        <f>ProductosRIB!E119</f>
        <v>0</v>
      </c>
    </row>
    <row r="182" spans="3:29" hidden="1" x14ac:dyDescent="0.25">
      <c r="C182">
        <v>2105</v>
      </c>
      <c r="D182">
        <f>IFERROR(VLOOKUP($A$4&amp;$D$4&amp;C182,BalancesAnuales1!$A$2:$E$20009,5,0)+0,0)/A6</f>
        <v>0</v>
      </c>
      <c r="E182">
        <f>IFERROR(VLOOKUP($A$4&amp;$E$4&amp;C182,BalancesAnuales1!$A$2:$E$20009,5,0)+0,0)/A6</f>
        <v>0</v>
      </c>
      <c r="F182">
        <f>IFERROR(VLOOKUP($A$4&amp;$F$4&amp;C182,BalancesAnuales1!$A$2:$E$20009,5,0)+0,0)/A6</f>
        <v>0</v>
      </c>
      <c r="G182">
        <f>IFERROR(VLOOKUP($A$4&amp;$G$4&amp;C182,BalancesMensuales1!$A$2:$E$20009,5,0)+0,0)/A6</f>
        <v>0</v>
      </c>
      <c r="H182">
        <f>IFERROR(VLOOKUP($A$4&amp;$H$4&amp;C182,BalancesMensuales1!$A$2:$E$20009,5,0)+0,0)/A6</f>
        <v>0</v>
      </c>
      <c r="Z182">
        <f t="shared" si="20"/>
        <v>0</v>
      </c>
      <c r="AA182">
        <f>ProductosRIB!A120</f>
        <v>0</v>
      </c>
      <c r="AB182" t="str">
        <f>PROPER(ProductosRIB!D120&amp;IF(ProductosRIB!F120="",""," - Marca: "&amp;ProductosRIB!F120))</f>
        <v/>
      </c>
      <c r="AC182">
        <f>ProductosRIB!E120</f>
        <v>0</v>
      </c>
    </row>
    <row r="183" spans="3:29" hidden="1" x14ac:dyDescent="0.25">
      <c r="C183">
        <v>250500</v>
      </c>
      <c r="D183">
        <f>IFERROR(VLOOKUP($A$4&amp;$D$4&amp;C183,BalancesAnuales1!$A$2:$E$20009,5,0)+0,0)/A6</f>
        <v>0</v>
      </c>
      <c r="E183">
        <f>IFERROR(VLOOKUP($A$4&amp;$E$4&amp;C183,BalancesAnuales1!$A$2:$E$20009,5,0)+0,0)/A6</f>
        <v>0</v>
      </c>
      <c r="F183">
        <f>IFERROR(VLOOKUP($A$4&amp;$F$4&amp;C183,BalancesAnuales1!$A$2:$E$20009,5,0)+0,0)/A6</f>
        <v>0</v>
      </c>
      <c r="G183">
        <f>IFERROR(VLOOKUP($A$4&amp;$G$4&amp;C183,BalancesMensuales1!$A$2:$E$20009,5,0)+0,0)/A6</f>
        <v>0</v>
      </c>
      <c r="H183">
        <f>IFERROR(VLOOKUP($A$4&amp;$H$4&amp;C183,BalancesMensuales1!$A$2:$E$20009,5,0)+0,0)/A6</f>
        <v>0</v>
      </c>
      <c r="Z183">
        <f t="shared" si="20"/>
        <v>0</v>
      </c>
      <c r="AA183">
        <f>ProductosRIB!A121</f>
        <v>0</v>
      </c>
      <c r="AB183" t="str">
        <f>PROPER(ProductosRIB!D121&amp;IF(ProductosRIB!F121="",""," - Marca: "&amp;ProductosRIB!F121))</f>
        <v/>
      </c>
      <c r="AC183">
        <f>ProductosRIB!E121</f>
        <v>0</v>
      </c>
    </row>
    <row r="184" spans="3:29" hidden="1" x14ac:dyDescent="0.25">
      <c r="C184">
        <v>251000</v>
      </c>
      <c r="D184">
        <f>IFERROR(VLOOKUP($A$4&amp;$D$4&amp;C184,BalancesAnuales1!$A$2:$E$20009,5,0)+0,0)/A6</f>
        <v>0</v>
      </c>
      <c r="E184">
        <f>IFERROR(VLOOKUP($A$4&amp;$E$4&amp;C184,BalancesAnuales1!$A$2:$E$20009,5,0)+0,0)/A6</f>
        <v>0</v>
      </c>
      <c r="F184">
        <f>IFERROR(VLOOKUP($A$4&amp;$F$4&amp;C184,BalancesAnuales1!$A$2:$E$20009,5,0)+0,0)/A6</f>
        <v>0</v>
      </c>
      <c r="G184">
        <f>IFERROR(VLOOKUP($A$4&amp;$G$4&amp;C184,BalancesMensuales1!$A$2:$E$20009,5,0)+0,0)/A6</f>
        <v>0</v>
      </c>
      <c r="H184">
        <f>IFERROR(VLOOKUP($A$4&amp;$H$4&amp;C184,BalancesMensuales1!$A$2:$E$20009,5,0)+0,0)/A6</f>
        <v>0</v>
      </c>
      <c r="Z184">
        <f t="shared" si="20"/>
        <v>0</v>
      </c>
      <c r="AA184">
        <f>ProductosRIB!A122</f>
        <v>0</v>
      </c>
      <c r="AB184" t="str">
        <f>PROPER(ProductosRIB!D122&amp;IF(ProductosRIB!F122="",""," - Marca: "&amp;ProductosRIB!F122))</f>
        <v/>
      </c>
      <c r="AC184">
        <f>ProductosRIB!E122</f>
        <v>0</v>
      </c>
    </row>
    <row r="185" spans="3:29" hidden="1" x14ac:dyDescent="0.25">
      <c r="C185">
        <v>251500</v>
      </c>
      <c r="D185">
        <f>IFERROR(VLOOKUP($A$4&amp;$D$4&amp;C185,BalancesAnuales1!$A$2:$E$20009,5,0)+0,0)/A6</f>
        <v>0</v>
      </c>
      <c r="E185">
        <f>IFERROR(VLOOKUP($A$4&amp;$E$4&amp;C185,BalancesAnuales1!$A$2:$E$20009,5,0)+0,0)/A6</f>
        <v>0</v>
      </c>
      <c r="F185">
        <f>IFERROR(VLOOKUP($A$4&amp;$F$4&amp;C185,BalancesAnuales1!$A$2:$E$20009,5,0)+0,0)/A6</f>
        <v>0</v>
      </c>
      <c r="G185">
        <f>IFERROR(VLOOKUP($A$4&amp;$G$4&amp;C185,BalancesMensuales1!$A$2:$E$20009,5,0)+0,0)/A6</f>
        <v>0</v>
      </c>
      <c r="H185">
        <f>IFERROR(VLOOKUP($A$4&amp;$H$4&amp;C185,BalancesMensuales1!$A$2:$E$20009,5,0)+0,0)/A6</f>
        <v>0</v>
      </c>
      <c r="Z185">
        <f t="shared" si="20"/>
        <v>0</v>
      </c>
      <c r="AA185">
        <f>ProductosRIB!A123</f>
        <v>0</v>
      </c>
      <c r="AB185" t="str">
        <f>PROPER(ProductosRIB!D123&amp;IF(ProductosRIB!F123="",""," - Marca: "&amp;ProductosRIB!F123))</f>
        <v/>
      </c>
      <c r="AC185">
        <f>ProductosRIB!E123</f>
        <v>0</v>
      </c>
    </row>
    <row r="186" spans="3:29" hidden="1" x14ac:dyDescent="0.25">
      <c r="C186">
        <v>252500</v>
      </c>
      <c r="D186">
        <f>IFERROR(VLOOKUP($A$4&amp;$D$4&amp;C186,BalancesAnuales1!$A$2:$E$20009,5,0)+0,0)/A6</f>
        <v>0</v>
      </c>
      <c r="E186">
        <f>IFERROR(VLOOKUP($A$4&amp;$E$4&amp;C186,BalancesAnuales1!$A$2:$E$20009,5,0)+0,0)/A6</f>
        <v>0</v>
      </c>
      <c r="F186">
        <f>IFERROR(VLOOKUP($A$4&amp;$F$4&amp;C186,BalancesAnuales1!$A$2:$E$20009,5,0)+0,0)/A6</f>
        <v>0</v>
      </c>
      <c r="G186">
        <f>IFERROR(VLOOKUP($A$4&amp;$G$4&amp;C186,BalancesMensuales1!$A$2:$E$20009,5,0)+0,0)/A6</f>
        <v>0</v>
      </c>
      <c r="H186">
        <f>IFERROR(VLOOKUP($A$4&amp;$H$4&amp;C186,BalancesMensuales1!$A$2:$E$20009,5,0)+0,0)/A6</f>
        <v>0</v>
      </c>
      <c r="Z186">
        <f t="shared" si="20"/>
        <v>0</v>
      </c>
      <c r="AA186">
        <f>ProductosRIB!A124</f>
        <v>0</v>
      </c>
      <c r="AB186" t="str">
        <f>PROPER(ProductosRIB!D124&amp;IF(ProductosRIB!F124="",""," - Marca: "&amp;ProductosRIB!F124))</f>
        <v/>
      </c>
      <c r="AC186">
        <f>ProductosRIB!E124</f>
        <v>0</v>
      </c>
    </row>
    <row r="187" spans="3:29" hidden="1" x14ac:dyDescent="0.25">
      <c r="C187">
        <v>253000</v>
      </c>
      <c r="D187">
        <f>IFERROR(VLOOKUP($A$4&amp;$D$4&amp;C187,BalancesAnuales1!$A$2:$E$20009,5,0)+0,0)/A6</f>
        <v>0</v>
      </c>
      <c r="E187">
        <f>IFERROR(VLOOKUP($A$4&amp;$E$4&amp;C187,BalancesAnuales1!$A$2:$E$20009,5,0)+0,0)/A6</f>
        <v>0</v>
      </c>
      <c r="F187">
        <f>IFERROR(VLOOKUP($A$4&amp;$F$4&amp;C187,BalancesAnuales1!$A$2:$E$20009,5,0)+0,0)/A6</f>
        <v>0</v>
      </c>
      <c r="G187">
        <f>IFERROR(VLOOKUP($A$4&amp;$G$4&amp;C187,BalancesMensuales1!$A$2:$E$20009,5,0)+0,0)/A6</f>
        <v>0</v>
      </c>
      <c r="H187">
        <f>IFERROR(VLOOKUP($A$4&amp;$H$4&amp;C187,BalancesMensuales1!$A$2:$E$20009,5,0)+0,0)/A6</f>
        <v>0</v>
      </c>
      <c r="Z187">
        <f t="shared" si="20"/>
        <v>0</v>
      </c>
      <c r="AA187">
        <f>ProductosRIB!A125</f>
        <v>0</v>
      </c>
      <c r="AB187" t="str">
        <f>PROPER(ProductosRIB!D125&amp;IF(ProductosRIB!F125="",""," - Marca: "&amp;ProductosRIB!F125))</f>
        <v/>
      </c>
      <c r="AC187">
        <f>ProductosRIB!E125</f>
        <v>0</v>
      </c>
    </row>
    <row r="188" spans="3:29" hidden="1" x14ac:dyDescent="0.25">
      <c r="C188">
        <v>259500</v>
      </c>
      <c r="D188">
        <f>IFERROR(VLOOKUP($A$4&amp;$D$4&amp;C188,BalancesAnuales1!$A$2:$E$20009,5,0)+0,0)/A6</f>
        <v>0</v>
      </c>
      <c r="E188">
        <f>IFERROR(VLOOKUP($A$4&amp;$E$4&amp;C188,BalancesAnuales1!$A$2:$E$20009,5,0)+0,0)/A6</f>
        <v>0</v>
      </c>
      <c r="F188">
        <f>IFERROR(VLOOKUP($A$4&amp;$F$4&amp;C188,BalancesAnuales1!$A$2:$E$20009,5,0)+0,0)/A6</f>
        <v>0</v>
      </c>
      <c r="G188">
        <f>IFERROR(VLOOKUP($A$4&amp;$G$4&amp;C188,BalancesMensuales1!$A$2:$E$20009,5,0)+0,0)/A6</f>
        <v>0</v>
      </c>
      <c r="H188">
        <f>IFERROR(VLOOKUP($A$4&amp;$H$4&amp;C188,BalancesMensuales1!$A$2:$E$20009,5,0)+0,0)/A6</f>
        <v>0</v>
      </c>
      <c r="Z188">
        <f t="shared" si="20"/>
        <v>0</v>
      </c>
      <c r="AA188">
        <f>ProductosRIB!A126</f>
        <v>0</v>
      </c>
      <c r="AB188" t="str">
        <f>PROPER(ProductosRIB!D126&amp;IF(ProductosRIB!F126="",""," - Marca: "&amp;ProductosRIB!F126))</f>
        <v/>
      </c>
      <c r="AC188">
        <f>ProductosRIB!E126</f>
        <v>0</v>
      </c>
    </row>
    <row r="189" spans="3:29" hidden="1" x14ac:dyDescent="0.25">
      <c r="C189">
        <v>2104</v>
      </c>
      <c r="D189">
        <f>IFERROR(VLOOKUP($A$4&amp;$D$4&amp;C189,BalancesAnuales1!$A$2:$E$20009,5,0)+0,0)/A6</f>
        <v>0</v>
      </c>
      <c r="E189">
        <f>IFERROR(VLOOKUP($A$4&amp;$E$4&amp;C189,BalancesAnuales1!$A$2:$E$20009,5,0)+0,0)/A6</f>
        <v>0</v>
      </c>
      <c r="F189">
        <f>IFERROR(VLOOKUP($A$4&amp;$F$4&amp;C189,BalancesAnuales1!$A$2:$E$20009,5,0)+0,0)/A6</f>
        <v>0</v>
      </c>
      <c r="G189">
        <f>IFERROR(VLOOKUP($A$4&amp;$G$4&amp;C189,BalancesMensuales1!$A$2:$E$20009,5,0)+0,0)/A6</f>
        <v>0</v>
      </c>
      <c r="H189">
        <f>IFERROR(VLOOKUP($A$4&amp;$H$4&amp;C189,BalancesMensuales1!$A$2:$E$20009,5,0)+0,0)/A6</f>
        <v>0</v>
      </c>
      <c r="Z189">
        <f t="shared" si="20"/>
        <v>0</v>
      </c>
      <c r="AA189">
        <f>ProductosRIB!A127</f>
        <v>0</v>
      </c>
      <c r="AB189" t="str">
        <f>PROPER(ProductosRIB!D127&amp;IF(ProductosRIB!F127="",""," - Marca: "&amp;ProductosRIB!F127))</f>
        <v/>
      </c>
      <c r="AC189">
        <f>ProductosRIB!E127</f>
        <v>0</v>
      </c>
    </row>
    <row r="190" spans="3:29" hidden="1" x14ac:dyDescent="0.25">
      <c r="C190">
        <v>260500</v>
      </c>
      <c r="D190">
        <f>IFERROR(VLOOKUP($A$4&amp;$D$4&amp;C190,BalancesAnuales1!$A$2:$E$20009,5,0)+0,0)/A6</f>
        <v>0</v>
      </c>
      <c r="E190">
        <f>IFERROR(VLOOKUP($A$4&amp;$E$4&amp;C190,BalancesAnuales1!$A$2:$E$20009,5,0)+0,0)/A6</f>
        <v>0</v>
      </c>
      <c r="F190">
        <f>IFERROR(VLOOKUP($A$4&amp;$F$4&amp;C190,BalancesAnuales1!$A$2:$E$20009,5,0)+0,0)/A6</f>
        <v>0</v>
      </c>
      <c r="G190">
        <f>IFERROR(VLOOKUP($A$4&amp;$G$4&amp;C190,BalancesMensuales1!$A$2:$E$20009,5,0)+0,0)/A6</f>
        <v>0</v>
      </c>
      <c r="H190">
        <f>IFERROR(VLOOKUP($A$4&amp;$H$4&amp;C190,BalancesMensuales1!$A$2:$E$20009,5,0)+0,0)/A6</f>
        <v>0</v>
      </c>
      <c r="Z190">
        <f t="shared" si="20"/>
        <v>0</v>
      </c>
      <c r="AA190">
        <f>ProductosRIB!A128</f>
        <v>0</v>
      </c>
      <c r="AB190" t="str">
        <f>PROPER(ProductosRIB!D128&amp;IF(ProductosRIB!F128="",""," - Marca: "&amp;ProductosRIB!F128))</f>
        <v/>
      </c>
      <c r="AC190">
        <f>ProductosRIB!E128</f>
        <v>0</v>
      </c>
    </row>
    <row r="191" spans="3:29" hidden="1" x14ac:dyDescent="0.25">
      <c r="C191">
        <v>261000</v>
      </c>
      <c r="D191">
        <f>IFERROR(VLOOKUP($A$4&amp;$D$4&amp;C191,BalancesAnuales1!$A$2:$E$20009,5,0)+0,0)/A6</f>
        <v>0</v>
      </c>
      <c r="E191">
        <f>IFERROR(VLOOKUP($A$4&amp;$E$4&amp;C191,BalancesAnuales1!$A$2:$E$20009,5,0)+0,0)/A6</f>
        <v>0</v>
      </c>
      <c r="F191">
        <f>IFERROR(VLOOKUP($A$4&amp;$F$4&amp;C191,BalancesAnuales1!$A$2:$E$20009,5,0)+0,0)/A6</f>
        <v>0</v>
      </c>
      <c r="G191">
        <f>IFERROR(VLOOKUP($A$4&amp;$G$4&amp;C191,BalancesMensuales1!$A$2:$E$20009,5,0)+0,0)/A6</f>
        <v>0</v>
      </c>
      <c r="H191">
        <f>IFERROR(VLOOKUP($A$4&amp;$H$4&amp;C191,BalancesMensuales1!$A$2:$E$20009,5,0)+0,0)/A6</f>
        <v>0</v>
      </c>
      <c r="Z191">
        <f t="shared" si="20"/>
        <v>0</v>
      </c>
      <c r="AA191">
        <f>ProductosRIB!A129</f>
        <v>0</v>
      </c>
      <c r="AB191" t="str">
        <f>PROPER(ProductosRIB!D129&amp;IF(ProductosRIB!F129="",""," - Marca: "&amp;ProductosRIB!F129))</f>
        <v/>
      </c>
      <c r="AC191">
        <f>ProductosRIB!E129</f>
        <v>0</v>
      </c>
    </row>
    <row r="192" spans="3:29" hidden="1" x14ac:dyDescent="0.25">
      <c r="C192">
        <v>261500</v>
      </c>
      <c r="D192">
        <f>IFERROR(VLOOKUP($A$4&amp;$D$4&amp;C192,BalancesAnuales1!$A$2:$E$20009,5,0)+0,0)/A6</f>
        <v>0</v>
      </c>
      <c r="E192">
        <f>IFERROR(VLOOKUP($A$4&amp;$E$4&amp;C192,BalancesAnuales1!$A$2:$E$20009,5,0)+0,0)/A6</f>
        <v>0</v>
      </c>
      <c r="F192">
        <f>IFERROR(VLOOKUP($A$4&amp;$F$4&amp;C192,BalancesAnuales1!$A$2:$E$20009,5,0)+0,0)/A6</f>
        <v>0</v>
      </c>
      <c r="G192">
        <f>IFERROR(VLOOKUP($A$4&amp;$G$4&amp;C192,BalancesMensuales1!$A$2:$E$20009,5,0)+0,0)/A6</f>
        <v>0</v>
      </c>
      <c r="H192">
        <f>IFERROR(VLOOKUP($A$4&amp;$H$4&amp;C192,BalancesMensuales1!$A$2:$E$20009,5,0)+0,0)/A6</f>
        <v>0</v>
      </c>
      <c r="Z192">
        <f t="shared" si="20"/>
        <v>0</v>
      </c>
      <c r="AA192">
        <f>ProductosRIB!A130</f>
        <v>0</v>
      </c>
      <c r="AB192" t="str">
        <f>PROPER(ProductosRIB!D130&amp;IF(ProductosRIB!F130="",""," - Marca: "&amp;ProductosRIB!F130))</f>
        <v/>
      </c>
      <c r="AC192">
        <f>ProductosRIB!E130</f>
        <v>0</v>
      </c>
    </row>
    <row r="193" spans="3:29" hidden="1" x14ac:dyDescent="0.25">
      <c r="C193">
        <v>262000</v>
      </c>
      <c r="D193">
        <f>IFERROR(VLOOKUP($A$4&amp;$D$4&amp;C193,BalancesAnuales1!$A$2:$E$20009,5,0)+0,0)/A6</f>
        <v>0</v>
      </c>
      <c r="E193">
        <f>IFERROR(VLOOKUP($A$4&amp;$E$4&amp;C193,BalancesAnuales1!$A$2:$E$20009,5,0)+0,0)/A6</f>
        <v>0</v>
      </c>
      <c r="F193">
        <f>IFERROR(VLOOKUP($A$4&amp;$F$4&amp;C193,BalancesAnuales1!$A$2:$E$20009,5,0)+0,0)/A6</f>
        <v>0</v>
      </c>
      <c r="G193">
        <f>IFERROR(VLOOKUP($A$4&amp;$G$4&amp;C193,BalancesMensuales1!$A$2:$E$20009,5,0)+0,0)/A6</f>
        <v>0</v>
      </c>
      <c r="H193">
        <f>IFERROR(VLOOKUP($A$4&amp;$H$4&amp;C193,BalancesMensuales1!$A$2:$E$20009,5,0)+0,0)/A6</f>
        <v>0</v>
      </c>
      <c r="Z193">
        <f t="shared" ref="Z193:Z214" si="21">IF(AA193=$A$4,Z192+1,0)</f>
        <v>0</v>
      </c>
      <c r="AA193">
        <f>ProductosRIB!A131</f>
        <v>0</v>
      </c>
      <c r="AB193" t="str">
        <f>PROPER(ProductosRIB!D131&amp;IF(ProductosRIB!F131="",""," - Marca: "&amp;ProductosRIB!F131))</f>
        <v/>
      </c>
      <c r="AC193">
        <f>ProductosRIB!E131</f>
        <v>0</v>
      </c>
    </row>
    <row r="194" spans="3:29" hidden="1" x14ac:dyDescent="0.25">
      <c r="C194">
        <v>262500</v>
      </c>
      <c r="D194">
        <f>IFERROR(VLOOKUP($A$4&amp;$D$4&amp;C194,BalancesAnuales1!$A$2:$E$20009,5,0)+0,0)/A6</f>
        <v>0</v>
      </c>
      <c r="E194">
        <f>IFERROR(VLOOKUP($A$4&amp;$E$4&amp;C194,BalancesAnuales1!$A$2:$E$20009,5,0)+0,0)/A6</f>
        <v>0</v>
      </c>
      <c r="F194">
        <f>IFERROR(VLOOKUP($A$4&amp;$F$4&amp;C194,BalancesAnuales1!$A$2:$E$20009,5,0)+0,0)/A6</f>
        <v>0</v>
      </c>
      <c r="G194">
        <f>IFERROR(VLOOKUP($A$4&amp;$G$4&amp;C194,BalancesMensuales1!$A$2:$E$20009,5,0)+0,0)/A6</f>
        <v>0</v>
      </c>
      <c r="H194">
        <f>IFERROR(VLOOKUP($A$4&amp;$H$4&amp;C194,BalancesMensuales1!$A$2:$E$20009,5,0)+0,0)/A6</f>
        <v>0</v>
      </c>
      <c r="Z194">
        <f t="shared" si="21"/>
        <v>0</v>
      </c>
      <c r="AA194">
        <f>ProductosRIB!A132</f>
        <v>0</v>
      </c>
      <c r="AB194" t="str">
        <f>PROPER(ProductosRIB!D132&amp;IF(ProductosRIB!F132="",""," - Marca: "&amp;ProductosRIB!F132))</f>
        <v/>
      </c>
      <c r="AC194">
        <f>ProductosRIB!E132</f>
        <v>0</v>
      </c>
    </row>
    <row r="195" spans="3:29" hidden="1" x14ac:dyDescent="0.25">
      <c r="C195">
        <v>263000</v>
      </c>
      <c r="D195">
        <f>IFERROR(VLOOKUP($A$4&amp;$D$4&amp;C195,BalancesAnuales1!$A$2:$E$20009,5,0)+0,0)/A6</f>
        <v>0</v>
      </c>
      <c r="E195">
        <f>IFERROR(VLOOKUP($A$4&amp;$E$4&amp;C195,BalancesAnuales1!$A$2:$E$20009,5,0)+0,0)/A6</f>
        <v>0</v>
      </c>
      <c r="F195">
        <f>IFERROR(VLOOKUP($A$4&amp;$F$4&amp;C195,BalancesAnuales1!$A$2:$E$20009,5,0)+0,0)/A6</f>
        <v>0</v>
      </c>
      <c r="G195">
        <f>IFERROR(VLOOKUP($A$4&amp;$G$4&amp;C195,BalancesMensuales1!$A$2:$E$20009,5,0)+0,0)/A6</f>
        <v>0</v>
      </c>
      <c r="H195">
        <f>IFERROR(VLOOKUP($A$4&amp;$H$4&amp;C195,BalancesMensuales1!$A$2:$E$20009,5,0)+0,0)/A6</f>
        <v>0</v>
      </c>
      <c r="Z195">
        <f t="shared" si="21"/>
        <v>0</v>
      </c>
      <c r="AA195">
        <f>ProductosRIB!A133</f>
        <v>0</v>
      </c>
      <c r="AB195" t="str">
        <f>PROPER(ProductosRIB!D133&amp;IF(ProductosRIB!F133="",""," - Marca: "&amp;ProductosRIB!F133))</f>
        <v/>
      </c>
      <c r="AC195">
        <f>ProductosRIB!E133</f>
        <v>0</v>
      </c>
    </row>
    <row r="196" spans="3:29" hidden="1" x14ac:dyDescent="0.25">
      <c r="C196">
        <v>263500</v>
      </c>
      <c r="D196">
        <f>IFERROR(VLOOKUP($A$4&amp;$D$4&amp;C196,BalancesAnuales1!$A$2:$E$20009,5,0)+0,0)/A6</f>
        <v>0</v>
      </c>
      <c r="E196">
        <f>IFERROR(VLOOKUP($A$4&amp;$E$4&amp;C196,BalancesAnuales1!$A$2:$E$20009,5,0)+0,0)/A6</f>
        <v>0</v>
      </c>
      <c r="F196">
        <f>IFERROR(VLOOKUP($A$4&amp;$F$4&amp;C196,BalancesAnuales1!$A$2:$E$20009,5,0)+0,0)/A6</f>
        <v>0</v>
      </c>
      <c r="G196">
        <f>IFERROR(VLOOKUP($A$4&amp;$G$4&amp;C196,BalancesMensuales1!$A$2:$E$20009,5,0)+0,0)/A6</f>
        <v>0</v>
      </c>
      <c r="H196">
        <f>IFERROR(VLOOKUP($A$4&amp;$H$4&amp;C196,BalancesMensuales1!$A$2:$E$20009,5,0)+0,0)/A6</f>
        <v>0</v>
      </c>
      <c r="Z196">
        <f t="shared" si="21"/>
        <v>0</v>
      </c>
      <c r="AA196">
        <f>ProductosRIB!A134</f>
        <v>0</v>
      </c>
      <c r="AB196" t="str">
        <f>PROPER(ProductosRIB!D134&amp;IF(ProductosRIB!F134="",""," - Marca: "&amp;ProductosRIB!F134))</f>
        <v/>
      </c>
      <c r="AC196">
        <f>ProductosRIB!E134</f>
        <v>0</v>
      </c>
    </row>
    <row r="197" spans="3:29" hidden="1" x14ac:dyDescent="0.25">
      <c r="C197">
        <v>264000</v>
      </c>
      <c r="D197">
        <f>IFERROR(VLOOKUP($A$4&amp;$D$4&amp;C197,BalancesAnuales1!$A$2:$E$20009,5,0)+0,0)/A6</f>
        <v>0</v>
      </c>
      <c r="E197">
        <f>IFERROR(VLOOKUP($A$4&amp;$E$4&amp;C197,BalancesAnuales1!$A$2:$E$20009,5,0)+0,0)/A6</f>
        <v>0</v>
      </c>
      <c r="F197">
        <f>IFERROR(VLOOKUP($A$4&amp;$F$4&amp;C197,BalancesAnuales1!$A$2:$E$20009,5,0)+0,0)/A6</f>
        <v>0</v>
      </c>
      <c r="G197">
        <f>IFERROR(VLOOKUP($A$4&amp;$G$4&amp;C197,BalancesMensuales1!$A$2:$E$20009,5,0)+0,0)/A6</f>
        <v>0</v>
      </c>
      <c r="H197">
        <f>IFERROR(VLOOKUP($A$4&amp;$H$4&amp;C197,BalancesMensuales1!$A$2:$E$20009,5,0)+0,0)/A6</f>
        <v>0</v>
      </c>
      <c r="Z197">
        <f t="shared" si="21"/>
        <v>0</v>
      </c>
      <c r="AA197">
        <f>ProductosRIB!A135</f>
        <v>0</v>
      </c>
      <c r="AB197" t="str">
        <f>PROPER(ProductosRIB!D135&amp;IF(ProductosRIB!F135="",""," - Marca: "&amp;ProductosRIB!F135))</f>
        <v/>
      </c>
      <c r="AC197">
        <f>ProductosRIB!E135</f>
        <v>0</v>
      </c>
    </row>
    <row r="198" spans="3:29" hidden="1" x14ac:dyDescent="0.25">
      <c r="C198">
        <v>269500</v>
      </c>
      <c r="D198">
        <f>IFERROR(VLOOKUP($A$4&amp;$D$4&amp;C198,BalancesAnuales1!$A$2:$E$20009,5,0)+0,0)/A6</f>
        <v>0</v>
      </c>
      <c r="E198">
        <f>IFERROR(VLOOKUP($A$4&amp;$E$4&amp;C198,BalancesAnuales1!$A$2:$E$20009,5,0)+0,0)/A6</f>
        <v>0</v>
      </c>
      <c r="F198">
        <f>IFERROR(VLOOKUP($A$4&amp;$F$4&amp;C198,BalancesAnuales1!$A$2:$E$20009,5,0)+0,0)/A6</f>
        <v>0</v>
      </c>
      <c r="G198">
        <f>IFERROR(VLOOKUP($A$4&amp;$G$4&amp;C198,BalancesMensuales1!$A$2:$E$20009,5,0)+0,0)/A6</f>
        <v>0</v>
      </c>
      <c r="H198">
        <f>IFERROR(VLOOKUP($A$4&amp;$H$4&amp;C198,BalancesMensuales1!$A$2:$E$20009,5,0)+0,0)/A6</f>
        <v>0</v>
      </c>
      <c r="Z198">
        <f t="shared" si="21"/>
        <v>0</v>
      </c>
      <c r="AA198">
        <f>ProductosRIB!A136</f>
        <v>0</v>
      </c>
      <c r="AB198" t="str">
        <f>PROPER(ProductosRIB!D136&amp;IF(ProductosRIB!F136="",""," - Marca: "&amp;ProductosRIB!F136))</f>
        <v/>
      </c>
      <c r="AC198">
        <f>ProductosRIB!E136</f>
        <v>0</v>
      </c>
    </row>
    <row r="199" spans="3:29" hidden="1" x14ac:dyDescent="0.25">
      <c r="C199">
        <v>2106</v>
      </c>
      <c r="D199">
        <f>IFERROR(VLOOKUP($A$4&amp;$D$4&amp;C199,BalancesAnuales1!$A$2:$E$20009,5,0)+0,0)/A6</f>
        <v>0</v>
      </c>
      <c r="E199">
        <f>IFERROR(VLOOKUP($A$4&amp;$E$4&amp;C199,BalancesAnuales1!$A$2:$E$20009,5,0)+0,0)/A6</f>
        <v>0</v>
      </c>
      <c r="F199">
        <f>IFERROR(VLOOKUP($A$4&amp;$F$4&amp;C199,BalancesAnuales1!$A$2:$E$20009,5,0)+0,0)/A6</f>
        <v>0</v>
      </c>
      <c r="G199">
        <f>IFERROR(VLOOKUP($A$4&amp;$G$4&amp;C199,BalancesMensuales1!$A$2:$E$20009,5,0)+0,0)/A6</f>
        <v>0</v>
      </c>
      <c r="H199">
        <f>IFERROR(VLOOKUP($A$4&amp;$H$4&amp;C199,BalancesMensuales1!$A$2:$E$20009,5,0)+0,0)/A6</f>
        <v>0</v>
      </c>
      <c r="Z199">
        <f t="shared" si="21"/>
        <v>0</v>
      </c>
      <c r="AA199">
        <f>ProductosRIB!A137</f>
        <v>0</v>
      </c>
      <c r="AB199" t="str">
        <f>PROPER(ProductosRIB!D137&amp;IF(ProductosRIB!F137="",""," - Marca: "&amp;ProductosRIB!F137))</f>
        <v/>
      </c>
      <c r="AC199">
        <f>ProductosRIB!E137</f>
        <v>0</v>
      </c>
    </row>
    <row r="200" spans="3:29" hidden="1" x14ac:dyDescent="0.25">
      <c r="C200">
        <v>270500</v>
      </c>
      <c r="D200">
        <f>IFERROR(VLOOKUP($A$4&amp;$D$4&amp;C200,BalancesAnuales1!$A$2:$E$20009,5,0)+0,0)/A6</f>
        <v>0</v>
      </c>
      <c r="E200">
        <f>IFERROR(VLOOKUP($A$4&amp;$E$4&amp;C200,BalancesAnuales1!$A$2:$E$20009,5,0)+0,0)/A6</f>
        <v>0</v>
      </c>
      <c r="F200">
        <f>IFERROR(VLOOKUP($A$4&amp;$F$4&amp;C200,BalancesAnuales1!$A$2:$E$20009,5,0)+0,0)/A6</f>
        <v>0</v>
      </c>
      <c r="G200">
        <f>IFERROR(VLOOKUP($A$4&amp;$G$4&amp;C200,BalancesMensuales1!$A$2:$E$20009,5,0)+0,0)/A6</f>
        <v>0</v>
      </c>
      <c r="H200">
        <f>IFERROR(VLOOKUP($A$4&amp;$H$4&amp;C200,BalancesMensuales1!$A$2:$E$20009,5,0)+0,0)/A6</f>
        <v>0</v>
      </c>
      <c r="Z200">
        <f t="shared" si="21"/>
        <v>0</v>
      </c>
      <c r="AA200">
        <f>ProductosRIB!A138</f>
        <v>0</v>
      </c>
      <c r="AB200" t="str">
        <f>PROPER(ProductosRIB!D138&amp;IF(ProductosRIB!F138="",""," - Marca: "&amp;ProductosRIB!F138))</f>
        <v/>
      </c>
      <c r="AC200">
        <f>ProductosRIB!E138</f>
        <v>0</v>
      </c>
    </row>
    <row r="201" spans="3:29" hidden="1" x14ac:dyDescent="0.25">
      <c r="C201">
        <v>271000</v>
      </c>
      <c r="D201">
        <f>IFERROR(VLOOKUP($A$4&amp;$D$4&amp;C201,BalancesAnuales1!$A$2:$E$20009,5,0)+0,0)/A6</f>
        <v>0</v>
      </c>
      <c r="E201">
        <f>IFERROR(VLOOKUP($A$4&amp;$E$4&amp;C201,BalancesAnuales1!$A$2:$E$20009,5,0)+0,0)/A6</f>
        <v>0</v>
      </c>
      <c r="F201">
        <f>IFERROR(VLOOKUP($A$4&amp;$F$4&amp;C201,BalancesAnuales1!$A$2:$E$20009,5,0)+0,0)/A6</f>
        <v>0</v>
      </c>
      <c r="G201">
        <f>IFERROR(VLOOKUP($A$4&amp;$G$4&amp;C201,BalancesMensuales1!$A$2:$E$20009,5,0)+0,0)/A6</f>
        <v>0</v>
      </c>
      <c r="H201">
        <f>IFERROR(VLOOKUP($A$4&amp;$H$4&amp;C201,BalancesMensuales1!$A$2:$E$20009,5,0)+0,0)/A6</f>
        <v>0</v>
      </c>
      <c r="Z201">
        <f t="shared" si="21"/>
        <v>0</v>
      </c>
      <c r="AA201">
        <f>ProductosRIB!A139</f>
        <v>0</v>
      </c>
      <c r="AB201" t="str">
        <f>PROPER(ProductosRIB!D139&amp;IF(ProductosRIB!F139="",""," - Marca: "&amp;ProductosRIB!F139))</f>
        <v/>
      </c>
      <c r="AC201">
        <f>ProductosRIB!E139</f>
        <v>0</v>
      </c>
    </row>
    <row r="202" spans="3:29" hidden="1" x14ac:dyDescent="0.25">
      <c r="C202">
        <v>272500</v>
      </c>
      <c r="D202">
        <f>IFERROR(VLOOKUP($A$4&amp;$D$4&amp;C202,BalancesAnuales1!$A$2:$E$20009,5,0)+0,0)/A6</f>
        <v>0</v>
      </c>
      <c r="E202">
        <f>IFERROR(VLOOKUP($A$4&amp;$E$4&amp;C202,BalancesAnuales1!$A$2:$E$20009,5,0)+0,0)/A6</f>
        <v>0</v>
      </c>
      <c r="F202">
        <f>IFERROR(VLOOKUP($A$4&amp;$F$4&amp;C202,BalancesAnuales1!$A$2:$E$20009,5,0)+0,0)/A6</f>
        <v>0</v>
      </c>
      <c r="G202">
        <f>IFERROR(VLOOKUP($A$4&amp;$G$4&amp;C202,BalancesMensuales1!$A$2:$E$20009,5,0)+0,0)/A6</f>
        <v>0</v>
      </c>
      <c r="H202">
        <f>IFERROR(VLOOKUP($A$4&amp;$H$4&amp;C202,BalancesMensuales1!$A$2:$E$20009,5,0)+0,0)/A6</f>
        <v>0</v>
      </c>
      <c r="Z202">
        <f t="shared" si="21"/>
        <v>0</v>
      </c>
      <c r="AA202">
        <f>ProductosRIB!A140</f>
        <v>0</v>
      </c>
      <c r="AB202" t="str">
        <f>PROPER(ProductosRIB!D140&amp;IF(ProductosRIB!F140="",""," - Marca: "&amp;ProductosRIB!F140))</f>
        <v/>
      </c>
      <c r="AC202">
        <f>ProductosRIB!E140</f>
        <v>0</v>
      </c>
    </row>
    <row r="203" spans="3:29" hidden="1" x14ac:dyDescent="0.25">
      <c r="C203">
        <v>279500</v>
      </c>
      <c r="D203">
        <f>IFERROR(VLOOKUP($A$4&amp;$D$4&amp;C203,BalancesAnuales1!$A$2:$E$20009,5,0)+0,0)/A6</f>
        <v>0</v>
      </c>
      <c r="E203">
        <f>IFERROR(VLOOKUP($A$4&amp;$E$4&amp;C203,BalancesAnuales1!$A$2:$E$20009,5,0)+0,0)/A6</f>
        <v>0</v>
      </c>
      <c r="F203">
        <f>IFERROR(VLOOKUP($A$4&amp;$F$4&amp;C203,BalancesAnuales1!$A$2:$E$20009,5,0)+0,0)/A6</f>
        <v>0</v>
      </c>
      <c r="G203">
        <f>IFERROR(VLOOKUP($A$4&amp;$G$4&amp;C203,BalancesMensuales1!$A$2:$E$20009,5,0)+0,0)/A6</f>
        <v>0</v>
      </c>
      <c r="H203">
        <f>IFERROR(VLOOKUP($A$4&amp;$H$4&amp;C203,BalancesMensuales1!$A$2:$E$20009,5,0)+0,0)/A6</f>
        <v>0</v>
      </c>
      <c r="Z203">
        <f t="shared" si="21"/>
        <v>0</v>
      </c>
      <c r="AA203">
        <f>ProductosRIB!A141</f>
        <v>0</v>
      </c>
      <c r="AB203" t="str">
        <f>PROPER(ProductosRIB!D141&amp;IF(ProductosRIB!F141="",""," - Marca: "&amp;ProductosRIB!F141))</f>
        <v/>
      </c>
      <c r="AC203">
        <f>ProductosRIB!E141</f>
        <v>0</v>
      </c>
    </row>
    <row r="204" spans="3:29" hidden="1" x14ac:dyDescent="0.25">
      <c r="C204">
        <v>2107</v>
      </c>
      <c r="D204">
        <f>IFERROR(VLOOKUP($A$4&amp;$D$4&amp;C204,BalancesAnuales1!$A$2:$E$20009,5,0)+0,0)/A6</f>
        <v>0</v>
      </c>
      <c r="E204">
        <f>IFERROR(VLOOKUP($A$4&amp;$E$4&amp;C204,BalancesAnuales1!$A$2:$E$20009,5,0)+0,0)/A6</f>
        <v>0</v>
      </c>
      <c r="F204">
        <f>IFERROR(VLOOKUP($A$4&amp;$F$4&amp;C204,BalancesAnuales1!$A$2:$E$20009,5,0)+0,0)/A6</f>
        <v>0</v>
      </c>
      <c r="G204">
        <f>IFERROR(VLOOKUP($A$4&amp;$G$4&amp;C204,BalancesMensuales1!$A$2:$E$20009,5,0)+0,0)/A6</f>
        <v>0</v>
      </c>
      <c r="H204">
        <f>IFERROR(VLOOKUP($A$4&amp;$H$4&amp;C204,BalancesMensuales1!$A$2:$E$20009,5,0)+0,0)/A6</f>
        <v>0</v>
      </c>
      <c r="Z204">
        <f t="shared" si="21"/>
        <v>0</v>
      </c>
      <c r="AA204">
        <f>ProductosRIB!A142</f>
        <v>0</v>
      </c>
      <c r="AB204" t="str">
        <f>PROPER(ProductosRIB!D142&amp;IF(ProductosRIB!F142="",""," - Marca: "&amp;ProductosRIB!F142))</f>
        <v/>
      </c>
      <c r="AC204">
        <f>ProductosRIB!E142</f>
        <v>0</v>
      </c>
    </row>
    <row r="205" spans="3:29" hidden="1" x14ac:dyDescent="0.25">
      <c r="C205">
        <v>281000</v>
      </c>
      <c r="D205">
        <f>IFERROR(VLOOKUP($A$4&amp;$D$4&amp;C205,BalancesAnuales1!$A$2:$E$20009,5,0)+0,0)/A6</f>
        <v>0</v>
      </c>
      <c r="E205">
        <f>IFERROR(VLOOKUP($A$4&amp;$E$4&amp;C205,BalancesAnuales1!$A$2:$E$20009,5,0)+0,0)/A6</f>
        <v>0</v>
      </c>
      <c r="F205">
        <f>IFERROR(VLOOKUP($A$4&amp;$F$4&amp;C205,BalancesAnuales1!$A$2:$E$20009,5,0)+0,0)/A6</f>
        <v>0</v>
      </c>
      <c r="G205">
        <f>IFERROR(VLOOKUP($A$4&amp;$G$4&amp;C205,BalancesMensuales1!$A$2:$E$20009,5,0)+0,0)/A6</f>
        <v>0</v>
      </c>
      <c r="H205">
        <f>IFERROR(VLOOKUP($A$4&amp;$H$4&amp;C205,BalancesMensuales1!$A$2:$E$20009,5,0)+0,0)/A6</f>
        <v>0</v>
      </c>
      <c r="Z205">
        <f t="shared" si="21"/>
        <v>0</v>
      </c>
      <c r="AA205">
        <f>ProductosRIB!A143</f>
        <v>0</v>
      </c>
      <c r="AB205" t="str">
        <f>PROPER(ProductosRIB!D143&amp;IF(ProductosRIB!F143="",""," - Marca: "&amp;ProductosRIB!F143))</f>
        <v/>
      </c>
      <c r="AC205">
        <f>ProductosRIB!E143</f>
        <v>0</v>
      </c>
    </row>
    <row r="206" spans="3:29" hidden="1" x14ac:dyDescent="0.25">
      <c r="C206">
        <v>282000</v>
      </c>
      <c r="D206">
        <f>IFERROR(VLOOKUP($A$4&amp;$D$4&amp;C206,BalancesAnuales1!$A$2:$E$20009,5,0)+0,0)/A6</f>
        <v>0</v>
      </c>
      <c r="E206">
        <f>IFERROR(VLOOKUP($A$4&amp;$E$4&amp;C206,BalancesAnuales1!$A$2:$E$20009,5,0)+0,0)/A6</f>
        <v>0</v>
      </c>
      <c r="F206">
        <f>IFERROR(VLOOKUP($A$4&amp;$F$4&amp;C206,BalancesAnuales1!$A$2:$E$20009,5,0)+0,0)/A6</f>
        <v>0</v>
      </c>
      <c r="G206">
        <f>IFERROR(VLOOKUP($A$4&amp;$G$4&amp;C206,BalancesMensuales1!$A$2:$E$20009,5,0)+0,0)/A6</f>
        <v>0</v>
      </c>
      <c r="H206">
        <f>IFERROR(VLOOKUP($A$4&amp;$H$4&amp;C206,BalancesMensuales1!$A$2:$E$20009,5,0)+0,0)/A6</f>
        <v>0</v>
      </c>
      <c r="Z206">
        <f t="shared" si="21"/>
        <v>0</v>
      </c>
      <c r="AA206">
        <f>ProductosRIB!A144</f>
        <v>0</v>
      </c>
      <c r="AB206" t="str">
        <f>PROPER(ProductosRIB!D144&amp;IF(ProductosRIB!F144="",""," - Marca: "&amp;ProductosRIB!F144))</f>
        <v/>
      </c>
      <c r="AC206">
        <f>ProductosRIB!E144</f>
        <v>0</v>
      </c>
    </row>
    <row r="207" spans="3:29" hidden="1" x14ac:dyDescent="0.25">
      <c r="C207">
        <v>282500</v>
      </c>
      <c r="D207">
        <f>IFERROR(VLOOKUP($A$4&amp;$D$4&amp;C207,BalancesAnuales1!$A$2:$E$20009,5,0)+0,0)/A6</f>
        <v>0</v>
      </c>
      <c r="E207">
        <f>IFERROR(VLOOKUP($A$4&amp;$E$4&amp;C207,BalancesAnuales1!$A$2:$E$20009,5,0)+0,0)/A6</f>
        <v>0</v>
      </c>
      <c r="F207">
        <f>IFERROR(VLOOKUP($A$4&amp;$F$4&amp;C207,BalancesAnuales1!$A$2:$E$20009,5,0)+0,0)/A6</f>
        <v>0</v>
      </c>
      <c r="G207">
        <f>IFERROR(VLOOKUP($A$4&amp;$G$4&amp;C207,BalancesMensuales1!$A$2:$E$20009,5,0)+0,0)/A6</f>
        <v>0</v>
      </c>
      <c r="H207">
        <f>IFERROR(VLOOKUP($A$4&amp;$H$4&amp;C207,BalancesMensuales1!$A$2:$E$20009,5,0)+0,0)/A6</f>
        <v>0</v>
      </c>
      <c r="Z207">
        <f t="shared" si="21"/>
        <v>0</v>
      </c>
      <c r="AA207">
        <f>ProductosRIB!A145</f>
        <v>0</v>
      </c>
      <c r="AB207" t="str">
        <f>PROPER(ProductosRIB!D145&amp;IF(ProductosRIB!F145="",""," - Marca: "&amp;ProductosRIB!F145))</f>
        <v/>
      </c>
      <c r="AC207">
        <f>ProductosRIB!E145</f>
        <v>0</v>
      </c>
    </row>
    <row r="208" spans="3:29" hidden="1" x14ac:dyDescent="0.25">
      <c r="C208">
        <v>284000</v>
      </c>
      <c r="D208">
        <f>IFERROR(VLOOKUP($A$4&amp;$D$4&amp;C208,BalancesAnuales1!$A$2:$E$20009,5,0)+0,0)/A6</f>
        <v>0</v>
      </c>
      <c r="E208">
        <f>IFERROR(VLOOKUP($A$4&amp;$E$4&amp;C208,BalancesAnuales1!$A$2:$E$20009,5,0)+0,0)/A6</f>
        <v>0</v>
      </c>
      <c r="F208">
        <f>IFERROR(VLOOKUP($A$4&amp;$F$4&amp;C208,BalancesAnuales1!$A$2:$E$20009,5,0)+0,0)/A6</f>
        <v>0</v>
      </c>
      <c r="G208">
        <f>IFERROR(VLOOKUP($A$4&amp;$G$4&amp;C208,BalancesMensuales1!$A$2:$E$20009,5,0)+0,0)/A6</f>
        <v>0</v>
      </c>
      <c r="H208">
        <f>IFERROR(VLOOKUP($A$4&amp;$H$4&amp;C208,BalancesMensuales1!$A$2:$E$20009,5,0)+0,0)/A6</f>
        <v>0</v>
      </c>
      <c r="Z208">
        <f t="shared" si="21"/>
        <v>0</v>
      </c>
      <c r="AA208">
        <f>ProductosRIB!A146</f>
        <v>0</v>
      </c>
      <c r="AB208" t="str">
        <f>PROPER(ProductosRIB!D146&amp;IF(ProductosRIB!F146="",""," - Marca: "&amp;ProductosRIB!F146))</f>
        <v/>
      </c>
      <c r="AC208">
        <f>ProductosRIB!E146</f>
        <v>0</v>
      </c>
    </row>
    <row r="209" spans="3:29" hidden="1" x14ac:dyDescent="0.25">
      <c r="C209">
        <v>289500</v>
      </c>
      <c r="D209">
        <f>IFERROR(VLOOKUP($A$4&amp;$D$4&amp;C209,BalancesAnuales1!$A$2:$E$20009,5,0)+0,0)/A6</f>
        <v>0</v>
      </c>
      <c r="E209">
        <f>IFERROR(VLOOKUP($A$4&amp;$E$4&amp;C209,BalancesAnuales1!$A$2:$E$20009,5,0)+0,0)/A6</f>
        <v>0</v>
      </c>
      <c r="F209">
        <f>IFERROR(VLOOKUP($A$4&amp;$F$4&amp;C209,BalancesAnuales1!$A$2:$E$20009,5,0)+0,0)/A6</f>
        <v>0</v>
      </c>
      <c r="G209">
        <f>IFERROR(VLOOKUP($A$4&amp;$G$4&amp;C209,BalancesMensuales1!$A$2:$E$20009,5,0)+0,0)/A6</f>
        <v>0</v>
      </c>
      <c r="H209">
        <f>IFERROR(VLOOKUP($A$4&amp;$H$4&amp;C209,BalancesMensuales1!$A$2:$E$20009,5,0)+0,0)/A6</f>
        <v>0</v>
      </c>
      <c r="Z209">
        <f t="shared" si="21"/>
        <v>0</v>
      </c>
      <c r="AA209">
        <f>ProductosRIB!A147</f>
        <v>0</v>
      </c>
      <c r="AB209" t="str">
        <f>PROPER(ProductosRIB!D147&amp;IF(ProductosRIB!F147="",""," - Marca: "&amp;ProductosRIB!F147))</f>
        <v/>
      </c>
      <c r="AC209">
        <f>ProductosRIB!E147</f>
        <v>0</v>
      </c>
    </row>
    <row r="210" spans="3:29" hidden="1" x14ac:dyDescent="0.25">
      <c r="C210">
        <v>2109</v>
      </c>
      <c r="D210">
        <f>IFERROR(VLOOKUP($A$4&amp;$D$4&amp;C210,BalancesAnuales1!$A$2:$E$20009,5,0)+0,0)/A6</f>
        <v>0</v>
      </c>
      <c r="E210">
        <f>IFERROR(VLOOKUP($A$4&amp;$E$4&amp;C210,BalancesAnuales1!$A$2:$E$20009,5,0)+0,0)/A6</f>
        <v>0</v>
      </c>
      <c r="F210">
        <f>IFERROR(VLOOKUP($A$4&amp;$F$4&amp;C210,BalancesAnuales1!$A$2:$E$20009,5,0)+0,0)/A6</f>
        <v>0</v>
      </c>
      <c r="G210">
        <f>IFERROR(VLOOKUP($A$4&amp;$G$4&amp;C210,BalancesMensuales1!$A$2:$E$20009,5,0)+0,0)/A6</f>
        <v>0</v>
      </c>
      <c r="H210">
        <f>IFERROR(VLOOKUP($A$4&amp;$H$4&amp;C210,BalancesMensuales1!$A$2:$E$20009,5,0)+0,0)/A6</f>
        <v>0</v>
      </c>
      <c r="Z210">
        <f t="shared" si="21"/>
        <v>0</v>
      </c>
      <c r="AA210">
        <f>ProductosRIB!A148</f>
        <v>0</v>
      </c>
      <c r="AB210" t="str">
        <f>PROPER(ProductosRIB!D148&amp;IF(ProductosRIB!F148="",""," - Marca: "&amp;ProductosRIB!F148))</f>
        <v/>
      </c>
      <c r="AC210">
        <f>ProductosRIB!E148</f>
        <v>0</v>
      </c>
    </row>
    <row r="211" spans="3:29" hidden="1" x14ac:dyDescent="0.25">
      <c r="C211">
        <v>21</v>
      </c>
      <c r="D211">
        <f>IFERROR(VLOOKUP($A$4&amp;$D$4&amp;C211,BalancesAnuales1!$A$2:$E$20009,5,0)+0,0)/A6</f>
        <v>0</v>
      </c>
      <c r="E211">
        <f>IFERROR(VLOOKUP($A$4&amp;$E$4&amp;C211,BalancesAnuales1!$A$2:$E$20009,5,0)+0,0)/A6</f>
        <v>0</v>
      </c>
      <c r="F211">
        <f>IFERROR(VLOOKUP($A$4&amp;$F$4&amp;C211,BalancesAnuales1!$A$2:$E$20009,5,0)+0,0)/A6</f>
        <v>0</v>
      </c>
      <c r="G211">
        <f>IFERROR(VLOOKUP($A$4&amp;$G$4&amp;C211,BalancesMensuales1!$A$2:$E$20009,5,0)+0,0)/A6</f>
        <v>0</v>
      </c>
      <c r="H211">
        <f>IFERROR(VLOOKUP($A$4&amp;$H$4&amp;C211,BalancesMensuales1!$A$2:$E$20009,5,0)+0,0)/A6</f>
        <v>0</v>
      </c>
      <c r="Z211">
        <f t="shared" si="21"/>
        <v>0</v>
      </c>
      <c r="AA211">
        <f>ProductosRIB!A149</f>
        <v>0</v>
      </c>
      <c r="AB211" t="str">
        <f>PROPER(ProductosRIB!D149&amp;IF(ProductosRIB!F149="",""," - Marca: "&amp;ProductosRIB!F149))</f>
        <v/>
      </c>
      <c r="AC211">
        <f>ProductosRIB!E149</f>
        <v>0</v>
      </c>
    </row>
    <row r="212" spans="3:29" hidden="1" x14ac:dyDescent="0.25">
      <c r="C212">
        <v>210501</v>
      </c>
      <c r="D212">
        <f>IFERROR(VLOOKUP($A$4&amp;$D$4&amp;C212,BalancesAnuales1!$A$2:$E$20009,5,0)+0,0)/A6</f>
        <v>0</v>
      </c>
      <c r="E212">
        <f>IFERROR(VLOOKUP($A$4&amp;$E$4&amp;C212,BalancesAnuales1!$A$2:$E$20009,5,0)+0,0)/A6</f>
        <v>0</v>
      </c>
      <c r="F212">
        <f>IFERROR(VLOOKUP($A$4&amp;$F$4&amp;C212,BalancesAnuales1!$A$2:$E$20009,5,0)+0,0)/A6</f>
        <v>0</v>
      </c>
      <c r="G212">
        <f>IFERROR(VLOOKUP($A$4&amp;$G$4&amp;C212,BalancesMensuales1!$A$2:$E$20009,5,0)+0,0)/A6</f>
        <v>0</v>
      </c>
      <c r="H212">
        <f>IFERROR(VLOOKUP($A$4&amp;$H$4&amp;C212,BalancesMensuales1!$A$2:$E$20009,5,0)+0,0)/A6</f>
        <v>0</v>
      </c>
      <c r="Z212">
        <f t="shared" si="21"/>
        <v>0</v>
      </c>
      <c r="AA212">
        <f>ProductosRIB!A150</f>
        <v>0</v>
      </c>
      <c r="AB212" t="str">
        <f>PROPER(ProductosRIB!D150&amp;IF(ProductosRIB!F150="",""," - Marca: "&amp;ProductosRIB!F150))</f>
        <v/>
      </c>
      <c r="AC212">
        <f>ProductosRIB!E150</f>
        <v>0</v>
      </c>
    </row>
    <row r="213" spans="3:29" hidden="1" x14ac:dyDescent="0.25">
      <c r="C213">
        <v>211001</v>
      </c>
      <c r="D213">
        <f>IFERROR(VLOOKUP($A$4&amp;$D$4&amp;C213,BalancesAnuales1!$A$2:$E$20009,5,0)+0,0)/A6</f>
        <v>0</v>
      </c>
      <c r="E213">
        <f>IFERROR(VLOOKUP($A$4&amp;$E$4&amp;C213,BalancesAnuales1!$A$2:$E$20009,5,0)+0,0)/A6</f>
        <v>0</v>
      </c>
      <c r="F213">
        <f>IFERROR(VLOOKUP($A$4&amp;$F$4&amp;C213,BalancesAnuales1!$A$2:$E$20009,5,0)+0,0)/A6</f>
        <v>0</v>
      </c>
      <c r="G213">
        <f>IFERROR(VLOOKUP($A$4&amp;$G$4&amp;C213,BalancesMensuales1!$A$2:$E$20009,5,0)+0,0)/A6</f>
        <v>0</v>
      </c>
      <c r="H213">
        <f>IFERROR(VLOOKUP($A$4&amp;$H$4&amp;C213,BalancesMensuales1!$A$2:$E$20009,5,0)+0,0)/A6</f>
        <v>0</v>
      </c>
      <c r="Z213">
        <f t="shared" si="21"/>
        <v>0</v>
      </c>
      <c r="AA213">
        <f>ProductosRIB!A151</f>
        <v>0</v>
      </c>
      <c r="AB213" t="str">
        <f>PROPER(ProductosRIB!D151&amp;IF(ProductosRIB!F151="",""," - Marca: "&amp;ProductosRIB!F151))</f>
        <v/>
      </c>
      <c r="AC213">
        <f>ProductosRIB!E151</f>
        <v>0</v>
      </c>
    </row>
    <row r="214" spans="3:29" hidden="1" x14ac:dyDescent="0.25">
      <c r="C214">
        <v>2201</v>
      </c>
      <c r="D214">
        <f>IFERROR(VLOOKUP($A$4&amp;$D$4&amp;C214,BalancesAnuales1!$A$2:$E$20009,5,0)+0,0)/A6</f>
        <v>0</v>
      </c>
      <c r="E214">
        <f>IFERROR(VLOOKUP($A$4&amp;$E$4&amp;C214,BalancesAnuales1!$A$2:$E$20009,5,0)+0,0)/A6</f>
        <v>0</v>
      </c>
      <c r="F214">
        <f>IFERROR(VLOOKUP($A$4&amp;$F$4&amp;C214,BalancesAnuales1!$A$2:$E$20009,5,0)+0,0)/A6</f>
        <v>0</v>
      </c>
      <c r="G214">
        <f>IFERROR(VLOOKUP($A$4&amp;$G$4&amp;C214,BalancesMensuales1!$A$2:$E$20009,5,0)+0,0)/A6</f>
        <v>0</v>
      </c>
      <c r="H214">
        <f>IFERROR(VLOOKUP($A$4&amp;$H$4&amp;C214,BalancesMensuales1!$A$2:$E$20009,5,0)+0,0)/A6</f>
        <v>0</v>
      </c>
      <c r="Z214">
        <f t="shared" si="21"/>
        <v>0</v>
      </c>
      <c r="AA214">
        <f>ProductosRIB!A152</f>
        <v>0</v>
      </c>
      <c r="AB214" t="str">
        <f>PROPER(ProductosRIB!D152&amp;IF(ProductosRIB!F152="",""," - Marca: "&amp;ProductosRIB!F152))</f>
        <v/>
      </c>
      <c r="AC214">
        <f>ProductosRIB!E152</f>
        <v>0</v>
      </c>
    </row>
    <row r="215" spans="3:29" hidden="1" x14ac:dyDescent="0.25">
      <c r="C215">
        <v>220501</v>
      </c>
      <c r="D215">
        <f>IFERROR(VLOOKUP($A$4&amp;$D$4&amp;C215,BalancesAnuales1!$A$2:$E$20009,5,0)+0,0)/A6</f>
        <v>0</v>
      </c>
      <c r="E215">
        <f>IFERROR(VLOOKUP($A$4&amp;$E$4&amp;C215,BalancesAnuales1!$A$2:$E$20009,5,0)+0,0)/A6</f>
        <v>0</v>
      </c>
      <c r="F215">
        <f>IFERROR(VLOOKUP($A$4&amp;$F$4&amp;C215,BalancesAnuales1!$A$2:$E$20009,5,0)+0,0)/A6</f>
        <v>0</v>
      </c>
      <c r="G215">
        <f>IFERROR(VLOOKUP($A$4&amp;$G$4&amp;C215,BalancesMensuales1!$A$2:$E$20009,5,0)+0,0)/A6</f>
        <v>0</v>
      </c>
      <c r="H215">
        <f>IFERROR(VLOOKUP($A$4&amp;$H$4&amp;C215,BalancesMensuales1!$A$2:$E$20009,5,0)+0,0)/A6</f>
        <v>0</v>
      </c>
    </row>
    <row r="216" spans="3:29" hidden="1" x14ac:dyDescent="0.25">
      <c r="C216">
        <v>221001</v>
      </c>
      <c r="D216">
        <f>IFERROR(VLOOKUP($A$4&amp;$D$4&amp;C216,BalancesAnuales1!$A$2:$E$20009,5,0)+0,0)/A6</f>
        <v>0</v>
      </c>
      <c r="E216">
        <f>IFERROR(VLOOKUP($A$4&amp;$E$4&amp;C216,BalancesAnuales1!$A$2:$E$20009,5,0)+0,0)/A6</f>
        <v>0</v>
      </c>
      <c r="F216">
        <f>IFERROR(VLOOKUP($A$4&amp;$F$4&amp;C216,BalancesAnuales1!$A$2:$E$20009,5,0)+0,0)/A6</f>
        <v>0</v>
      </c>
      <c r="G216">
        <f>IFERROR(VLOOKUP($A$4&amp;$G$4&amp;C216,BalancesMensuales1!$A$2:$E$20009,5,0)+0,0)/A6</f>
        <v>0</v>
      </c>
      <c r="H216">
        <f>IFERROR(VLOOKUP($A$4&amp;$H$4&amp;C216,BalancesMensuales1!$A$2:$E$20009,5,0)+0,0)/A6</f>
        <v>0</v>
      </c>
      <c r="AA216" t="s">
        <v>107</v>
      </c>
    </row>
    <row r="217" spans="3:29" hidden="1" x14ac:dyDescent="0.25">
      <c r="C217">
        <v>230501</v>
      </c>
      <c r="D217">
        <f>IFERROR(VLOOKUP($A$4&amp;$D$4&amp;C217,BalancesAnuales1!$A$2:$E$20009,5,0)+0,0)/A6</f>
        <v>0</v>
      </c>
      <c r="E217">
        <f>IFERROR(VLOOKUP($A$4&amp;$E$4&amp;C217,BalancesAnuales1!$A$2:$E$20009,5,0)+0,0)/A6</f>
        <v>0</v>
      </c>
      <c r="F217">
        <f>IFERROR(VLOOKUP($A$4&amp;$F$4&amp;C217,BalancesAnuales1!$A$2:$E$20009,5,0)+0,0)/A6</f>
        <v>0</v>
      </c>
      <c r="G217">
        <f>IFERROR(VLOOKUP($A$4&amp;$G$4&amp;C217,BalancesMensuales1!$A$2:$E$20009,5,0)+0,0)/A6</f>
        <v>0</v>
      </c>
      <c r="H217">
        <f>IFERROR(VLOOKUP($A$4&amp;$H$4&amp;C217,BalancesMensuales1!$A$2:$E$20009,5,0)+0,0)/A6</f>
        <v>0</v>
      </c>
      <c r="AA217" t="s">
        <v>33</v>
      </c>
      <c r="AB217" t="s">
        <v>112</v>
      </c>
      <c r="AC217" t="s">
        <v>113</v>
      </c>
    </row>
    <row r="218" spans="3:29" hidden="1" x14ac:dyDescent="0.25">
      <c r="C218">
        <v>231001</v>
      </c>
      <c r="D218">
        <f>IFERROR(VLOOKUP($A$4&amp;$D$4&amp;C218,BalancesAnuales1!$A$2:$E$20009,5,0)+0,0)/A6</f>
        <v>0</v>
      </c>
      <c r="E218">
        <f>IFERROR(VLOOKUP($A$4&amp;$E$4&amp;C218,BalancesAnuales1!$A$2:$E$20009,5,0)+0,0)/A6</f>
        <v>0</v>
      </c>
      <c r="F218">
        <f>IFERROR(VLOOKUP($A$4&amp;$F$4&amp;C218,BalancesAnuales1!$A$2:$E$20009,5,0)+0,0)/A6</f>
        <v>0</v>
      </c>
      <c r="G218">
        <f>IFERROR(VLOOKUP($A$4&amp;$G$4&amp;C218,BalancesMensuales1!$A$2:$E$20009,5,0)+0,0)/A6</f>
        <v>0</v>
      </c>
      <c r="H218">
        <f>IFERROR(VLOOKUP($A$4&amp;$H$4&amp;C218,BalancesMensuales1!$A$2:$E$20009,5,0)+0,0)/A6</f>
        <v>0</v>
      </c>
      <c r="Z218">
        <f t="shared" ref="Z218:Z249" si="22">IF(AA218=$A$4,Z217+1,0)</f>
        <v>0</v>
      </c>
      <c r="AA218">
        <f>ClientesRIB!A3</f>
        <v>0</v>
      </c>
      <c r="AB218" t="str">
        <f>ClientesRIB!D3&amp;" - "&amp;ClientesRIB!F3</f>
        <v xml:space="preserve"> - </v>
      </c>
      <c r="AC218">
        <f>ClientesRIB!E3</f>
        <v>0</v>
      </c>
    </row>
    <row r="219" spans="3:29" hidden="1" x14ac:dyDescent="0.25">
      <c r="C219">
        <v>231501</v>
      </c>
      <c r="D219">
        <f>IFERROR(VLOOKUP($A$4&amp;$D$4&amp;C219,BalancesAnuales1!$A$2:$E$20009,5,0)+0,0)/A6</f>
        <v>0</v>
      </c>
      <c r="E219">
        <f>IFERROR(VLOOKUP($A$4&amp;$E$4&amp;C219,BalancesAnuales1!$A$2:$E$20009,5,0)+0,0)/A6</f>
        <v>0</v>
      </c>
      <c r="F219">
        <f>IFERROR(VLOOKUP($A$4&amp;$F$4&amp;C219,BalancesAnuales1!$A$2:$E$20009,5,0)+0,0)/A6</f>
        <v>0</v>
      </c>
      <c r="G219">
        <f>IFERROR(VLOOKUP($A$4&amp;$G$4&amp;C219,BalancesMensuales1!$A$2:$E$20009,5,0)+0,0)/A6</f>
        <v>0</v>
      </c>
      <c r="H219">
        <f>IFERROR(VLOOKUP($A$4&amp;$H$4&amp;C219,BalancesMensuales1!$A$2:$E$20009,5,0)+0,0)/A6</f>
        <v>0</v>
      </c>
      <c r="Z219">
        <f t="shared" si="22"/>
        <v>0</v>
      </c>
      <c r="AA219">
        <f>ClientesRIB!A4</f>
        <v>0</v>
      </c>
      <c r="AB219" t="str">
        <f>ClientesRIB!D4&amp;" - "&amp;ClientesRIB!F4</f>
        <v xml:space="preserve"> - </v>
      </c>
      <c r="AC219">
        <f>ClientesRIB!E4</f>
        <v>0</v>
      </c>
    </row>
    <row r="220" spans="3:29" hidden="1" x14ac:dyDescent="0.25">
      <c r="C220">
        <v>232001</v>
      </c>
      <c r="D220">
        <f>IFERROR(VLOOKUP($A$4&amp;$D$4&amp;C220,BalancesAnuales1!$A$2:$E$20009,5,0)+0,0)/A6</f>
        <v>0</v>
      </c>
      <c r="E220">
        <f>IFERROR(VLOOKUP($A$4&amp;$E$4&amp;C220,BalancesAnuales1!$A$2:$E$20009,5,0)+0,0)/A6</f>
        <v>0</v>
      </c>
      <c r="F220">
        <f>IFERROR(VLOOKUP($A$4&amp;$F$4&amp;C220,BalancesAnuales1!$A$2:$E$20009,5,0)+0,0)/A6</f>
        <v>0</v>
      </c>
      <c r="G220">
        <f>IFERROR(VLOOKUP($A$4&amp;$G$4&amp;C220,BalancesMensuales1!$A$2:$E$20009,5,0)+0,0)/A6</f>
        <v>0</v>
      </c>
      <c r="H220">
        <f>IFERROR(VLOOKUP($A$4&amp;$H$4&amp;C220,BalancesMensuales1!$A$2:$E$20009,5,0)+0,0)/A6</f>
        <v>0</v>
      </c>
      <c r="Z220">
        <f t="shared" si="22"/>
        <v>0</v>
      </c>
      <c r="AA220">
        <f>ClientesRIB!A5</f>
        <v>0</v>
      </c>
      <c r="AB220" t="str">
        <f>ClientesRIB!D5&amp;" - "&amp;ClientesRIB!F5</f>
        <v xml:space="preserve"> - </v>
      </c>
      <c r="AC220">
        <f>ClientesRIB!E5</f>
        <v>0</v>
      </c>
    </row>
    <row r="221" spans="3:29" hidden="1" x14ac:dyDescent="0.25">
      <c r="C221">
        <v>233501</v>
      </c>
      <c r="D221">
        <f>IFERROR(VLOOKUP($A$4&amp;$D$4&amp;C221,BalancesAnuales1!$A$2:$E$20009,5,0)+0,0)/A6</f>
        <v>0</v>
      </c>
      <c r="E221">
        <f>IFERROR(VLOOKUP($A$4&amp;$E$4&amp;C221,BalancesAnuales1!$A$2:$E$20009,5,0)+0,0)/A6</f>
        <v>0</v>
      </c>
      <c r="F221">
        <f>IFERROR(VLOOKUP($A$4&amp;$F$4&amp;C221,BalancesAnuales1!$A$2:$E$20009,5,0)+0,0)/A6</f>
        <v>0</v>
      </c>
      <c r="G221">
        <f>IFERROR(VLOOKUP($A$4&amp;$G$4&amp;C221,BalancesMensuales1!$A$2:$E$20009,5,0)+0,0)/A6</f>
        <v>0</v>
      </c>
      <c r="H221">
        <f>IFERROR(VLOOKUP($A$4&amp;$H$4&amp;C221,BalancesMensuales1!$A$2:$E$20009,5,0)+0,0)/A6</f>
        <v>0</v>
      </c>
      <c r="Z221">
        <f t="shared" si="22"/>
        <v>0</v>
      </c>
      <c r="AA221">
        <f>ClientesRIB!A6</f>
        <v>0</v>
      </c>
      <c r="AB221" t="str">
        <f>ClientesRIB!D6&amp;" - "&amp;ClientesRIB!F6</f>
        <v xml:space="preserve"> - </v>
      </c>
      <c r="AC221">
        <f>ClientesRIB!E6</f>
        <v>0</v>
      </c>
    </row>
    <row r="222" spans="3:29" hidden="1" x14ac:dyDescent="0.25">
      <c r="C222">
        <v>234501</v>
      </c>
      <c r="D222">
        <f>IFERROR(VLOOKUP($A$4&amp;$D$4&amp;C222,BalancesAnuales1!$A$2:$E$20009,5,0)+0,0)/A6</f>
        <v>0</v>
      </c>
      <c r="E222">
        <f>IFERROR(VLOOKUP($A$4&amp;$E$4&amp;C222,BalancesAnuales1!$A$2:$E$20009,5,0)+0,0)/A6</f>
        <v>0</v>
      </c>
      <c r="F222">
        <f>IFERROR(VLOOKUP($A$4&amp;$F$4&amp;C222,BalancesAnuales1!$A$2:$E$20009,5,0)+0,0)/A6</f>
        <v>0</v>
      </c>
      <c r="G222">
        <f>IFERROR(VLOOKUP($A$4&amp;$G$4&amp;C222,BalancesMensuales1!$A$2:$E$20009,5,0)+0,0)/A6</f>
        <v>0</v>
      </c>
      <c r="H222">
        <f>IFERROR(VLOOKUP($A$4&amp;$H$4&amp;C222,BalancesMensuales1!$A$2:$E$20009,5,0)+0,0)/A6</f>
        <v>0</v>
      </c>
      <c r="Z222">
        <f t="shared" si="22"/>
        <v>0</v>
      </c>
      <c r="AA222">
        <f>ClientesRIB!A7</f>
        <v>0</v>
      </c>
      <c r="AB222" t="str">
        <f>ClientesRIB!D7&amp;" - "&amp;ClientesRIB!F7</f>
        <v xml:space="preserve"> - </v>
      </c>
      <c r="AC222">
        <f>ClientesRIB!E7</f>
        <v>0</v>
      </c>
    </row>
    <row r="223" spans="3:29" hidden="1" x14ac:dyDescent="0.25">
      <c r="C223">
        <v>235001</v>
      </c>
      <c r="D223">
        <f>IFERROR(VLOOKUP($A$4&amp;$D$4&amp;C223,BalancesAnuales1!$A$2:$E$20009,5,0)+0,0)/A6</f>
        <v>0</v>
      </c>
      <c r="E223">
        <f>IFERROR(VLOOKUP($A$4&amp;$E$4&amp;C223,BalancesAnuales1!$A$2:$E$20009,5,0)+0,0)/A6</f>
        <v>0</v>
      </c>
      <c r="F223">
        <f>IFERROR(VLOOKUP($A$4&amp;$F$4&amp;C223,BalancesAnuales1!$A$2:$E$20009,5,0)+0,0)/A6</f>
        <v>0</v>
      </c>
      <c r="G223">
        <f>IFERROR(VLOOKUP($A$4&amp;$G$4&amp;C223,BalancesMensuales1!$A$2:$E$20009,5,0)+0,0)/A6</f>
        <v>0</v>
      </c>
      <c r="H223">
        <f>IFERROR(VLOOKUP($A$4&amp;$H$4&amp;C223,BalancesMensuales1!$A$2:$E$20009,5,0)+0,0)/A6</f>
        <v>0</v>
      </c>
      <c r="Z223">
        <f t="shared" si="22"/>
        <v>0</v>
      </c>
      <c r="AA223">
        <f>ClientesRIB!A8</f>
        <v>0</v>
      </c>
      <c r="AB223" t="str">
        <f>ClientesRIB!D8&amp;" - "&amp;ClientesRIB!F8</f>
        <v xml:space="preserve"> - </v>
      </c>
      <c r="AC223">
        <f>ClientesRIB!E8</f>
        <v>0</v>
      </c>
    </row>
    <row r="224" spans="3:29" hidden="1" x14ac:dyDescent="0.25">
      <c r="C224">
        <v>235501</v>
      </c>
      <c r="D224">
        <f>IFERROR(VLOOKUP($A$4&amp;$D$4&amp;C224,BalancesAnuales1!$A$2:$E$20009,5,0)+0,0)/A6</f>
        <v>0</v>
      </c>
      <c r="E224">
        <f>IFERROR(VLOOKUP($A$4&amp;$E$4&amp;C224,BalancesAnuales1!$A$2:$E$20009,5,0)+0,0)/A6</f>
        <v>0</v>
      </c>
      <c r="F224">
        <f>IFERROR(VLOOKUP($A$4&amp;$F$4&amp;C224,BalancesAnuales1!$A$2:$E$20009,5,0)+0,0)/A6</f>
        <v>0</v>
      </c>
      <c r="G224">
        <f>IFERROR(VLOOKUP($A$4&amp;$G$4&amp;C224,BalancesMensuales1!$A$2:$E$20009,5,0)+0,0)/A6</f>
        <v>0</v>
      </c>
      <c r="H224">
        <f>IFERROR(VLOOKUP($A$4&amp;$H$4&amp;C224,BalancesMensuales1!$A$2:$E$20009,5,0)+0,0)/A6</f>
        <v>0</v>
      </c>
      <c r="Z224">
        <f t="shared" si="22"/>
        <v>0</v>
      </c>
      <c r="AA224">
        <f>ClientesRIB!A9</f>
        <v>0</v>
      </c>
      <c r="AB224" t="str">
        <f>ClientesRIB!D9&amp;" - "&amp;ClientesRIB!F9</f>
        <v xml:space="preserve"> - </v>
      </c>
      <c r="AC224">
        <f>ClientesRIB!E9</f>
        <v>0</v>
      </c>
    </row>
    <row r="225" spans="3:29" hidden="1" x14ac:dyDescent="0.25">
      <c r="C225">
        <v>236001</v>
      </c>
      <c r="D225">
        <f>IFERROR(VLOOKUP($A$4&amp;$D$4&amp;C225,BalancesAnuales1!$A$2:$E$20009,5,0)+0,0)/A6</f>
        <v>0</v>
      </c>
      <c r="E225">
        <f>IFERROR(VLOOKUP($A$4&amp;$E$4&amp;C225,BalancesAnuales1!$A$2:$E$20009,5,0)+0,0)/A6</f>
        <v>0</v>
      </c>
      <c r="F225">
        <f>IFERROR(VLOOKUP($A$4&amp;$F$4&amp;C225,BalancesAnuales1!$A$2:$E$20009,5,0)+0,0)/A6</f>
        <v>0</v>
      </c>
      <c r="G225">
        <f>IFERROR(VLOOKUP($A$4&amp;$G$4&amp;C225,BalancesMensuales1!$A$2:$E$20009,5,0)+0,0)/A6</f>
        <v>0</v>
      </c>
      <c r="H225">
        <f>IFERROR(VLOOKUP($A$4&amp;$H$4&amp;C225,BalancesMensuales1!$A$2:$E$20009,5,0)+0,0)/A6</f>
        <v>0</v>
      </c>
      <c r="Z225">
        <f t="shared" si="22"/>
        <v>0</v>
      </c>
      <c r="AA225">
        <f>ClientesRIB!A10</f>
        <v>0</v>
      </c>
      <c r="AB225" t="str">
        <f>ClientesRIB!D10&amp;" - "&amp;ClientesRIB!F10</f>
        <v xml:space="preserve"> - </v>
      </c>
      <c r="AC225">
        <f>ClientesRIB!E10</f>
        <v>0</v>
      </c>
    </row>
    <row r="226" spans="3:29" hidden="1" x14ac:dyDescent="0.25">
      <c r="C226">
        <v>236501</v>
      </c>
      <c r="D226">
        <f>IFERROR(VLOOKUP($A$4&amp;$D$4&amp;C226,BalancesAnuales1!$A$2:$E$20009,5,0)+0,0)/A6</f>
        <v>0</v>
      </c>
      <c r="E226">
        <f>IFERROR(VLOOKUP($A$4&amp;$E$4&amp;C226,BalancesAnuales1!$A$2:$E$20009,5,0)+0,0)/A6</f>
        <v>0</v>
      </c>
      <c r="F226">
        <f>IFERROR(VLOOKUP($A$4&amp;$F$4&amp;C226,BalancesAnuales1!$A$2:$E$20009,5,0)+0,0)/A6</f>
        <v>0</v>
      </c>
      <c r="G226">
        <f>IFERROR(VLOOKUP($A$4&amp;$G$4&amp;C226,BalancesMensuales1!$A$2:$E$20009,5,0)+0,0)/A6</f>
        <v>0</v>
      </c>
      <c r="H226">
        <f>IFERROR(VLOOKUP($A$4&amp;$H$4&amp;C226,BalancesMensuales1!$A$2:$E$20009,5,0)+0,0)/A6</f>
        <v>0</v>
      </c>
      <c r="Z226">
        <f t="shared" si="22"/>
        <v>0</v>
      </c>
      <c r="AA226">
        <f>ClientesRIB!A11</f>
        <v>0</v>
      </c>
      <c r="AB226" t="str">
        <f>ClientesRIB!D11&amp;" - "&amp;ClientesRIB!F11</f>
        <v xml:space="preserve"> - </v>
      </c>
      <c r="AC226">
        <f>ClientesRIB!E11</f>
        <v>0</v>
      </c>
    </row>
    <row r="227" spans="3:29" hidden="1" x14ac:dyDescent="0.25">
      <c r="C227">
        <v>236701</v>
      </c>
      <c r="D227">
        <f>IFERROR(VLOOKUP($A$4&amp;$D$4&amp;C227,BalancesAnuales1!$A$2:$E$20009,5,0)+0,0)/A6</f>
        <v>0</v>
      </c>
      <c r="E227">
        <f>IFERROR(VLOOKUP($A$4&amp;$E$4&amp;C227,BalancesAnuales1!$A$2:$E$20009,5,0)+0,0)/A6</f>
        <v>0</v>
      </c>
      <c r="F227">
        <f>IFERROR(VLOOKUP($A$4&amp;$F$4&amp;C227,BalancesAnuales1!$A$2:$E$20009,5,0)+0,0)/A6</f>
        <v>0</v>
      </c>
      <c r="G227">
        <f>IFERROR(VLOOKUP($A$4&amp;$G$4&amp;C227,BalancesMensuales1!$A$2:$E$20009,5,0)+0,0)/A6</f>
        <v>0</v>
      </c>
      <c r="H227">
        <f>IFERROR(VLOOKUP($A$4&amp;$H$4&amp;C227,BalancesMensuales1!$A$2:$E$20009,5,0)+0,0)/A6</f>
        <v>0</v>
      </c>
      <c r="Z227">
        <f t="shared" si="22"/>
        <v>0</v>
      </c>
      <c r="AA227">
        <f>ClientesRIB!A12</f>
        <v>0</v>
      </c>
      <c r="AB227" t="str">
        <f>ClientesRIB!D12&amp;" - "&amp;ClientesRIB!F12</f>
        <v xml:space="preserve"> - </v>
      </c>
      <c r="AC227">
        <f>ClientesRIB!E12</f>
        <v>0</v>
      </c>
    </row>
    <row r="228" spans="3:29" hidden="1" x14ac:dyDescent="0.25">
      <c r="C228">
        <v>237001</v>
      </c>
      <c r="D228">
        <f>IFERROR(VLOOKUP($A$4&amp;$D$4&amp;C228,BalancesAnuales1!$A$2:$E$20009,5,0)+0,0)/A6</f>
        <v>0</v>
      </c>
      <c r="E228">
        <f>IFERROR(VLOOKUP($A$4&amp;$E$4&amp;C228,BalancesAnuales1!$A$2:$E$20009,5,0)+0,0)/A6</f>
        <v>0</v>
      </c>
      <c r="F228">
        <f>IFERROR(VLOOKUP($A$4&amp;$F$4&amp;C228,BalancesAnuales1!$A$2:$E$20009,5,0)+0,0)/A6</f>
        <v>0</v>
      </c>
      <c r="G228">
        <f>IFERROR(VLOOKUP($A$4&amp;$G$4&amp;C228,BalancesMensuales1!$A$2:$E$20009,5,0)+0,0)/A6</f>
        <v>0</v>
      </c>
      <c r="H228">
        <f>IFERROR(VLOOKUP($A$4&amp;$H$4&amp;C228,BalancesMensuales1!$A$2:$E$20009,5,0)+0,0)/A6</f>
        <v>0</v>
      </c>
      <c r="Z228">
        <f t="shared" si="22"/>
        <v>0</v>
      </c>
      <c r="AA228">
        <f>ClientesRIB!A13</f>
        <v>0</v>
      </c>
      <c r="AB228" t="str">
        <f>ClientesRIB!D13&amp;" - "&amp;ClientesRIB!F13</f>
        <v xml:space="preserve"> - </v>
      </c>
      <c r="AC228">
        <f>ClientesRIB!E13</f>
        <v>0</v>
      </c>
    </row>
    <row r="229" spans="3:29" hidden="1" x14ac:dyDescent="0.25">
      <c r="C229">
        <v>238001</v>
      </c>
      <c r="D229">
        <f>IFERROR(VLOOKUP($A$4&amp;$D$4&amp;C229,BalancesAnuales1!$A$2:$E$20009,5,0)+0,0)/A6</f>
        <v>0</v>
      </c>
      <c r="E229">
        <f>IFERROR(VLOOKUP($A$4&amp;$E$4&amp;C229,BalancesAnuales1!$A$2:$E$20009,5,0)+0,0)/A6</f>
        <v>0</v>
      </c>
      <c r="F229">
        <f>IFERROR(VLOOKUP($A$4&amp;$F$4&amp;C229,BalancesAnuales1!$A$2:$E$20009,5,0)+0,0)/A6</f>
        <v>0</v>
      </c>
      <c r="G229">
        <f>IFERROR(VLOOKUP($A$4&amp;$G$4&amp;C229,BalancesMensuales1!$A$2:$E$20009,5,0)+0,0)/A6</f>
        <v>0</v>
      </c>
      <c r="H229">
        <f>IFERROR(VLOOKUP($A$4&amp;$H$4&amp;C229,BalancesMensuales1!$A$2:$E$20009,5,0)+0,0)/A6</f>
        <v>0</v>
      </c>
      <c r="Z229">
        <f t="shared" si="22"/>
        <v>0</v>
      </c>
      <c r="AA229">
        <f>ClientesRIB!A14</f>
        <v>0</v>
      </c>
      <c r="AB229" t="str">
        <f>ClientesRIB!D14&amp;" - "&amp;ClientesRIB!F14</f>
        <v xml:space="preserve"> - </v>
      </c>
      <c r="AC229">
        <f>ClientesRIB!E14</f>
        <v>0</v>
      </c>
    </row>
    <row r="230" spans="3:29" hidden="1" x14ac:dyDescent="0.25">
      <c r="C230">
        <v>2203</v>
      </c>
      <c r="D230">
        <f>IFERROR(VLOOKUP($A$4&amp;$D$4&amp;C230,BalancesAnuales1!$A$2:$E$20009,5,0)+0,0)/A6</f>
        <v>0</v>
      </c>
      <c r="E230">
        <f>IFERROR(VLOOKUP($A$4&amp;$E$4&amp;C230,BalancesAnuales1!$A$2:$E$20009,5,0)+0,0)/A6</f>
        <v>0</v>
      </c>
      <c r="F230">
        <f>IFERROR(VLOOKUP($A$4&amp;$F$4&amp;C230,BalancesAnuales1!$A$2:$E$20009,5,0)+0,0)/A6</f>
        <v>0</v>
      </c>
      <c r="G230">
        <f>IFERROR(VLOOKUP($A$4&amp;$G$4&amp;C230,BalancesMensuales1!$A$2:$E$20009,5,0)+0,0)/A6</f>
        <v>0</v>
      </c>
      <c r="H230">
        <f>IFERROR(VLOOKUP($A$4&amp;$H$4&amp;C230,BalancesMensuales1!$A$2:$E$20009,5,0)+0,0)/A6</f>
        <v>0</v>
      </c>
      <c r="Z230">
        <f t="shared" si="22"/>
        <v>0</v>
      </c>
      <c r="AA230">
        <f>ClientesRIB!A15</f>
        <v>0</v>
      </c>
      <c r="AB230" t="str">
        <f>ClientesRIB!D15&amp;" - "&amp;ClientesRIB!F15</f>
        <v xml:space="preserve"> - </v>
      </c>
      <c r="AC230">
        <f>ClientesRIB!E15</f>
        <v>0</v>
      </c>
    </row>
    <row r="231" spans="3:29" hidden="1" x14ac:dyDescent="0.25">
      <c r="C231">
        <v>240401</v>
      </c>
      <c r="D231">
        <f>IFERROR(VLOOKUP($A$4&amp;$D$4&amp;C231,BalancesAnuales1!$A$2:$E$20009,5,0)+0,0)/A6</f>
        <v>0</v>
      </c>
      <c r="E231">
        <f>IFERROR(VLOOKUP($A$4&amp;$E$4&amp;C231,BalancesAnuales1!$A$2:$E$20009,5,0)+0,0)/A6</f>
        <v>0</v>
      </c>
      <c r="F231">
        <f>IFERROR(VLOOKUP($A$4&amp;$F$4&amp;C231,BalancesAnuales1!$A$2:$E$20009,5,0)+0,0)/A6</f>
        <v>0</v>
      </c>
      <c r="G231">
        <f>IFERROR(VLOOKUP($A$4&amp;$G$4&amp;C231,BalancesMensuales1!$A$2:$E$20009,5,0)+0,0)/A6</f>
        <v>0</v>
      </c>
      <c r="H231">
        <f>IFERROR(VLOOKUP($A$4&amp;$H$4&amp;C231,BalancesMensuales1!$A$2:$E$20009,5,0)+0,0)/A6</f>
        <v>0</v>
      </c>
      <c r="Z231">
        <f t="shared" si="22"/>
        <v>0</v>
      </c>
      <c r="AA231">
        <f>ClientesRIB!A16</f>
        <v>0</v>
      </c>
      <c r="AB231" t="str">
        <f>ClientesRIB!D16&amp;" - "&amp;ClientesRIB!F16</f>
        <v xml:space="preserve"> - </v>
      </c>
      <c r="AC231">
        <f>ClientesRIB!E16</f>
        <v>0</v>
      </c>
    </row>
    <row r="232" spans="3:29" hidden="1" x14ac:dyDescent="0.25">
      <c r="C232">
        <v>240801</v>
      </c>
      <c r="D232">
        <f>IFERROR(VLOOKUP($A$4&amp;$D$4&amp;C232,BalancesAnuales1!$A$2:$E$20009,5,0)+0,0)/A6</f>
        <v>0</v>
      </c>
      <c r="E232">
        <f>IFERROR(VLOOKUP($A$4&amp;$E$4&amp;C232,BalancesAnuales1!$A$2:$E$20009,5,0)+0,0)/A6</f>
        <v>0</v>
      </c>
      <c r="F232">
        <f>IFERROR(VLOOKUP($A$4&amp;$F$4&amp;C232,BalancesAnuales1!$A$2:$E$20009,5,0)+0,0)/A6</f>
        <v>0</v>
      </c>
      <c r="G232">
        <f>IFERROR(VLOOKUP($A$4&amp;$G$4&amp;C232,BalancesMensuales1!$A$2:$E$20009,5,0)+0,0)/A6</f>
        <v>0</v>
      </c>
      <c r="H232">
        <f>IFERROR(VLOOKUP($A$4&amp;$H$4&amp;C232,BalancesMensuales1!$A$2:$E$20009,5,0)+0,0)/A6</f>
        <v>0</v>
      </c>
      <c r="Z232">
        <f t="shared" si="22"/>
        <v>0</v>
      </c>
      <c r="AA232">
        <f>ClientesRIB!A17</f>
        <v>0</v>
      </c>
      <c r="AB232" t="str">
        <f>ClientesRIB!D17&amp;" - "&amp;ClientesRIB!F17</f>
        <v xml:space="preserve"> - </v>
      </c>
      <c r="AC232">
        <f>ClientesRIB!E17</f>
        <v>0</v>
      </c>
    </row>
    <row r="233" spans="3:29" hidden="1" x14ac:dyDescent="0.25">
      <c r="C233">
        <v>241201</v>
      </c>
      <c r="D233">
        <f>IFERROR(VLOOKUP($A$4&amp;$D$4&amp;C233,BalancesAnuales1!$A$2:$E$20009,5,0)+0,0)/A6</f>
        <v>0</v>
      </c>
      <c r="E233">
        <f>IFERROR(VLOOKUP($A$4&amp;$E$4&amp;C233,BalancesAnuales1!$A$2:$E$20009,5,0)+0,0)/A6</f>
        <v>0</v>
      </c>
      <c r="F233">
        <f>IFERROR(VLOOKUP($A$4&amp;$F$4&amp;C233,BalancesAnuales1!$A$2:$E$20009,5,0)+0,0)/A6</f>
        <v>0</v>
      </c>
      <c r="G233">
        <f>IFERROR(VLOOKUP($A$4&amp;$G$4&amp;C233,BalancesMensuales1!$A$2:$E$20009,5,0)+0,0)/A6</f>
        <v>0</v>
      </c>
      <c r="H233">
        <f>IFERROR(VLOOKUP($A$4&amp;$H$4&amp;C233,BalancesMensuales1!$A$2:$E$20009,5,0)+0,0)/A6</f>
        <v>0</v>
      </c>
      <c r="Z233">
        <f t="shared" si="22"/>
        <v>0</v>
      </c>
      <c r="AA233">
        <f>ClientesRIB!A18</f>
        <v>0</v>
      </c>
      <c r="AB233" t="str">
        <f>ClientesRIB!D18&amp;" - "&amp;ClientesRIB!F18</f>
        <v xml:space="preserve"> - </v>
      </c>
      <c r="AC233">
        <f>ClientesRIB!E18</f>
        <v>0</v>
      </c>
    </row>
    <row r="234" spans="3:29" hidden="1" x14ac:dyDescent="0.25">
      <c r="C234">
        <v>249501</v>
      </c>
      <c r="D234">
        <f>IFERROR(VLOOKUP($A$4&amp;$D$4&amp;C234,BalancesAnuales1!$A$2:$E$20009,5,0)+0,0)/A6</f>
        <v>0</v>
      </c>
      <c r="E234">
        <f>IFERROR(VLOOKUP($A$4&amp;$E$4&amp;C234,BalancesAnuales1!$A$2:$E$20009,5,0)+0,0)/A6</f>
        <v>0</v>
      </c>
      <c r="F234">
        <f>IFERROR(VLOOKUP($A$4&amp;$F$4&amp;C234,BalancesAnuales1!$A$2:$E$20009,5,0)+0,0)/A6</f>
        <v>0</v>
      </c>
      <c r="G234">
        <f>IFERROR(VLOOKUP($A$4&amp;$G$4&amp;C234,BalancesMensuales1!$A$2:$E$20009,5,0)+0,0)/A6</f>
        <v>0</v>
      </c>
      <c r="H234">
        <f>IFERROR(VLOOKUP($A$4&amp;$H$4&amp;C234,BalancesMensuales1!$A$2:$E$20009,5,0)+0,0)/A6</f>
        <v>0</v>
      </c>
      <c r="Z234">
        <f t="shared" si="22"/>
        <v>0</v>
      </c>
      <c r="AA234">
        <f>ClientesRIB!A19</f>
        <v>0</v>
      </c>
      <c r="AB234" t="str">
        <f>ClientesRIB!D19&amp;" - "&amp;ClientesRIB!F19</f>
        <v xml:space="preserve"> - </v>
      </c>
      <c r="AC234">
        <f>ClientesRIB!E19</f>
        <v>0</v>
      </c>
    </row>
    <row r="235" spans="3:29" hidden="1" x14ac:dyDescent="0.25">
      <c r="C235">
        <v>240001</v>
      </c>
      <c r="D235">
        <f>IFERROR(VLOOKUP($A$4&amp;$D$4&amp;C235,BalancesAnuales1!$A$2:$E$20009,5,0)+0,0)/A6</f>
        <v>0</v>
      </c>
      <c r="E235">
        <f>IFERROR(VLOOKUP($A$4&amp;$E$4&amp;C235,BalancesAnuales1!$A$2:$E$20009,5,0)+0,0)/A6</f>
        <v>0</v>
      </c>
      <c r="F235">
        <f>IFERROR(VLOOKUP($A$4&amp;$F$4&amp;C235,BalancesAnuales1!$A$2:$E$20009,5,0)+0,0)/A6</f>
        <v>0</v>
      </c>
      <c r="G235">
        <f>IFERROR(VLOOKUP($A$4&amp;$G$4&amp;C235,BalancesMensuales1!$A$2:$E$20009,5,0)+0,0)/A6</f>
        <v>0</v>
      </c>
      <c r="H235">
        <f>IFERROR(VLOOKUP($A$4&amp;$H$4&amp;C235,BalancesMensuales1!$A$2:$E$20009,5,0)+0,0)/A6</f>
        <v>0</v>
      </c>
      <c r="Z235">
        <f t="shared" si="22"/>
        <v>0</v>
      </c>
      <c r="AA235">
        <f>ClientesRIB!A20</f>
        <v>0</v>
      </c>
      <c r="AB235" t="str">
        <f>ClientesRIB!D20&amp;" - "&amp;ClientesRIB!F20</f>
        <v xml:space="preserve"> - </v>
      </c>
      <c r="AC235">
        <f>ClientesRIB!E20</f>
        <v>0</v>
      </c>
    </row>
    <row r="236" spans="3:29" hidden="1" x14ac:dyDescent="0.25">
      <c r="C236">
        <v>250501</v>
      </c>
      <c r="D236">
        <f>IFERROR(VLOOKUP($A$4&amp;$D$4&amp;C236,BalancesAnuales1!$A$2:$E$20009,5,0)+0,0)/A6</f>
        <v>0</v>
      </c>
      <c r="E236">
        <f>IFERROR(VLOOKUP($A$4&amp;$E$4&amp;C236,BalancesAnuales1!$A$2:$E$20009,5,0)+0,0)/A6</f>
        <v>0</v>
      </c>
      <c r="F236">
        <f>IFERROR(VLOOKUP($A$4&amp;$F$4&amp;C236,BalancesAnuales1!$A$2:$E$20009,5,0)+0,0)/A6</f>
        <v>0</v>
      </c>
      <c r="G236">
        <f>IFERROR(VLOOKUP($A$4&amp;$G$4&amp;C236,BalancesMensuales1!$A$2:$E$20009,5,0)+0,0)/A6</f>
        <v>0</v>
      </c>
      <c r="H236">
        <f>IFERROR(VLOOKUP($A$4&amp;$H$4&amp;C236,BalancesMensuales1!$A$2:$E$20009,5,0)+0,0)/A6</f>
        <v>0</v>
      </c>
      <c r="Z236">
        <f t="shared" si="22"/>
        <v>0</v>
      </c>
      <c r="AA236">
        <f>ClientesRIB!A21</f>
        <v>0</v>
      </c>
      <c r="AB236" t="str">
        <f>ClientesRIB!D21&amp;" - "&amp;ClientesRIB!F21</f>
        <v xml:space="preserve"> - </v>
      </c>
      <c r="AC236">
        <f>ClientesRIB!E21</f>
        <v>0</v>
      </c>
    </row>
    <row r="237" spans="3:29" hidden="1" x14ac:dyDescent="0.25">
      <c r="C237">
        <v>251001</v>
      </c>
      <c r="D237">
        <f>IFERROR(VLOOKUP($A$4&amp;$D$4&amp;C237,BalancesAnuales1!$A$2:$E$20009,5,0)+0,0)/A6</f>
        <v>0</v>
      </c>
      <c r="E237">
        <f>IFERROR(VLOOKUP($A$4&amp;$E$4&amp;C237,BalancesAnuales1!$A$2:$E$20009,5,0)+0,0)/A6</f>
        <v>0</v>
      </c>
      <c r="F237">
        <f>IFERROR(VLOOKUP($A$4&amp;$F$4&amp;C237,BalancesAnuales1!$A$2:$E$20009,5,0)+0,0)/A6</f>
        <v>0</v>
      </c>
      <c r="G237">
        <f>IFERROR(VLOOKUP($A$4&amp;$G$4&amp;C237,BalancesMensuales1!$A$2:$E$20009,5,0)+0,0)/A6</f>
        <v>0</v>
      </c>
      <c r="H237">
        <f>IFERROR(VLOOKUP($A$4&amp;$H$4&amp;C237,BalancesMensuales1!$A$2:$E$20009,5,0)+0,0)/A6</f>
        <v>0</v>
      </c>
      <c r="Z237">
        <f t="shared" si="22"/>
        <v>0</v>
      </c>
      <c r="AA237">
        <f>ClientesRIB!A22</f>
        <v>0</v>
      </c>
      <c r="AB237" t="str">
        <f>ClientesRIB!D22&amp;" - "&amp;ClientesRIB!F22</f>
        <v xml:space="preserve"> - </v>
      </c>
      <c r="AC237">
        <f>ClientesRIB!E22</f>
        <v>0</v>
      </c>
    </row>
    <row r="238" spans="3:29" hidden="1" x14ac:dyDescent="0.25">
      <c r="C238">
        <v>251501</v>
      </c>
      <c r="D238">
        <f>IFERROR(VLOOKUP($A$4&amp;$D$4&amp;C238,BalancesAnuales1!$A$2:$E$20009,5,0)+0,0)/A6</f>
        <v>0</v>
      </c>
      <c r="E238">
        <f>IFERROR(VLOOKUP($A$4&amp;$E$4&amp;C238,BalancesAnuales1!$A$2:$E$20009,5,0)+0,0)/A6</f>
        <v>0</v>
      </c>
      <c r="F238">
        <f>IFERROR(VLOOKUP($A$4&amp;$F$4&amp;C238,BalancesAnuales1!$A$2:$E$20009,5,0)+0,0)/A6</f>
        <v>0</v>
      </c>
      <c r="G238">
        <f>IFERROR(VLOOKUP($A$4&amp;$G$4&amp;C238,BalancesMensuales1!$A$2:$E$20009,5,0)+0,0)/A6</f>
        <v>0</v>
      </c>
      <c r="H238">
        <f>IFERROR(VLOOKUP($A$4&amp;$H$4&amp;C238,BalancesMensuales1!$A$2:$E$20009,5,0)+0,0)/A6</f>
        <v>0</v>
      </c>
      <c r="Z238">
        <f t="shared" si="22"/>
        <v>0</v>
      </c>
      <c r="AA238">
        <f>ClientesRIB!A23</f>
        <v>0</v>
      </c>
      <c r="AB238" t="str">
        <f>ClientesRIB!D23&amp;" - "&amp;ClientesRIB!F23</f>
        <v xml:space="preserve"> - </v>
      </c>
      <c r="AC238">
        <f>ClientesRIB!E23</f>
        <v>0</v>
      </c>
    </row>
    <row r="239" spans="3:29" hidden="1" x14ac:dyDescent="0.25">
      <c r="C239">
        <v>252501</v>
      </c>
      <c r="D239">
        <f>IFERROR(VLOOKUP($A$4&amp;$D$4&amp;C239,BalancesAnuales1!$A$2:$E$20009,5,0)+0,0)/A6</f>
        <v>0</v>
      </c>
      <c r="E239">
        <f>IFERROR(VLOOKUP($A$4&amp;$E$4&amp;C239,BalancesAnuales1!$A$2:$E$20009,5,0)+0,0)/A6</f>
        <v>0</v>
      </c>
      <c r="F239">
        <f>IFERROR(VLOOKUP($A$4&amp;$F$4&amp;C239,BalancesAnuales1!$A$2:$E$20009,5,0)+0,0)/A6</f>
        <v>0</v>
      </c>
      <c r="G239">
        <f>IFERROR(VLOOKUP($A$4&amp;$G$4&amp;C239,BalancesMensuales1!$A$2:$E$20009,5,0)+0,0)/A6</f>
        <v>0</v>
      </c>
      <c r="H239">
        <f>IFERROR(VLOOKUP($A$4&amp;$H$4&amp;C239,BalancesMensuales1!$A$2:$E$20009,5,0)+0,0)/A6</f>
        <v>0</v>
      </c>
      <c r="Z239">
        <f t="shared" si="22"/>
        <v>0</v>
      </c>
      <c r="AA239">
        <f>ClientesRIB!A24</f>
        <v>0</v>
      </c>
      <c r="AB239" t="str">
        <f>ClientesRIB!D24&amp;" - "&amp;ClientesRIB!F24</f>
        <v xml:space="preserve"> - </v>
      </c>
      <c r="AC239">
        <f>ClientesRIB!E24</f>
        <v>0</v>
      </c>
    </row>
    <row r="240" spans="3:29" hidden="1" x14ac:dyDescent="0.25">
      <c r="C240">
        <v>253001</v>
      </c>
      <c r="D240">
        <f>IFERROR(VLOOKUP($A$4&amp;$D$4&amp;C240,BalancesAnuales1!$A$2:$E$20009,5,0)+0,0)/A6</f>
        <v>0</v>
      </c>
      <c r="E240">
        <f>IFERROR(VLOOKUP($A$4&amp;$E$4&amp;C240,BalancesAnuales1!$A$2:$E$20009,5,0)+0,0)/A6</f>
        <v>0</v>
      </c>
      <c r="F240">
        <f>IFERROR(VLOOKUP($A$4&amp;$F$4&amp;C240,BalancesAnuales1!$A$2:$E$20009,5,0)+0,0)/A6</f>
        <v>0</v>
      </c>
      <c r="G240">
        <f>IFERROR(VLOOKUP($A$4&amp;$G$4&amp;C240,BalancesMensuales1!$A$2:$E$20009,5,0)+0,0)/A6</f>
        <v>0</v>
      </c>
      <c r="H240">
        <f>IFERROR(VLOOKUP($A$4&amp;$H$4&amp;C240,BalancesMensuales1!$A$2:$E$20009,5,0)+0,0)/A6</f>
        <v>0</v>
      </c>
      <c r="Z240">
        <f t="shared" si="22"/>
        <v>0</v>
      </c>
      <c r="AA240">
        <f>ClientesRIB!A25</f>
        <v>0</v>
      </c>
      <c r="AB240" t="str">
        <f>ClientesRIB!D25&amp;" - "&amp;ClientesRIB!F25</f>
        <v xml:space="preserve"> - </v>
      </c>
      <c r="AC240">
        <f>ClientesRIB!E25</f>
        <v>0</v>
      </c>
    </row>
    <row r="241" spans="3:29" hidden="1" x14ac:dyDescent="0.25">
      <c r="C241">
        <v>259501</v>
      </c>
      <c r="D241">
        <f>IFERROR(VLOOKUP($A$4&amp;$D$4&amp;C241,BalancesAnuales1!$A$2:$E$20009,5,0)+0,0)/A6</f>
        <v>0</v>
      </c>
      <c r="E241">
        <f>IFERROR(VLOOKUP($A$4&amp;$E$4&amp;C241,BalancesAnuales1!$A$2:$E$20009,5,0)+0,0)/A6</f>
        <v>0</v>
      </c>
      <c r="F241">
        <f>IFERROR(VLOOKUP($A$4&amp;$F$4&amp;C241,BalancesAnuales1!$A$2:$E$20009,5,0)+0,0)/A6</f>
        <v>0</v>
      </c>
      <c r="G241">
        <f>IFERROR(VLOOKUP($A$4&amp;$G$4&amp;C241,BalancesMensuales1!$A$2:$E$20009,5,0)+0,0)/A6</f>
        <v>0</v>
      </c>
      <c r="H241">
        <f>IFERROR(VLOOKUP($A$4&amp;$H$4&amp;C241,BalancesMensuales1!$A$2:$E$20009,5,0)+0,0)/A6</f>
        <v>0</v>
      </c>
      <c r="Z241">
        <f t="shared" si="22"/>
        <v>0</v>
      </c>
      <c r="AA241">
        <f>ClientesRIB!A26</f>
        <v>0</v>
      </c>
      <c r="AB241" t="str">
        <f>ClientesRIB!D26&amp;" - "&amp;ClientesRIB!F26</f>
        <v xml:space="preserve"> - </v>
      </c>
      <c r="AC241">
        <f>ClientesRIB!E26</f>
        <v>0</v>
      </c>
    </row>
    <row r="242" spans="3:29" hidden="1" x14ac:dyDescent="0.25">
      <c r="C242">
        <v>2204</v>
      </c>
      <c r="D242">
        <f>IFERROR(VLOOKUP($A$4&amp;$D$4&amp;C242,BalancesAnuales1!$A$2:$E$20009,5,0)+0,0)/A6</f>
        <v>0</v>
      </c>
      <c r="E242">
        <f>IFERROR(VLOOKUP($A$4&amp;$E$4&amp;C242,BalancesAnuales1!$A$2:$E$20009,5,0)+0,0)/A6</f>
        <v>0</v>
      </c>
      <c r="F242">
        <f>IFERROR(VLOOKUP($A$4&amp;$F$4&amp;C242,BalancesAnuales1!$A$2:$E$20009,5,0)+0,0)/A6</f>
        <v>0</v>
      </c>
      <c r="G242">
        <f>IFERROR(VLOOKUP($A$4&amp;$G$4&amp;C242,BalancesMensuales1!$A$2:$E$20009,5,0)+0,0)/A6</f>
        <v>0</v>
      </c>
      <c r="H242">
        <f>IFERROR(VLOOKUP($A$4&amp;$H$4&amp;C242,BalancesMensuales1!$A$2:$E$20009,5,0)+0,0)/A6</f>
        <v>0</v>
      </c>
      <c r="Z242">
        <f t="shared" si="22"/>
        <v>0</v>
      </c>
      <c r="AA242">
        <f>ClientesRIB!A27</f>
        <v>0</v>
      </c>
      <c r="AB242" t="str">
        <f>ClientesRIB!D27&amp;" - "&amp;ClientesRIB!F27</f>
        <v xml:space="preserve"> - </v>
      </c>
      <c r="AC242">
        <f>ClientesRIB!E27</f>
        <v>0</v>
      </c>
    </row>
    <row r="243" spans="3:29" hidden="1" x14ac:dyDescent="0.25">
      <c r="C243">
        <v>260501</v>
      </c>
      <c r="D243">
        <f>IFERROR(VLOOKUP($A$4&amp;$D$4&amp;C243,BalancesAnuales1!$A$2:$E$20009,5,0)+0,0)/A6</f>
        <v>0</v>
      </c>
      <c r="E243">
        <f>IFERROR(VLOOKUP($A$4&amp;$E$4&amp;C243,BalancesAnuales1!$A$2:$E$20009,5,0)+0,0)/A6</f>
        <v>0</v>
      </c>
      <c r="F243">
        <f>IFERROR(VLOOKUP($A$4&amp;$F$4&amp;C243,BalancesAnuales1!$A$2:$E$20009,5,0)+0,0)/A6</f>
        <v>0</v>
      </c>
      <c r="G243">
        <f>IFERROR(VLOOKUP($A$4&amp;$G$4&amp;C243,BalancesMensuales1!$A$2:$E$20009,5,0)+0,0)/A6</f>
        <v>0</v>
      </c>
      <c r="H243">
        <f>IFERROR(VLOOKUP($A$4&amp;$H$4&amp;C243,BalancesMensuales1!$A$2:$E$20009,5,0)+0,0)/A6</f>
        <v>0</v>
      </c>
      <c r="Z243">
        <f t="shared" si="22"/>
        <v>0</v>
      </c>
      <c r="AA243">
        <f>ClientesRIB!A28</f>
        <v>0</v>
      </c>
      <c r="AB243" t="str">
        <f>ClientesRIB!D28&amp;" - "&amp;ClientesRIB!F28</f>
        <v xml:space="preserve"> - </v>
      </c>
      <c r="AC243">
        <f>ClientesRIB!E28</f>
        <v>0</v>
      </c>
    </row>
    <row r="244" spans="3:29" hidden="1" x14ac:dyDescent="0.25">
      <c r="C244">
        <v>261001</v>
      </c>
      <c r="D244">
        <f>IFERROR(VLOOKUP($A$4&amp;$D$4&amp;C244,BalancesAnuales1!$A$2:$E$20009,5,0)+0,0)/A6</f>
        <v>0</v>
      </c>
      <c r="E244">
        <f>IFERROR(VLOOKUP($A$4&amp;$E$4&amp;C244,BalancesAnuales1!$A$2:$E$20009,5,0)+0,0)/A6</f>
        <v>0</v>
      </c>
      <c r="F244">
        <f>IFERROR(VLOOKUP($A$4&amp;$F$4&amp;C244,BalancesAnuales1!$A$2:$E$20009,5,0)+0,0)/A6</f>
        <v>0</v>
      </c>
      <c r="G244">
        <f>IFERROR(VLOOKUP($A$4&amp;$G$4&amp;C244,BalancesMensuales1!$A$2:$E$20009,5,0)+0,0)/A6</f>
        <v>0</v>
      </c>
      <c r="H244">
        <f>IFERROR(VLOOKUP($A$4&amp;$H$4&amp;C244,BalancesMensuales1!$A$2:$E$20009,5,0)+0,0)/A6</f>
        <v>0</v>
      </c>
      <c r="Z244">
        <f t="shared" si="22"/>
        <v>0</v>
      </c>
      <c r="AA244">
        <f>ClientesRIB!A29</f>
        <v>0</v>
      </c>
      <c r="AB244" t="str">
        <f>ClientesRIB!D29&amp;" - "&amp;ClientesRIB!F29</f>
        <v xml:space="preserve"> - </v>
      </c>
      <c r="AC244">
        <f>ClientesRIB!E29</f>
        <v>0</v>
      </c>
    </row>
    <row r="245" spans="3:29" hidden="1" x14ac:dyDescent="0.25">
      <c r="C245">
        <v>261501</v>
      </c>
      <c r="D245">
        <f>IFERROR(VLOOKUP($A$4&amp;$D$4&amp;C245,BalancesAnuales1!$A$2:$E$20009,5,0)+0,0)/A6</f>
        <v>0</v>
      </c>
      <c r="E245">
        <f>IFERROR(VLOOKUP($A$4&amp;$E$4&amp;C245,BalancesAnuales1!$A$2:$E$20009,5,0)+0,0)/A6</f>
        <v>0</v>
      </c>
      <c r="F245">
        <f>IFERROR(VLOOKUP($A$4&amp;$F$4&amp;C245,BalancesAnuales1!$A$2:$E$20009,5,0)+0,0)/A6</f>
        <v>0</v>
      </c>
      <c r="G245">
        <f>IFERROR(VLOOKUP($A$4&amp;$G$4&amp;C245,BalancesMensuales1!$A$2:$E$20009,5,0)+0,0)/A6</f>
        <v>0</v>
      </c>
      <c r="H245">
        <f>IFERROR(VLOOKUP($A$4&amp;$H$4&amp;C245,BalancesMensuales1!$A$2:$E$20009,5,0)+0,0)/A6</f>
        <v>0</v>
      </c>
      <c r="Z245">
        <f t="shared" si="22"/>
        <v>0</v>
      </c>
      <c r="AA245">
        <f>ClientesRIB!A30</f>
        <v>0</v>
      </c>
      <c r="AB245" t="str">
        <f>ClientesRIB!D30&amp;" - "&amp;ClientesRIB!F30</f>
        <v xml:space="preserve"> - </v>
      </c>
      <c r="AC245">
        <f>ClientesRIB!E30</f>
        <v>0</v>
      </c>
    </row>
    <row r="246" spans="3:29" hidden="1" x14ac:dyDescent="0.25">
      <c r="C246">
        <v>262001</v>
      </c>
      <c r="D246">
        <f>IFERROR(VLOOKUP($A$4&amp;$D$4&amp;C246,BalancesAnuales1!$A$2:$E$20009,5,0)+0,0)/A6</f>
        <v>0</v>
      </c>
      <c r="E246">
        <f>IFERROR(VLOOKUP($A$4&amp;$E$4&amp;C246,BalancesAnuales1!$A$2:$E$20009,5,0)+0,0)/A6</f>
        <v>0</v>
      </c>
      <c r="F246">
        <f>IFERROR(VLOOKUP($A$4&amp;$F$4&amp;C246,BalancesAnuales1!$A$2:$E$20009,5,0)+0,0)/A6</f>
        <v>0</v>
      </c>
      <c r="G246">
        <f>IFERROR(VLOOKUP($A$4&amp;$G$4&amp;C246,BalancesMensuales1!$A$2:$E$20009,5,0)+0,0)/A6</f>
        <v>0</v>
      </c>
      <c r="H246">
        <f>IFERROR(VLOOKUP($A$4&amp;$H$4&amp;C246,BalancesMensuales1!$A$2:$E$20009,5,0)+0,0)/A6</f>
        <v>0</v>
      </c>
      <c r="Z246">
        <f t="shared" si="22"/>
        <v>0</v>
      </c>
      <c r="AA246">
        <f>ClientesRIB!A31</f>
        <v>0</v>
      </c>
      <c r="AB246" t="str">
        <f>ClientesRIB!D31&amp;" - "&amp;ClientesRIB!F31</f>
        <v xml:space="preserve"> - </v>
      </c>
      <c r="AC246">
        <f>ClientesRIB!E31</f>
        <v>0</v>
      </c>
    </row>
    <row r="247" spans="3:29" hidden="1" x14ac:dyDescent="0.25">
      <c r="C247">
        <v>262501</v>
      </c>
      <c r="D247">
        <f>IFERROR(VLOOKUP($A$4&amp;$D$4&amp;C247,BalancesAnuales1!$A$2:$E$20009,5,0)+0,0)/A6</f>
        <v>0</v>
      </c>
      <c r="E247">
        <f>IFERROR(VLOOKUP($A$4&amp;$E$4&amp;C247,BalancesAnuales1!$A$2:$E$20009,5,0)+0,0)/A6</f>
        <v>0</v>
      </c>
      <c r="F247">
        <f>IFERROR(VLOOKUP($A$4&amp;$F$4&amp;C247,BalancesAnuales1!$A$2:$E$20009,5,0)+0,0)/A6</f>
        <v>0</v>
      </c>
      <c r="G247">
        <f>IFERROR(VLOOKUP($A$4&amp;$G$4&amp;C247,BalancesMensuales1!$A$2:$E$20009,5,0)+0,0)/A6</f>
        <v>0</v>
      </c>
      <c r="H247">
        <f>IFERROR(VLOOKUP($A$4&amp;$H$4&amp;C247,BalancesMensuales1!$A$2:$E$20009,5,0)+0,0)/A6</f>
        <v>0</v>
      </c>
      <c r="Z247">
        <f t="shared" si="22"/>
        <v>0</v>
      </c>
      <c r="AA247">
        <f>ClientesRIB!A32</f>
        <v>0</v>
      </c>
      <c r="AB247" t="str">
        <f>ClientesRIB!D32&amp;" - "&amp;ClientesRIB!F32</f>
        <v xml:space="preserve"> - </v>
      </c>
      <c r="AC247">
        <f>ClientesRIB!E32</f>
        <v>0</v>
      </c>
    </row>
    <row r="248" spans="3:29" hidden="1" x14ac:dyDescent="0.25">
      <c r="C248">
        <v>263001</v>
      </c>
      <c r="D248">
        <f>IFERROR(VLOOKUP($A$4&amp;$D$4&amp;C248,BalancesAnuales1!$A$2:$E$20009,5,0)+0,0)/A6</f>
        <v>0</v>
      </c>
      <c r="E248">
        <f>IFERROR(VLOOKUP($A$4&amp;$E$4&amp;C248,BalancesAnuales1!$A$2:$E$20009,5,0)+0,0)/A6</f>
        <v>0</v>
      </c>
      <c r="F248">
        <f>IFERROR(VLOOKUP($A$4&amp;$F$4&amp;C248,BalancesAnuales1!$A$2:$E$20009,5,0)+0,0)/A6</f>
        <v>0</v>
      </c>
      <c r="G248">
        <f>IFERROR(VLOOKUP($A$4&amp;$G$4&amp;C248,BalancesMensuales1!$A$2:$E$20009,5,0)+0,0)/A6</f>
        <v>0</v>
      </c>
      <c r="H248">
        <f>IFERROR(VLOOKUP($A$4&amp;$H$4&amp;C248,BalancesMensuales1!$A$2:$E$20009,5,0)+0,0)/A6</f>
        <v>0</v>
      </c>
      <c r="Z248">
        <f t="shared" si="22"/>
        <v>0</v>
      </c>
      <c r="AA248">
        <f>ClientesRIB!A33</f>
        <v>0</v>
      </c>
      <c r="AB248" t="str">
        <f>ClientesRIB!D33&amp;" - "&amp;ClientesRIB!F33</f>
        <v xml:space="preserve"> - </v>
      </c>
      <c r="AC248">
        <f>ClientesRIB!E33</f>
        <v>0</v>
      </c>
    </row>
    <row r="249" spans="3:29" hidden="1" x14ac:dyDescent="0.25">
      <c r="C249">
        <v>263501</v>
      </c>
      <c r="D249">
        <f>IFERROR(VLOOKUP($A$4&amp;$D$4&amp;C249,BalancesAnuales1!$A$2:$E$20009,5,0)+0,0)/A6</f>
        <v>0</v>
      </c>
      <c r="E249">
        <f>IFERROR(VLOOKUP($A$4&amp;$E$4&amp;C249,BalancesAnuales1!$A$2:$E$20009,5,0)+0,0)/A6</f>
        <v>0</v>
      </c>
      <c r="F249">
        <f>IFERROR(VLOOKUP($A$4&amp;$F$4&amp;C249,BalancesAnuales1!$A$2:$E$20009,5,0)+0,0)/A6</f>
        <v>0</v>
      </c>
      <c r="G249">
        <f>IFERROR(VLOOKUP($A$4&amp;$G$4&amp;C249,BalancesMensuales1!$A$2:$E$20009,5,0)+0,0)/A6</f>
        <v>0</v>
      </c>
      <c r="H249">
        <f>IFERROR(VLOOKUP($A$4&amp;$H$4&amp;C249,BalancesMensuales1!$A$2:$E$20009,5,0)+0,0)/A6</f>
        <v>0</v>
      </c>
      <c r="Z249">
        <f t="shared" si="22"/>
        <v>0</v>
      </c>
      <c r="AA249">
        <f>ClientesRIB!A34</f>
        <v>0</v>
      </c>
      <c r="AB249" t="str">
        <f>ClientesRIB!D34&amp;" - "&amp;ClientesRIB!F34</f>
        <v xml:space="preserve"> - </v>
      </c>
      <c r="AC249">
        <f>ClientesRIB!E34</f>
        <v>0</v>
      </c>
    </row>
    <row r="250" spans="3:29" hidden="1" x14ac:dyDescent="0.25">
      <c r="C250">
        <v>264001</v>
      </c>
      <c r="D250">
        <f>IFERROR(VLOOKUP($A$4&amp;$D$4&amp;C250,BalancesAnuales1!$A$2:$E$20009,5,0)+0,0)/A6</f>
        <v>0</v>
      </c>
      <c r="E250">
        <f>IFERROR(VLOOKUP($A$4&amp;$E$4&amp;C250,BalancesAnuales1!$A$2:$E$20009,5,0)+0,0)/A6</f>
        <v>0</v>
      </c>
      <c r="F250">
        <f>IFERROR(VLOOKUP($A$4&amp;$F$4&amp;C250,BalancesAnuales1!$A$2:$E$20009,5,0)+0,0)/A6</f>
        <v>0</v>
      </c>
      <c r="G250">
        <f>IFERROR(VLOOKUP($A$4&amp;$G$4&amp;C250,BalancesMensuales1!$A$2:$E$20009,5,0)+0,0)/A6</f>
        <v>0</v>
      </c>
      <c r="H250">
        <f>IFERROR(VLOOKUP($A$4&amp;$H$4&amp;C250,BalancesMensuales1!$A$2:$E$20009,5,0)+0,0)/A6</f>
        <v>0</v>
      </c>
      <c r="Z250">
        <f t="shared" ref="Z250:Z281" si="23">IF(AA250=$A$4,Z249+1,0)</f>
        <v>0</v>
      </c>
      <c r="AA250">
        <f>ClientesRIB!A35</f>
        <v>0</v>
      </c>
      <c r="AB250" t="str">
        <f>ClientesRIB!D35&amp;" - "&amp;ClientesRIB!F35</f>
        <v xml:space="preserve"> - </v>
      </c>
      <c r="AC250">
        <f>ClientesRIB!E35</f>
        <v>0</v>
      </c>
    </row>
    <row r="251" spans="3:29" hidden="1" x14ac:dyDescent="0.25">
      <c r="C251">
        <v>269501</v>
      </c>
      <c r="D251">
        <f>IFERROR(VLOOKUP($A$4&amp;$D$4&amp;C251,BalancesAnuales1!$A$2:$E$20009,5,0)+0,0)/A6</f>
        <v>0</v>
      </c>
      <c r="E251">
        <f>IFERROR(VLOOKUP($A$4&amp;$E$4&amp;C251,BalancesAnuales1!$A$2:$E$20009,5,0)+0,0)/A6</f>
        <v>0</v>
      </c>
      <c r="F251">
        <f>IFERROR(VLOOKUP($A$4&amp;$F$4&amp;C251,BalancesAnuales1!$A$2:$E$20009,5,0)+0,0)/A6</f>
        <v>0</v>
      </c>
      <c r="G251">
        <f>IFERROR(VLOOKUP($A$4&amp;$G$4&amp;C251,BalancesMensuales1!$A$2:$E$20009,5,0)+0,0)/A6</f>
        <v>0</v>
      </c>
      <c r="H251">
        <f>IFERROR(VLOOKUP($A$4&amp;$H$4&amp;C251,BalancesMensuales1!$A$2:$E$20009,5,0)+0,0)/A6</f>
        <v>0</v>
      </c>
      <c r="Z251">
        <f t="shared" si="23"/>
        <v>0</v>
      </c>
      <c r="AA251">
        <f>ClientesRIB!A36</f>
        <v>0</v>
      </c>
      <c r="AB251" t="str">
        <f>ClientesRIB!D36&amp;" - "&amp;ClientesRIB!F36</f>
        <v xml:space="preserve"> - </v>
      </c>
      <c r="AC251">
        <f>ClientesRIB!E36</f>
        <v>0</v>
      </c>
    </row>
    <row r="252" spans="3:29" hidden="1" x14ac:dyDescent="0.25">
      <c r="C252">
        <v>2206</v>
      </c>
      <c r="D252">
        <f>IFERROR(VLOOKUP($A$4&amp;$D$4&amp;C252,BalancesAnuales1!$A$2:$E$20009,5,0)+0,0)/A6</f>
        <v>0</v>
      </c>
      <c r="E252">
        <f>IFERROR(VLOOKUP($A$4&amp;$E$4&amp;C252,BalancesAnuales1!$A$2:$E$20009,5,0)+0,0)/A6</f>
        <v>0</v>
      </c>
      <c r="F252">
        <f>IFERROR(VLOOKUP($A$4&amp;$F$4&amp;C252,BalancesAnuales1!$A$2:$E$20009,5,0)+0,0)/A6</f>
        <v>0</v>
      </c>
      <c r="G252">
        <f>IFERROR(VLOOKUP($A$4&amp;$G$4&amp;C252,BalancesMensuales1!$A$2:$E$20009,5,0)+0,0)/A6</f>
        <v>0</v>
      </c>
      <c r="H252">
        <f>IFERROR(VLOOKUP($A$4&amp;$H$4&amp;C252,BalancesMensuales1!$A$2:$E$20009,5,0)+0,0)/A6</f>
        <v>0</v>
      </c>
      <c r="Z252">
        <f t="shared" si="23"/>
        <v>0</v>
      </c>
      <c r="AA252">
        <f>ClientesRIB!A37</f>
        <v>0</v>
      </c>
      <c r="AB252" t="str">
        <f>ClientesRIB!D37&amp;" - "&amp;ClientesRIB!F37</f>
        <v xml:space="preserve"> - </v>
      </c>
      <c r="AC252">
        <f>ClientesRIB!E37</f>
        <v>0</v>
      </c>
    </row>
    <row r="253" spans="3:29" hidden="1" x14ac:dyDescent="0.25">
      <c r="C253">
        <v>270501</v>
      </c>
      <c r="D253">
        <f>IFERROR(VLOOKUP($A$4&amp;$D$4&amp;C253,BalancesAnuales1!$A$2:$E$20009,5,0)+0,0)/A6</f>
        <v>0</v>
      </c>
      <c r="E253">
        <f>IFERROR(VLOOKUP($A$4&amp;$E$4&amp;C253,BalancesAnuales1!$A$2:$E$20009,5,0)+0,0)/A6</f>
        <v>0</v>
      </c>
      <c r="F253">
        <f>IFERROR(VLOOKUP($A$4&amp;$F$4&amp;C253,BalancesAnuales1!$A$2:$E$20009,5,0)+0,0)/A6</f>
        <v>0</v>
      </c>
      <c r="G253">
        <f>IFERROR(VLOOKUP($A$4&amp;$G$4&amp;C253,BalancesMensuales1!$A$2:$E$20009,5,0)+0,0)/A6</f>
        <v>0</v>
      </c>
      <c r="H253">
        <f>IFERROR(VLOOKUP($A$4&amp;$H$4&amp;C253,BalancesMensuales1!$A$2:$E$20009,5,0)+0,0)/A6</f>
        <v>0</v>
      </c>
      <c r="Z253">
        <f t="shared" si="23"/>
        <v>0</v>
      </c>
      <c r="AA253">
        <f>ClientesRIB!A38</f>
        <v>0</v>
      </c>
      <c r="AB253" t="str">
        <f>ClientesRIB!D38&amp;" - "&amp;ClientesRIB!F38</f>
        <v xml:space="preserve"> - </v>
      </c>
      <c r="AC253">
        <f>ClientesRIB!E38</f>
        <v>0</v>
      </c>
    </row>
    <row r="254" spans="3:29" hidden="1" x14ac:dyDescent="0.25">
      <c r="C254">
        <v>271001</v>
      </c>
      <c r="D254">
        <f>IFERROR(VLOOKUP($A$4&amp;$D$4&amp;C254,BalancesAnuales1!$A$2:$E$20009,5,0)+0,0)/A6</f>
        <v>0</v>
      </c>
      <c r="E254">
        <f>IFERROR(VLOOKUP($A$4&amp;$E$4&amp;C254,BalancesAnuales1!$A$2:$E$20009,5,0)+0,0)/A6</f>
        <v>0</v>
      </c>
      <c r="F254">
        <f>IFERROR(VLOOKUP($A$4&amp;$F$4&amp;C254,BalancesAnuales1!$A$2:$E$20009,5,0)+0,0)/A6</f>
        <v>0</v>
      </c>
      <c r="G254">
        <f>IFERROR(VLOOKUP($A$4&amp;$G$4&amp;C254,BalancesMensuales1!$A$2:$E$20009,5,0)+0,0)/A6</f>
        <v>0</v>
      </c>
      <c r="H254">
        <f>IFERROR(VLOOKUP($A$4&amp;$H$4&amp;C254,BalancesMensuales1!$A$2:$E$20009,5,0)+0,0)/A6</f>
        <v>0</v>
      </c>
      <c r="Z254">
        <f t="shared" si="23"/>
        <v>0</v>
      </c>
      <c r="AA254">
        <f>ClientesRIB!A39</f>
        <v>0</v>
      </c>
      <c r="AB254" t="str">
        <f>ClientesRIB!D39&amp;" - "&amp;ClientesRIB!F39</f>
        <v xml:space="preserve"> - </v>
      </c>
      <c r="AC254">
        <f>ClientesRIB!E39</f>
        <v>0</v>
      </c>
    </row>
    <row r="255" spans="3:29" hidden="1" x14ac:dyDescent="0.25">
      <c r="C255">
        <v>272001</v>
      </c>
      <c r="D255">
        <f>IFERROR(VLOOKUP($A$4&amp;$D$4&amp;C255,BalancesAnuales1!$A$2:$E$20009,5,0)+0,0)/A6</f>
        <v>0</v>
      </c>
      <c r="E255">
        <f>IFERROR(VLOOKUP($A$4&amp;$E$4&amp;C255,BalancesAnuales1!$A$2:$E$20009,5,0)+0,0)/A6</f>
        <v>0</v>
      </c>
      <c r="F255">
        <f>IFERROR(VLOOKUP($A$4&amp;$F$4&amp;C255,BalancesAnuales1!$A$2:$E$20009,5,0)+0,0)/A6</f>
        <v>0</v>
      </c>
      <c r="G255">
        <f>IFERROR(VLOOKUP($A$4&amp;$G$4&amp;C255,BalancesMensuales1!$A$2:$E$20009,5,0)+0,0)/A6</f>
        <v>0</v>
      </c>
      <c r="H255">
        <f>IFERROR(VLOOKUP($A$4&amp;$H$4&amp;C255,BalancesMensuales1!$A$2:$E$20009,5,0)+0,0)/A6</f>
        <v>0</v>
      </c>
      <c r="Z255">
        <f t="shared" si="23"/>
        <v>0</v>
      </c>
      <c r="AA255">
        <f>ClientesRIB!A40</f>
        <v>0</v>
      </c>
      <c r="AB255" t="str">
        <f>ClientesRIB!D40&amp;" - "&amp;ClientesRIB!F40</f>
        <v xml:space="preserve"> - </v>
      </c>
      <c r="AC255">
        <f>ClientesRIB!E40</f>
        <v>0</v>
      </c>
    </row>
    <row r="256" spans="3:29" hidden="1" x14ac:dyDescent="0.25">
      <c r="C256">
        <v>272501</v>
      </c>
      <c r="D256">
        <f>IFERROR(VLOOKUP($A$4&amp;$D$4&amp;C256,BalancesAnuales1!$A$2:$E$20009,5,0)+0,0)/A6</f>
        <v>0</v>
      </c>
      <c r="E256">
        <f>IFERROR(VLOOKUP($A$4&amp;$E$4&amp;C256,BalancesAnuales1!$A$2:$E$20009,5,0)+0,0)/A6</f>
        <v>0</v>
      </c>
      <c r="F256">
        <f>IFERROR(VLOOKUP($A$4&amp;$F$4&amp;C256,BalancesAnuales1!$A$2:$E$20009,5,0)+0,0)/A6</f>
        <v>0</v>
      </c>
      <c r="G256">
        <f>IFERROR(VLOOKUP($A$4&amp;$G$4&amp;C256,BalancesMensuales1!$A$2:$E$20009,5,0)+0,0)/A6</f>
        <v>0</v>
      </c>
      <c r="H256">
        <f>IFERROR(VLOOKUP($A$4&amp;$H$4&amp;C256,BalancesMensuales1!$A$2:$E$20009,5,0)+0,0)/A6</f>
        <v>0</v>
      </c>
      <c r="Z256">
        <f t="shared" si="23"/>
        <v>0</v>
      </c>
      <c r="AA256">
        <f>ClientesRIB!A41</f>
        <v>0</v>
      </c>
      <c r="AB256" t="str">
        <f>ClientesRIB!D41&amp;" - "&amp;ClientesRIB!F41</f>
        <v xml:space="preserve"> - </v>
      </c>
      <c r="AC256">
        <f>ClientesRIB!E41</f>
        <v>0</v>
      </c>
    </row>
    <row r="257" spans="3:29" hidden="1" x14ac:dyDescent="0.25">
      <c r="C257">
        <v>279501</v>
      </c>
      <c r="D257">
        <f>IFERROR(VLOOKUP($A$4&amp;$D$4&amp;C257,BalancesAnuales1!$A$2:$E$20009,5,0)+0,0)/A6</f>
        <v>0</v>
      </c>
      <c r="E257">
        <f>IFERROR(VLOOKUP($A$4&amp;$E$4&amp;C257,BalancesAnuales1!$A$2:$E$20009,5,0)+0,0)/A6</f>
        <v>0</v>
      </c>
      <c r="F257">
        <f>IFERROR(VLOOKUP($A$4&amp;$F$4&amp;C257,BalancesAnuales1!$A$2:$E$20009,5,0)+0,0)/A6</f>
        <v>0</v>
      </c>
      <c r="G257">
        <f>IFERROR(VLOOKUP($A$4&amp;$G$4&amp;C257,BalancesMensuales1!$A$2:$E$20009,5,0)+0,0)/A6</f>
        <v>0</v>
      </c>
      <c r="H257">
        <f>IFERROR(VLOOKUP($A$4&amp;$H$4&amp;C257,BalancesMensuales1!$A$2:$E$20009,5,0)+0,0)/A6</f>
        <v>0</v>
      </c>
      <c r="Z257">
        <f t="shared" si="23"/>
        <v>0</v>
      </c>
      <c r="AA257">
        <f>ClientesRIB!A42</f>
        <v>0</v>
      </c>
      <c r="AB257" t="str">
        <f>ClientesRIB!D42&amp;" - "&amp;ClientesRIB!F42</f>
        <v xml:space="preserve"> - </v>
      </c>
      <c r="AC257">
        <f>ClientesRIB!E42</f>
        <v>0</v>
      </c>
    </row>
    <row r="258" spans="3:29" hidden="1" x14ac:dyDescent="0.25">
      <c r="C258">
        <v>2207</v>
      </c>
      <c r="D258">
        <f>IFERROR(VLOOKUP($A$4&amp;$D$4&amp;C258,BalancesAnuales1!$A$2:$E$20009,5,0)+0,0)/A6</f>
        <v>0</v>
      </c>
      <c r="E258">
        <f>IFERROR(VLOOKUP($A$4&amp;$E$4&amp;C258,BalancesAnuales1!$A$2:$E$20009,5,0)+0,0)/A6</f>
        <v>0</v>
      </c>
      <c r="F258">
        <f>IFERROR(VLOOKUP($A$4&amp;$F$4&amp;C258,BalancesAnuales1!$A$2:$E$20009,5,0)+0,0)/A6</f>
        <v>0</v>
      </c>
      <c r="G258">
        <f>IFERROR(VLOOKUP($A$4&amp;$G$4&amp;C258,BalancesMensuales1!$A$2:$E$20009,5,0)+0,0)/A6</f>
        <v>0</v>
      </c>
      <c r="H258">
        <f>IFERROR(VLOOKUP($A$4&amp;$H$4&amp;C258,BalancesMensuales1!$A$2:$E$20009,5,0)+0,0)/A6</f>
        <v>0</v>
      </c>
      <c r="Z258">
        <f t="shared" si="23"/>
        <v>0</v>
      </c>
      <c r="AA258">
        <f>ClientesRIB!A43</f>
        <v>0</v>
      </c>
      <c r="AB258" t="str">
        <f>ClientesRIB!D43&amp;" - "&amp;ClientesRIB!F43</f>
        <v xml:space="preserve"> - </v>
      </c>
      <c r="AC258">
        <f>ClientesRIB!E43</f>
        <v>0</v>
      </c>
    </row>
    <row r="259" spans="3:29" hidden="1" x14ac:dyDescent="0.25">
      <c r="C259">
        <v>290501</v>
      </c>
      <c r="D259">
        <f>IFERROR(VLOOKUP($A$4&amp;$D$4&amp;C259,BalancesAnuales1!$A$2:$E$20009,5,0)+0,0)/A6</f>
        <v>0</v>
      </c>
      <c r="E259">
        <f>IFERROR(VLOOKUP($A$4&amp;$E$4&amp;C259,BalancesAnuales1!$A$2:$E$20009,5,0)+0,0)/A6</f>
        <v>0</v>
      </c>
      <c r="F259">
        <f>IFERROR(VLOOKUP($A$4&amp;$F$4&amp;C259,BalancesAnuales1!$A$2:$E$20009,5,0)+0,0)/A6</f>
        <v>0</v>
      </c>
      <c r="G259">
        <f>IFERROR(VLOOKUP($A$4&amp;$G$4&amp;C259,BalancesMensuales1!$A$2:$E$20009,5,0)+0,0)/A6</f>
        <v>0</v>
      </c>
      <c r="H259">
        <f>IFERROR(VLOOKUP($A$4&amp;$H$4&amp;C259,BalancesMensuales1!$A$2:$E$20009,5,0)+0,0)/A6</f>
        <v>0</v>
      </c>
      <c r="Z259">
        <f t="shared" si="23"/>
        <v>0</v>
      </c>
      <c r="AA259">
        <f>ClientesRIB!A44</f>
        <v>0</v>
      </c>
      <c r="AB259" t="str">
        <f>ClientesRIB!D44&amp;" - "&amp;ClientesRIB!F44</f>
        <v xml:space="preserve"> - </v>
      </c>
      <c r="AC259">
        <f>ClientesRIB!E44</f>
        <v>0</v>
      </c>
    </row>
    <row r="260" spans="3:29" hidden="1" x14ac:dyDescent="0.25">
      <c r="C260">
        <v>291991</v>
      </c>
      <c r="D260">
        <f>IFERROR(VLOOKUP($A$4&amp;$D$4&amp;C260,BalancesAnuales1!$A$2:$E$20009,5,0)+0,0)/A6</f>
        <v>0</v>
      </c>
      <c r="E260">
        <f>IFERROR(VLOOKUP($A$4&amp;$E$4&amp;C260,BalancesAnuales1!$A$2:$E$20009,5,0)+0,0)/A6</f>
        <v>0</v>
      </c>
      <c r="F260">
        <f>IFERROR(VLOOKUP($A$4&amp;$F$4&amp;C260,BalancesAnuales1!$A$2:$E$20009,5,0)+0,0)/A6</f>
        <v>0</v>
      </c>
      <c r="G260">
        <f>IFERROR(VLOOKUP($A$4&amp;$G$4&amp;C260,BalancesMensuales1!$A$2:$E$20009,5,0)+0,0)/A6</f>
        <v>0</v>
      </c>
      <c r="H260">
        <f>IFERROR(VLOOKUP($A$4&amp;$H$4&amp;C260,BalancesMensuales1!$A$2:$E$20009,5,0)+0,0)/A6</f>
        <v>0</v>
      </c>
      <c r="Z260">
        <f t="shared" si="23"/>
        <v>0</v>
      </c>
      <c r="AA260">
        <f>ClientesRIB!A45</f>
        <v>0</v>
      </c>
      <c r="AB260" t="str">
        <f>ClientesRIB!D45&amp;" - "&amp;ClientesRIB!F45</f>
        <v xml:space="preserve"> - </v>
      </c>
      <c r="AC260">
        <f>ClientesRIB!E45</f>
        <v>0</v>
      </c>
    </row>
    <row r="261" spans="3:29" hidden="1" x14ac:dyDescent="0.25">
      <c r="C261">
        <v>291501</v>
      </c>
      <c r="D261">
        <f>IFERROR(VLOOKUP($A$4&amp;$D$4&amp;C261,BalancesAnuales1!$A$2:$E$20009,5,0)+0,0)/A6</f>
        <v>0</v>
      </c>
      <c r="E261">
        <f>IFERROR(VLOOKUP($A$4&amp;$E$4&amp;C261,BalancesAnuales1!$A$2:$E$20009,5,0)+0,0)/A6</f>
        <v>0</v>
      </c>
      <c r="F261">
        <f>IFERROR(VLOOKUP($A$4&amp;$F$4&amp;C261,BalancesAnuales1!$A$2:$E$20009,5,0)+0,0)/A6</f>
        <v>0</v>
      </c>
      <c r="G261">
        <f>IFERROR(VLOOKUP($A$4&amp;$G$4&amp;C261,BalancesMensuales1!$A$2:$E$20009,5,0)+0,0)/A6</f>
        <v>0</v>
      </c>
      <c r="H261">
        <f>IFERROR(VLOOKUP($A$4&amp;$H$4&amp;C261,BalancesMensuales1!$A$2:$E$20009,5,0)+0,0)/A6</f>
        <v>0</v>
      </c>
      <c r="Z261">
        <f t="shared" si="23"/>
        <v>0</v>
      </c>
      <c r="AA261">
        <f>ClientesRIB!A46</f>
        <v>0</v>
      </c>
      <c r="AB261" t="str">
        <f>ClientesRIB!D46&amp;" - "&amp;ClientesRIB!F46</f>
        <v xml:space="preserve"> - </v>
      </c>
      <c r="AC261">
        <f>ClientesRIB!E46</f>
        <v>0</v>
      </c>
    </row>
    <row r="262" spans="3:29" hidden="1" x14ac:dyDescent="0.25">
      <c r="C262">
        <v>292001</v>
      </c>
      <c r="D262">
        <f>IFERROR(VLOOKUP($A$4&amp;$D$4&amp;C262,BalancesAnuales1!$A$2:$E$20009,5,0)+0,0)/A6</f>
        <v>0</v>
      </c>
      <c r="E262">
        <f>IFERROR(VLOOKUP($A$4&amp;$E$4&amp;C262,BalancesAnuales1!$A$2:$E$20009,5,0)+0,0)/A6</f>
        <v>0</v>
      </c>
      <c r="F262">
        <f>IFERROR(VLOOKUP($A$4&amp;$F$4&amp;C262,BalancesAnuales1!$A$2:$E$20009,5,0)+0,0)/A6</f>
        <v>0</v>
      </c>
      <c r="G262">
        <f>IFERROR(VLOOKUP($A$4&amp;$G$4&amp;C262,BalancesMensuales1!$A$2:$E$20009,5,0)+0,0)/A6</f>
        <v>0</v>
      </c>
      <c r="H262">
        <f>IFERROR(VLOOKUP($A$4&amp;$H$4&amp;C262,BalancesMensuales1!$A$2:$E$20009,5,0)+0,0)/A6</f>
        <v>0</v>
      </c>
      <c r="Z262">
        <f t="shared" si="23"/>
        <v>0</v>
      </c>
      <c r="AA262">
        <f>ClientesRIB!A47</f>
        <v>0</v>
      </c>
      <c r="AB262" t="str">
        <f>ClientesRIB!D47&amp;" - "&amp;ClientesRIB!F47</f>
        <v xml:space="preserve"> - </v>
      </c>
      <c r="AC262">
        <f>ClientesRIB!E47</f>
        <v>0</v>
      </c>
    </row>
    <row r="263" spans="3:29" hidden="1" x14ac:dyDescent="0.25">
      <c r="C263">
        <v>299501</v>
      </c>
      <c r="D263">
        <f>IFERROR(VLOOKUP($A$4&amp;$D$4&amp;C263,BalancesAnuales1!$A$2:$E$20009,5,0)+0,0)/A6</f>
        <v>0</v>
      </c>
      <c r="E263">
        <f>IFERROR(VLOOKUP($A$4&amp;$E$4&amp;C263,BalancesAnuales1!$A$2:$E$20009,5,0)+0,0)/A6</f>
        <v>0</v>
      </c>
      <c r="F263">
        <f>IFERROR(VLOOKUP($A$4&amp;$F$4&amp;C263,BalancesAnuales1!$A$2:$E$20009,5,0)+0,0)/A6</f>
        <v>0</v>
      </c>
      <c r="G263">
        <f>IFERROR(VLOOKUP($A$4&amp;$G$4&amp;C263,BalancesMensuales1!$A$2:$E$20009,5,0)+0,0)/A6</f>
        <v>0</v>
      </c>
      <c r="H263">
        <f>IFERROR(VLOOKUP($A$4&amp;$H$4&amp;C263,BalancesMensuales1!$A$2:$E$20009,5,0)+0,0)/A6</f>
        <v>0</v>
      </c>
      <c r="Z263">
        <f t="shared" si="23"/>
        <v>0</v>
      </c>
      <c r="AA263">
        <f>ClientesRIB!A48</f>
        <v>0</v>
      </c>
      <c r="AB263" t="str">
        <f>ClientesRIB!D48&amp;" - "&amp;ClientesRIB!F48</f>
        <v xml:space="preserve"> - </v>
      </c>
      <c r="AC263">
        <f>ClientesRIB!E48</f>
        <v>0</v>
      </c>
    </row>
    <row r="264" spans="3:29" hidden="1" x14ac:dyDescent="0.25">
      <c r="C264">
        <v>2209</v>
      </c>
      <c r="D264">
        <f>IFERROR(VLOOKUP($A$4&amp;$D$4&amp;C264,BalancesAnuales1!$A$2:$E$20009,5,0)+0,0)/A6</f>
        <v>0</v>
      </c>
      <c r="E264">
        <f>IFERROR(VLOOKUP($A$4&amp;$E$4&amp;C264,BalancesAnuales1!$A$2:$E$20009,5,0)+0,0)/A6</f>
        <v>0</v>
      </c>
      <c r="F264">
        <f>IFERROR(VLOOKUP($A$4&amp;$F$4&amp;C264,BalancesAnuales1!$A$2:$E$20009,5,0)+0,0)/A6</f>
        <v>0</v>
      </c>
      <c r="G264">
        <f>IFERROR(VLOOKUP($A$4&amp;$G$4&amp;C264,BalancesMensuales1!$A$2:$E$20009,5,0)+0,0)/A6</f>
        <v>0</v>
      </c>
      <c r="H264">
        <f>IFERROR(VLOOKUP($A$4&amp;$H$4&amp;C264,BalancesMensuales1!$A$2:$E$20009,5,0)+0,0)/A6</f>
        <v>0</v>
      </c>
      <c r="Z264">
        <f t="shared" si="23"/>
        <v>0</v>
      </c>
      <c r="AA264">
        <f>ClientesRIB!A49</f>
        <v>0</v>
      </c>
      <c r="AB264" t="str">
        <f>ClientesRIB!D49&amp;" - "&amp;ClientesRIB!F49</f>
        <v xml:space="preserve"> - </v>
      </c>
      <c r="AC264">
        <f>ClientesRIB!E49</f>
        <v>0</v>
      </c>
    </row>
    <row r="265" spans="3:29" hidden="1" x14ac:dyDescent="0.25">
      <c r="C265">
        <v>22</v>
      </c>
      <c r="D265">
        <f>IFERROR(VLOOKUP($A$4&amp;$D$4&amp;C265,BalancesAnuales1!$A$2:$E$20009,5,0)+0,0)/A6</f>
        <v>0</v>
      </c>
      <c r="E265">
        <f>IFERROR(VLOOKUP($A$4&amp;$E$4&amp;C265,BalancesAnuales1!$A$2:$E$20009,5,0)+0,0)/A6</f>
        <v>0</v>
      </c>
      <c r="F265">
        <f>IFERROR(VLOOKUP($A$4&amp;$F$4&amp;C265,BalancesAnuales1!$A$2:$E$20009,5,0)+0,0)/A6</f>
        <v>0</v>
      </c>
      <c r="G265">
        <f>IFERROR(VLOOKUP($A$4&amp;$G$4&amp;C265,BalancesMensuales1!$A$2:$E$20009,5,0)+0,0)/A6</f>
        <v>0</v>
      </c>
      <c r="H265">
        <f>IFERROR(VLOOKUP($A$4&amp;$H$4&amp;C265,BalancesMensuales1!$A$2:$E$20009,5,0)+0,0)/A6</f>
        <v>0</v>
      </c>
      <c r="Z265">
        <f t="shared" si="23"/>
        <v>0</v>
      </c>
      <c r="AA265">
        <f>ClientesRIB!A50</f>
        <v>0</v>
      </c>
      <c r="AB265" t="str">
        <f>ClientesRIB!D50&amp;" - "&amp;ClientesRIB!F50</f>
        <v xml:space="preserve"> - </v>
      </c>
      <c r="AC265">
        <f>ClientesRIB!E50</f>
        <v>0</v>
      </c>
    </row>
    <row r="266" spans="3:29" hidden="1" x14ac:dyDescent="0.25">
      <c r="C266">
        <v>2</v>
      </c>
      <c r="D266">
        <f>IFERROR(VLOOKUP($A$4&amp;$D$4&amp;C266,BalancesAnuales1!$A$2:$E$20009,5,0)+0,0)/A6</f>
        <v>0</v>
      </c>
      <c r="E266">
        <f>IFERROR(VLOOKUP($A$4&amp;$E$4&amp;C266,BalancesAnuales1!$A$2:$E$20009,5,0)+0,0)/A6</f>
        <v>0</v>
      </c>
      <c r="F266">
        <f>IFERROR(VLOOKUP($A$4&amp;$F$4&amp;C266,BalancesAnuales1!$A$2:$E$20009,5,0)+0,0)/A6</f>
        <v>0</v>
      </c>
      <c r="G266">
        <f>IFERROR(VLOOKUP($A$4&amp;$G$4&amp;C266,BalancesMensuales1!$A$2:$E$20009,5,0)+0,0)/A6</f>
        <v>0</v>
      </c>
      <c r="H266">
        <f>IFERROR(VLOOKUP($A$4&amp;$H$4&amp;C266,BalancesMensuales1!$A$2:$E$20009,5,0)+0,0)/A6</f>
        <v>0</v>
      </c>
      <c r="Z266">
        <f t="shared" si="23"/>
        <v>0</v>
      </c>
      <c r="AA266">
        <f>ClientesRIB!A51</f>
        <v>0</v>
      </c>
      <c r="AB266" t="str">
        <f>ClientesRIB!D51&amp;" - "&amp;ClientesRIB!F51</f>
        <v xml:space="preserve"> - </v>
      </c>
      <c r="AC266">
        <f>ClientesRIB!E51</f>
        <v>0</v>
      </c>
    </row>
    <row r="267" spans="3:29" hidden="1" x14ac:dyDescent="0.25">
      <c r="Z267">
        <f t="shared" si="23"/>
        <v>0</v>
      </c>
      <c r="AA267">
        <f>ClientesRIB!A52</f>
        <v>0</v>
      </c>
      <c r="AB267" t="str">
        <f>ClientesRIB!D52&amp;" - "&amp;ClientesRIB!F52</f>
        <v xml:space="preserve"> - </v>
      </c>
      <c r="AC267">
        <f>ClientesRIB!E52</f>
        <v>0</v>
      </c>
    </row>
    <row r="268" spans="3:29" hidden="1" x14ac:dyDescent="0.25">
      <c r="C268">
        <v>310500</v>
      </c>
      <c r="D268">
        <f>IFERROR(VLOOKUP($A$4&amp;$D$4&amp;C268,BalancesAnuales1!$A$2:$E$20009,5,0)+0,0)/A6</f>
        <v>0</v>
      </c>
      <c r="E268">
        <f>IFERROR(VLOOKUP($A$4&amp;$E$4&amp;C268,BalancesAnuales1!$A$2:$E$20009,5,0)+0,0)/A6</f>
        <v>0</v>
      </c>
      <c r="F268">
        <f>IFERROR(VLOOKUP($A$4&amp;$F$4&amp;C268,BalancesAnuales1!$A$2:$E$20009,5,0)+0,0)/A6</f>
        <v>0</v>
      </c>
      <c r="G268">
        <f>IFERROR(VLOOKUP($A$4&amp;$G$4&amp;C268,BalancesMensuales1!$A$2:$E$20009,5,0)+0,0)/A6</f>
        <v>0</v>
      </c>
      <c r="H268">
        <f>IFERROR(VLOOKUP($A$4&amp;$H$4&amp;C268,BalancesMensuales1!$A$2:$E$20009,5,0)+0,0)/A6</f>
        <v>0</v>
      </c>
      <c r="Z268">
        <f t="shared" si="23"/>
        <v>0</v>
      </c>
      <c r="AA268">
        <f>ClientesRIB!A53</f>
        <v>0</v>
      </c>
      <c r="AB268" t="str">
        <f>ClientesRIB!D53&amp;" - "&amp;ClientesRIB!F53</f>
        <v xml:space="preserve"> - </v>
      </c>
      <c r="AC268">
        <f>ClientesRIB!E53</f>
        <v>0</v>
      </c>
    </row>
    <row r="269" spans="3:29" hidden="1" x14ac:dyDescent="0.25">
      <c r="C269">
        <v>311500</v>
      </c>
      <c r="D269">
        <f>IFERROR(VLOOKUP($A$4&amp;$D$4&amp;C269,BalancesAnuales1!$A$2:$E$20009,5,0)+0,0)/A6</f>
        <v>0</v>
      </c>
      <c r="E269">
        <f>IFERROR(VLOOKUP($A$4&amp;$E$4&amp;C269,BalancesAnuales1!$A$2:$E$20009,5,0)+0,0)/A6</f>
        <v>0</v>
      </c>
      <c r="F269">
        <f>IFERROR(VLOOKUP($A$4&amp;$F$4&amp;C269,BalancesAnuales1!$A$2:$E$20009,5,0)+0,0)/A6</f>
        <v>0</v>
      </c>
      <c r="G269">
        <f>IFERROR(VLOOKUP($A$4&amp;$G$4&amp;C269,BalancesMensuales1!$A$2:$E$20009,5,0)+0,0)/A6</f>
        <v>0</v>
      </c>
      <c r="H269">
        <f>IFERROR(VLOOKUP($A$4&amp;$H$4&amp;C269,BalancesMensuales1!$A$2:$E$20009,5,0)+0,0)/A6</f>
        <v>0</v>
      </c>
      <c r="Z269">
        <f t="shared" si="23"/>
        <v>0</v>
      </c>
      <c r="AA269">
        <f>ClientesRIB!A54</f>
        <v>0</v>
      </c>
      <c r="AB269" t="str">
        <f>ClientesRIB!D54&amp;" - "&amp;ClientesRIB!F54</f>
        <v xml:space="preserve"> - </v>
      </c>
      <c r="AC269">
        <f>ClientesRIB!E54</f>
        <v>0</v>
      </c>
    </row>
    <row r="270" spans="3:29" hidden="1" x14ac:dyDescent="0.25">
      <c r="C270">
        <v>312000</v>
      </c>
      <c r="D270">
        <f>IFERROR(VLOOKUP($A$4&amp;$D$4&amp;C270,BalancesAnuales1!$A$2:$E$20009,5,0)+0,0)/A6</f>
        <v>0</v>
      </c>
      <c r="E270">
        <f>IFERROR(VLOOKUP($A$4&amp;$E$4&amp;C270,BalancesAnuales1!$A$2:$E$20009,5,0)+0,0)/A6</f>
        <v>0</v>
      </c>
      <c r="F270">
        <f>IFERROR(VLOOKUP($A$4&amp;$F$4&amp;C270,BalancesAnuales1!$A$2:$E$20009,5,0)+0,0)/A6</f>
        <v>0</v>
      </c>
      <c r="G270">
        <f>IFERROR(VLOOKUP($A$4&amp;$G$4&amp;C270,BalancesMensuales1!$A$2:$E$20009,5,0)+0,0)/A6</f>
        <v>0</v>
      </c>
      <c r="H270">
        <f>IFERROR(VLOOKUP($A$4&amp;$H$4&amp;C270,BalancesMensuales1!$A$2:$E$20009,5,0)+0,0)/A6</f>
        <v>0</v>
      </c>
      <c r="Z270">
        <f t="shared" si="23"/>
        <v>0</v>
      </c>
      <c r="AA270">
        <f>ClientesRIB!A55</f>
        <v>0</v>
      </c>
      <c r="AB270" t="str">
        <f>ClientesRIB!D55&amp;" - "&amp;ClientesRIB!F55</f>
        <v xml:space="preserve"> - </v>
      </c>
      <c r="AC270">
        <f>ClientesRIB!E55</f>
        <v>0</v>
      </c>
    </row>
    <row r="271" spans="3:29" hidden="1" x14ac:dyDescent="0.25">
      <c r="C271">
        <v>312500</v>
      </c>
      <c r="D271">
        <f>IFERROR(VLOOKUP($A$4&amp;$D$4&amp;C271,BalancesAnuales1!$A$2:$E$20009,5,0)+0,0)/A6</f>
        <v>0</v>
      </c>
      <c r="E271">
        <f>IFERROR(VLOOKUP($A$4&amp;$E$4&amp;C271,BalancesAnuales1!$A$2:$E$20009,5,0)+0,0)/A6</f>
        <v>0</v>
      </c>
      <c r="F271">
        <f>IFERROR(VLOOKUP($A$4&amp;$F$4&amp;C271,BalancesAnuales1!$A$2:$E$20009,5,0)+0,0)/A6</f>
        <v>0</v>
      </c>
      <c r="G271">
        <f>IFERROR(VLOOKUP($A$4&amp;$G$4&amp;C271,BalancesMensuales1!$A$2:$E$20009,5,0)+0,0)/A6</f>
        <v>0</v>
      </c>
      <c r="H271">
        <f>IFERROR(VLOOKUP($A$4&amp;$H$4&amp;C271,BalancesMensuales1!$A$2:$E$20009,5,0)+0,0)/A6</f>
        <v>0</v>
      </c>
      <c r="Z271">
        <f t="shared" si="23"/>
        <v>0</v>
      </c>
      <c r="AA271">
        <f>ClientesRIB!A56</f>
        <v>0</v>
      </c>
      <c r="AB271" t="str">
        <f>ClientesRIB!D56&amp;" - "&amp;ClientesRIB!F56</f>
        <v xml:space="preserve"> - </v>
      </c>
      <c r="AC271">
        <f>ClientesRIB!E56</f>
        <v>0</v>
      </c>
    </row>
    <row r="272" spans="3:29" hidden="1" x14ac:dyDescent="0.25">
      <c r="C272">
        <v>313000</v>
      </c>
      <c r="D272">
        <f>IFERROR(VLOOKUP($A$4&amp;$D$4&amp;C272,BalancesAnuales1!$A$2:$E$20009,5,0)+0,0)/A6</f>
        <v>0</v>
      </c>
      <c r="E272">
        <f>IFERROR(VLOOKUP($A$4&amp;$E$4&amp;C272,BalancesAnuales1!$A$2:$E$20009,5,0)+0,0)/A6</f>
        <v>0</v>
      </c>
      <c r="F272">
        <f>IFERROR(VLOOKUP($A$4&amp;$F$4&amp;C272,BalancesAnuales1!$A$2:$E$20009,5,0)+0,0)/A6</f>
        <v>0</v>
      </c>
      <c r="G272">
        <f>IFERROR(VLOOKUP($A$4&amp;$G$4&amp;C272,BalancesMensuales1!$A$2:$E$20009,5,0)+0,0)/A6</f>
        <v>0</v>
      </c>
      <c r="H272">
        <f>IFERROR(VLOOKUP($A$4&amp;$H$4&amp;C272,BalancesMensuales1!$A$2:$E$20009,5,0)+0,0)/A6</f>
        <v>0</v>
      </c>
      <c r="Z272">
        <f t="shared" si="23"/>
        <v>0</v>
      </c>
      <c r="AA272">
        <f>ClientesRIB!A57</f>
        <v>0</v>
      </c>
      <c r="AB272" t="str">
        <f>ClientesRIB!D57&amp;" - "&amp;ClientesRIB!F57</f>
        <v xml:space="preserve"> - </v>
      </c>
      <c r="AC272">
        <f>ClientesRIB!E57</f>
        <v>0</v>
      </c>
    </row>
    <row r="273" spans="3:29" hidden="1" x14ac:dyDescent="0.25">
      <c r="C273">
        <v>313500</v>
      </c>
      <c r="D273">
        <f>IFERROR(VLOOKUP($A$4&amp;$D$4&amp;C273,BalancesAnuales1!$A$2:$E$20009,5,0)+0,0)/A6</f>
        <v>0</v>
      </c>
      <c r="E273">
        <f>IFERROR(VLOOKUP($A$4&amp;$E$4&amp;C273,BalancesAnuales1!$A$2:$E$20009,5,0)+0,0)/A6</f>
        <v>0</v>
      </c>
      <c r="F273">
        <f>IFERROR(VLOOKUP($A$4&amp;$F$4&amp;C273,BalancesAnuales1!$A$2:$E$20009,5,0)+0,0)/A6</f>
        <v>0</v>
      </c>
      <c r="G273">
        <f>IFERROR(VLOOKUP($A$4&amp;$G$4&amp;C273,BalancesMensuales1!$A$2:$E$20009,5,0)+0,0)/A6</f>
        <v>0</v>
      </c>
      <c r="H273">
        <f>IFERROR(VLOOKUP($A$4&amp;$H$4&amp;C273,BalancesMensuales1!$A$2:$E$20009,5,0)+0,0)/A6</f>
        <v>0</v>
      </c>
      <c r="Z273">
        <f t="shared" si="23"/>
        <v>0</v>
      </c>
      <c r="AA273">
        <f>ClientesRIB!A58</f>
        <v>0</v>
      </c>
      <c r="AB273" t="str">
        <f>ClientesRIB!D58&amp;" - "&amp;ClientesRIB!F58</f>
        <v xml:space="preserve"> - </v>
      </c>
      <c r="AC273">
        <f>ClientesRIB!E58</f>
        <v>0</v>
      </c>
    </row>
    <row r="274" spans="3:29" hidden="1" x14ac:dyDescent="0.25">
      <c r="C274">
        <v>314000</v>
      </c>
      <c r="D274">
        <f>IFERROR(VLOOKUP($A$4&amp;$D$4&amp;C274,BalancesAnuales1!$A$2:$E$20009,5,0)+0,0)/A6</f>
        <v>0</v>
      </c>
      <c r="E274">
        <f>IFERROR(VLOOKUP($A$4&amp;$E$4&amp;C274,BalancesAnuales1!$A$2:$E$20009,5,0)+0,0)/A6</f>
        <v>0</v>
      </c>
      <c r="F274">
        <f>IFERROR(VLOOKUP($A$4&amp;$F$4&amp;C274,BalancesAnuales1!$A$2:$E$20009,5,0)+0,0)/A6</f>
        <v>0</v>
      </c>
      <c r="G274">
        <f>IFERROR(VLOOKUP($A$4&amp;$G$4&amp;C274,BalancesMensuales1!$A$2:$E$20009,5,0)+0,0)/A6</f>
        <v>0</v>
      </c>
      <c r="H274">
        <f>IFERROR(VLOOKUP($A$4&amp;$H$4&amp;C274,BalancesMensuales1!$A$2:$E$20009,5,0)+0,0)/A6</f>
        <v>0</v>
      </c>
      <c r="Z274">
        <f t="shared" si="23"/>
        <v>0</v>
      </c>
      <c r="AA274">
        <f>ClientesRIB!A59</f>
        <v>0</v>
      </c>
      <c r="AB274" t="str">
        <f>ClientesRIB!D59&amp;" - "&amp;ClientesRIB!F59</f>
        <v xml:space="preserve"> - </v>
      </c>
      <c r="AC274">
        <f>ClientesRIB!E59</f>
        <v>0</v>
      </c>
    </row>
    <row r="275" spans="3:29" hidden="1" x14ac:dyDescent="0.25">
      <c r="C275">
        <v>31</v>
      </c>
      <c r="D275">
        <f>IFERROR(VLOOKUP($A$4&amp;$D$4&amp;C275,BalancesAnuales1!$A$2:$E$20009,5,0)+0,0)/A6</f>
        <v>0</v>
      </c>
      <c r="E275">
        <f>IFERROR(VLOOKUP($A$4&amp;$E$4&amp;C275,BalancesAnuales1!$A$2:$E$20009,5,0)+0,0)/A6</f>
        <v>0</v>
      </c>
      <c r="F275">
        <f>IFERROR(VLOOKUP($A$4&amp;$F$4&amp;C275,BalancesAnuales1!$A$2:$E$20009,5,0)+0,0)/A6</f>
        <v>0</v>
      </c>
      <c r="G275">
        <f>IFERROR(VLOOKUP($A$4&amp;$G$4&amp;C275,BalancesMensuales1!$A$2:$E$20009,5,0)+0,0)/A6</f>
        <v>0</v>
      </c>
      <c r="H275">
        <f>IFERROR(VLOOKUP($A$4&amp;$H$4&amp;C275,BalancesMensuales1!$A$2:$E$20009,5,0)+0,0)/A6</f>
        <v>0</v>
      </c>
      <c r="Z275">
        <f t="shared" si="23"/>
        <v>0</v>
      </c>
      <c r="AA275">
        <f>ClientesRIB!A60</f>
        <v>0</v>
      </c>
      <c r="AB275" t="str">
        <f>ClientesRIB!D60&amp;" - "&amp;ClientesRIB!F60</f>
        <v xml:space="preserve"> - </v>
      </c>
      <c r="AC275">
        <f>ClientesRIB!E60</f>
        <v>0</v>
      </c>
    </row>
    <row r="276" spans="3:29" hidden="1" x14ac:dyDescent="0.25">
      <c r="C276">
        <v>320500</v>
      </c>
      <c r="D276">
        <f>IFERROR(VLOOKUP($A$4&amp;$D$4&amp;C276,BalancesAnuales1!$A$2:$E$20009,5,0)+0,0)/A6</f>
        <v>0</v>
      </c>
      <c r="E276">
        <f>IFERROR(VLOOKUP($A$4&amp;$E$4&amp;C276,BalancesAnuales1!$A$2:$E$20009,5,0)+0,0)/A6</f>
        <v>0</v>
      </c>
      <c r="F276">
        <f>IFERROR(VLOOKUP($A$4&amp;$F$4&amp;C276,BalancesAnuales1!$A$2:$E$20009,5,0)+0,0)/A6</f>
        <v>0</v>
      </c>
      <c r="G276">
        <f>IFERROR(VLOOKUP($A$4&amp;$G$4&amp;C276,BalancesMensuales1!$A$2:$E$20009,5,0)+0,0)/A6</f>
        <v>0</v>
      </c>
      <c r="H276">
        <f>IFERROR(VLOOKUP($A$4&amp;$H$4&amp;C276,BalancesMensuales1!$A$2:$E$20009,5,0)+0,0)/A6</f>
        <v>0</v>
      </c>
      <c r="Z276">
        <f t="shared" si="23"/>
        <v>0</v>
      </c>
      <c r="AA276">
        <f>ClientesRIB!A61</f>
        <v>0</v>
      </c>
      <c r="AB276" t="str">
        <f>ClientesRIB!D61&amp;" - "&amp;ClientesRIB!F61</f>
        <v xml:space="preserve"> - </v>
      </c>
      <c r="AC276">
        <f>ClientesRIB!E61</f>
        <v>0</v>
      </c>
    </row>
    <row r="277" spans="3:29" hidden="1" x14ac:dyDescent="0.25">
      <c r="C277">
        <v>321000</v>
      </c>
      <c r="D277">
        <f>IFERROR(VLOOKUP($A$4&amp;$D$4&amp;C277,BalancesAnuales1!$A$2:$E$20009,5,0)+0,0)/A6</f>
        <v>0</v>
      </c>
      <c r="E277">
        <f>IFERROR(VLOOKUP($A$4&amp;$E$4&amp;C277,BalancesAnuales1!$A$2:$E$20009,5,0)+0,0)/A6</f>
        <v>0</v>
      </c>
      <c r="F277">
        <f>IFERROR(VLOOKUP($A$4&amp;$F$4&amp;C277,BalancesAnuales1!$A$2:$E$20009,5,0)+0,0)/A6</f>
        <v>0</v>
      </c>
      <c r="G277">
        <f>IFERROR(VLOOKUP($A$4&amp;$G$4&amp;C277,BalancesMensuales1!$A$2:$E$20009,5,0)+0,0)/A6</f>
        <v>0</v>
      </c>
      <c r="H277">
        <f>IFERROR(VLOOKUP($A$4&amp;$H$4&amp;C277,BalancesMensuales1!$A$2:$E$20009,5,0)+0,0)/A6</f>
        <v>0</v>
      </c>
      <c r="Z277">
        <f t="shared" si="23"/>
        <v>0</v>
      </c>
      <c r="AA277">
        <f>ClientesRIB!A62</f>
        <v>0</v>
      </c>
      <c r="AB277" t="str">
        <f>ClientesRIB!D62&amp;" - "&amp;ClientesRIB!F62</f>
        <v xml:space="preserve"> - </v>
      </c>
      <c r="AC277">
        <f>ClientesRIB!E62</f>
        <v>0</v>
      </c>
    </row>
    <row r="278" spans="3:29" hidden="1" x14ac:dyDescent="0.25">
      <c r="C278">
        <v>321500</v>
      </c>
      <c r="D278">
        <f>IFERROR(VLOOKUP($A$4&amp;$D$4&amp;C278,BalancesAnuales1!$A$2:$E$20009,5,0)+0,0)/A6</f>
        <v>0</v>
      </c>
      <c r="E278">
        <f>IFERROR(VLOOKUP($A$4&amp;$E$4&amp;C278,BalancesAnuales1!$A$2:$E$20009,5,0)+0,0)/A6</f>
        <v>0</v>
      </c>
      <c r="F278">
        <f>IFERROR(VLOOKUP($A$4&amp;$F$4&amp;C278,BalancesAnuales1!$A$2:$E$20009,5,0)+0,0)/A6</f>
        <v>0</v>
      </c>
      <c r="G278">
        <f>IFERROR(VLOOKUP($A$4&amp;$G$4&amp;C278,BalancesMensuales1!$A$2:$E$20009,5,0)+0,0)/A6</f>
        <v>0</v>
      </c>
      <c r="H278">
        <f>IFERROR(VLOOKUP($A$4&amp;$H$4&amp;C278,BalancesMensuales1!$A$2:$E$20009,5,0)+0,0)/A6</f>
        <v>0</v>
      </c>
      <c r="Z278">
        <f t="shared" si="23"/>
        <v>0</v>
      </c>
      <c r="AA278">
        <f>ClientesRIB!A63</f>
        <v>0</v>
      </c>
      <c r="AB278" t="str">
        <f>ClientesRIB!D63&amp;" - "&amp;ClientesRIB!F63</f>
        <v xml:space="preserve"> - </v>
      </c>
      <c r="AC278">
        <f>ClientesRIB!E63</f>
        <v>0</v>
      </c>
    </row>
    <row r="279" spans="3:29" hidden="1" x14ac:dyDescent="0.25">
      <c r="C279">
        <v>322000</v>
      </c>
      <c r="D279">
        <f>IFERROR(VLOOKUP($A$4&amp;$D$4&amp;C279,BalancesAnuales1!$A$2:$E$20009,5,0)+0,0)/A6</f>
        <v>0</v>
      </c>
      <c r="E279">
        <f>IFERROR(VLOOKUP($A$4&amp;$E$4&amp;C279,BalancesAnuales1!$A$2:$E$20009,5,0)+0,0)/A6</f>
        <v>0</v>
      </c>
      <c r="F279">
        <f>IFERROR(VLOOKUP($A$4&amp;$F$4&amp;C279,BalancesAnuales1!$A$2:$E$20009,5,0)+0,0)/A6</f>
        <v>0</v>
      </c>
      <c r="G279">
        <f>IFERROR(VLOOKUP($A$4&amp;$G$4&amp;C279,BalancesMensuales1!$A$2:$E$20009,5,0)+0,0)/A6</f>
        <v>0</v>
      </c>
      <c r="H279">
        <f>IFERROR(VLOOKUP($A$4&amp;$H$4&amp;C279,BalancesMensuales1!$A$2:$E$20009,5,0)+0,0)/A6</f>
        <v>0</v>
      </c>
      <c r="Z279">
        <f t="shared" si="23"/>
        <v>0</v>
      </c>
      <c r="AA279">
        <f>ClientesRIB!A64</f>
        <v>0</v>
      </c>
      <c r="AB279" t="str">
        <f>ClientesRIB!D64&amp;" - "&amp;ClientesRIB!F64</f>
        <v xml:space="preserve"> - </v>
      </c>
      <c r="AC279">
        <f>ClientesRIB!E64</f>
        <v>0</v>
      </c>
    </row>
    <row r="280" spans="3:29" hidden="1" x14ac:dyDescent="0.25">
      <c r="C280">
        <v>322500</v>
      </c>
      <c r="D280">
        <f>IFERROR(VLOOKUP($A$4&amp;$D$4&amp;C280,BalancesAnuales1!$A$2:$E$20009,5,0)+0,0)/A6</f>
        <v>0</v>
      </c>
      <c r="E280">
        <f>IFERROR(VLOOKUP($A$4&amp;$E$4&amp;C280,BalancesAnuales1!$A$2:$E$20009,5,0)+0,0)/A6</f>
        <v>0</v>
      </c>
      <c r="F280">
        <f>IFERROR(VLOOKUP($A$4&amp;$F$4&amp;C280,BalancesAnuales1!$A$2:$E$20009,5,0)+0,0)/A6</f>
        <v>0</v>
      </c>
      <c r="G280">
        <f>IFERROR(VLOOKUP($A$4&amp;$G$4&amp;C280,BalancesMensuales1!$A$2:$E$20009,5,0)+0,0)/A6</f>
        <v>0</v>
      </c>
      <c r="H280">
        <f>IFERROR(VLOOKUP($A$4&amp;$H$4&amp;C280,BalancesMensuales1!$A$2:$E$20009,5,0)+0,0)/A6</f>
        <v>0</v>
      </c>
      <c r="Z280">
        <f t="shared" si="23"/>
        <v>0</v>
      </c>
      <c r="AA280">
        <f>ClientesRIB!A65</f>
        <v>0</v>
      </c>
      <c r="AB280" t="str">
        <f>ClientesRIB!D65&amp;" - "&amp;ClientesRIB!F65</f>
        <v xml:space="preserve"> - </v>
      </c>
      <c r="AC280">
        <f>ClientesRIB!E65</f>
        <v>0</v>
      </c>
    </row>
    <row r="281" spans="3:29" hidden="1" x14ac:dyDescent="0.25">
      <c r="C281">
        <v>32</v>
      </c>
      <c r="D281">
        <f>IFERROR(VLOOKUP($A$4&amp;$D$4&amp;C281,BalancesAnuales1!$A$2:$E$20009,5,0)+0,0)/A6</f>
        <v>0</v>
      </c>
      <c r="E281">
        <f>IFERROR(VLOOKUP($A$4&amp;$E$4&amp;C281,BalancesAnuales1!$A$2:$E$20009,5,0)+0,0)/A6</f>
        <v>0</v>
      </c>
      <c r="F281">
        <f>IFERROR(VLOOKUP($A$4&amp;$F$4&amp;C281,BalancesAnuales1!$A$2:$E$20009,5,0)+0,0)/A6</f>
        <v>0</v>
      </c>
      <c r="G281">
        <f>IFERROR(VLOOKUP($A$4&amp;$G$4&amp;C281,BalancesMensuales1!$A$2:$E$20009,5,0)+0,0)/A6</f>
        <v>0</v>
      </c>
      <c r="H281">
        <f>IFERROR(VLOOKUP($A$4&amp;$H$4&amp;C281,BalancesMensuales1!$A$2:$E$20009,5,0)+0,0)/A6</f>
        <v>0</v>
      </c>
      <c r="Z281">
        <f t="shared" si="23"/>
        <v>0</v>
      </c>
      <c r="AA281">
        <f>ClientesRIB!A66</f>
        <v>0</v>
      </c>
      <c r="AB281" t="str">
        <f>ClientesRIB!D66&amp;" - "&amp;ClientesRIB!F66</f>
        <v xml:space="preserve"> - </v>
      </c>
      <c r="AC281">
        <f>ClientesRIB!E66</f>
        <v>0</v>
      </c>
    </row>
    <row r="282" spans="3:29" hidden="1" x14ac:dyDescent="0.25">
      <c r="C282">
        <v>330500</v>
      </c>
      <c r="D282">
        <f>IFERROR(VLOOKUP($A$4&amp;$D$4&amp;C282,BalancesAnuales1!$A$2:$E$20009,5,0)+0,0)/A6</f>
        <v>0</v>
      </c>
      <c r="E282">
        <f>IFERROR(VLOOKUP($A$4&amp;$E$4&amp;C282,BalancesAnuales1!$A$2:$E$20009,5,0)+0,0)/A6</f>
        <v>0</v>
      </c>
      <c r="F282">
        <f>IFERROR(VLOOKUP($A$4&amp;$F$4&amp;C282,BalancesAnuales1!$A$2:$E$20009,5,0)+0,0)/A6</f>
        <v>0</v>
      </c>
      <c r="G282">
        <f>IFERROR(VLOOKUP($A$4&amp;$G$4&amp;C282,BalancesMensuales1!$A$2:$E$20009,5,0)+0,0)/A6</f>
        <v>0</v>
      </c>
      <c r="H282">
        <f>IFERROR(VLOOKUP($A$4&amp;$H$4&amp;C282,BalancesMensuales1!$A$2:$E$20009,5,0)+0,0)/A6</f>
        <v>0</v>
      </c>
      <c r="Z282">
        <f t="shared" ref="Z282:Z313" si="24">IF(AA282=$A$4,Z281+1,0)</f>
        <v>0</v>
      </c>
      <c r="AA282">
        <f>ClientesRIB!A67</f>
        <v>0</v>
      </c>
      <c r="AB282" t="str">
        <f>ClientesRIB!D67&amp;" - "&amp;ClientesRIB!F67</f>
        <v xml:space="preserve"> - </v>
      </c>
      <c r="AC282">
        <f>ClientesRIB!E67</f>
        <v>0</v>
      </c>
    </row>
    <row r="283" spans="3:29" hidden="1" x14ac:dyDescent="0.25">
      <c r="C283">
        <v>331000</v>
      </c>
      <c r="D283">
        <f>IFERROR(VLOOKUP($A$4&amp;$D$4&amp;C283,BalancesAnuales1!$A$2:$E$20009,5,0)+0,0)/A6</f>
        <v>0</v>
      </c>
      <c r="E283">
        <f>IFERROR(VLOOKUP($A$4&amp;$E$4&amp;C283,BalancesAnuales1!$A$2:$E$20009,5,0)+0,0)/A6</f>
        <v>0</v>
      </c>
      <c r="F283">
        <f>IFERROR(VLOOKUP($A$4&amp;$F$4&amp;C283,BalancesAnuales1!$A$2:$E$20009,5,0)+0,0)/A6</f>
        <v>0</v>
      </c>
      <c r="G283">
        <f>IFERROR(VLOOKUP($A$4&amp;$G$4&amp;C283,BalancesMensuales1!$A$2:$E$20009,5,0)+0,0)/A6</f>
        <v>0</v>
      </c>
      <c r="H283">
        <f>IFERROR(VLOOKUP($A$4&amp;$H$4&amp;C283,BalancesMensuales1!$A$2:$E$20009,5,0)+0,0)/A6</f>
        <v>0</v>
      </c>
      <c r="Z283">
        <f t="shared" si="24"/>
        <v>0</v>
      </c>
      <c r="AA283">
        <f>ClientesRIB!A68</f>
        <v>0</v>
      </c>
      <c r="AB283" t="str">
        <f>ClientesRIB!D68&amp;" - "&amp;ClientesRIB!F68</f>
        <v xml:space="preserve"> - </v>
      </c>
      <c r="AC283">
        <f>ClientesRIB!E68</f>
        <v>0</v>
      </c>
    </row>
    <row r="284" spans="3:29" hidden="1" x14ac:dyDescent="0.25">
      <c r="C284">
        <v>331500</v>
      </c>
      <c r="D284">
        <f>IFERROR(VLOOKUP($A$4&amp;$D$4&amp;C284,BalancesAnuales1!$A$2:$E$20009,5,0)+0,0)/A6</f>
        <v>0</v>
      </c>
      <c r="E284">
        <f>IFERROR(VLOOKUP($A$4&amp;$E$4&amp;C284,BalancesAnuales1!$A$2:$E$20009,5,0)+0,0)/A6</f>
        <v>0</v>
      </c>
      <c r="F284">
        <f>IFERROR(VLOOKUP($A$4&amp;$F$4&amp;C284,BalancesAnuales1!$A$2:$E$20009,5,0)+0,0)/A6</f>
        <v>0</v>
      </c>
      <c r="G284">
        <f>IFERROR(VLOOKUP($A$4&amp;$G$4&amp;C284,BalancesMensuales1!$A$2:$E$20009,5,0)+0,0)/A6</f>
        <v>0</v>
      </c>
      <c r="H284">
        <f>IFERROR(VLOOKUP($A$4&amp;$H$4&amp;C284,BalancesMensuales1!$A$2:$E$20009,5,0)+0,0)/A6</f>
        <v>0</v>
      </c>
      <c r="Z284">
        <f t="shared" si="24"/>
        <v>0</v>
      </c>
      <c r="AA284">
        <f>ClientesRIB!A69</f>
        <v>0</v>
      </c>
      <c r="AB284" t="str">
        <f>ClientesRIB!D69&amp;" - "&amp;ClientesRIB!F69</f>
        <v xml:space="preserve"> - </v>
      </c>
      <c r="AC284">
        <f>ClientesRIB!E69</f>
        <v>0</v>
      </c>
    </row>
    <row r="285" spans="3:29" hidden="1" x14ac:dyDescent="0.25">
      <c r="C285">
        <v>33</v>
      </c>
      <c r="D285">
        <f>IFERROR(VLOOKUP($A$4&amp;$D$4&amp;C285,BalancesAnuales1!$A$2:$E$20009,5,0)+0,0)/A6</f>
        <v>0</v>
      </c>
      <c r="E285">
        <f>IFERROR(VLOOKUP($A$4&amp;$E$4&amp;C285,BalancesAnuales1!$A$2:$E$20009,5,0)+0,0)/A6</f>
        <v>0</v>
      </c>
      <c r="F285">
        <f>IFERROR(VLOOKUP($A$4&amp;$F$4&amp;C285,BalancesAnuales1!$A$2:$E$20009,5,0)+0,0)/A6</f>
        <v>0</v>
      </c>
      <c r="G285">
        <f>IFERROR(VLOOKUP($A$4&amp;$G$4&amp;C285,BalancesMensuales1!$A$2:$E$20009,5,0)+0,0)/A6</f>
        <v>0</v>
      </c>
      <c r="H285">
        <f>IFERROR(VLOOKUP($A$4&amp;$H$4&amp;C285,BalancesMensuales1!$A$2:$E$20009,5,0)+0,0)/A6</f>
        <v>0</v>
      </c>
      <c r="Z285">
        <f t="shared" si="24"/>
        <v>0</v>
      </c>
      <c r="AA285">
        <f>ClientesRIB!A70</f>
        <v>0</v>
      </c>
      <c r="AB285" t="str">
        <f>ClientesRIB!D70&amp;" - "&amp;ClientesRIB!F70</f>
        <v xml:space="preserve"> - </v>
      </c>
      <c r="AC285">
        <f>ClientesRIB!E70</f>
        <v>0</v>
      </c>
    </row>
    <row r="286" spans="3:29" hidden="1" x14ac:dyDescent="0.25">
      <c r="C286">
        <v>340505</v>
      </c>
      <c r="D286">
        <f>IFERROR(VLOOKUP($A$4&amp;$D$4&amp;C286,BalancesAnuales1!$A$2:$E$20009,5,0)+0,0)/A6</f>
        <v>0</v>
      </c>
      <c r="E286">
        <f>IFERROR(VLOOKUP($A$4&amp;$E$4&amp;C286,BalancesAnuales1!$A$2:$E$20009,5,0)+0,0)/A6</f>
        <v>0</v>
      </c>
      <c r="F286">
        <f>IFERROR(VLOOKUP($A$4&amp;$F$4&amp;C286,BalancesAnuales1!$A$2:$E$20009,5,0)+0,0)/A6</f>
        <v>0</v>
      </c>
      <c r="G286">
        <f>IFERROR(VLOOKUP($A$4&amp;$G$4&amp;C286,BalancesMensuales1!$A$2:$E$20009,5,0)+0,0)/A6</f>
        <v>0</v>
      </c>
      <c r="H286">
        <f>IFERROR(VLOOKUP($A$4&amp;$H$4&amp;C286,BalancesMensuales1!$A$2:$E$20009,5,0)+0,0)/A6</f>
        <v>0</v>
      </c>
      <c r="Z286">
        <f t="shared" si="24"/>
        <v>0</v>
      </c>
      <c r="AA286">
        <f>ClientesRIB!A71</f>
        <v>0</v>
      </c>
      <c r="AB286" t="str">
        <f>ClientesRIB!D71&amp;" - "&amp;ClientesRIB!F71</f>
        <v xml:space="preserve"> - </v>
      </c>
      <c r="AC286">
        <f>ClientesRIB!E71</f>
        <v>0</v>
      </c>
    </row>
    <row r="287" spans="3:29" hidden="1" x14ac:dyDescent="0.25">
      <c r="C287">
        <v>340515</v>
      </c>
      <c r="D287">
        <f>IFERROR(VLOOKUP($A$4&amp;$D$4&amp;C287,BalancesAnuales1!$A$2:$E$20009,5,0)+0,0)/A6</f>
        <v>0</v>
      </c>
      <c r="E287">
        <f>IFERROR(VLOOKUP($A$4&amp;$E$4&amp;C287,BalancesAnuales1!$A$2:$E$20009,5,0)+0,0)/A6</f>
        <v>0</v>
      </c>
      <c r="F287">
        <f>IFERROR(VLOOKUP($A$4&amp;$F$4&amp;C287,BalancesAnuales1!$A$2:$E$20009,5,0)+0,0)/A6</f>
        <v>0</v>
      </c>
      <c r="G287">
        <f>IFERROR(VLOOKUP($A$4&amp;$G$4&amp;C287,BalancesMensuales1!$A$2:$E$20009,5,0)+0,0)/A6</f>
        <v>0</v>
      </c>
      <c r="H287">
        <f>IFERROR(VLOOKUP($A$4&amp;$H$4&amp;C287,BalancesMensuales1!$A$2:$E$20009,5,0)+0,0)/A6</f>
        <v>0</v>
      </c>
      <c r="Z287">
        <f t="shared" si="24"/>
        <v>0</v>
      </c>
      <c r="AA287">
        <f>ClientesRIB!A72</f>
        <v>0</v>
      </c>
      <c r="AB287" t="str">
        <f>ClientesRIB!D72&amp;" - "&amp;ClientesRIB!F72</f>
        <v xml:space="preserve"> - </v>
      </c>
      <c r="AC287">
        <f>ClientesRIB!E72</f>
        <v>0</v>
      </c>
    </row>
    <row r="288" spans="3:29" hidden="1" x14ac:dyDescent="0.25">
      <c r="C288">
        <v>349500</v>
      </c>
      <c r="D288">
        <f>IFERROR(VLOOKUP($A$4&amp;$D$4&amp;C288,BalancesAnuales1!$A$2:$E$20009,5,0)+0,0)/A6</f>
        <v>0</v>
      </c>
      <c r="E288">
        <f>IFERROR(VLOOKUP($A$4&amp;$E$4&amp;C288,BalancesAnuales1!$A$2:$E$20009,5,0)+0,0)/A6</f>
        <v>0</v>
      </c>
      <c r="F288">
        <f>IFERROR(VLOOKUP($A$4&amp;$F$4&amp;C288,BalancesAnuales1!$A$2:$E$20009,5,0)+0,0)/A6</f>
        <v>0</v>
      </c>
      <c r="G288">
        <f>IFERROR(VLOOKUP($A$4&amp;$G$4&amp;C288,BalancesMensuales1!$A$2:$E$20009,5,0)+0,0)/A6</f>
        <v>0</v>
      </c>
      <c r="H288">
        <f>IFERROR(VLOOKUP($A$4&amp;$H$4&amp;C288,BalancesMensuales1!$A$2:$E$20009,5,0)+0,0)/A6</f>
        <v>0</v>
      </c>
      <c r="Z288">
        <f t="shared" si="24"/>
        <v>0</v>
      </c>
      <c r="AA288">
        <f>ClientesRIB!A73</f>
        <v>0</v>
      </c>
      <c r="AB288" t="str">
        <f>ClientesRIB!D73&amp;" - "&amp;ClientesRIB!F73</f>
        <v xml:space="preserve"> - </v>
      </c>
      <c r="AC288">
        <f>ClientesRIB!E73</f>
        <v>0</v>
      </c>
    </row>
    <row r="289" spans="3:29" hidden="1" x14ac:dyDescent="0.25">
      <c r="C289">
        <v>34</v>
      </c>
      <c r="D289">
        <f>IFERROR(VLOOKUP($A$4&amp;$D$4&amp;C289,BalancesAnuales1!$A$2:$E$20009,5,0)+0,0)/A6</f>
        <v>0</v>
      </c>
      <c r="E289">
        <f>IFERROR(VLOOKUP($A$4&amp;$E$4&amp;C289,BalancesAnuales1!$A$2:$E$20009,5,0)+0,0)/A6</f>
        <v>0</v>
      </c>
      <c r="F289">
        <f>IFERROR(VLOOKUP($A$4&amp;$F$4&amp;C289,BalancesAnuales1!$A$2:$E$20009,5,0)+0,0)/A6</f>
        <v>0</v>
      </c>
      <c r="G289">
        <f>IFERROR(VLOOKUP($A$4&amp;$G$4&amp;C289,BalancesMensuales1!$A$2:$E$20009,5,0)+0,0)/A6</f>
        <v>0</v>
      </c>
      <c r="H289">
        <f>IFERROR(VLOOKUP($A$4&amp;$H$4&amp;C289,BalancesMensuales1!$A$2:$E$20009,5,0)+0,0)/A6</f>
        <v>0</v>
      </c>
      <c r="Z289">
        <f t="shared" si="24"/>
        <v>0</v>
      </c>
      <c r="AA289">
        <f>ClientesRIB!A74</f>
        <v>0</v>
      </c>
      <c r="AB289" t="str">
        <f>ClientesRIB!D74&amp;" - "&amp;ClientesRIB!F74</f>
        <v xml:space="preserve"> - </v>
      </c>
      <c r="AC289">
        <f>ClientesRIB!E74</f>
        <v>0</v>
      </c>
    </row>
    <row r="290" spans="3:29" hidden="1" x14ac:dyDescent="0.25">
      <c r="C290">
        <v>35</v>
      </c>
      <c r="D290">
        <f>IFERROR(VLOOKUP($A$4&amp;$D$4&amp;C290,BalancesAnuales1!$A$2:$E$20009,5,0)+0,0)/A6</f>
        <v>0</v>
      </c>
      <c r="E290">
        <f>IFERROR(VLOOKUP($A$4&amp;$E$4&amp;C290,BalancesAnuales1!$A$2:$E$20009,5,0)+0,0)/A6</f>
        <v>0</v>
      </c>
      <c r="F290">
        <f>IFERROR(VLOOKUP($A$4&amp;$F$4&amp;C290,BalancesAnuales1!$A$2:$E$20009,5,0)+0,0)/A6</f>
        <v>0</v>
      </c>
      <c r="G290">
        <f>IFERROR(VLOOKUP($A$4&amp;$G$4&amp;C290,BalancesMensuales1!$A$2:$E$20009,5,0)+0,0)/A6</f>
        <v>0</v>
      </c>
      <c r="H290">
        <f>IFERROR(VLOOKUP($A$4&amp;$H$4&amp;C290,BalancesMensuales1!$A$2:$E$20009,5,0)+0,0)/A6</f>
        <v>0</v>
      </c>
      <c r="Z290">
        <f t="shared" si="24"/>
        <v>0</v>
      </c>
      <c r="AA290">
        <f>ClientesRIB!A75</f>
        <v>0</v>
      </c>
      <c r="AB290" t="str">
        <f>ClientesRIB!D75&amp;" - "&amp;ClientesRIB!F75</f>
        <v xml:space="preserve"> - </v>
      </c>
      <c r="AC290">
        <f>ClientesRIB!E75</f>
        <v>0</v>
      </c>
    </row>
    <row r="291" spans="3:29" hidden="1" x14ac:dyDescent="0.25">
      <c r="C291">
        <v>36</v>
      </c>
      <c r="D291">
        <f>IFERROR(VLOOKUP($A$4&amp;$D$4&amp;C291,BalancesAnuales1!$A$2:$E$20009,5,0)+0,0)/A6</f>
        <v>0</v>
      </c>
      <c r="E291">
        <f>IFERROR(VLOOKUP($A$4&amp;$E$4&amp;C291,BalancesAnuales1!$A$2:$E$20009,5,0)+0,0)/A6</f>
        <v>0</v>
      </c>
      <c r="F291">
        <f>IFERROR(VLOOKUP($A$4&amp;$F$4&amp;C291,BalancesAnuales1!$A$2:$E$20009,5,0)+0,0)/A6</f>
        <v>0</v>
      </c>
      <c r="G291">
        <f>IFERROR(VLOOKUP($A$4&amp;$G$4&amp;C291,BalancesMensuales1!$A$2:$E$20009,5,0)+0,0)/A6</f>
        <v>0</v>
      </c>
      <c r="H291">
        <f>IFERROR(VLOOKUP($A$4&amp;$H$4&amp;C291,BalancesMensuales1!$A$2:$E$20009,5,0)+0,0)/A6</f>
        <v>0</v>
      </c>
      <c r="Z291">
        <f t="shared" si="24"/>
        <v>0</v>
      </c>
      <c r="AA291">
        <f>ClientesRIB!A76</f>
        <v>0</v>
      </c>
      <c r="AB291" t="str">
        <f>ClientesRIB!D76&amp;" - "&amp;ClientesRIB!F76</f>
        <v xml:space="preserve"> - </v>
      </c>
      <c r="AC291">
        <f>ClientesRIB!E76</f>
        <v>0</v>
      </c>
    </row>
    <row r="292" spans="3:29" hidden="1" x14ac:dyDescent="0.25">
      <c r="C292">
        <v>37</v>
      </c>
      <c r="D292">
        <f>IFERROR(VLOOKUP($A$4&amp;$D$4&amp;C292,BalancesAnuales1!$A$2:$E$20009,5,0)+0,0)/A6</f>
        <v>0</v>
      </c>
      <c r="E292">
        <f>IFERROR(VLOOKUP($A$4&amp;$E$4&amp;C292,BalancesAnuales1!$A$2:$E$20009,5,0)+0,0)/A6</f>
        <v>0</v>
      </c>
      <c r="F292">
        <f>IFERROR(VLOOKUP($A$4&amp;$F$4&amp;C292,BalancesAnuales1!$A$2:$E$20009,5,0)+0,0)/A6</f>
        <v>0</v>
      </c>
      <c r="G292">
        <f>IFERROR(VLOOKUP($A$4&amp;$G$4&amp;C292,BalancesMensuales1!$A$2:$E$20009,5,0)+0,0)/A6</f>
        <v>0</v>
      </c>
      <c r="H292">
        <f>IFERROR(VLOOKUP($A$4&amp;$H$4&amp;C292,BalancesMensuales1!$A$2:$E$20009,5,0)+0,0)/A6</f>
        <v>0</v>
      </c>
      <c r="Z292">
        <f t="shared" si="24"/>
        <v>0</v>
      </c>
      <c r="AA292">
        <f>ClientesRIB!A77</f>
        <v>0</v>
      </c>
      <c r="AB292" t="str">
        <f>ClientesRIB!D77&amp;" - "&amp;ClientesRIB!F77</f>
        <v xml:space="preserve"> - </v>
      </c>
      <c r="AC292">
        <f>ClientesRIB!E77</f>
        <v>0</v>
      </c>
    </row>
    <row r="293" spans="3:29" hidden="1" x14ac:dyDescent="0.25">
      <c r="C293">
        <v>38</v>
      </c>
      <c r="D293">
        <f>IFERROR(VLOOKUP($A$4&amp;$D$4&amp;C293,BalancesAnuales1!$A$2:$E$20009,5,0)+0,0)/A6</f>
        <v>0</v>
      </c>
      <c r="E293">
        <f>IFERROR(VLOOKUP($A$4&amp;$E$4&amp;C293,BalancesAnuales1!$A$2:$E$20009,5,0)+0,0)/A6</f>
        <v>0</v>
      </c>
      <c r="F293">
        <f>IFERROR(VLOOKUP($A$4&amp;$F$4&amp;C293,BalancesAnuales1!$A$2:$E$20009,5,0)+0,0)/A6</f>
        <v>0</v>
      </c>
      <c r="G293">
        <f>IFERROR(VLOOKUP($A$4&amp;$G$4&amp;C293,BalancesMensuales1!$A$2:$E$20009,5,0)+0,0)/A6</f>
        <v>0</v>
      </c>
      <c r="H293">
        <f>IFERROR(VLOOKUP($A$4&amp;$H$4&amp;C293,BalancesMensuales1!$A$2:$E$20009,5,0)+0,0)/A6</f>
        <v>0</v>
      </c>
      <c r="Z293">
        <f t="shared" si="24"/>
        <v>0</v>
      </c>
      <c r="AA293">
        <f>ClientesRIB!A78</f>
        <v>0</v>
      </c>
      <c r="AB293" t="str">
        <f>ClientesRIB!D78&amp;" - "&amp;ClientesRIB!F78</f>
        <v xml:space="preserve"> - </v>
      </c>
      <c r="AC293">
        <f>ClientesRIB!E78</f>
        <v>0</v>
      </c>
    </row>
    <row r="294" spans="3:29" hidden="1" x14ac:dyDescent="0.25">
      <c r="C294">
        <v>3</v>
      </c>
      <c r="D294">
        <f>IFERROR(VLOOKUP($A$4&amp;$D$4&amp;C294,BalancesAnuales1!$A$2:$E$20009,5,0)+0,0)/A6</f>
        <v>0</v>
      </c>
      <c r="E294">
        <f>IFERROR(VLOOKUP($A$4&amp;$E$4&amp;C294,BalancesAnuales1!$A$2:$E$20009,5,0)+0,0)/A6</f>
        <v>0</v>
      </c>
      <c r="F294">
        <f>IFERROR(VLOOKUP($A$4&amp;$F$4&amp;C294,BalancesAnuales1!$A$2:$E$20009,5,0)+0,0)/A6</f>
        <v>0</v>
      </c>
      <c r="G294">
        <f>IFERROR(VLOOKUP($A$4&amp;$G$4&amp;C294,BalancesMensuales1!$A$2:$E$20009,5,0)+0,0)/A6</f>
        <v>0</v>
      </c>
      <c r="H294">
        <f>IFERROR(VLOOKUP($A$4&amp;$H$4&amp;C294,BalancesMensuales1!$A$2:$E$20009,5,0)+0,0)/A6</f>
        <v>0</v>
      </c>
      <c r="Z294">
        <f t="shared" si="24"/>
        <v>0</v>
      </c>
      <c r="AA294">
        <f>ClientesRIB!A79</f>
        <v>0</v>
      </c>
      <c r="AB294" t="str">
        <f>ClientesRIB!D79&amp;" - "&amp;ClientesRIB!F79</f>
        <v xml:space="preserve"> - </v>
      </c>
      <c r="AC294">
        <f>ClientesRIB!E79</f>
        <v>0</v>
      </c>
    </row>
    <row r="295" spans="3:29" hidden="1" x14ac:dyDescent="0.25">
      <c r="C295">
        <v>0</v>
      </c>
      <c r="D295">
        <f>IFERROR(VLOOKUP($A$4&amp;$D$4&amp;C295,BalancesAnuales1!$A$2:$E$20009,5,0)+0,0)/A6</f>
        <v>0</v>
      </c>
      <c r="E295">
        <f>IFERROR(VLOOKUP($A$4&amp;$E$4&amp;C295,BalancesAnuales1!$A$2:$E$20009,5,0)+0,0)/A6</f>
        <v>0</v>
      </c>
      <c r="F295">
        <f>IFERROR(VLOOKUP($A$4&amp;$F$4&amp;C295,BalancesAnuales1!$A$2:$E$20009,5,0)+0,0)/A6</f>
        <v>0</v>
      </c>
      <c r="G295">
        <f>IFERROR(VLOOKUP($A$4&amp;$G$4&amp;C295,BalancesMensuales1!$A$2:$E$20009,5,0)+0,0)/A6</f>
        <v>0</v>
      </c>
      <c r="H295">
        <f>IFERROR(VLOOKUP($A$4&amp;$H$4&amp;C295,BalancesMensuales1!$A$2:$E$20009,5,0)+0,0)/A6</f>
        <v>0</v>
      </c>
      <c r="Z295">
        <f t="shared" si="24"/>
        <v>0</v>
      </c>
      <c r="AA295">
        <f>ClientesRIB!A80</f>
        <v>0</v>
      </c>
      <c r="AB295" t="str">
        <f>ClientesRIB!D80&amp;" - "&amp;ClientesRIB!F80</f>
        <v xml:space="preserve"> - </v>
      </c>
      <c r="AC295">
        <f>ClientesRIB!E80</f>
        <v>0</v>
      </c>
    </row>
    <row r="296" spans="3:29" hidden="1" x14ac:dyDescent="0.25">
      <c r="Z296">
        <f t="shared" si="24"/>
        <v>0</v>
      </c>
      <c r="AA296">
        <f>ClientesRIB!A81</f>
        <v>0</v>
      </c>
      <c r="AB296" t="str">
        <f>ClientesRIB!D81&amp;" - "&amp;ClientesRIB!F81</f>
        <v xml:space="preserve"> - </v>
      </c>
      <c r="AC296">
        <f>ClientesRIB!E81</f>
        <v>0</v>
      </c>
    </row>
    <row r="297" spans="3:29" hidden="1" x14ac:dyDescent="0.25">
      <c r="C297">
        <v>291000</v>
      </c>
      <c r="D297">
        <f>IFERROR(VLOOKUP($A$4&amp;$D$4&amp;C297,BalancesAnuales1!$A$2:$E$20009,5,0)+0,0)/A6</f>
        <v>0</v>
      </c>
      <c r="E297">
        <f>IFERROR(VLOOKUP($A$4&amp;$E$4&amp;C297,BalancesAnuales1!$A$2:$E$20009,5,0)+0,0)/A6</f>
        <v>0</v>
      </c>
      <c r="F297">
        <f>IFERROR(VLOOKUP($A$4&amp;$F$4&amp;C297,BalancesAnuales1!$A$2:$E$20009,5,0)+0,0)/A6</f>
        <v>0</v>
      </c>
      <c r="G297">
        <f>IFERROR(VLOOKUP($A$4&amp;$G$4&amp;C297,BalancesMensuales1!$A$2:$E$20009,5,0)+0,0)/A6</f>
        <v>0</v>
      </c>
      <c r="H297">
        <f>IFERROR(VLOOKUP($A$4&amp;$H$4&amp;C297,BalancesMensuales1!$A$2:$E$20009,5,0)+0,0)/A6</f>
        <v>0</v>
      </c>
      <c r="Z297">
        <f t="shared" si="24"/>
        <v>0</v>
      </c>
      <c r="AA297">
        <f>ClientesRIB!A82</f>
        <v>0</v>
      </c>
      <c r="AB297" t="str">
        <f>ClientesRIB!D82&amp;" - "&amp;ClientesRIB!F82</f>
        <v xml:space="preserve"> - </v>
      </c>
      <c r="AC297">
        <f>ClientesRIB!E82</f>
        <v>0</v>
      </c>
    </row>
    <row r="298" spans="3:29" hidden="1" x14ac:dyDescent="0.25">
      <c r="C298">
        <v>292000</v>
      </c>
      <c r="D298">
        <f>IFERROR(VLOOKUP($A$4&amp;$D$4&amp;C298,BalancesAnuales1!$A$2:$E$20009,5,0)+0,0)/A6</f>
        <v>0</v>
      </c>
      <c r="E298">
        <f>IFERROR(VLOOKUP($A$4&amp;$E$4&amp;C298,BalancesAnuales1!$A$2:$E$20009,5,0)+0,0)/A6</f>
        <v>0</v>
      </c>
      <c r="F298">
        <f>IFERROR(VLOOKUP($A$4&amp;$F$4&amp;C298,BalancesAnuales1!$A$2:$E$20009,5,0)+0,0)/A6</f>
        <v>0</v>
      </c>
      <c r="G298">
        <f>IFERROR(VLOOKUP($A$4&amp;$G$4&amp;C298,BalancesMensuales1!$A$2:$E$20009,5,0)+0,0)/A6</f>
        <v>0</v>
      </c>
      <c r="H298">
        <f>IFERROR(VLOOKUP($A$4&amp;$H$4&amp;C298,BalancesMensuales1!$A$2:$E$20009,5,0)+0,0)/A6</f>
        <v>0</v>
      </c>
      <c r="Z298">
        <f t="shared" si="24"/>
        <v>0</v>
      </c>
      <c r="AA298">
        <f>ClientesRIB!A83</f>
        <v>0</v>
      </c>
      <c r="AB298" t="str">
        <f>ClientesRIB!D83&amp;" - "&amp;ClientesRIB!F83</f>
        <v xml:space="preserve"> - </v>
      </c>
      <c r="AC298">
        <f>ClientesRIB!E83</f>
        <v>0</v>
      </c>
    </row>
    <row r="299" spans="3:29" hidden="1" x14ac:dyDescent="0.25">
      <c r="C299">
        <v>293000</v>
      </c>
      <c r="D299">
        <f>IFERROR(VLOOKUP($A$4&amp;$D$4&amp;C299,BalancesAnuales1!$A$2:$E$20009,5,0)+0,0)/A6</f>
        <v>0</v>
      </c>
      <c r="E299">
        <f>IFERROR(VLOOKUP($A$4&amp;$E$4&amp;C299,BalancesAnuales1!$A$2:$E$20009,5,0)+0,0)/A6</f>
        <v>0</v>
      </c>
      <c r="F299">
        <f>IFERROR(VLOOKUP($A$4&amp;$F$4&amp;C299,BalancesAnuales1!$A$2:$E$20009,5,0)+0,0)/A6</f>
        <v>0</v>
      </c>
      <c r="G299">
        <f>IFERROR(VLOOKUP($A$4&amp;$G$4&amp;C299,BalancesMensuales1!$A$2:$E$20009,5,0)+0,0)/A6</f>
        <v>0</v>
      </c>
      <c r="H299">
        <f>IFERROR(VLOOKUP($A$4&amp;$H$4&amp;C299,BalancesMensuales1!$A$2:$E$20009,5,0)+0,0)/A6</f>
        <v>0</v>
      </c>
      <c r="Z299">
        <f t="shared" si="24"/>
        <v>0</v>
      </c>
      <c r="AA299">
        <f>ClientesRIB!A84</f>
        <v>0</v>
      </c>
      <c r="AB299" t="str">
        <f>ClientesRIB!D84&amp;" - "&amp;ClientesRIB!F84</f>
        <v xml:space="preserve"> - </v>
      </c>
      <c r="AC299">
        <f>ClientesRIB!E84</f>
        <v>0</v>
      </c>
    </row>
    <row r="300" spans="3:29" hidden="1" x14ac:dyDescent="0.25">
      <c r="C300">
        <v>294000</v>
      </c>
      <c r="D300">
        <f>IFERROR(VLOOKUP($A$4&amp;$D$4&amp;C300,BalancesAnuales1!$A$2:$E$20009,5,0)+0,0)/A6</f>
        <v>0</v>
      </c>
      <c r="E300">
        <f>IFERROR(VLOOKUP($A$4&amp;$E$4&amp;C300,BalancesAnuales1!$A$2:$E$20009,5,0)+0,0)/A6</f>
        <v>0</v>
      </c>
      <c r="F300">
        <f>IFERROR(VLOOKUP($A$4&amp;$F$4&amp;C300,BalancesAnuales1!$A$2:$E$20009,5,0)+0,0)/A6</f>
        <v>0</v>
      </c>
      <c r="G300">
        <f>IFERROR(VLOOKUP($A$4&amp;$G$4&amp;C300,BalancesMensuales1!$A$2:$E$20009,5,0)+0,0)/A6</f>
        <v>0</v>
      </c>
      <c r="H300">
        <f>IFERROR(VLOOKUP($A$4&amp;$H$4&amp;C300,BalancesMensuales1!$A$2:$E$20009,5,0)+0,0)/A6</f>
        <v>0</v>
      </c>
      <c r="Z300">
        <f t="shared" si="24"/>
        <v>0</v>
      </c>
      <c r="AA300">
        <f>ClientesRIB!A85</f>
        <v>0</v>
      </c>
      <c r="AB300" t="str">
        <f>ClientesRIB!D85&amp;" - "&amp;ClientesRIB!F85</f>
        <v xml:space="preserve"> - </v>
      </c>
      <c r="AC300">
        <f>ClientesRIB!E85</f>
        <v>0</v>
      </c>
    </row>
    <row r="301" spans="3:29" hidden="1" x14ac:dyDescent="0.25">
      <c r="C301">
        <v>190000</v>
      </c>
      <c r="D301">
        <f>IFERROR(VLOOKUP($A$4&amp;$D$4&amp;C301,BalancesAnuales1!$A$2:$E$20009,5,0)+0,0)/A6</f>
        <v>0</v>
      </c>
      <c r="E301">
        <f>IFERROR(VLOOKUP($A$4&amp;$E$4&amp;C301,BalancesAnuales1!$A$2:$E$20009,5,0)+0,0)/A6</f>
        <v>0</v>
      </c>
      <c r="F301">
        <f>IFERROR(VLOOKUP($A$4&amp;$F$4&amp;C301,BalancesAnuales1!$A$2:$E$20009,5,0)+0,0)/A6</f>
        <v>0</v>
      </c>
      <c r="G301">
        <f>IFERROR(VLOOKUP($A$4&amp;$G$4&amp;C301,BalancesMensuales1!$A$2:$E$20009,5,0)+0,0)/A6</f>
        <v>0</v>
      </c>
      <c r="H301">
        <f>IFERROR(VLOOKUP($A$4&amp;$H$4&amp;C301,BalancesMensuales1!$A$2:$E$20009,5,0)+0,0)/A6</f>
        <v>0</v>
      </c>
      <c r="Z301">
        <f t="shared" si="24"/>
        <v>0</v>
      </c>
      <c r="AA301">
        <f>ClientesRIB!A86</f>
        <v>0</v>
      </c>
      <c r="AB301" t="str">
        <f>ClientesRIB!D86&amp;" - "&amp;ClientesRIB!F86</f>
        <v xml:space="preserve"> - </v>
      </c>
      <c r="AC301">
        <f>ClientesRIB!E86</f>
        <v>0</v>
      </c>
    </row>
    <row r="302" spans="3:29" hidden="1" x14ac:dyDescent="0.25">
      <c r="Z302">
        <f t="shared" si="24"/>
        <v>0</v>
      </c>
      <c r="AA302">
        <f>ClientesRIB!A87</f>
        <v>0</v>
      </c>
      <c r="AB302" t="str">
        <f>ClientesRIB!D87&amp;" - "&amp;ClientesRIB!F87</f>
        <v xml:space="preserve"> - </v>
      </c>
      <c r="AC302">
        <f>ClientesRIB!E87</f>
        <v>0</v>
      </c>
    </row>
    <row r="303" spans="3:29" hidden="1" x14ac:dyDescent="0.25">
      <c r="C303">
        <v>410500</v>
      </c>
      <c r="D303">
        <f>IFERROR(VLOOKUP($A$4&amp;$D$4&amp;C303,BalancesAnuales1!$A$2:$E$20009,5,0)+0,0)/A6</f>
        <v>0</v>
      </c>
      <c r="E303">
        <f>IFERROR(VLOOKUP($A$4&amp;$E$4&amp;C303,BalancesAnuales1!$A$2:$E$20009,5,0)+0,0)/A6</f>
        <v>0</v>
      </c>
      <c r="F303">
        <f>IFERROR(VLOOKUP($A$4&amp;$F$4&amp;C303,BalancesAnuales1!$A$2:$E$20009,5,0)+0,0)/A6</f>
        <v>0</v>
      </c>
      <c r="G303">
        <f>IFERROR(VLOOKUP($A$4&amp;$G$4&amp;C303,BalancesMensuales1!$A$2:$E$20009,5,0)+0,0)/A6</f>
        <v>0</v>
      </c>
      <c r="H303">
        <f>IFERROR(VLOOKUP($A$4&amp;$H$4&amp;C303,BalancesMensuales1!$A$2:$E$20009,5,0)+0,0)/A6</f>
        <v>0</v>
      </c>
      <c r="Z303">
        <f t="shared" si="24"/>
        <v>0</v>
      </c>
      <c r="AA303">
        <f>ClientesRIB!A88</f>
        <v>0</v>
      </c>
      <c r="AB303" t="str">
        <f>ClientesRIB!D88&amp;" - "&amp;ClientesRIB!F88</f>
        <v xml:space="preserve"> - </v>
      </c>
      <c r="AC303">
        <f>ClientesRIB!E88</f>
        <v>0</v>
      </c>
    </row>
    <row r="304" spans="3:29" hidden="1" x14ac:dyDescent="0.25">
      <c r="C304">
        <v>411000</v>
      </c>
      <c r="D304">
        <f>IFERROR(VLOOKUP($A$4&amp;$D$4&amp;C304,BalancesAnuales1!$A$2:$E$20009,5,0)+0,0)/A6</f>
        <v>0</v>
      </c>
      <c r="E304">
        <f>IFERROR(VLOOKUP($A$4&amp;$E$4&amp;C304,BalancesAnuales1!$A$2:$E$20009,5,0)+0,0)/A6</f>
        <v>0</v>
      </c>
      <c r="F304">
        <f>IFERROR(VLOOKUP($A$4&amp;$F$4&amp;C304,BalancesAnuales1!$A$2:$E$20009,5,0)+0,0)/A6</f>
        <v>0</v>
      </c>
      <c r="G304">
        <f>IFERROR(VLOOKUP($A$4&amp;$G$4&amp;C304,BalancesMensuales1!$A$2:$E$20009,5,0)+0,0)/A6</f>
        <v>0</v>
      </c>
      <c r="H304">
        <f>IFERROR(VLOOKUP($A$4&amp;$H$4&amp;C304,BalancesMensuales1!$A$2:$E$20009,5,0)+0,0)/A6</f>
        <v>0</v>
      </c>
      <c r="Z304">
        <f t="shared" si="24"/>
        <v>0</v>
      </c>
      <c r="AA304">
        <f>ClientesRIB!A89</f>
        <v>0</v>
      </c>
      <c r="AB304" t="str">
        <f>ClientesRIB!D89&amp;" - "&amp;ClientesRIB!F89</f>
        <v xml:space="preserve"> - </v>
      </c>
      <c r="AC304">
        <f>ClientesRIB!E89</f>
        <v>0</v>
      </c>
    </row>
    <row r="305" spans="3:29" hidden="1" x14ac:dyDescent="0.25">
      <c r="C305">
        <v>61</v>
      </c>
      <c r="D305">
        <f>IFERROR(VLOOKUP($A$4&amp;$D$4&amp;C305,BalancesAnuales1!$A$2:$E$20009,5,0)+0,0)/A6</f>
        <v>0</v>
      </c>
      <c r="E305">
        <f>IFERROR(VLOOKUP($A$4&amp;$E$4&amp;C305,BalancesAnuales1!$A$2:$E$20009,5,0)+0,0)/A6</f>
        <v>0</v>
      </c>
      <c r="F305">
        <f>IFERROR(VLOOKUP($A$4&amp;$F$4&amp;C305,BalancesAnuales1!$A$2:$E$20009,5,0)+0,0)/A6</f>
        <v>0</v>
      </c>
      <c r="G305">
        <f>IFERROR(VLOOKUP($A$4&amp;$G$4&amp;C305,BalancesMensuales1!$A$2:$E$20009,5,0)+0,0)/A6</f>
        <v>0</v>
      </c>
      <c r="H305">
        <f>IFERROR(VLOOKUP($A$4&amp;$H$4&amp;C305,BalancesMensuales1!$A$2:$E$20009,5,0)+0,0)/A6</f>
        <v>0</v>
      </c>
      <c r="Z305">
        <f t="shared" si="24"/>
        <v>0</v>
      </c>
      <c r="AA305">
        <f>ClientesRIB!A90</f>
        <v>0</v>
      </c>
      <c r="AB305" t="str">
        <f>ClientesRIB!D90&amp;" - "&amp;ClientesRIB!F90</f>
        <v xml:space="preserve"> - </v>
      </c>
      <c r="AC305">
        <f>ClientesRIB!E90</f>
        <v>0</v>
      </c>
    </row>
    <row r="306" spans="3:29" hidden="1" x14ac:dyDescent="0.25">
      <c r="C306">
        <v>606000</v>
      </c>
      <c r="D306">
        <f>IFERROR(VLOOKUP($A$4&amp;$D$4&amp;C306,BalancesAnuales1!$A$2:$E$20009,5,0)+0,0)/A6</f>
        <v>0</v>
      </c>
      <c r="E306">
        <f>IFERROR(VLOOKUP($A$4&amp;$E$4&amp;C306,BalancesAnuales1!$A$2:$E$20009,5,0)+0,0)/A6</f>
        <v>0</v>
      </c>
      <c r="F306">
        <f>IFERROR(VLOOKUP($A$4&amp;$F$4&amp;C306,BalancesAnuales1!$A$2:$E$20009,5,0)+0,0)/A6</f>
        <v>0</v>
      </c>
      <c r="G306">
        <f>IFERROR(VLOOKUP($A$4&amp;$G$4&amp;C306,BalancesMensuales1!$A$2:$E$20009,5,0)+0,0)/A6</f>
        <v>0</v>
      </c>
      <c r="H306">
        <f>IFERROR(VLOOKUP($A$4&amp;$H$4&amp;C306,BalancesMensuales1!$A$2:$E$20009,5,0)+0,0)/A6</f>
        <v>0</v>
      </c>
      <c r="Z306">
        <f t="shared" si="24"/>
        <v>0</v>
      </c>
      <c r="AA306">
        <f>ClientesRIB!A91</f>
        <v>0</v>
      </c>
      <c r="AB306" t="str">
        <f>ClientesRIB!D91&amp;" - "&amp;ClientesRIB!F91</f>
        <v xml:space="preserve"> - </v>
      </c>
      <c r="AC306">
        <f>ClientesRIB!E91</f>
        <v>0</v>
      </c>
    </row>
    <row r="307" spans="3:29" hidden="1" x14ac:dyDescent="0.25">
      <c r="C307">
        <v>95</v>
      </c>
      <c r="D307">
        <f>IFERROR(VLOOKUP($A$4&amp;$D$4&amp;C307,BalancesAnuales1!$A$2:$E$20009,5,0)+0,0)/A6</f>
        <v>0</v>
      </c>
      <c r="E307">
        <f>IFERROR(VLOOKUP($A$4&amp;$E$4&amp;C307,BalancesAnuales1!$A$2:$E$20009,5,0)+0,0)/A6</f>
        <v>0</v>
      </c>
      <c r="F307">
        <f>IFERROR(VLOOKUP($A$4&amp;$F$4&amp;C307,BalancesAnuales1!$A$2:$E$20009,5,0)+0,0)/A6</f>
        <v>0</v>
      </c>
      <c r="G307">
        <f>IFERROR(VLOOKUP($A$4&amp;$G$4&amp;C307,BalancesMensuales1!$A$2:$E$20009,5,0)+0,0)/A6</f>
        <v>0</v>
      </c>
      <c r="H307">
        <f>IFERROR(VLOOKUP($A$4&amp;$H$4&amp;C307,BalancesMensuales1!$A$2:$E$20009,5,0)+0,0)/A6</f>
        <v>0</v>
      </c>
      <c r="Z307">
        <f t="shared" si="24"/>
        <v>0</v>
      </c>
      <c r="AA307">
        <f>ClientesRIB!A92</f>
        <v>0</v>
      </c>
      <c r="AB307" t="str">
        <f>ClientesRIB!D92&amp;" - "&amp;ClientesRIB!F92</f>
        <v xml:space="preserve"> - </v>
      </c>
      <c r="AC307">
        <f>ClientesRIB!E92</f>
        <v>0</v>
      </c>
    </row>
    <row r="308" spans="3:29" hidden="1" x14ac:dyDescent="0.25">
      <c r="C308">
        <v>510500</v>
      </c>
      <c r="D308">
        <f>IFERROR(VLOOKUP($A$4&amp;$D$4&amp;C308,BalancesAnuales1!$A$2:$E$20009,5,0)+0,0)/A6</f>
        <v>0</v>
      </c>
      <c r="E308">
        <f>IFERROR(VLOOKUP($A$4&amp;$E$4&amp;C308,BalancesAnuales1!$A$2:$E$20009,5,0)+0,0)/A6</f>
        <v>0</v>
      </c>
      <c r="F308">
        <f>IFERROR(VLOOKUP($A$4&amp;$F$4&amp;C308,BalancesAnuales1!$A$2:$E$20009,5,0)+0,0)/A6</f>
        <v>0</v>
      </c>
      <c r="G308">
        <f>IFERROR(VLOOKUP($A$4&amp;$G$4&amp;C308,BalancesMensuales1!$A$2:$E$20009,5,0)+0,0)/A6</f>
        <v>0</v>
      </c>
      <c r="H308">
        <f>IFERROR(VLOOKUP($A$4&amp;$H$4&amp;C308,BalancesMensuales1!$A$2:$E$20009,5,0)+0,0)/A6</f>
        <v>0</v>
      </c>
      <c r="Z308">
        <f t="shared" si="24"/>
        <v>0</v>
      </c>
      <c r="AA308">
        <f>ClientesRIB!A93</f>
        <v>0</v>
      </c>
      <c r="AB308" t="str">
        <f>ClientesRIB!D93&amp;" - "&amp;ClientesRIB!F93</f>
        <v xml:space="preserve"> - </v>
      </c>
      <c r="AC308">
        <f>ClientesRIB!E93</f>
        <v>0</v>
      </c>
    </row>
    <row r="309" spans="3:29" hidden="1" x14ac:dyDescent="0.25">
      <c r="C309">
        <v>511000</v>
      </c>
      <c r="D309">
        <f>IFERROR(VLOOKUP($A$4&amp;$D$4&amp;C309,BalancesAnuales1!$A$2:$E$20009,5,0)+0,0)/A6</f>
        <v>0</v>
      </c>
      <c r="E309">
        <f>IFERROR(VLOOKUP($A$4&amp;$E$4&amp;C309,BalancesAnuales1!$A$2:$E$20009,5,0)+0,0)/A6</f>
        <v>0</v>
      </c>
      <c r="F309">
        <f>IFERROR(VLOOKUP($A$4&amp;$F$4&amp;C309,BalancesAnuales1!$A$2:$E$20009,5,0)+0,0)/A6</f>
        <v>0</v>
      </c>
      <c r="G309">
        <f>IFERROR(VLOOKUP($A$4&amp;$G$4&amp;C309,BalancesMensuales1!$A$2:$E$20009,5,0)+0,0)/A6</f>
        <v>0</v>
      </c>
      <c r="H309">
        <f>IFERROR(VLOOKUP($A$4&amp;$H$4&amp;C309,BalancesMensuales1!$A$2:$E$20009,5,0)+0,0)/A6</f>
        <v>0</v>
      </c>
      <c r="Z309">
        <f t="shared" si="24"/>
        <v>0</v>
      </c>
      <c r="AA309">
        <f>ClientesRIB!A94</f>
        <v>0</v>
      </c>
      <c r="AB309" t="str">
        <f>ClientesRIB!D94&amp;" - "&amp;ClientesRIB!F94</f>
        <v xml:space="preserve"> - </v>
      </c>
      <c r="AC309">
        <f>ClientesRIB!E94</f>
        <v>0</v>
      </c>
    </row>
    <row r="310" spans="3:29" hidden="1" x14ac:dyDescent="0.25">
      <c r="C310">
        <v>511500</v>
      </c>
      <c r="D310">
        <f>IFERROR(VLOOKUP($A$4&amp;$D$4&amp;C310,BalancesAnuales1!$A$2:$E$20009,5,0)+0,0)/A6</f>
        <v>0</v>
      </c>
      <c r="E310">
        <f>IFERROR(VLOOKUP($A$4&amp;$E$4&amp;C310,BalancesAnuales1!$A$2:$E$20009,5,0)+0,0)/A6</f>
        <v>0</v>
      </c>
      <c r="F310">
        <f>IFERROR(VLOOKUP($A$4&amp;$F$4&amp;C310,BalancesAnuales1!$A$2:$E$20009,5,0)+0,0)/A6</f>
        <v>0</v>
      </c>
      <c r="G310">
        <f>IFERROR(VLOOKUP($A$4&amp;$G$4&amp;C310,BalancesMensuales1!$A$2:$E$20009,5,0)+0,0)/A6</f>
        <v>0</v>
      </c>
      <c r="H310">
        <f>IFERROR(VLOOKUP($A$4&amp;$H$4&amp;C310,BalancesMensuales1!$A$2:$E$20009,5,0)+0,0)/A6</f>
        <v>0</v>
      </c>
      <c r="Z310">
        <f t="shared" si="24"/>
        <v>0</v>
      </c>
      <c r="AA310">
        <f>ClientesRIB!A95</f>
        <v>0</v>
      </c>
      <c r="AB310" t="str">
        <f>ClientesRIB!D95&amp;" - "&amp;ClientesRIB!F95</f>
        <v xml:space="preserve"> - </v>
      </c>
      <c r="AC310">
        <f>ClientesRIB!E95</f>
        <v>0</v>
      </c>
    </row>
    <row r="311" spans="3:29" hidden="1" x14ac:dyDescent="0.25">
      <c r="C311">
        <v>512000</v>
      </c>
      <c r="D311">
        <f>IFERROR(VLOOKUP($A$4&amp;$D$4&amp;C311,BalancesAnuales1!$A$2:$E$20009,5,0)+0,0)/A6</f>
        <v>0</v>
      </c>
      <c r="E311">
        <f>IFERROR(VLOOKUP($A$4&amp;$E$4&amp;C311,BalancesAnuales1!$A$2:$E$20009,5,0)+0,0)/A6</f>
        <v>0</v>
      </c>
      <c r="F311">
        <f>IFERROR(VLOOKUP($A$4&amp;$F$4&amp;C311,BalancesAnuales1!$A$2:$E$20009,5,0)+0,0)/A6</f>
        <v>0</v>
      </c>
      <c r="G311">
        <f>IFERROR(VLOOKUP($A$4&amp;$G$4&amp;C311,BalancesMensuales1!$A$2:$E$20009,5,0)+0,0)/A6</f>
        <v>0</v>
      </c>
      <c r="H311">
        <f>IFERROR(VLOOKUP($A$4&amp;$H$4&amp;C311,BalancesMensuales1!$A$2:$E$20009,5,0)+0,0)/A6</f>
        <v>0</v>
      </c>
      <c r="Z311">
        <f t="shared" si="24"/>
        <v>0</v>
      </c>
      <c r="AA311">
        <f>ClientesRIB!A96</f>
        <v>0</v>
      </c>
      <c r="AB311" t="str">
        <f>ClientesRIB!D96&amp;" - "&amp;ClientesRIB!F96</f>
        <v xml:space="preserve"> - </v>
      </c>
      <c r="AC311">
        <f>ClientesRIB!E96</f>
        <v>0</v>
      </c>
    </row>
    <row r="312" spans="3:29" hidden="1" x14ac:dyDescent="0.25">
      <c r="C312">
        <v>512500</v>
      </c>
      <c r="D312">
        <f>IFERROR(VLOOKUP($A$4&amp;$D$4&amp;C312,BalancesAnuales1!$A$2:$E$20009,5,0)+0,0)/A6</f>
        <v>0</v>
      </c>
      <c r="E312">
        <f>IFERROR(VLOOKUP($A$4&amp;$E$4&amp;C312,BalancesAnuales1!$A$2:$E$20009,5,0)+0,0)/A6</f>
        <v>0</v>
      </c>
      <c r="F312">
        <f>IFERROR(VLOOKUP($A$4&amp;$F$4&amp;C312,BalancesAnuales1!$A$2:$E$20009,5,0)+0,0)/A6</f>
        <v>0</v>
      </c>
      <c r="G312">
        <f>IFERROR(VLOOKUP($A$4&amp;$G$4&amp;C312,BalancesMensuales1!$A$2:$E$20009,5,0)+0,0)/A6</f>
        <v>0</v>
      </c>
      <c r="H312">
        <f>IFERROR(VLOOKUP($A$4&amp;$H$4&amp;C312,BalancesMensuales1!$A$2:$E$20009,5,0)+0,0)/A6</f>
        <v>0</v>
      </c>
      <c r="Z312">
        <f t="shared" si="24"/>
        <v>0</v>
      </c>
      <c r="AA312">
        <f>ClientesRIB!A97</f>
        <v>0</v>
      </c>
      <c r="AB312" t="str">
        <f>ClientesRIB!D97&amp;" - "&amp;ClientesRIB!F97</f>
        <v xml:space="preserve"> - </v>
      </c>
      <c r="AC312">
        <f>ClientesRIB!E97</f>
        <v>0</v>
      </c>
    </row>
    <row r="313" spans="3:29" hidden="1" x14ac:dyDescent="0.25">
      <c r="C313">
        <v>513000</v>
      </c>
      <c r="D313">
        <f>IFERROR(VLOOKUP($A$4&amp;$D$4&amp;C313,BalancesAnuales1!$A$2:$E$20009,5,0)+0,0)/A6</f>
        <v>0</v>
      </c>
      <c r="E313">
        <f>IFERROR(VLOOKUP($A$4&amp;$E$4&amp;C313,BalancesAnuales1!$A$2:$E$20009,5,0)+0,0)/A6</f>
        <v>0</v>
      </c>
      <c r="F313">
        <f>IFERROR(VLOOKUP($A$4&amp;$F$4&amp;C313,BalancesAnuales1!$A$2:$E$20009,5,0)+0,0)/A6</f>
        <v>0</v>
      </c>
      <c r="G313">
        <f>IFERROR(VLOOKUP($A$4&amp;$G$4&amp;C313,BalancesMensuales1!$A$2:$E$20009,5,0)+0,0)/A6</f>
        <v>0</v>
      </c>
      <c r="H313">
        <f>IFERROR(VLOOKUP($A$4&amp;$H$4&amp;C313,BalancesMensuales1!$A$2:$E$20009,5,0)+0,0)/A6</f>
        <v>0</v>
      </c>
      <c r="Z313">
        <f t="shared" si="24"/>
        <v>0</v>
      </c>
      <c r="AA313">
        <f>ClientesRIB!A98</f>
        <v>0</v>
      </c>
      <c r="AB313" t="str">
        <f>ClientesRIB!D98&amp;" - "&amp;ClientesRIB!F98</f>
        <v xml:space="preserve"> - </v>
      </c>
      <c r="AC313">
        <f>ClientesRIB!E98</f>
        <v>0</v>
      </c>
    </row>
    <row r="314" spans="3:29" hidden="1" x14ac:dyDescent="0.25">
      <c r="C314">
        <v>513500</v>
      </c>
      <c r="D314">
        <f>IFERROR(VLOOKUP($A$4&amp;$D$4&amp;C314,BalancesAnuales1!$A$2:$E$20009,5,0)+0,0)/A6</f>
        <v>0</v>
      </c>
      <c r="E314">
        <f>IFERROR(VLOOKUP($A$4&amp;$E$4&amp;C314,BalancesAnuales1!$A$2:$E$20009,5,0)+0,0)/A6</f>
        <v>0</v>
      </c>
      <c r="F314">
        <f>IFERROR(VLOOKUP($A$4&amp;$F$4&amp;C314,BalancesAnuales1!$A$2:$E$20009,5,0)+0,0)/A6</f>
        <v>0</v>
      </c>
      <c r="G314">
        <f>IFERROR(VLOOKUP($A$4&amp;$G$4&amp;C314,BalancesMensuales1!$A$2:$E$20009,5,0)+0,0)/A6</f>
        <v>0</v>
      </c>
      <c r="H314">
        <f>IFERROR(VLOOKUP($A$4&amp;$H$4&amp;C314,BalancesMensuales1!$A$2:$E$20009,5,0)+0,0)/A6</f>
        <v>0</v>
      </c>
      <c r="Z314">
        <f t="shared" ref="Z314:Z345" si="25">IF(AA314=$A$4,Z313+1,0)</f>
        <v>0</v>
      </c>
      <c r="AA314">
        <f>ClientesRIB!A99</f>
        <v>0</v>
      </c>
      <c r="AB314" t="str">
        <f>ClientesRIB!D99&amp;" - "&amp;ClientesRIB!F99</f>
        <v xml:space="preserve"> - </v>
      </c>
      <c r="AC314">
        <f>ClientesRIB!E99</f>
        <v>0</v>
      </c>
    </row>
    <row r="315" spans="3:29" hidden="1" x14ac:dyDescent="0.25">
      <c r="C315">
        <v>514000</v>
      </c>
      <c r="D315">
        <f>IFERROR(VLOOKUP($A$4&amp;$D$4&amp;C315,BalancesAnuales1!$A$2:$E$20009,5,0)+0,0)/A6</f>
        <v>0</v>
      </c>
      <c r="E315">
        <f>IFERROR(VLOOKUP($A$4&amp;$E$4&amp;C315,BalancesAnuales1!$A$2:$E$20009,5,0)+0,0)/A6</f>
        <v>0</v>
      </c>
      <c r="F315">
        <f>IFERROR(VLOOKUP($A$4&amp;$F$4&amp;C315,BalancesAnuales1!$A$2:$E$20009,5,0)+0,0)/A6</f>
        <v>0</v>
      </c>
      <c r="G315">
        <f>IFERROR(VLOOKUP($A$4&amp;$G$4&amp;C315,BalancesMensuales1!$A$2:$E$20009,5,0)+0,0)/A6</f>
        <v>0</v>
      </c>
      <c r="H315">
        <f>IFERROR(VLOOKUP($A$4&amp;$H$4&amp;C315,BalancesMensuales1!$A$2:$E$20009,5,0)+0,0)/A6</f>
        <v>0</v>
      </c>
      <c r="Z315">
        <f t="shared" si="25"/>
        <v>0</v>
      </c>
      <c r="AA315">
        <f>ClientesRIB!A100</f>
        <v>0</v>
      </c>
      <c r="AB315" t="str">
        <f>ClientesRIB!D100&amp;" - "&amp;ClientesRIB!F100</f>
        <v xml:space="preserve"> - </v>
      </c>
      <c r="AC315">
        <f>ClientesRIB!E100</f>
        <v>0</v>
      </c>
    </row>
    <row r="316" spans="3:29" hidden="1" x14ac:dyDescent="0.25">
      <c r="C316">
        <v>514500</v>
      </c>
      <c r="D316">
        <f>IFERROR(VLOOKUP($A$4&amp;$D$4&amp;C316,BalancesAnuales1!$A$2:$E$20009,5,0)+0,0)/A6</f>
        <v>0</v>
      </c>
      <c r="E316">
        <f>IFERROR(VLOOKUP($A$4&amp;$E$4&amp;C316,BalancesAnuales1!$A$2:$E$20009,5,0)+0,0)/A6</f>
        <v>0</v>
      </c>
      <c r="F316">
        <f>IFERROR(VLOOKUP($A$4&amp;$F$4&amp;C316,BalancesAnuales1!$A$2:$E$20009,5,0)+0,0)/A6</f>
        <v>0</v>
      </c>
      <c r="G316">
        <f>IFERROR(VLOOKUP($A$4&amp;$G$4&amp;C316,BalancesMensuales1!$A$2:$E$20009,5,0)+0,0)/A6</f>
        <v>0</v>
      </c>
      <c r="H316">
        <f>IFERROR(VLOOKUP($A$4&amp;$H$4&amp;C316,BalancesMensuales1!$A$2:$E$20009,5,0)+0,0)/A6</f>
        <v>0</v>
      </c>
      <c r="Z316">
        <f t="shared" si="25"/>
        <v>0</v>
      </c>
      <c r="AA316">
        <f>ClientesRIB!A101</f>
        <v>0</v>
      </c>
      <c r="AB316" t="str">
        <f>ClientesRIB!D101&amp;" - "&amp;ClientesRIB!F101</f>
        <v xml:space="preserve"> - </v>
      </c>
      <c r="AC316">
        <f>ClientesRIB!E101</f>
        <v>0</v>
      </c>
    </row>
    <row r="317" spans="3:29" hidden="1" x14ac:dyDescent="0.25">
      <c r="C317">
        <v>515000</v>
      </c>
      <c r="D317">
        <f>IFERROR(VLOOKUP($A$4&amp;$D$4&amp;C317,BalancesAnuales1!$A$2:$E$20009,5,0)+0,0)/A6</f>
        <v>0</v>
      </c>
      <c r="E317">
        <f>IFERROR(VLOOKUP($A$4&amp;$E$4&amp;C317,BalancesAnuales1!$A$2:$E$20009,5,0)+0,0)/A6</f>
        <v>0</v>
      </c>
      <c r="F317">
        <f>IFERROR(VLOOKUP($A$4&amp;$F$4&amp;C317,BalancesAnuales1!$A$2:$E$20009,5,0)+0,0)/A6</f>
        <v>0</v>
      </c>
      <c r="G317">
        <f>IFERROR(VLOOKUP($A$4&amp;$G$4&amp;C317,BalancesMensuales1!$A$2:$E$20009,5,0)+0,0)/A6</f>
        <v>0</v>
      </c>
      <c r="H317">
        <f>IFERROR(VLOOKUP($A$4&amp;$H$4&amp;C317,BalancesMensuales1!$A$2:$E$20009,5,0)+0,0)/A6</f>
        <v>0</v>
      </c>
      <c r="Z317">
        <f t="shared" si="25"/>
        <v>0</v>
      </c>
      <c r="AA317">
        <f>ClientesRIB!A102</f>
        <v>0</v>
      </c>
      <c r="AB317" t="str">
        <f>ClientesRIB!D102&amp;" - "&amp;ClientesRIB!F102</f>
        <v xml:space="preserve"> - </v>
      </c>
      <c r="AC317">
        <f>ClientesRIB!E102</f>
        <v>0</v>
      </c>
    </row>
    <row r="318" spans="3:29" hidden="1" x14ac:dyDescent="0.25">
      <c r="C318">
        <v>515500</v>
      </c>
      <c r="D318">
        <f>IFERROR(VLOOKUP($A$4&amp;$D$4&amp;C318,BalancesAnuales1!$A$2:$E$20009,5,0)+0,0)/A6</f>
        <v>0</v>
      </c>
      <c r="E318">
        <f>IFERROR(VLOOKUP($A$4&amp;$E$4&amp;C318,BalancesAnuales1!$A$2:$E$20009,5,0)+0,0)/A6</f>
        <v>0</v>
      </c>
      <c r="F318">
        <f>IFERROR(VLOOKUP($A$4&amp;$F$4&amp;C318,BalancesAnuales1!$A$2:$E$20009,5,0)+0,0)/A6</f>
        <v>0</v>
      </c>
      <c r="G318">
        <f>IFERROR(VLOOKUP($A$4&amp;$G$4&amp;C318,BalancesMensuales1!$A$2:$E$20009,5,0)+0,0)/A6</f>
        <v>0</v>
      </c>
      <c r="H318">
        <f>IFERROR(VLOOKUP($A$4&amp;$H$4&amp;C318,BalancesMensuales1!$A$2:$E$20009,5,0)+0,0)/A6</f>
        <v>0</v>
      </c>
      <c r="Z318">
        <f t="shared" si="25"/>
        <v>0</v>
      </c>
      <c r="AA318">
        <f>ClientesRIB!A103</f>
        <v>0</v>
      </c>
      <c r="AB318" t="str">
        <f>ClientesRIB!D103&amp;" - "&amp;ClientesRIB!F103</f>
        <v xml:space="preserve"> - </v>
      </c>
      <c r="AC318">
        <f>ClientesRIB!E103</f>
        <v>0</v>
      </c>
    </row>
    <row r="319" spans="3:29" hidden="1" x14ac:dyDescent="0.25">
      <c r="C319">
        <v>519500</v>
      </c>
      <c r="D319">
        <f>IFERROR(VLOOKUP($A$4&amp;$D$4&amp;C319,BalancesAnuales1!$A$2:$E$20009,5,0)+0,0)/A6</f>
        <v>0</v>
      </c>
      <c r="E319">
        <f>IFERROR(VLOOKUP($A$4&amp;$E$4&amp;C319,BalancesAnuales1!$A$2:$E$20009,5,0)+0,0)/A6</f>
        <v>0</v>
      </c>
      <c r="F319">
        <f>IFERROR(VLOOKUP($A$4&amp;$F$4&amp;C319,BalancesAnuales1!$A$2:$E$20009,5,0)+0,0)/A6</f>
        <v>0</v>
      </c>
      <c r="G319">
        <f>IFERROR(VLOOKUP($A$4&amp;$G$4&amp;C319,BalancesMensuales1!$A$2:$E$20009,5,0)+0,0)/A6</f>
        <v>0</v>
      </c>
      <c r="H319">
        <f>IFERROR(VLOOKUP($A$4&amp;$H$4&amp;C319,BalancesMensuales1!$A$2:$E$20009,5,0)+0,0)/A6</f>
        <v>0</v>
      </c>
      <c r="Z319">
        <f t="shared" si="25"/>
        <v>0</v>
      </c>
      <c r="AA319">
        <f>ClientesRIB!A104</f>
        <v>0</v>
      </c>
      <c r="AB319" t="str">
        <f>ClientesRIB!D104&amp;" - "&amp;ClientesRIB!F104</f>
        <v xml:space="preserve"> - </v>
      </c>
      <c r="AC319">
        <f>ClientesRIB!E104</f>
        <v>0</v>
      </c>
    </row>
    <row r="320" spans="3:29" hidden="1" x14ac:dyDescent="0.25">
      <c r="C320">
        <v>516000</v>
      </c>
      <c r="D320">
        <f>IFERROR(VLOOKUP($A$4&amp;$D$4&amp;C320,BalancesAnuales1!$A$2:$E$20009,5,0)+0,0)/A6</f>
        <v>0</v>
      </c>
      <c r="E320">
        <f>IFERROR(VLOOKUP($A$4&amp;$E$4&amp;C320,BalancesAnuales1!$A$2:$E$20009,5,0)+0,0)/A6</f>
        <v>0</v>
      </c>
      <c r="F320">
        <f>IFERROR(VLOOKUP($A$4&amp;$F$4&amp;C320,BalancesAnuales1!$A$2:$E$20009,5,0)+0,0)/A6</f>
        <v>0</v>
      </c>
      <c r="G320">
        <f>IFERROR(VLOOKUP($A$4&amp;$G$4&amp;C320,BalancesMensuales1!$A$2:$E$20009,5,0)+0,0)/A6</f>
        <v>0</v>
      </c>
      <c r="H320">
        <f>IFERROR(VLOOKUP($A$4&amp;$H$4&amp;C320,BalancesMensuales1!$A$2:$E$20009,5,0)+0,0)/A6</f>
        <v>0</v>
      </c>
      <c r="Z320">
        <f t="shared" si="25"/>
        <v>0</v>
      </c>
      <c r="AA320">
        <f>ClientesRIB!A105</f>
        <v>0</v>
      </c>
      <c r="AB320" t="str">
        <f>ClientesRIB!D105&amp;" - "&amp;ClientesRIB!F105</f>
        <v xml:space="preserve"> - </v>
      </c>
      <c r="AC320">
        <f>ClientesRIB!E105</f>
        <v>0</v>
      </c>
    </row>
    <row r="321" spans="3:29" hidden="1" x14ac:dyDescent="0.25">
      <c r="C321">
        <v>516500</v>
      </c>
      <c r="D321">
        <f>IFERROR(VLOOKUP($A$4&amp;$D$4&amp;C321,BalancesAnuales1!$A$2:$E$20009,5,0)+0,0)/A6</f>
        <v>0</v>
      </c>
      <c r="E321">
        <f>IFERROR(VLOOKUP($A$4&amp;$E$4&amp;C321,BalancesAnuales1!$A$2:$E$20009,5,0)+0,0)/A6</f>
        <v>0</v>
      </c>
      <c r="F321">
        <f>IFERROR(VLOOKUP($A$4&amp;$F$4&amp;C321,BalancesAnuales1!$A$2:$E$20009,5,0)+0,0)/A6</f>
        <v>0</v>
      </c>
      <c r="G321">
        <f>IFERROR(VLOOKUP($A$4&amp;$G$4&amp;C321,BalancesMensuales1!$A$2:$E$20009,5,0)+0,0)/A6</f>
        <v>0</v>
      </c>
      <c r="H321">
        <f>IFERROR(VLOOKUP($A$4&amp;$H$4&amp;C321,BalancesMensuales1!$A$2:$E$20009,5,0)+0,0)/A6</f>
        <v>0</v>
      </c>
      <c r="Z321">
        <f t="shared" si="25"/>
        <v>0</v>
      </c>
      <c r="AA321">
        <f>ClientesRIB!A106</f>
        <v>0</v>
      </c>
      <c r="AB321" t="str">
        <f>ClientesRIB!D106&amp;" - "&amp;ClientesRIB!F106</f>
        <v xml:space="preserve"> - </v>
      </c>
      <c r="AC321">
        <f>ClientesRIB!E106</f>
        <v>0</v>
      </c>
    </row>
    <row r="322" spans="3:29" hidden="1" x14ac:dyDescent="0.25">
      <c r="C322">
        <v>519900</v>
      </c>
      <c r="D322">
        <f>IFERROR(VLOOKUP($A$4&amp;$D$4&amp;C322,BalancesAnuales1!$A$2:$E$20009,5,0)+0,0)/A6</f>
        <v>0</v>
      </c>
      <c r="E322">
        <f>IFERROR(VLOOKUP($A$4&amp;$E$4&amp;C322,BalancesAnuales1!$A$2:$E$20009,5,0)+0,0)/A6</f>
        <v>0</v>
      </c>
      <c r="F322">
        <f>IFERROR(VLOOKUP($A$4&amp;$F$4&amp;C322,BalancesAnuales1!$A$2:$E$20009,5,0)+0,0)/A6</f>
        <v>0</v>
      </c>
      <c r="G322">
        <f>IFERROR(VLOOKUP($A$4&amp;$G$4&amp;C322,BalancesMensuales1!$A$2:$E$20009,5,0)+0,0)/A6</f>
        <v>0</v>
      </c>
      <c r="H322">
        <f>IFERROR(VLOOKUP($A$4&amp;$H$4&amp;C322,BalancesMensuales1!$A$2:$E$20009,5,0)+0,0)/A6</f>
        <v>0</v>
      </c>
      <c r="Z322">
        <f t="shared" si="25"/>
        <v>0</v>
      </c>
      <c r="AA322">
        <f>ClientesRIB!A107</f>
        <v>0</v>
      </c>
      <c r="AB322" t="str">
        <f>ClientesRIB!D107&amp;" - "&amp;ClientesRIB!F107</f>
        <v xml:space="preserve"> - </v>
      </c>
      <c r="AC322">
        <f>ClientesRIB!E107</f>
        <v>0</v>
      </c>
    </row>
    <row r="323" spans="3:29" hidden="1" x14ac:dyDescent="0.25">
      <c r="C323">
        <v>51</v>
      </c>
      <c r="D323">
        <f>IFERROR(VLOOKUP($A$4&amp;$D$4&amp;C323,BalancesAnuales1!$A$2:$E$20009,5,0)+0,0)/A6</f>
        <v>0</v>
      </c>
      <c r="E323">
        <f>IFERROR(VLOOKUP($A$4&amp;$E$4&amp;C323,BalancesAnuales1!$A$2:$E$20009,5,0)+0,0)/A6</f>
        <v>0</v>
      </c>
      <c r="F323">
        <f>IFERROR(VLOOKUP($A$4&amp;$F$4&amp;C323,BalancesAnuales1!$A$2:$E$20009,5,0)+0,0)/A6</f>
        <v>0</v>
      </c>
      <c r="G323">
        <f>IFERROR(VLOOKUP($A$4&amp;$G$4&amp;C323,BalancesMensuales1!$A$2:$E$20009,5,0)+0,0)/A6</f>
        <v>0</v>
      </c>
      <c r="H323">
        <f>IFERROR(VLOOKUP($A$4&amp;$H$4&amp;C323,BalancesMensuales1!$A$2:$E$20009,5,0)+0,0)/A6</f>
        <v>0</v>
      </c>
      <c r="Z323">
        <f t="shared" si="25"/>
        <v>0</v>
      </c>
      <c r="AA323">
        <f>ClientesRIB!A108</f>
        <v>0</v>
      </c>
      <c r="AB323" t="str">
        <f>ClientesRIB!D108&amp;" - "&amp;ClientesRIB!F108</f>
        <v xml:space="preserve"> - </v>
      </c>
      <c r="AC323">
        <f>ClientesRIB!E108</f>
        <v>0</v>
      </c>
    </row>
    <row r="324" spans="3:29" hidden="1" x14ac:dyDescent="0.25">
      <c r="C324">
        <v>520500</v>
      </c>
      <c r="D324">
        <f>IFERROR(VLOOKUP($A$4&amp;$D$4&amp;C324,BalancesAnuales1!$A$2:$E$20009,5,0)+0,0)/A6</f>
        <v>0</v>
      </c>
      <c r="E324">
        <f>IFERROR(VLOOKUP($A$4&amp;$E$4&amp;C324,BalancesAnuales1!$A$2:$E$20009,5,0)+0,0)/A6</f>
        <v>0</v>
      </c>
      <c r="F324">
        <f>IFERROR(VLOOKUP($A$4&amp;$F$4&amp;C324,BalancesAnuales1!$A$2:$E$20009,5,0)+0,0)/A6</f>
        <v>0</v>
      </c>
      <c r="G324">
        <f>IFERROR(VLOOKUP($A$4&amp;$G$4&amp;C324,BalancesMensuales1!$A$2:$E$20009,5,0)+0,0)/A6</f>
        <v>0</v>
      </c>
      <c r="H324">
        <f>IFERROR(VLOOKUP($A$4&amp;$H$4&amp;C324,BalancesMensuales1!$A$2:$E$20009,5,0)+0,0)/A6</f>
        <v>0</v>
      </c>
      <c r="Z324">
        <f t="shared" si="25"/>
        <v>0</v>
      </c>
      <c r="AA324">
        <f>ClientesRIB!A109</f>
        <v>0</v>
      </c>
      <c r="AB324" t="str">
        <f>ClientesRIB!D109&amp;" - "&amp;ClientesRIB!F109</f>
        <v xml:space="preserve"> - </v>
      </c>
      <c r="AC324">
        <f>ClientesRIB!E109</f>
        <v>0</v>
      </c>
    </row>
    <row r="325" spans="3:29" hidden="1" x14ac:dyDescent="0.25">
      <c r="C325">
        <v>521000</v>
      </c>
      <c r="D325">
        <f>IFERROR(VLOOKUP($A$4&amp;$D$4&amp;C325,BalancesAnuales1!$A$2:$E$20009,5,0)+0,0)/A6</f>
        <v>0</v>
      </c>
      <c r="E325">
        <f>IFERROR(VLOOKUP($A$4&amp;$E$4&amp;C325,BalancesAnuales1!$A$2:$E$20009,5,0)+0,0)/A6</f>
        <v>0</v>
      </c>
      <c r="F325">
        <f>IFERROR(VLOOKUP($A$4&amp;$F$4&amp;C325,BalancesAnuales1!$A$2:$E$20009,5,0)+0,0)/A6</f>
        <v>0</v>
      </c>
      <c r="G325">
        <f>IFERROR(VLOOKUP($A$4&amp;$G$4&amp;C325,BalancesMensuales1!$A$2:$E$20009,5,0)+0,0)/A6</f>
        <v>0</v>
      </c>
      <c r="H325">
        <f>IFERROR(VLOOKUP($A$4&amp;$H$4&amp;C325,BalancesMensuales1!$A$2:$E$20009,5,0)+0,0)/A6</f>
        <v>0</v>
      </c>
      <c r="Z325">
        <f t="shared" si="25"/>
        <v>0</v>
      </c>
      <c r="AA325">
        <f>ClientesRIB!A110</f>
        <v>0</v>
      </c>
      <c r="AB325" t="str">
        <f>ClientesRIB!D110&amp;" - "&amp;ClientesRIB!F110</f>
        <v xml:space="preserve"> - </v>
      </c>
      <c r="AC325">
        <f>ClientesRIB!E110</f>
        <v>0</v>
      </c>
    </row>
    <row r="326" spans="3:29" hidden="1" x14ac:dyDescent="0.25">
      <c r="C326">
        <v>521500</v>
      </c>
      <c r="D326">
        <f>IFERROR(VLOOKUP($A$4&amp;$D$4&amp;C326,BalancesAnuales1!$A$2:$E$20009,5,0)+0,0)/A6</f>
        <v>0</v>
      </c>
      <c r="E326">
        <f>IFERROR(VLOOKUP($A$4&amp;$E$4&amp;C326,BalancesAnuales1!$A$2:$E$20009,5,0)+0,0)/A6</f>
        <v>0</v>
      </c>
      <c r="F326">
        <f>IFERROR(VLOOKUP($A$4&amp;$F$4&amp;C326,BalancesAnuales1!$A$2:$E$20009,5,0)+0,0)/A6</f>
        <v>0</v>
      </c>
      <c r="G326">
        <f>IFERROR(VLOOKUP($A$4&amp;$G$4&amp;C326,BalancesMensuales1!$A$2:$E$20009,5,0)+0,0)/A6</f>
        <v>0</v>
      </c>
      <c r="H326">
        <f>IFERROR(VLOOKUP($A$4&amp;$H$4&amp;C326,BalancesMensuales1!$A$2:$E$20009,5,0)+0,0)/A6</f>
        <v>0</v>
      </c>
      <c r="Z326">
        <f t="shared" si="25"/>
        <v>0</v>
      </c>
      <c r="AA326">
        <f>ClientesRIB!A111</f>
        <v>0</v>
      </c>
      <c r="AB326" t="str">
        <f>ClientesRIB!D111&amp;" - "&amp;ClientesRIB!F111</f>
        <v xml:space="preserve"> - </v>
      </c>
      <c r="AC326">
        <f>ClientesRIB!E111</f>
        <v>0</v>
      </c>
    </row>
    <row r="327" spans="3:29" hidden="1" x14ac:dyDescent="0.25">
      <c r="C327">
        <v>522000</v>
      </c>
      <c r="D327">
        <f>IFERROR(VLOOKUP($A$4&amp;$D$4&amp;C327,BalancesAnuales1!$A$2:$E$20009,5,0)+0,0)/A6</f>
        <v>0</v>
      </c>
      <c r="E327">
        <f>IFERROR(VLOOKUP($A$4&amp;$E$4&amp;C327,BalancesAnuales1!$A$2:$E$20009,5,0)+0,0)/A6</f>
        <v>0</v>
      </c>
      <c r="F327">
        <f>IFERROR(VLOOKUP($A$4&amp;$F$4&amp;C327,BalancesAnuales1!$A$2:$E$20009,5,0)+0,0)/A6</f>
        <v>0</v>
      </c>
      <c r="G327">
        <f>IFERROR(VLOOKUP($A$4&amp;$G$4&amp;C327,BalancesMensuales1!$A$2:$E$20009,5,0)+0,0)/A6</f>
        <v>0</v>
      </c>
      <c r="H327">
        <f>IFERROR(VLOOKUP($A$4&amp;$H$4&amp;C327,BalancesMensuales1!$A$2:$E$20009,5,0)+0,0)/A6</f>
        <v>0</v>
      </c>
      <c r="Z327">
        <f t="shared" si="25"/>
        <v>0</v>
      </c>
      <c r="AA327">
        <f>ClientesRIB!A112</f>
        <v>0</v>
      </c>
      <c r="AB327" t="str">
        <f>ClientesRIB!D112&amp;" - "&amp;ClientesRIB!F112</f>
        <v xml:space="preserve"> - </v>
      </c>
      <c r="AC327">
        <f>ClientesRIB!E112</f>
        <v>0</v>
      </c>
    </row>
    <row r="328" spans="3:29" hidden="1" x14ac:dyDescent="0.25">
      <c r="C328">
        <v>522500</v>
      </c>
      <c r="D328">
        <f>IFERROR(VLOOKUP($A$4&amp;$D$4&amp;C328,BalancesAnuales1!$A$2:$E$20009,5,0)+0,0)/A6</f>
        <v>0</v>
      </c>
      <c r="E328">
        <f>IFERROR(VLOOKUP($A$4&amp;$E$4&amp;C328,BalancesAnuales1!$A$2:$E$20009,5,0)+0,0)/A6</f>
        <v>0</v>
      </c>
      <c r="F328">
        <f>IFERROR(VLOOKUP($A$4&amp;$F$4&amp;C328,BalancesAnuales1!$A$2:$E$20009,5,0)+0,0)/A6</f>
        <v>0</v>
      </c>
      <c r="G328">
        <f>IFERROR(VLOOKUP($A$4&amp;$G$4&amp;C328,BalancesMensuales1!$A$2:$E$20009,5,0)+0,0)/A6</f>
        <v>0</v>
      </c>
      <c r="H328">
        <f>IFERROR(VLOOKUP($A$4&amp;$H$4&amp;C328,BalancesMensuales1!$A$2:$E$20009,5,0)+0,0)/A6</f>
        <v>0</v>
      </c>
      <c r="Z328">
        <f t="shared" si="25"/>
        <v>0</v>
      </c>
      <c r="AA328">
        <f>ClientesRIB!A113</f>
        <v>0</v>
      </c>
      <c r="AB328" t="str">
        <f>ClientesRIB!D113&amp;" - "&amp;ClientesRIB!F113</f>
        <v xml:space="preserve"> - </v>
      </c>
      <c r="AC328">
        <f>ClientesRIB!E113</f>
        <v>0</v>
      </c>
    </row>
    <row r="329" spans="3:29" hidden="1" x14ac:dyDescent="0.25">
      <c r="C329">
        <v>523000</v>
      </c>
      <c r="D329">
        <f>IFERROR(VLOOKUP($A$4&amp;$D$4&amp;C329,BalancesAnuales1!$A$2:$E$20009,5,0)+0,0)/A6</f>
        <v>0</v>
      </c>
      <c r="E329">
        <f>IFERROR(VLOOKUP($A$4&amp;$E$4&amp;C329,BalancesAnuales1!$A$2:$E$20009,5,0)+0,0)/A6</f>
        <v>0</v>
      </c>
      <c r="F329">
        <f>IFERROR(VLOOKUP($A$4&amp;$F$4&amp;C329,BalancesAnuales1!$A$2:$E$20009,5,0)+0,0)/A6</f>
        <v>0</v>
      </c>
      <c r="G329">
        <f>IFERROR(VLOOKUP($A$4&amp;$G$4&amp;C329,BalancesMensuales1!$A$2:$E$20009,5,0)+0,0)/A6</f>
        <v>0</v>
      </c>
      <c r="H329">
        <f>IFERROR(VLOOKUP($A$4&amp;$H$4&amp;C329,BalancesMensuales1!$A$2:$E$20009,5,0)+0,0)/A6</f>
        <v>0</v>
      </c>
      <c r="Z329">
        <f t="shared" si="25"/>
        <v>0</v>
      </c>
      <c r="AA329">
        <f>ClientesRIB!A114</f>
        <v>0</v>
      </c>
      <c r="AB329" t="str">
        <f>ClientesRIB!D114&amp;" - "&amp;ClientesRIB!F114</f>
        <v xml:space="preserve"> - </v>
      </c>
      <c r="AC329">
        <f>ClientesRIB!E114</f>
        <v>0</v>
      </c>
    </row>
    <row r="330" spans="3:29" hidden="1" x14ac:dyDescent="0.25">
      <c r="C330">
        <v>523500</v>
      </c>
      <c r="D330">
        <f>IFERROR(VLOOKUP($A$4&amp;$D$4&amp;C330,BalancesAnuales1!$A$2:$E$20009,5,0)+0,0)/A6</f>
        <v>0</v>
      </c>
      <c r="E330">
        <f>IFERROR(VLOOKUP($A$4&amp;$E$4&amp;C330,BalancesAnuales1!$A$2:$E$20009,5,0)+0,0)/A6</f>
        <v>0</v>
      </c>
      <c r="F330">
        <f>IFERROR(VLOOKUP($A$4&amp;$F$4&amp;C330,BalancesAnuales1!$A$2:$E$20009,5,0)+0,0)/A6</f>
        <v>0</v>
      </c>
      <c r="G330">
        <f>IFERROR(VLOOKUP($A$4&amp;$G$4&amp;C330,BalancesMensuales1!$A$2:$E$20009,5,0)+0,0)/A6</f>
        <v>0</v>
      </c>
      <c r="H330">
        <f>IFERROR(VLOOKUP($A$4&amp;$H$4&amp;C330,BalancesMensuales1!$A$2:$E$20009,5,0)+0,0)/A6</f>
        <v>0</v>
      </c>
      <c r="Z330">
        <f t="shared" si="25"/>
        <v>0</v>
      </c>
      <c r="AA330">
        <f>ClientesRIB!A115</f>
        <v>0</v>
      </c>
      <c r="AB330" t="str">
        <f>ClientesRIB!D115&amp;" - "&amp;ClientesRIB!F115</f>
        <v xml:space="preserve"> - </v>
      </c>
      <c r="AC330">
        <f>ClientesRIB!E115</f>
        <v>0</v>
      </c>
    </row>
    <row r="331" spans="3:29" hidden="1" x14ac:dyDescent="0.25">
      <c r="C331">
        <v>524000</v>
      </c>
      <c r="D331">
        <f>IFERROR(VLOOKUP($A$4&amp;$D$4&amp;C331,BalancesAnuales1!$A$2:$E$20009,5,0)+0,0)/A6</f>
        <v>0</v>
      </c>
      <c r="E331">
        <f>IFERROR(VLOOKUP($A$4&amp;$E$4&amp;C331,BalancesAnuales1!$A$2:$E$20009,5,0)+0,0)/A6</f>
        <v>0</v>
      </c>
      <c r="F331">
        <f>IFERROR(VLOOKUP($A$4&amp;$F$4&amp;C331,BalancesAnuales1!$A$2:$E$20009,5,0)+0,0)/A6</f>
        <v>0</v>
      </c>
      <c r="G331">
        <f>IFERROR(VLOOKUP($A$4&amp;$G$4&amp;C331,BalancesMensuales1!$A$2:$E$20009,5,0)+0,0)/A6</f>
        <v>0</v>
      </c>
      <c r="H331">
        <f>IFERROR(VLOOKUP($A$4&amp;$H$4&amp;C331,BalancesMensuales1!$A$2:$E$20009,5,0)+0,0)/A6</f>
        <v>0</v>
      </c>
      <c r="Z331">
        <f t="shared" si="25"/>
        <v>0</v>
      </c>
      <c r="AA331">
        <f>ClientesRIB!A116</f>
        <v>0</v>
      </c>
      <c r="AB331" t="str">
        <f>ClientesRIB!D116&amp;" - "&amp;ClientesRIB!F116</f>
        <v xml:space="preserve"> - </v>
      </c>
      <c r="AC331">
        <f>ClientesRIB!E116</f>
        <v>0</v>
      </c>
    </row>
    <row r="332" spans="3:29" hidden="1" x14ac:dyDescent="0.25">
      <c r="C332">
        <v>524500</v>
      </c>
      <c r="D332">
        <f>IFERROR(VLOOKUP($A$4&amp;$D$4&amp;C332,BalancesAnuales1!$A$2:$E$20009,5,0)+0,0)/A6</f>
        <v>0</v>
      </c>
      <c r="E332">
        <f>IFERROR(VLOOKUP($A$4&amp;$E$4&amp;C332,BalancesAnuales1!$A$2:$E$20009,5,0)+0,0)/A6</f>
        <v>0</v>
      </c>
      <c r="F332">
        <f>IFERROR(VLOOKUP($A$4&amp;$F$4&amp;C332,BalancesAnuales1!$A$2:$E$20009,5,0)+0,0)/A6</f>
        <v>0</v>
      </c>
      <c r="G332">
        <f>IFERROR(VLOOKUP($A$4&amp;$G$4&amp;C332,BalancesMensuales1!$A$2:$E$20009,5,0)+0,0)/A6</f>
        <v>0</v>
      </c>
      <c r="H332">
        <f>IFERROR(VLOOKUP($A$4&amp;$H$4&amp;C332,BalancesMensuales1!$A$2:$E$20009,5,0)+0,0)/A6</f>
        <v>0</v>
      </c>
      <c r="Z332">
        <f t="shared" si="25"/>
        <v>0</v>
      </c>
      <c r="AA332">
        <f>ClientesRIB!A117</f>
        <v>0</v>
      </c>
      <c r="AB332" t="str">
        <f>ClientesRIB!D117&amp;" - "&amp;ClientesRIB!F117</f>
        <v xml:space="preserve"> - </v>
      </c>
      <c r="AC332">
        <f>ClientesRIB!E117</f>
        <v>0</v>
      </c>
    </row>
    <row r="333" spans="3:29" hidden="1" x14ac:dyDescent="0.25">
      <c r="C333">
        <v>525000</v>
      </c>
      <c r="D333">
        <f>IFERROR(VLOOKUP($A$4&amp;$D$4&amp;C333,BalancesAnuales1!$A$2:$E$20009,5,0)+0,0)/A6</f>
        <v>0</v>
      </c>
      <c r="E333">
        <f>IFERROR(VLOOKUP($A$4&amp;$E$4&amp;C333,BalancesAnuales1!$A$2:$E$20009,5,0)+0,0)/A6</f>
        <v>0</v>
      </c>
      <c r="F333">
        <f>IFERROR(VLOOKUP($A$4&amp;$F$4&amp;C333,BalancesAnuales1!$A$2:$E$20009,5,0)+0,0)/A6</f>
        <v>0</v>
      </c>
      <c r="G333">
        <f>IFERROR(VLOOKUP($A$4&amp;$G$4&amp;C333,BalancesMensuales1!$A$2:$E$20009,5,0)+0,0)/A6</f>
        <v>0</v>
      </c>
      <c r="H333">
        <f>IFERROR(VLOOKUP($A$4&amp;$H$4&amp;C333,BalancesMensuales1!$A$2:$E$20009,5,0)+0,0)/A6</f>
        <v>0</v>
      </c>
      <c r="Z333">
        <f t="shared" si="25"/>
        <v>0</v>
      </c>
      <c r="AA333">
        <f>ClientesRIB!A118</f>
        <v>0</v>
      </c>
      <c r="AB333" t="str">
        <f>ClientesRIB!D118&amp;" - "&amp;ClientesRIB!F118</f>
        <v xml:space="preserve"> - </v>
      </c>
      <c r="AC333">
        <f>ClientesRIB!E118</f>
        <v>0</v>
      </c>
    </row>
    <row r="334" spans="3:29" hidden="1" x14ac:dyDescent="0.25">
      <c r="C334">
        <v>525500</v>
      </c>
      <c r="D334">
        <f>IFERROR(VLOOKUP($A$4&amp;$D$4&amp;C334,BalancesAnuales1!$A$2:$E$20009,5,0)+0,0)/A6</f>
        <v>0</v>
      </c>
      <c r="E334">
        <f>IFERROR(VLOOKUP($A$4&amp;$E$4&amp;C334,BalancesAnuales1!$A$2:$E$20009,5,0)+0,0)/A6</f>
        <v>0</v>
      </c>
      <c r="F334">
        <f>IFERROR(VLOOKUP($A$4&amp;$F$4&amp;C334,BalancesAnuales1!$A$2:$E$20009,5,0)+0,0)/A6</f>
        <v>0</v>
      </c>
      <c r="G334">
        <f>IFERROR(VLOOKUP($A$4&amp;$G$4&amp;C334,BalancesMensuales1!$A$2:$E$20009,5,0)+0,0)/A6</f>
        <v>0</v>
      </c>
      <c r="H334">
        <f>IFERROR(VLOOKUP($A$4&amp;$H$4&amp;C334,BalancesMensuales1!$A$2:$E$20009,5,0)+0,0)/A6</f>
        <v>0</v>
      </c>
      <c r="Z334">
        <f t="shared" si="25"/>
        <v>0</v>
      </c>
      <c r="AA334">
        <f>ClientesRIB!A119</f>
        <v>0</v>
      </c>
      <c r="AB334" t="str">
        <f>ClientesRIB!D119&amp;" - "&amp;ClientesRIB!F119</f>
        <v xml:space="preserve"> - </v>
      </c>
      <c r="AC334">
        <f>ClientesRIB!E119</f>
        <v>0</v>
      </c>
    </row>
    <row r="335" spans="3:29" hidden="1" x14ac:dyDescent="0.25">
      <c r="C335">
        <v>529500</v>
      </c>
      <c r="D335">
        <f>IFERROR(VLOOKUP($A$4&amp;$D$4&amp;C335,BalancesAnuales1!$A$2:$E$20009,5,0)+0,0)/A6</f>
        <v>0</v>
      </c>
      <c r="E335">
        <f>IFERROR(VLOOKUP($A$4&amp;$E$4&amp;C335,BalancesAnuales1!$A$2:$E$20009,5,0)+0,0)/A6</f>
        <v>0</v>
      </c>
      <c r="F335">
        <f>IFERROR(VLOOKUP($A$4&amp;$F$4&amp;C335,BalancesAnuales1!$A$2:$E$20009,5,0)+0,0)/A6</f>
        <v>0</v>
      </c>
      <c r="G335">
        <f>IFERROR(VLOOKUP($A$4&amp;$G$4&amp;C335,BalancesMensuales1!$A$2:$E$20009,5,0)+0,0)/A6</f>
        <v>0</v>
      </c>
      <c r="H335">
        <f>IFERROR(VLOOKUP($A$4&amp;$H$4&amp;C335,BalancesMensuales1!$A$2:$E$20009,5,0)+0,0)/A6</f>
        <v>0</v>
      </c>
      <c r="Z335">
        <f t="shared" si="25"/>
        <v>0</v>
      </c>
      <c r="AA335">
        <f>ClientesRIB!A120</f>
        <v>0</v>
      </c>
      <c r="AB335" t="str">
        <f>ClientesRIB!D120&amp;" - "&amp;ClientesRIB!F120</f>
        <v xml:space="preserve"> - </v>
      </c>
      <c r="AC335">
        <f>ClientesRIB!E120</f>
        <v>0</v>
      </c>
    </row>
    <row r="336" spans="3:29" hidden="1" x14ac:dyDescent="0.25">
      <c r="C336">
        <v>526000</v>
      </c>
      <c r="D336">
        <f>IFERROR(VLOOKUP($A$4&amp;$D$4&amp;C336,BalancesAnuales1!$A$2:$E$20009,5,0)+0,0)/A6</f>
        <v>0</v>
      </c>
      <c r="E336">
        <f>IFERROR(VLOOKUP($A$4&amp;$E$4&amp;C336,BalancesAnuales1!$A$2:$E$20009,5,0)+0,0)/A6</f>
        <v>0</v>
      </c>
      <c r="F336">
        <f>IFERROR(VLOOKUP($A$4&amp;$F$4&amp;C336,BalancesAnuales1!$A$2:$E$20009,5,0)+0,0)/A6</f>
        <v>0</v>
      </c>
      <c r="G336">
        <f>IFERROR(VLOOKUP($A$4&amp;$G$4&amp;C336,BalancesMensuales1!$A$2:$E$20009,5,0)+0,0)/A6</f>
        <v>0</v>
      </c>
      <c r="H336">
        <f>IFERROR(VLOOKUP($A$4&amp;$H$4&amp;C336,BalancesMensuales1!$A$2:$E$20009,5,0)+0,0)/A6</f>
        <v>0</v>
      </c>
      <c r="Z336">
        <f t="shared" si="25"/>
        <v>0</v>
      </c>
      <c r="AA336">
        <f>ClientesRIB!A121</f>
        <v>0</v>
      </c>
      <c r="AB336" t="str">
        <f>ClientesRIB!D121&amp;" - "&amp;ClientesRIB!F121</f>
        <v xml:space="preserve"> - </v>
      </c>
      <c r="AC336">
        <f>ClientesRIB!E121</f>
        <v>0</v>
      </c>
    </row>
    <row r="337" spans="3:29" hidden="1" x14ac:dyDescent="0.25">
      <c r="C337">
        <v>526500</v>
      </c>
      <c r="D337">
        <f>IFERROR(VLOOKUP($A$4&amp;$D$4&amp;C337,BalancesAnuales1!$A$2:$E$20009,5,0)+0,0)/A6</f>
        <v>0</v>
      </c>
      <c r="E337">
        <f>IFERROR(VLOOKUP($A$4&amp;$E$4&amp;C337,BalancesAnuales1!$A$2:$E$20009,5,0)+0,0)/A6</f>
        <v>0</v>
      </c>
      <c r="F337">
        <f>IFERROR(VLOOKUP($A$4&amp;$F$4&amp;C337,BalancesAnuales1!$A$2:$E$20009,5,0)+0,0)/A6</f>
        <v>0</v>
      </c>
      <c r="G337">
        <f>IFERROR(VLOOKUP($A$4&amp;$G$4&amp;C337,BalancesMensuales1!$A$2:$E$20009,5,0)+0,0)/A6</f>
        <v>0</v>
      </c>
      <c r="H337">
        <f>IFERROR(VLOOKUP($A$4&amp;$H$4&amp;C337,BalancesMensuales1!$A$2:$E$20009,5,0)+0,0)/A6</f>
        <v>0</v>
      </c>
      <c r="Z337">
        <f t="shared" si="25"/>
        <v>0</v>
      </c>
      <c r="AA337">
        <f>ClientesRIB!A122</f>
        <v>0</v>
      </c>
      <c r="AB337" t="str">
        <f>ClientesRIB!D122&amp;" - "&amp;ClientesRIB!F122</f>
        <v xml:space="preserve"> - </v>
      </c>
      <c r="AC337">
        <f>ClientesRIB!E122</f>
        <v>0</v>
      </c>
    </row>
    <row r="338" spans="3:29" hidden="1" x14ac:dyDescent="0.25">
      <c r="C338">
        <v>529900</v>
      </c>
      <c r="D338">
        <f>IFERROR(VLOOKUP($A$4&amp;$D$4&amp;C338,BalancesAnuales1!$A$2:$E$20009,5,0)+0,0)/A6</f>
        <v>0</v>
      </c>
      <c r="E338">
        <f>IFERROR(VLOOKUP($A$4&amp;$E$4&amp;C338,BalancesAnuales1!$A$2:$E$20009,5,0)+0,0)/A6</f>
        <v>0</v>
      </c>
      <c r="F338">
        <f>IFERROR(VLOOKUP($A$4&amp;$F$4&amp;C338,BalancesAnuales1!$A$2:$E$20009,5,0)+0,0)/A6</f>
        <v>0</v>
      </c>
      <c r="G338">
        <f>IFERROR(VLOOKUP($A$4&amp;$G$4&amp;C338,BalancesMensuales1!$A$2:$E$20009,5,0)+0,0)/A6</f>
        <v>0</v>
      </c>
      <c r="H338">
        <f>IFERROR(VLOOKUP($A$4&amp;$H$4&amp;C338,BalancesMensuales1!$A$2:$E$20009,5,0)+0,0)/A6</f>
        <v>0</v>
      </c>
      <c r="Z338">
        <f t="shared" si="25"/>
        <v>0</v>
      </c>
      <c r="AA338">
        <f>ClientesRIB!A123</f>
        <v>0</v>
      </c>
      <c r="AB338" t="str">
        <f>ClientesRIB!D123&amp;" - "&amp;ClientesRIB!F123</f>
        <v xml:space="preserve"> - </v>
      </c>
      <c r="AC338">
        <f>ClientesRIB!E123</f>
        <v>0</v>
      </c>
    </row>
    <row r="339" spans="3:29" hidden="1" x14ac:dyDescent="0.25">
      <c r="C339">
        <v>52</v>
      </c>
      <c r="D339">
        <f>IFERROR(VLOOKUP($A$4&amp;$D$4&amp;C339,BalancesAnuales1!$A$2:$E$20009,5,0)+0,0)/A6</f>
        <v>0</v>
      </c>
      <c r="E339">
        <f>IFERROR(VLOOKUP($A$4&amp;$E$4&amp;C339,BalancesAnuales1!$A$2:$E$20009,5,0)+0,0)/A6</f>
        <v>0</v>
      </c>
      <c r="F339">
        <f>IFERROR(VLOOKUP($A$4&amp;$F$4&amp;C339,BalancesAnuales1!$A$2:$E$20009,5,0)+0,0)/A6</f>
        <v>0</v>
      </c>
      <c r="G339">
        <f>IFERROR(VLOOKUP($A$4&amp;$G$4&amp;C339,BalancesMensuales1!$A$2:$E$20009,5,0)+0,0)/A6</f>
        <v>0</v>
      </c>
      <c r="H339">
        <f>IFERROR(VLOOKUP($A$4&amp;$H$4&amp;C339,BalancesMensuales1!$A$2:$E$20009,5,0)+0,0)/A6</f>
        <v>0</v>
      </c>
      <c r="Z339">
        <f t="shared" si="25"/>
        <v>0</v>
      </c>
      <c r="AA339">
        <f>ClientesRIB!A124</f>
        <v>0</v>
      </c>
      <c r="AB339" t="str">
        <f>ClientesRIB!D124&amp;" - "&amp;ClientesRIB!F124</f>
        <v xml:space="preserve"> - </v>
      </c>
      <c r="AC339">
        <f>ClientesRIB!E124</f>
        <v>0</v>
      </c>
    </row>
    <row r="340" spans="3:29" hidden="1" x14ac:dyDescent="0.25">
      <c r="C340">
        <v>96</v>
      </c>
      <c r="D340">
        <f>IFERROR(VLOOKUP($A$4&amp;$D$4&amp;C340,BalancesAnuales1!$A$2:$E$20009,5,0)+0,0)/A6</f>
        <v>0</v>
      </c>
      <c r="E340">
        <f>IFERROR(VLOOKUP($A$4&amp;$E$4&amp;C340,BalancesAnuales1!$A$2:$E$20009,5,0)+0,0)/A6</f>
        <v>0</v>
      </c>
      <c r="F340">
        <f>IFERROR(VLOOKUP($A$4&amp;$F$4&amp;C340,BalancesAnuales1!$A$2:$E$20009,5,0)+0,0)/A6</f>
        <v>0</v>
      </c>
      <c r="G340">
        <f>IFERROR(VLOOKUP($A$4&amp;$G$4&amp;C340,BalancesMensuales1!$A$2:$E$20009,5,0)+0,0)/A6</f>
        <v>0</v>
      </c>
      <c r="H340">
        <f>IFERROR(VLOOKUP($A$4&amp;$H$4&amp;C340,BalancesMensuales1!$A$2:$E$20009,5,0)+0,0)/A6</f>
        <v>0</v>
      </c>
      <c r="Z340">
        <f t="shared" si="25"/>
        <v>0</v>
      </c>
      <c r="AA340">
        <f>ClientesRIB!A125</f>
        <v>0</v>
      </c>
      <c r="AB340" t="str">
        <f>ClientesRIB!D125&amp;" - "&amp;ClientesRIB!F125</f>
        <v xml:space="preserve"> - </v>
      </c>
      <c r="AC340">
        <f>ClientesRIB!E125</f>
        <v>0</v>
      </c>
    </row>
    <row r="341" spans="3:29" hidden="1" x14ac:dyDescent="0.25">
      <c r="C341">
        <v>421000</v>
      </c>
      <c r="D341">
        <f>IFERROR(VLOOKUP($A$4&amp;$D$4&amp;C341,BalancesAnuales1!$A$2:$E$20009,5,0)+0,0)/A6</f>
        <v>0</v>
      </c>
      <c r="E341">
        <f>IFERROR(VLOOKUP($A$4&amp;$E$4&amp;C341,BalancesAnuales1!$A$2:$E$20009,5,0)+0,0)/A6</f>
        <v>0</v>
      </c>
      <c r="F341">
        <f>IFERROR(VLOOKUP($A$4&amp;$F$4&amp;C341,BalancesAnuales1!$A$2:$E$20009,5,0)+0,0)/A6</f>
        <v>0</v>
      </c>
      <c r="G341">
        <f>IFERROR(VLOOKUP($A$4&amp;$G$4&amp;C341,BalancesMensuales1!$A$2:$E$20009,5,0)+0,0)/A6</f>
        <v>0</v>
      </c>
      <c r="H341">
        <f>IFERROR(VLOOKUP($A$4&amp;$H$4&amp;C341,BalancesMensuales1!$A$2:$E$20009,5,0)+0,0)/A6</f>
        <v>0</v>
      </c>
      <c r="Z341">
        <f t="shared" si="25"/>
        <v>0</v>
      </c>
      <c r="AA341">
        <f>ClientesRIB!A126</f>
        <v>0</v>
      </c>
      <c r="AB341" t="str">
        <f>ClientesRIB!D126&amp;" - "&amp;ClientesRIB!F126</f>
        <v xml:space="preserve"> - </v>
      </c>
      <c r="AC341">
        <f>ClientesRIB!E126</f>
        <v>0</v>
      </c>
    </row>
    <row r="342" spans="3:29" hidden="1" x14ac:dyDescent="0.25">
      <c r="C342">
        <v>421020</v>
      </c>
      <c r="D342">
        <f>IFERROR(VLOOKUP($A$4&amp;$D$4&amp;C342,BalancesAnuales1!$A$2:$E$20009,5,0)+0,0)/A6</f>
        <v>0</v>
      </c>
      <c r="E342">
        <f>IFERROR(VLOOKUP($A$4&amp;$E$4&amp;C342,BalancesAnuales1!$A$2:$E$20009,5,0)+0,0)/A6</f>
        <v>0</v>
      </c>
      <c r="F342">
        <f>IFERROR(VLOOKUP($A$4&amp;$F$4&amp;C342,BalancesAnuales1!$A$2:$E$20009,5,0)+0,0)/A6</f>
        <v>0</v>
      </c>
      <c r="G342">
        <f>IFERROR(VLOOKUP($A$4&amp;$G$4&amp;C342,BalancesMensuales1!$A$2:$E$20009,5,0)+0,0)/A6</f>
        <v>0</v>
      </c>
      <c r="H342">
        <f>IFERROR(VLOOKUP($A$4&amp;$H$4&amp;C342,BalancesMensuales1!$A$2:$E$20009,5,0)+0,0)/A6</f>
        <v>0</v>
      </c>
      <c r="Z342">
        <f t="shared" si="25"/>
        <v>0</v>
      </c>
      <c r="AA342">
        <f>ClientesRIB!A127</f>
        <v>0</v>
      </c>
      <c r="AB342" t="str">
        <f>ClientesRIB!D127&amp;" - "&amp;ClientesRIB!F127</f>
        <v xml:space="preserve"> - </v>
      </c>
      <c r="AC342">
        <f>ClientesRIB!E127</f>
        <v>0</v>
      </c>
    </row>
    <row r="343" spans="3:29" hidden="1" x14ac:dyDescent="0.25">
      <c r="C343">
        <v>420500</v>
      </c>
      <c r="D343">
        <f>IFERROR(VLOOKUP($A$4&amp;$D$4&amp;C343,BalancesAnuales1!$A$2:$E$20009,5,0)+0,0)/A6</f>
        <v>0</v>
      </c>
      <c r="E343">
        <f>IFERROR(VLOOKUP($A$4&amp;$E$4&amp;C343,BalancesAnuales1!$A$2:$E$20009,5,0)+0,0)/A6</f>
        <v>0</v>
      </c>
      <c r="F343">
        <f>IFERROR(VLOOKUP($A$4&amp;$F$4&amp;C343,BalancesAnuales1!$A$2:$E$20009,5,0)+0,0)/A6</f>
        <v>0</v>
      </c>
      <c r="G343">
        <f>IFERROR(VLOOKUP($A$4&amp;$G$4&amp;C343,BalancesMensuales1!$A$2:$E$20009,5,0)+0,0)/A6</f>
        <v>0</v>
      </c>
      <c r="H343">
        <f>IFERROR(VLOOKUP($A$4&amp;$H$4&amp;C343,BalancesMensuales1!$A$2:$E$20009,5,0)+0,0)/A6</f>
        <v>0</v>
      </c>
      <c r="Z343">
        <f t="shared" si="25"/>
        <v>0</v>
      </c>
      <c r="AA343">
        <f>ClientesRIB!A128</f>
        <v>0</v>
      </c>
      <c r="AB343" t="str">
        <f>ClientesRIB!D128&amp;" - "&amp;ClientesRIB!F128</f>
        <v xml:space="preserve"> - </v>
      </c>
      <c r="AC343">
        <f>ClientesRIB!E128</f>
        <v>0</v>
      </c>
    </row>
    <row r="344" spans="3:29" hidden="1" x14ac:dyDescent="0.25">
      <c r="C344">
        <v>421040</v>
      </c>
      <c r="D344">
        <f>IFERROR(VLOOKUP($A$4&amp;$D$4&amp;C344,BalancesAnuales1!$A$2:$E$20009,5,0)+0,0)/A6</f>
        <v>0</v>
      </c>
      <c r="E344">
        <f>IFERROR(VLOOKUP($A$4&amp;$E$4&amp;C344,BalancesAnuales1!$A$2:$E$20009,5,0)+0,0)/A6</f>
        <v>0</v>
      </c>
      <c r="F344">
        <f>IFERROR(VLOOKUP($A$4&amp;$F$4&amp;C344,BalancesAnuales1!$A$2:$E$20009,5,0)+0,0)/A6</f>
        <v>0</v>
      </c>
      <c r="G344">
        <f>IFERROR(VLOOKUP($A$4&amp;$G$4&amp;C344,BalancesMensuales1!$A$2:$E$20009,5,0)+0,0)/A6</f>
        <v>0</v>
      </c>
      <c r="H344">
        <f>IFERROR(VLOOKUP($A$4&amp;$H$4&amp;C344,BalancesMensuales1!$A$2:$E$20009,5,0)+0,0)/A6</f>
        <v>0</v>
      </c>
      <c r="Z344">
        <f t="shared" si="25"/>
        <v>0</v>
      </c>
      <c r="AA344">
        <f>ClientesRIB!A129</f>
        <v>0</v>
      </c>
      <c r="AB344" t="str">
        <f>ClientesRIB!D129&amp;" - "&amp;ClientesRIB!F129</f>
        <v xml:space="preserve"> - </v>
      </c>
      <c r="AC344">
        <f>ClientesRIB!E129</f>
        <v>0</v>
      </c>
    </row>
    <row r="345" spans="3:29" hidden="1" x14ac:dyDescent="0.25">
      <c r="C345">
        <v>421500</v>
      </c>
      <c r="D345">
        <f>IFERROR(VLOOKUP($A$4&amp;$D$4&amp;C345,BalancesAnuales1!$A$2:$E$20009,5,0)+0,0)/A6</f>
        <v>0</v>
      </c>
      <c r="E345">
        <f>IFERROR(VLOOKUP($A$4&amp;$E$4&amp;C345,BalancesAnuales1!$A$2:$E$20009,5,0)+0,0)/A6</f>
        <v>0</v>
      </c>
      <c r="F345">
        <f>IFERROR(VLOOKUP($A$4&amp;$F$4&amp;C345,BalancesAnuales1!$A$2:$E$20009,5,0)+0,0)/A6</f>
        <v>0</v>
      </c>
      <c r="G345">
        <f>IFERROR(VLOOKUP($A$4&amp;$G$4&amp;C345,BalancesMensuales1!$A$2:$E$20009,5,0)+0,0)/A6</f>
        <v>0</v>
      </c>
      <c r="H345">
        <f>IFERROR(VLOOKUP($A$4&amp;$H$4&amp;C345,BalancesMensuales1!$A$2:$E$20009,5,0)+0,0)/A6</f>
        <v>0</v>
      </c>
      <c r="Z345">
        <f t="shared" si="25"/>
        <v>0</v>
      </c>
      <c r="AA345">
        <f>ClientesRIB!A130</f>
        <v>0</v>
      </c>
      <c r="AB345" t="str">
        <f>ClientesRIB!D130&amp;" - "&amp;ClientesRIB!F130</f>
        <v xml:space="preserve"> - </v>
      </c>
      <c r="AC345">
        <f>ClientesRIB!E130</f>
        <v>0</v>
      </c>
    </row>
    <row r="346" spans="3:29" hidden="1" x14ac:dyDescent="0.25">
      <c r="C346">
        <v>422000</v>
      </c>
      <c r="D346">
        <f>IFERROR(VLOOKUP($A$4&amp;$D$4&amp;C346,BalancesAnuales1!$A$2:$E$20009,5,0)+0,0)/A6</f>
        <v>0</v>
      </c>
      <c r="E346">
        <f>IFERROR(VLOOKUP($A$4&amp;$E$4&amp;C346,BalancesAnuales1!$A$2:$E$20009,5,0)+0,0)/A6</f>
        <v>0</v>
      </c>
      <c r="F346">
        <f>IFERROR(VLOOKUP($A$4&amp;$F$4&amp;C346,BalancesAnuales1!$A$2:$E$20009,5,0)+0,0)/A6</f>
        <v>0</v>
      </c>
      <c r="G346">
        <f>IFERROR(VLOOKUP($A$4&amp;$G$4&amp;C346,BalancesMensuales1!$A$2:$E$20009,5,0)+0,0)/A6</f>
        <v>0</v>
      </c>
      <c r="H346">
        <f>IFERROR(VLOOKUP($A$4&amp;$H$4&amp;C346,BalancesMensuales1!$A$2:$E$20009,5,0)+0,0)/A6</f>
        <v>0</v>
      </c>
      <c r="Z346">
        <f t="shared" ref="Z346:Z367" si="26">IF(AA346=$A$4,Z345+1,0)</f>
        <v>0</v>
      </c>
      <c r="AA346">
        <f>ClientesRIB!A131</f>
        <v>0</v>
      </c>
      <c r="AB346" t="str">
        <f>ClientesRIB!D131&amp;" - "&amp;ClientesRIB!F131</f>
        <v xml:space="preserve"> - </v>
      </c>
      <c r="AC346">
        <f>ClientesRIB!E131</f>
        <v>0</v>
      </c>
    </row>
    <row r="347" spans="3:29" hidden="1" x14ac:dyDescent="0.25">
      <c r="C347">
        <v>422500</v>
      </c>
      <c r="D347">
        <f>IFERROR(VLOOKUP($A$4&amp;$D$4&amp;C347,BalancesAnuales1!$A$2:$E$20009,5,0)+0,0)/A6</f>
        <v>0</v>
      </c>
      <c r="E347">
        <f>IFERROR(VLOOKUP($A$4&amp;$E$4&amp;C347,BalancesAnuales1!$A$2:$E$20009,5,0)+0,0)/A6</f>
        <v>0</v>
      </c>
      <c r="F347">
        <f>IFERROR(VLOOKUP($A$4&amp;$F$4&amp;C347,BalancesAnuales1!$A$2:$E$20009,5,0)+0,0)/A6</f>
        <v>0</v>
      </c>
      <c r="G347">
        <f>IFERROR(VLOOKUP($A$4&amp;$G$4&amp;C347,BalancesMensuales1!$A$2:$E$20009,5,0)+0,0)/A6</f>
        <v>0</v>
      </c>
      <c r="H347">
        <f>IFERROR(VLOOKUP($A$4&amp;$H$4&amp;C347,BalancesMensuales1!$A$2:$E$20009,5,0)+0,0)/A6</f>
        <v>0</v>
      </c>
      <c r="Z347">
        <f t="shared" si="26"/>
        <v>0</v>
      </c>
      <c r="AA347">
        <f>ClientesRIB!A132</f>
        <v>0</v>
      </c>
      <c r="AB347" t="str">
        <f>ClientesRIB!D132&amp;" - "&amp;ClientesRIB!F132</f>
        <v xml:space="preserve"> - </v>
      </c>
      <c r="AC347">
        <f>ClientesRIB!E132</f>
        <v>0</v>
      </c>
    </row>
    <row r="348" spans="3:29" hidden="1" x14ac:dyDescent="0.25">
      <c r="C348">
        <v>423500</v>
      </c>
      <c r="D348">
        <f>IFERROR(VLOOKUP($A$4&amp;$D$4&amp;C348,BalancesAnuales1!$A$2:$E$20009,5,0)+0,0)/A6</f>
        <v>0</v>
      </c>
      <c r="E348">
        <f>IFERROR(VLOOKUP($A$4&amp;$E$4&amp;C348,BalancesAnuales1!$A$2:$E$20009,5,0)+0,0)/A6</f>
        <v>0</v>
      </c>
      <c r="F348">
        <f>IFERROR(VLOOKUP($A$4&amp;$F$4&amp;C348,BalancesAnuales1!$A$2:$E$20009,5,0)+0,0)/A6</f>
        <v>0</v>
      </c>
      <c r="G348">
        <f>IFERROR(VLOOKUP($A$4&amp;$G$4&amp;C348,BalancesMensuales1!$A$2:$E$20009,5,0)+0,0)/A6</f>
        <v>0</v>
      </c>
      <c r="H348">
        <f>IFERROR(VLOOKUP($A$4&amp;$H$4&amp;C348,BalancesMensuales1!$A$2:$E$20009,5,0)+0,0)/A6</f>
        <v>0</v>
      </c>
      <c r="Z348">
        <f t="shared" si="26"/>
        <v>0</v>
      </c>
      <c r="AA348">
        <f>ClientesRIB!A133</f>
        <v>0</v>
      </c>
      <c r="AB348" t="str">
        <f>ClientesRIB!D133&amp;" - "&amp;ClientesRIB!F133</f>
        <v xml:space="preserve"> - </v>
      </c>
      <c r="AC348">
        <f>ClientesRIB!E133</f>
        <v>0</v>
      </c>
    </row>
    <row r="349" spans="3:29" hidden="1" x14ac:dyDescent="0.25">
      <c r="C349">
        <v>424000</v>
      </c>
      <c r="D349">
        <f>IFERROR(VLOOKUP($A$4&amp;$D$4&amp;C349,BalancesAnuales1!$A$2:$E$20009,5,0)+0,0)/A6</f>
        <v>0</v>
      </c>
      <c r="E349">
        <f>IFERROR(VLOOKUP($A$4&amp;$E$4&amp;C349,BalancesAnuales1!$A$2:$E$20009,5,0)+0,0)/A6</f>
        <v>0</v>
      </c>
      <c r="F349">
        <f>IFERROR(VLOOKUP($A$4&amp;$F$4&amp;C349,BalancesAnuales1!$A$2:$E$20009,5,0)+0,0)/A6</f>
        <v>0</v>
      </c>
      <c r="G349">
        <f>IFERROR(VLOOKUP($A$4&amp;$G$4&amp;C349,BalancesMensuales1!$A$2:$E$20009,5,0)+0,0)/A6</f>
        <v>0</v>
      </c>
      <c r="H349">
        <f>IFERROR(VLOOKUP($A$4&amp;$H$4&amp;C349,BalancesMensuales1!$A$2:$E$20009,5,0)+0,0)/A6</f>
        <v>0</v>
      </c>
      <c r="Z349">
        <f t="shared" si="26"/>
        <v>0</v>
      </c>
      <c r="AA349">
        <f>ClientesRIB!A134</f>
        <v>0</v>
      </c>
      <c r="AB349" t="str">
        <f>ClientesRIB!D134&amp;" - "&amp;ClientesRIB!F134</f>
        <v xml:space="preserve"> - </v>
      </c>
      <c r="AC349">
        <f>ClientesRIB!E134</f>
        <v>0</v>
      </c>
    </row>
    <row r="350" spans="3:29" hidden="1" x14ac:dyDescent="0.25">
      <c r="C350">
        <v>425000</v>
      </c>
      <c r="D350">
        <f>IFERROR(VLOOKUP($A$4&amp;$D$4&amp;C350,BalancesAnuales1!$A$2:$E$20009,5,0)+0,0)/A6</f>
        <v>0</v>
      </c>
      <c r="E350">
        <f>IFERROR(VLOOKUP($A$4&amp;$E$4&amp;C350,BalancesAnuales1!$A$2:$E$20009,5,0)+0,0)/A6</f>
        <v>0</v>
      </c>
      <c r="F350">
        <f>IFERROR(VLOOKUP($A$4&amp;$F$4&amp;C350,BalancesAnuales1!$A$2:$E$20009,5,0)+0,0)/A6</f>
        <v>0</v>
      </c>
      <c r="G350">
        <f>IFERROR(VLOOKUP($A$4&amp;$G$4&amp;C350,BalancesMensuales1!$A$2:$E$20009,5,0)+0,0)/A6</f>
        <v>0</v>
      </c>
      <c r="H350">
        <f>IFERROR(VLOOKUP($A$4&amp;$H$4&amp;C350,BalancesMensuales1!$A$2:$E$20009,5,0)+0,0)/A6</f>
        <v>0</v>
      </c>
      <c r="Z350">
        <f t="shared" si="26"/>
        <v>0</v>
      </c>
      <c r="AA350">
        <f>ClientesRIB!A135</f>
        <v>0</v>
      </c>
      <c r="AB350" t="str">
        <f>ClientesRIB!D135&amp;" - "&amp;ClientesRIB!F135</f>
        <v xml:space="preserve"> - </v>
      </c>
      <c r="AC350">
        <f>ClientesRIB!E135</f>
        <v>0</v>
      </c>
    </row>
    <row r="351" spans="3:29" hidden="1" x14ac:dyDescent="0.25">
      <c r="C351">
        <v>426500</v>
      </c>
      <c r="D351">
        <f>IFERROR(VLOOKUP($A$4&amp;$D$4&amp;C351,BalancesAnuales1!$A$2:$E$20009,5,0)+0,0)/A6</f>
        <v>0</v>
      </c>
      <c r="E351">
        <f>IFERROR(VLOOKUP($A$4&amp;$E$4&amp;C351,BalancesAnuales1!$A$2:$E$20009,5,0)+0,0)/A6</f>
        <v>0</v>
      </c>
      <c r="F351">
        <f>IFERROR(VLOOKUP($A$4&amp;$F$4&amp;C351,BalancesAnuales1!$A$2:$E$20009,5,0)+0,0)/A6</f>
        <v>0</v>
      </c>
      <c r="G351">
        <f>IFERROR(VLOOKUP($A$4&amp;$G$4&amp;C351,BalancesMensuales1!$A$2:$E$20009,5,0)+0,0)/A6</f>
        <v>0</v>
      </c>
      <c r="H351">
        <f>IFERROR(VLOOKUP($A$4&amp;$H$4&amp;C351,BalancesMensuales1!$A$2:$E$20009,5,0)+0,0)/A6</f>
        <v>0</v>
      </c>
      <c r="Z351">
        <f t="shared" si="26"/>
        <v>0</v>
      </c>
      <c r="AA351">
        <f>ClientesRIB!A136</f>
        <v>0</v>
      </c>
      <c r="AB351" t="str">
        <f>ClientesRIB!D136&amp;" - "&amp;ClientesRIB!F136</f>
        <v xml:space="preserve"> - </v>
      </c>
      <c r="AC351">
        <f>ClientesRIB!E136</f>
        <v>0</v>
      </c>
    </row>
    <row r="352" spans="3:29" hidden="1" x14ac:dyDescent="0.25">
      <c r="C352">
        <v>429500</v>
      </c>
      <c r="D352">
        <f>IFERROR(VLOOKUP($A$4&amp;$D$4&amp;C352,BalancesAnuales1!$A$2:$E$20009,5,0)+0,0)/A6</f>
        <v>0</v>
      </c>
      <c r="E352">
        <f>IFERROR(VLOOKUP($A$4&amp;$E$4&amp;C352,BalancesAnuales1!$A$2:$E$20009,5,0)+0,0)/A6</f>
        <v>0</v>
      </c>
      <c r="F352">
        <f>IFERROR(VLOOKUP($A$4&amp;$F$4&amp;C352,BalancesAnuales1!$A$2:$E$20009,5,0)+0,0)/A6</f>
        <v>0</v>
      </c>
      <c r="G352">
        <f>IFERROR(VLOOKUP($A$4&amp;$G$4&amp;C352,BalancesMensuales1!$A$2:$E$20009,5,0)+0,0)/A6</f>
        <v>0</v>
      </c>
      <c r="H352">
        <f>IFERROR(VLOOKUP($A$4&amp;$H$4&amp;C352,BalancesMensuales1!$A$2:$E$20009,5,0)+0,0)/A6</f>
        <v>0</v>
      </c>
      <c r="Z352">
        <f t="shared" si="26"/>
        <v>0</v>
      </c>
      <c r="AA352">
        <f>ClientesRIB!A137</f>
        <v>0</v>
      </c>
      <c r="AB352" t="str">
        <f>ClientesRIB!D137&amp;" - "&amp;ClientesRIB!F137</f>
        <v xml:space="preserve"> - </v>
      </c>
      <c r="AC352">
        <f>ClientesRIB!E137</f>
        <v>0</v>
      </c>
    </row>
    <row r="353" spans="3:29" hidden="1" x14ac:dyDescent="0.25">
      <c r="C353">
        <v>42</v>
      </c>
      <c r="D353">
        <f>IFERROR(VLOOKUP($A$4&amp;$D$4&amp;C353,BalancesAnuales1!$A$2:$E$20009,5,0)+0,0)/A6</f>
        <v>0</v>
      </c>
      <c r="E353">
        <f>IFERROR(VLOOKUP($A$4&amp;$E$4&amp;C353,BalancesAnuales1!$A$2:$E$20009,5,0)+0,0)/A6</f>
        <v>0</v>
      </c>
      <c r="F353">
        <f>IFERROR(VLOOKUP($A$4&amp;$F$4&amp;C353,BalancesAnuales1!$A$2:$E$20009,5,0)+0,0)/A6</f>
        <v>0</v>
      </c>
      <c r="G353">
        <f>IFERROR(VLOOKUP($A$4&amp;$G$4&amp;C353,BalancesMensuales1!$A$2:$E$20009,5,0)+0,0)/A6</f>
        <v>0</v>
      </c>
      <c r="H353">
        <f>IFERROR(VLOOKUP($A$4&amp;$H$4&amp;C353,BalancesMensuales1!$A$2:$E$20009,5,0)+0,0)/A6</f>
        <v>0</v>
      </c>
      <c r="Z353">
        <f t="shared" si="26"/>
        <v>0</v>
      </c>
      <c r="AA353">
        <f>ClientesRIB!A138</f>
        <v>0</v>
      </c>
      <c r="AB353" t="str">
        <f>ClientesRIB!D138&amp;" - "&amp;ClientesRIB!F138</f>
        <v xml:space="preserve"> - </v>
      </c>
      <c r="AC353">
        <f>ClientesRIB!E138</f>
        <v>0</v>
      </c>
    </row>
    <row r="354" spans="3:29" hidden="1" x14ac:dyDescent="0.25">
      <c r="C354">
        <v>5301</v>
      </c>
      <c r="D354">
        <f>IFERROR(VLOOKUP($A$4&amp;$D$4&amp;C354,BalancesAnuales1!$A$2:$E$20009,5,0)+0,0)/A6</f>
        <v>0</v>
      </c>
      <c r="E354">
        <f>IFERROR(VLOOKUP($A$4&amp;$E$4&amp;C354,BalancesAnuales1!$A$2:$E$20009,5,0)+0,0)/A6</f>
        <v>0</v>
      </c>
      <c r="F354">
        <f>IFERROR(VLOOKUP($A$4&amp;$F$4&amp;C354,BalancesAnuales1!$A$2:$E$20009,5,0)+0,0)/A6</f>
        <v>0</v>
      </c>
      <c r="G354">
        <f>IFERROR(VLOOKUP($A$4&amp;$G$4&amp;C354,BalancesMensuales1!$A$2:$E$20009,5,0)+0,0)/A6</f>
        <v>0</v>
      </c>
      <c r="H354">
        <f>IFERROR(VLOOKUP($A$4&amp;$H$4&amp;C354,BalancesMensuales1!$A$2:$E$20009,5,0)+0,0)/A6</f>
        <v>0</v>
      </c>
      <c r="Z354">
        <f t="shared" si="26"/>
        <v>0</v>
      </c>
      <c r="AA354">
        <f>ClientesRIB!A139</f>
        <v>0</v>
      </c>
      <c r="AB354" t="str">
        <f>ClientesRIB!D139&amp;" - "&amp;ClientesRIB!F139</f>
        <v xml:space="preserve"> - </v>
      </c>
      <c r="AC354">
        <f>ClientesRIB!E139</f>
        <v>0</v>
      </c>
    </row>
    <row r="355" spans="3:29" hidden="1" x14ac:dyDescent="0.25">
      <c r="C355">
        <v>530525</v>
      </c>
      <c r="D355">
        <f>IFERROR(VLOOKUP($A$4&amp;$D$4&amp;C355,BalancesAnuales1!$A$2:$E$20009,5,0)+0,0)/A6</f>
        <v>0</v>
      </c>
      <c r="E355">
        <f>IFERROR(VLOOKUP($A$4&amp;$E$4&amp;C355,BalancesAnuales1!$A$2:$E$20009,5,0)+0,0)/A6</f>
        <v>0</v>
      </c>
      <c r="F355">
        <f>IFERROR(VLOOKUP($A$4&amp;$F$4&amp;C355,BalancesAnuales1!$A$2:$E$20009,5,0)+0,0)/A6</f>
        <v>0</v>
      </c>
      <c r="G355">
        <f>IFERROR(VLOOKUP($A$4&amp;$G$4&amp;C355,BalancesMensuales1!$A$2:$E$20009,5,0)+0,0)/A6</f>
        <v>0</v>
      </c>
      <c r="H355">
        <f>IFERROR(VLOOKUP($A$4&amp;$H$4&amp;C355,BalancesMensuales1!$A$2:$E$20009,5,0)+0,0)/A6</f>
        <v>0</v>
      </c>
      <c r="Z355">
        <f t="shared" si="26"/>
        <v>0</v>
      </c>
      <c r="AA355">
        <f>ClientesRIB!A140</f>
        <v>0</v>
      </c>
      <c r="AB355" t="str">
        <f>ClientesRIB!D140&amp;" - "&amp;ClientesRIB!F140</f>
        <v xml:space="preserve"> - </v>
      </c>
      <c r="AC355">
        <f>ClientesRIB!E140</f>
        <v>0</v>
      </c>
    </row>
    <row r="356" spans="3:29" hidden="1" x14ac:dyDescent="0.25">
      <c r="C356">
        <v>530505</v>
      </c>
      <c r="D356">
        <f>IFERROR(VLOOKUP($A$4&amp;$D$4&amp;C356,BalancesAnuales1!$A$2:$E$20009,5,0)+0,0)/A6</f>
        <v>0</v>
      </c>
      <c r="E356">
        <f>IFERROR(VLOOKUP($A$4&amp;$E$4&amp;C356,BalancesAnuales1!$A$2:$E$20009,5,0)+0,0)/A6</f>
        <v>0</v>
      </c>
      <c r="F356">
        <f>IFERROR(VLOOKUP($A$4&amp;$F$4&amp;C356,BalancesAnuales1!$A$2:$E$20009,5,0)+0,0)/A6</f>
        <v>0</v>
      </c>
      <c r="G356">
        <f>IFERROR(VLOOKUP($A$4&amp;$G$4&amp;C356,BalancesMensuales1!$A$2:$E$20009,5,0)+0,0)/A6</f>
        <v>0</v>
      </c>
      <c r="H356">
        <f>IFERROR(VLOOKUP($A$4&amp;$H$4&amp;C356,BalancesMensuales1!$A$2:$E$20009,5,0)+0,0)/A6</f>
        <v>0</v>
      </c>
      <c r="Z356">
        <f t="shared" si="26"/>
        <v>0</v>
      </c>
      <c r="AA356">
        <f>ClientesRIB!A141</f>
        <v>0</v>
      </c>
      <c r="AB356" t="str">
        <f>ClientesRIB!D141&amp;" - "&amp;ClientesRIB!F141</f>
        <v xml:space="preserve"> - </v>
      </c>
      <c r="AC356">
        <f>ClientesRIB!E141</f>
        <v>0</v>
      </c>
    </row>
    <row r="357" spans="3:29" hidden="1" x14ac:dyDescent="0.25">
      <c r="C357">
        <v>530515</v>
      </c>
      <c r="D357">
        <f>IFERROR(VLOOKUP($A$4&amp;$D$4&amp;C357,BalancesAnuales1!$A$2:$E$20009,5,0)+0,0)/A6</f>
        <v>0</v>
      </c>
      <c r="E357">
        <f>IFERROR(VLOOKUP($A$4&amp;$E$4&amp;C357,BalancesAnuales1!$A$2:$E$20009,5,0)+0,0)/A6</f>
        <v>0</v>
      </c>
      <c r="F357">
        <f>IFERROR(VLOOKUP($A$4&amp;$F$4&amp;C357,BalancesAnuales1!$A$2:$E$20009,5,0)+0,0)/A6</f>
        <v>0</v>
      </c>
      <c r="G357">
        <f>IFERROR(VLOOKUP($A$4&amp;$G$4&amp;C357,BalancesMensuales1!$A$2:$E$20009,5,0)+0,0)/A6</f>
        <v>0</v>
      </c>
      <c r="H357">
        <f>IFERROR(VLOOKUP($A$4&amp;$H$4&amp;C357,BalancesMensuales1!$A$2:$E$20009,5,0)+0,0)/A6</f>
        <v>0</v>
      </c>
      <c r="Z357">
        <f t="shared" si="26"/>
        <v>0</v>
      </c>
      <c r="AA357">
        <f>ClientesRIB!A142</f>
        <v>0</v>
      </c>
      <c r="AB357" t="str">
        <f>ClientesRIB!D142&amp;" - "&amp;ClientesRIB!F142</f>
        <v xml:space="preserve"> - </v>
      </c>
      <c r="AC357">
        <f>ClientesRIB!E142</f>
        <v>0</v>
      </c>
    </row>
    <row r="358" spans="3:29" hidden="1" x14ac:dyDescent="0.25">
      <c r="C358">
        <v>530535</v>
      </c>
      <c r="D358">
        <f>IFERROR(VLOOKUP($A$4&amp;$D$4&amp;C358,BalancesAnuales1!$A$2:$E$20009,5,0)+0,0)/A6</f>
        <v>0</v>
      </c>
      <c r="E358">
        <f>IFERROR(VLOOKUP($A$4&amp;$E$4&amp;C358,BalancesAnuales1!$A$2:$E$20009,5,0)+0,0)/A6</f>
        <v>0</v>
      </c>
      <c r="F358">
        <f>IFERROR(VLOOKUP($A$4&amp;$F$4&amp;C358,BalancesAnuales1!$A$2:$E$20009,5,0)+0,0)/A6</f>
        <v>0</v>
      </c>
      <c r="G358">
        <f>IFERROR(VLOOKUP($A$4&amp;$G$4&amp;C358,BalancesMensuales1!$A$2:$E$20009,5,0)+0,0)/A6</f>
        <v>0</v>
      </c>
      <c r="H358">
        <f>IFERROR(VLOOKUP($A$4&amp;$H$4&amp;C358,BalancesMensuales1!$A$2:$E$20009,5,0)+0,0)/A6</f>
        <v>0</v>
      </c>
      <c r="Z358">
        <f t="shared" si="26"/>
        <v>0</v>
      </c>
      <c r="AA358">
        <f>ClientesRIB!A143</f>
        <v>0</v>
      </c>
      <c r="AB358" t="str">
        <f>ClientesRIB!D143&amp;" - "&amp;ClientesRIB!F143</f>
        <v xml:space="preserve"> - </v>
      </c>
      <c r="AC358">
        <f>ClientesRIB!E143</f>
        <v>0</v>
      </c>
    </row>
    <row r="359" spans="3:29" hidden="1" x14ac:dyDescent="0.25">
      <c r="C359">
        <v>531000</v>
      </c>
      <c r="D359">
        <f>IFERROR(VLOOKUP($A$4&amp;$D$4&amp;C359,BalancesAnuales1!$A$2:$E$20009,5,0)+0,0)/A6</f>
        <v>0</v>
      </c>
      <c r="E359">
        <f>IFERROR(VLOOKUP($A$4&amp;$E$4&amp;C359,BalancesAnuales1!$A$2:$E$20009,5,0)+0,0)/A6</f>
        <v>0</v>
      </c>
      <c r="F359">
        <f>IFERROR(VLOOKUP($A$4&amp;$F$4&amp;C359,BalancesAnuales1!$A$2:$E$20009,5,0)+0,0)/A6</f>
        <v>0</v>
      </c>
      <c r="G359">
        <f>IFERROR(VLOOKUP($A$4&amp;$G$4&amp;C359,BalancesMensuales1!$A$2:$E$20009,5,0)+0,0)/A6</f>
        <v>0</v>
      </c>
      <c r="H359">
        <f>IFERROR(VLOOKUP($A$4&amp;$H$4&amp;C359,BalancesMensuales1!$A$2:$E$20009,5,0)+0,0)/A6</f>
        <v>0</v>
      </c>
      <c r="Z359">
        <f t="shared" si="26"/>
        <v>0</v>
      </c>
      <c r="AA359">
        <f>ClientesRIB!A144</f>
        <v>0</v>
      </c>
      <c r="AB359" t="str">
        <f>ClientesRIB!D144&amp;" - "&amp;ClientesRIB!F144</f>
        <v xml:space="preserve"> - </v>
      </c>
      <c r="AC359">
        <f>ClientesRIB!E144</f>
        <v>0</v>
      </c>
    </row>
    <row r="360" spans="3:29" hidden="1" x14ac:dyDescent="0.25">
      <c r="C360">
        <v>531300</v>
      </c>
      <c r="D360">
        <f>IFERROR(VLOOKUP($A$4&amp;$D$4&amp;C360,BalancesAnuales1!$A$2:$E$20009,5,0)+0,0)/A6</f>
        <v>0</v>
      </c>
      <c r="E360">
        <f>IFERROR(VLOOKUP($A$4&amp;$E$4&amp;C360,BalancesAnuales1!$A$2:$E$20009,5,0)+0,0)/A6</f>
        <v>0</v>
      </c>
      <c r="F360">
        <f>IFERROR(VLOOKUP($A$4&amp;$F$4&amp;C360,BalancesAnuales1!$A$2:$E$20009,5,0)+0,0)/A6</f>
        <v>0</v>
      </c>
      <c r="G360">
        <f>IFERROR(VLOOKUP($A$4&amp;$G$4&amp;C360,BalancesMensuales1!$A$2:$E$20009,5,0)+0,0)/A6</f>
        <v>0</v>
      </c>
      <c r="H360">
        <f>IFERROR(VLOOKUP($A$4&amp;$H$4&amp;C360,BalancesMensuales1!$A$2:$E$20009,5,0)+0,0)/A6</f>
        <v>0</v>
      </c>
      <c r="Z360">
        <f t="shared" si="26"/>
        <v>0</v>
      </c>
      <c r="AA360">
        <f>ClientesRIB!A145</f>
        <v>0</v>
      </c>
      <c r="AB360" t="str">
        <f>ClientesRIB!D145&amp;" - "&amp;ClientesRIB!F145</f>
        <v xml:space="preserve"> - </v>
      </c>
      <c r="AC360">
        <f>ClientesRIB!E145</f>
        <v>0</v>
      </c>
    </row>
    <row r="361" spans="3:29" hidden="1" x14ac:dyDescent="0.25">
      <c r="C361">
        <v>531500</v>
      </c>
      <c r="D361">
        <f>IFERROR(VLOOKUP($A$4&amp;$D$4&amp;C361,BalancesAnuales1!$A$2:$E$20009,5,0)+0,0)/A6</f>
        <v>0</v>
      </c>
      <c r="E361">
        <f>IFERROR(VLOOKUP($A$4&amp;$E$4&amp;C361,BalancesAnuales1!$A$2:$E$20009,5,0)+0,0)/A6</f>
        <v>0</v>
      </c>
      <c r="F361">
        <f>IFERROR(VLOOKUP($A$4&amp;$F$4&amp;C361,BalancesAnuales1!$A$2:$E$20009,5,0)+0,0)/A6</f>
        <v>0</v>
      </c>
      <c r="G361">
        <f>IFERROR(VLOOKUP($A$4&amp;$G$4&amp;C361,BalancesMensuales1!$A$2:$E$20009,5,0)+0,0)/A6</f>
        <v>0</v>
      </c>
      <c r="H361">
        <f>IFERROR(VLOOKUP($A$4&amp;$H$4&amp;C361,BalancesMensuales1!$A$2:$E$20009,5,0)+0,0)/A6</f>
        <v>0</v>
      </c>
      <c r="Z361">
        <f t="shared" si="26"/>
        <v>0</v>
      </c>
      <c r="AA361">
        <f>ClientesRIB!A146</f>
        <v>0</v>
      </c>
      <c r="AB361" t="str">
        <f>ClientesRIB!D146&amp;" - "&amp;ClientesRIB!F146</f>
        <v xml:space="preserve"> - </v>
      </c>
      <c r="AC361">
        <f>ClientesRIB!E146</f>
        <v>0</v>
      </c>
    </row>
    <row r="362" spans="3:29" hidden="1" x14ac:dyDescent="0.25">
      <c r="C362">
        <v>531515</v>
      </c>
      <c r="D362">
        <f>IFERROR(VLOOKUP($A$4&amp;$D$4&amp;C362,BalancesAnuales1!$A$2:$E$20009,5,0)+0,0)/A6</f>
        <v>0</v>
      </c>
      <c r="E362">
        <f>IFERROR(VLOOKUP($A$4&amp;$E$4&amp;C362,BalancesAnuales1!$A$2:$E$20009,5,0)+0,0)/A6</f>
        <v>0</v>
      </c>
      <c r="F362">
        <f>IFERROR(VLOOKUP($A$4&amp;$F$4&amp;C362,BalancesAnuales1!$A$2:$E$20009,5,0)+0,0)/A6</f>
        <v>0</v>
      </c>
      <c r="G362">
        <f>IFERROR(VLOOKUP($A$4&amp;$G$4&amp;C362,BalancesMensuales1!$A$2:$E$20009,5,0)+0,0)/A6</f>
        <v>0</v>
      </c>
      <c r="H362">
        <f>IFERROR(VLOOKUP($A$4&amp;$H$4&amp;C362,BalancesMensuales1!$A$2:$E$20009,5,0)+0,0)/A6</f>
        <v>0</v>
      </c>
      <c r="Z362">
        <f t="shared" si="26"/>
        <v>0</v>
      </c>
      <c r="AA362">
        <f>ClientesRIB!A147</f>
        <v>0</v>
      </c>
      <c r="AB362" t="str">
        <f>ClientesRIB!D147&amp;" - "&amp;ClientesRIB!F147</f>
        <v xml:space="preserve"> - </v>
      </c>
      <c r="AC362">
        <f>ClientesRIB!E147</f>
        <v>0</v>
      </c>
    </row>
    <row r="363" spans="3:29" hidden="1" x14ac:dyDescent="0.25">
      <c r="C363">
        <v>531520</v>
      </c>
      <c r="D363">
        <f>IFERROR(VLOOKUP($A$4&amp;$D$4&amp;C363,BalancesAnuales1!$A$2:$E$20009,5,0)+0,0)/A6</f>
        <v>0</v>
      </c>
      <c r="E363">
        <f>IFERROR(VLOOKUP($A$4&amp;$E$4&amp;C363,BalancesAnuales1!$A$2:$E$20009,5,0)+0,0)/A6</f>
        <v>0</v>
      </c>
      <c r="F363">
        <f>IFERROR(VLOOKUP($A$4&amp;$F$4&amp;C363,BalancesAnuales1!$A$2:$E$20009,5,0)+0,0)/A6</f>
        <v>0</v>
      </c>
      <c r="G363">
        <f>IFERROR(VLOOKUP($A$4&amp;$G$4&amp;C363,BalancesMensuales1!$A$2:$E$20009,5,0)+0,0)/A6</f>
        <v>0</v>
      </c>
      <c r="H363">
        <f>IFERROR(VLOOKUP($A$4&amp;$H$4&amp;C363,BalancesMensuales1!$A$2:$E$20009,5,0)+0,0)/A6</f>
        <v>0</v>
      </c>
      <c r="Z363">
        <f t="shared" si="26"/>
        <v>0</v>
      </c>
      <c r="AA363">
        <f>ClientesRIB!A148</f>
        <v>0</v>
      </c>
      <c r="AB363" t="str">
        <f>ClientesRIB!D148&amp;" - "&amp;ClientesRIB!F148</f>
        <v xml:space="preserve"> - </v>
      </c>
      <c r="AC363">
        <f>ClientesRIB!E148</f>
        <v>0</v>
      </c>
    </row>
    <row r="364" spans="3:29" hidden="1" x14ac:dyDescent="0.25">
      <c r="C364">
        <v>539525</v>
      </c>
      <c r="D364">
        <f>IFERROR(VLOOKUP($A$4&amp;$D$4&amp;C364,BalancesAnuales1!$A$2:$E$20009,5,0)+0,0)/A6</f>
        <v>0</v>
      </c>
      <c r="E364">
        <f>IFERROR(VLOOKUP($A$4&amp;$E$4&amp;C364,BalancesAnuales1!$A$2:$E$20009,5,0)+0,0)/A6</f>
        <v>0</v>
      </c>
      <c r="F364">
        <f>IFERROR(VLOOKUP($A$4&amp;$F$4&amp;C364,BalancesAnuales1!$A$2:$E$20009,5,0)+0,0)/A6</f>
        <v>0</v>
      </c>
      <c r="G364">
        <f>IFERROR(VLOOKUP($A$4&amp;$G$4&amp;C364,BalancesMensuales1!$A$2:$E$20009,5,0)+0,0)/A6</f>
        <v>0</v>
      </c>
      <c r="H364">
        <f>IFERROR(VLOOKUP($A$4&amp;$H$4&amp;C364,BalancesMensuales1!$A$2:$E$20009,5,0)+0,0)/A6</f>
        <v>0</v>
      </c>
      <c r="Z364">
        <f t="shared" si="26"/>
        <v>0</v>
      </c>
      <c r="AA364">
        <f>ClientesRIB!A149</f>
        <v>0</v>
      </c>
      <c r="AB364" t="str">
        <f>ClientesRIB!D149&amp;" - "&amp;ClientesRIB!F149</f>
        <v xml:space="preserve"> - </v>
      </c>
      <c r="AC364">
        <f>ClientesRIB!E149</f>
        <v>0</v>
      </c>
    </row>
    <row r="365" spans="3:29" hidden="1" x14ac:dyDescent="0.25">
      <c r="C365">
        <v>539595</v>
      </c>
      <c r="D365">
        <f>IFERROR(VLOOKUP($A$4&amp;$D$4&amp;C365,BalancesAnuales1!$A$2:$E$20009,5,0)+0,0)/A6</f>
        <v>0</v>
      </c>
      <c r="E365">
        <f>IFERROR(VLOOKUP($A$4&amp;$E$4&amp;C365,BalancesAnuales1!$A$2:$E$20009,5,0)+0,0)/A6</f>
        <v>0</v>
      </c>
      <c r="F365">
        <f>IFERROR(VLOOKUP($A$4&amp;$F$4&amp;C365,BalancesAnuales1!$A$2:$E$20009,5,0)+0,0)/A6</f>
        <v>0</v>
      </c>
      <c r="G365">
        <f>IFERROR(VLOOKUP($A$4&amp;$G$4&amp;C365,BalancesMensuales1!$A$2:$E$20009,5,0)+0,0)/A6</f>
        <v>0</v>
      </c>
      <c r="H365">
        <f>IFERROR(VLOOKUP($A$4&amp;$H$4&amp;C365,BalancesMensuales1!$A$2:$E$20009,5,0)+0,0)/A6</f>
        <v>0</v>
      </c>
      <c r="Z365">
        <f t="shared" si="26"/>
        <v>0</v>
      </c>
      <c r="AA365">
        <f>ClientesRIB!A150</f>
        <v>0</v>
      </c>
      <c r="AB365" t="str">
        <f>ClientesRIB!D150&amp;" - "&amp;ClientesRIB!F150</f>
        <v xml:space="preserve"> - </v>
      </c>
      <c r="AC365">
        <f>ClientesRIB!E150</f>
        <v>0</v>
      </c>
    </row>
    <row r="366" spans="3:29" hidden="1" x14ac:dyDescent="0.25">
      <c r="C366">
        <v>53</v>
      </c>
      <c r="D366">
        <f>IFERROR(VLOOKUP($A$4&amp;$D$4&amp;C366,BalancesAnuales1!$A$2:$E$20009,5,0)+0,0)/A6</f>
        <v>0</v>
      </c>
      <c r="E366">
        <f>IFERROR(VLOOKUP($A$4&amp;$E$4&amp;C366,BalancesAnuales1!$A$2:$E$20009,5,0)+0,0)/A6</f>
        <v>0</v>
      </c>
      <c r="F366">
        <f>IFERROR(VLOOKUP($A$4&amp;$F$4&amp;C366,BalancesAnuales1!$A$2:$E$20009,5,0)+0,0)/A6</f>
        <v>0</v>
      </c>
      <c r="G366">
        <f>IFERROR(VLOOKUP($A$4&amp;$G$4&amp;C366,BalancesMensuales1!$A$2:$E$20009,5,0)+0,0)/A6</f>
        <v>0</v>
      </c>
      <c r="H366">
        <f>IFERROR(VLOOKUP($A$4&amp;$H$4&amp;C366,BalancesMensuales1!$A$2:$E$20009,5,0)+0,0)/A6</f>
        <v>0</v>
      </c>
      <c r="Z366">
        <f t="shared" si="26"/>
        <v>0</v>
      </c>
      <c r="AA366">
        <f>ClientesRIB!A151</f>
        <v>0</v>
      </c>
      <c r="AB366" t="str">
        <f>ClientesRIB!D151&amp;" - "&amp;ClientesRIB!F151</f>
        <v xml:space="preserve"> - </v>
      </c>
      <c r="AC366">
        <f>ClientesRIB!E151</f>
        <v>0</v>
      </c>
    </row>
    <row r="367" spans="3:29" hidden="1" x14ac:dyDescent="0.25">
      <c r="C367">
        <v>98</v>
      </c>
      <c r="D367">
        <f>IFERROR(VLOOKUP($A$4&amp;$D$4&amp;C367,BalancesAnuales1!$A$2:$E$20009,5,0)+0,0)/A6</f>
        <v>0</v>
      </c>
      <c r="E367">
        <f>IFERROR(VLOOKUP($A$4&amp;$E$4&amp;C367,BalancesAnuales1!$A$2:$E$20009,5,0)+0,0)/A6</f>
        <v>0</v>
      </c>
      <c r="F367">
        <f>IFERROR(VLOOKUP($A$4&amp;$F$4&amp;C367,BalancesAnuales1!$A$2:$E$20009,5,0)+0,0)/A6</f>
        <v>0</v>
      </c>
      <c r="G367">
        <f>IFERROR(VLOOKUP($A$4&amp;$G$4&amp;C367,BalancesMensuales1!$A$2:$E$20009,5,0)+0,0)/A6</f>
        <v>0</v>
      </c>
      <c r="H367">
        <f>IFERROR(VLOOKUP($A$4&amp;$H$4&amp;C367,BalancesMensuales1!$A$2:$E$20009,5,0)+0,0)/A6</f>
        <v>0</v>
      </c>
      <c r="Z367">
        <f t="shared" si="26"/>
        <v>0</v>
      </c>
      <c r="AA367">
        <f>ClientesRIB!A152</f>
        <v>0</v>
      </c>
      <c r="AB367" t="str">
        <f>ClientesRIB!D152&amp;" - "&amp;ClientesRIB!F152</f>
        <v xml:space="preserve"> - </v>
      </c>
      <c r="AC367">
        <f>ClientesRIB!E152</f>
        <v>0</v>
      </c>
    </row>
    <row r="368" spans="3:29" hidden="1" x14ac:dyDescent="0.25">
      <c r="C368">
        <v>97</v>
      </c>
      <c r="D368">
        <f>IFERROR(VLOOKUP($A$4&amp;$D$4&amp;C368,BalancesAnuales1!$A$2:$E$20009,5,0)+0,0)/A6</f>
        <v>0</v>
      </c>
      <c r="E368">
        <f>IFERROR(VLOOKUP($A$4&amp;$E$4&amp;C368,BalancesAnuales1!$A$2:$E$20009,5,0)+0,0)/A6</f>
        <v>0</v>
      </c>
      <c r="F368">
        <f>IFERROR(VLOOKUP($A$4&amp;$F$4&amp;C368,BalancesAnuales1!$A$2:$E$20009,5,0)+0,0)/A6</f>
        <v>0</v>
      </c>
      <c r="G368">
        <f>IFERROR(VLOOKUP($A$4&amp;$G$4&amp;C368,BalancesMensuales1!$A$2:$E$20009,5,0)+0,0)/A6</f>
        <v>0</v>
      </c>
      <c r="H368">
        <f>IFERROR(VLOOKUP($A$4&amp;$H$4&amp;C368,BalancesMensuales1!$A$2:$E$20009,5,0)+0,0)/A6</f>
        <v>0</v>
      </c>
    </row>
    <row r="369" spans="1:29" hidden="1" x14ac:dyDescent="0.25">
      <c r="C369">
        <v>54</v>
      </c>
      <c r="D369">
        <f>IFERROR(VLOOKUP($A$4&amp;$D$4&amp;C369,BalancesAnuales1!$A$2:$E$20009,5,0)+0,0)/A6</f>
        <v>0</v>
      </c>
      <c r="E369">
        <f>IFERROR(VLOOKUP($A$4&amp;$E$4&amp;C369,BalancesAnuales1!$A$2:$E$20009,5,0)+0,0)/A6</f>
        <v>0</v>
      </c>
      <c r="F369">
        <f>IFERROR(VLOOKUP($A$4&amp;$F$4&amp;C369,BalancesAnuales1!$A$2:$E$20009,5,0)+0,0)/A6</f>
        <v>0</v>
      </c>
      <c r="G369">
        <f>IFERROR(VLOOKUP($A$4&amp;$G$4&amp;C369,BalancesMensuales1!$A$2:$E$20009,5,0)+0,0)/A6</f>
        <v>0</v>
      </c>
      <c r="H369">
        <f>IFERROR(VLOOKUP($A$4&amp;$H$4&amp;C369,BalancesMensuales1!$A$2:$E$20009,5,0)+0,0)/A6</f>
        <v>0</v>
      </c>
      <c r="AA369" t="s">
        <v>108</v>
      </c>
    </row>
    <row r="370" spans="1:29" hidden="1" x14ac:dyDescent="0.25">
      <c r="C370">
        <v>99</v>
      </c>
      <c r="D370">
        <f>IFERROR(VLOOKUP($A$4&amp;$D$4&amp;C370,BalancesAnuales1!$A$2:$E$20009,5,0)+0,0)/A6</f>
        <v>0</v>
      </c>
      <c r="E370">
        <f>IFERROR(VLOOKUP($A$4&amp;$E$4&amp;C370,BalancesAnuales1!$A$2:$E$20009,5,0)+0,0)/A6</f>
        <v>0</v>
      </c>
      <c r="F370">
        <f>IFERROR(VLOOKUP($A$4&amp;$F$4&amp;C370,BalancesAnuales1!$A$2:$E$20009,5,0)+0,0)/A6</f>
        <v>0</v>
      </c>
      <c r="G370">
        <f>IFERROR(VLOOKUP($A$4&amp;$G$4&amp;C370,BalancesMensuales1!$A$2:$E$20009,5,0)+0,0)/A6</f>
        <v>0</v>
      </c>
      <c r="H370">
        <f>IFERROR(VLOOKUP($A$4&amp;$H$4&amp;C370,BalancesMensuales1!$A$2:$E$20009,5,0)+0,0)/A6</f>
        <v>0</v>
      </c>
      <c r="AA370" t="s">
        <v>33</v>
      </c>
      <c r="AB370" t="s">
        <v>114</v>
      </c>
      <c r="AC370" t="s">
        <v>113</v>
      </c>
    </row>
    <row r="371" spans="1:29" hidden="1" x14ac:dyDescent="0.25">
      <c r="C371">
        <v>50</v>
      </c>
      <c r="D371">
        <f>IFERROR(VLOOKUP($A$4&amp;$D$4&amp;C371,BalancesAnuales1!$A$2:$E$20009,5,0)+0,0)/$A$6</f>
        <v>0</v>
      </c>
      <c r="E371">
        <f>IFERROR(VLOOKUP($A$4&amp;$E$4&amp;C371,BalancesAnuales1!$A$2:$E$20009,5,0)+0,0)/$A$6</f>
        <v>0</v>
      </c>
      <c r="F371">
        <f>IFERROR(VLOOKUP($A$4&amp;$F$4&amp;C371,BalancesAnuales1!$A$2:$E$20009,5,0)+0,0)/$A$6</f>
        <v>0</v>
      </c>
      <c r="G371">
        <f>IFERROR(VLOOKUP($A$4&amp;$G$4&amp;C371,BalancesMensuales1!$A$2:$E$20009,5,0)+0,0)/$A$6</f>
        <v>0</v>
      </c>
      <c r="H371">
        <f>IFERROR(VLOOKUP($A$4&amp;$H$4&amp;C371,BalancesMensuales1!$A$2:$E$20009,5,0)+0,0)/$A$6</f>
        <v>0</v>
      </c>
      <c r="I371" t="s">
        <v>115</v>
      </c>
      <c r="Z371">
        <f t="shared" ref="Z371:Z402" si="27">IF(AA371=$A$4,Z370+1,0)</f>
        <v>0</v>
      </c>
      <c r="AA371">
        <f>ProveedoresRib!A3</f>
        <v>0</v>
      </c>
      <c r="AB371" t="str">
        <f>ProveedoresRib!D3&amp;" - "&amp;ProveedoresRib!F3&amp;" - "&amp;ProveedoresRib!E3</f>
        <v xml:space="preserve"> -  - </v>
      </c>
      <c r="AC371">
        <f>ProveedoresRib!G3</f>
        <v>0</v>
      </c>
    </row>
    <row r="372" spans="1:29" hidden="1" x14ac:dyDescent="0.25">
      <c r="C372">
        <v>55</v>
      </c>
      <c r="D372">
        <f>IFERROR(VLOOKUP($A$4&amp;$D$4&amp;C372,BalancesAnuales1!$A$2:$E$20009,5,0)+0,0)/$A$6</f>
        <v>0</v>
      </c>
      <c r="E372">
        <f>IFERROR(VLOOKUP($A$4&amp;$E$4&amp;C372,BalancesAnuales1!$A$2:$E$20009,5,0)+0,0)/$A$6</f>
        <v>0</v>
      </c>
      <c r="F372">
        <f>IFERROR(VLOOKUP($A$4&amp;$F$4&amp;C372,BalancesAnuales1!$A$2:$E$20009,5,0)+0,0)/$A$6</f>
        <v>0</v>
      </c>
      <c r="G372">
        <f>IFERROR(VLOOKUP($A$4&amp;$G$4&amp;C372,BalancesMensuales1!$A$2:$E$20009,5,0)+0,0)/$A$6</f>
        <v>0</v>
      </c>
      <c r="H372">
        <f>IFERROR(VLOOKUP($A$4&amp;$H$4&amp;C372,BalancesMensuales1!$A$2:$E$20009,5,0)+0,0)/$A$6</f>
        <v>0</v>
      </c>
      <c r="I372" t="s">
        <v>116</v>
      </c>
      <c r="Z372">
        <f t="shared" si="27"/>
        <v>0</v>
      </c>
      <c r="AA372">
        <f>ProveedoresRib!A4</f>
        <v>0</v>
      </c>
      <c r="AB372" t="str">
        <f>ProveedoresRib!D4&amp;" - "&amp;ProveedoresRib!F4&amp;" - "&amp;ProveedoresRib!E4</f>
        <v xml:space="preserve"> -  - </v>
      </c>
      <c r="AC372">
        <f>ProveedoresRib!G4</f>
        <v>0</v>
      </c>
    </row>
    <row r="373" spans="1:29" hidden="1" x14ac:dyDescent="0.25">
      <c r="C373">
        <v>56</v>
      </c>
      <c r="D373">
        <f>IFERROR(VLOOKUP($A$4&amp;$D$4&amp;C373,BalancesAnuales1!$A$2:$E$20009,5,0)+0,0)/$A$6</f>
        <v>0</v>
      </c>
      <c r="E373">
        <f>IFERROR(VLOOKUP($A$4&amp;$E$4&amp;C373,BalancesAnuales1!$A$2:$E$20009,5,0)+0,0)/$A$6</f>
        <v>0</v>
      </c>
      <c r="F373">
        <f>IFERROR(VLOOKUP($A$4&amp;$F$4&amp;C373,BalancesAnuales1!$A$2:$E$20009,5,0)+0,0)/$A$6</f>
        <v>0</v>
      </c>
      <c r="G373">
        <f>IFERROR(VLOOKUP($A$4&amp;$G$4&amp;C373,BalancesMensuales1!$A$2:$E$20009,5,0)+0,0)/$A$6</f>
        <v>0</v>
      </c>
      <c r="H373">
        <f>IFERROR(VLOOKUP($A$4&amp;$H$4&amp;C373,BalancesMensuales1!$A$2:$E$20009,5,0)+0,0)/$A$6</f>
        <v>0</v>
      </c>
      <c r="I373" t="s">
        <v>117</v>
      </c>
      <c r="Z373">
        <f t="shared" si="27"/>
        <v>0</v>
      </c>
      <c r="AA373">
        <f>ProveedoresRib!A5</f>
        <v>0</v>
      </c>
      <c r="AB373" t="str">
        <f>ProveedoresRib!D5&amp;" - "&amp;ProveedoresRib!F5&amp;" - "&amp;ProveedoresRib!E5</f>
        <v xml:space="preserve"> -  - </v>
      </c>
      <c r="AC373">
        <f>ProveedoresRib!G5</f>
        <v>0</v>
      </c>
    </row>
    <row r="374" spans="1:29" hidden="1" x14ac:dyDescent="0.25">
      <c r="C374">
        <v>138000</v>
      </c>
      <c r="D374">
        <f>IFERROR(VLOOKUP($A$4&amp;$D$4&amp;C374,BalancesAnuales1!$A$2:$E$20009,5,0)+0,0)/$A$6</f>
        <v>0</v>
      </c>
      <c r="E374">
        <f>IFERROR(VLOOKUP($A$4&amp;$E$4&amp;C374,BalancesAnuales1!$A$2:$E$20009,5,0)+0,0)/$A$6</f>
        <v>0</v>
      </c>
      <c r="F374">
        <f>IFERROR(VLOOKUP($A$4&amp;$F$4&amp;C374,BalancesAnuales1!$A$2:$E$20009,5,0)+0,0)/$A$6</f>
        <v>0</v>
      </c>
      <c r="G374">
        <f>IFERROR(VLOOKUP($A$4&amp;$G$4&amp;C374,BalancesMensuales1!$A$2:$E$20009,5,0)+0,0)/$A$6</f>
        <v>0</v>
      </c>
      <c r="H374">
        <f>IFERROR(VLOOKUP($A$4&amp;$H$4&amp;C374,BalancesMensuales1!$A$2:$E$20009,5,0)+0,0)/$A$6</f>
        <v>0</v>
      </c>
      <c r="I374" t="s">
        <v>118</v>
      </c>
      <c r="Z374">
        <f t="shared" si="27"/>
        <v>0</v>
      </c>
      <c r="AA374">
        <f>ProveedoresRib!A6</f>
        <v>0</v>
      </c>
      <c r="AB374" t="str">
        <f>ProveedoresRib!D6&amp;" - "&amp;ProveedoresRib!F6&amp;" - "&amp;ProveedoresRib!E6</f>
        <v xml:space="preserve"> -  - </v>
      </c>
      <c r="AC374">
        <f>ProveedoresRib!G6</f>
        <v>0</v>
      </c>
    </row>
    <row r="375" spans="1:29" hidden="1" x14ac:dyDescent="0.25">
      <c r="C375">
        <v>39</v>
      </c>
      <c r="D375">
        <f>IFERROR(VLOOKUP($A$4&amp;$D$4&amp;C375,BalancesAnuales1!$A$2:$E$20009,5,0)+0,0)/$A$6</f>
        <v>0</v>
      </c>
      <c r="E375">
        <f>IFERROR(VLOOKUP($A$4&amp;$E$4&amp;C375,BalancesAnuales1!$A$2:$E$20009,5,0)+0,0)/$A$6</f>
        <v>0</v>
      </c>
      <c r="F375">
        <f>IFERROR(VLOOKUP($A$4&amp;$F$4&amp;C375,BalancesAnuales1!$A$2:$E$20009,5,0)+0,0)/$A$6</f>
        <v>0</v>
      </c>
      <c r="G375">
        <f>IFERROR(VLOOKUP($A$4&amp;$G$4&amp;C375,BalancesMensuales1!$A$2:$E$20009,5,0)+0,0)/$A$6</f>
        <v>0</v>
      </c>
      <c r="H375">
        <f>IFERROR(VLOOKUP($A$4&amp;$H$4&amp;C375,BalancesMensuales1!$A$2:$E$20009,5,0)+0,0)/$A$6</f>
        <v>0</v>
      </c>
      <c r="I375" t="s">
        <v>119</v>
      </c>
      <c r="Z375">
        <f t="shared" si="27"/>
        <v>0</v>
      </c>
      <c r="AA375">
        <f>ProveedoresRib!A7</f>
        <v>0</v>
      </c>
      <c r="AB375" t="str">
        <f>ProveedoresRib!D7&amp;" - "&amp;ProveedoresRib!F7&amp;" - "&amp;ProveedoresRib!E7</f>
        <v xml:space="preserve"> -  - </v>
      </c>
      <c r="AC375">
        <f>ProveedoresRib!G7</f>
        <v>0</v>
      </c>
    </row>
    <row r="376" spans="1:29" hidden="1" x14ac:dyDescent="0.25">
      <c r="Z376">
        <f t="shared" si="27"/>
        <v>0</v>
      </c>
      <c r="AA376">
        <f>ProveedoresRib!A8</f>
        <v>0</v>
      </c>
      <c r="AB376" t="str">
        <f>ProveedoresRib!D8&amp;" - "&amp;ProveedoresRib!F8&amp;" - "&amp;ProveedoresRib!E8</f>
        <v xml:space="preserve"> -  - </v>
      </c>
      <c r="AC376">
        <f>ProveedoresRib!G8</f>
        <v>0</v>
      </c>
    </row>
    <row r="377" spans="1:29" hidden="1" x14ac:dyDescent="0.25">
      <c r="Z377">
        <f t="shared" si="27"/>
        <v>0</v>
      </c>
      <c r="AA377">
        <f>ProveedoresRib!A9</f>
        <v>0</v>
      </c>
      <c r="AB377" t="str">
        <f>ProveedoresRib!D9&amp;" - "&amp;ProveedoresRib!F9&amp;" - "&amp;ProveedoresRib!E9</f>
        <v xml:space="preserve"> -  - </v>
      </c>
      <c r="AC377">
        <f>ProveedoresRib!G9</f>
        <v>0</v>
      </c>
    </row>
    <row r="378" spans="1:29" hidden="1" x14ac:dyDescent="0.25">
      <c r="Z378">
        <f t="shared" si="27"/>
        <v>0</v>
      </c>
      <c r="AA378">
        <f>ProveedoresRib!A10</f>
        <v>0</v>
      </c>
      <c r="AB378" t="str">
        <f>ProveedoresRib!D10&amp;" - "&amp;ProveedoresRib!F10&amp;" - "&amp;ProveedoresRib!E10</f>
        <v xml:space="preserve"> -  - </v>
      </c>
      <c r="AC378">
        <f>ProveedoresRib!G10</f>
        <v>0</v>
      </c>
    </row>
    <row r="379" spans="1:29" hidden="1" x14ac:dyDescent="0.25">
      <c r="A379" t="s">
        <v>120</v>
      </c>
      <c r="Z379">
        <f t="shared" si="27"/>
        <v>0</v>
      </c>
      <c r="AA379">
        <f>ProveedoresRib!A11</f>
        <v>0</v>
      </c>
      <c r="AB379" t="str">
        <f>ProveedoresRib!D11&amp;" - "&amp;ProveedoresRib!F11&amp;" - "&amp;ProveedoresRib!E11</f>
        <v xml:space="preserve"> -  - </v>
      </c>
      <c r="AC379">
        <f>ProveedoresRib!G11</f>
        <v>0</v>
      </c>
    </row>
    <row r="380" spans="1:29" hidden="1" x14ac:dyDescent="0.25">
      <c r="A380" t="str">
        <f>'Accionistas y Juntas'!B4</f>
        <v>Documento</v>
      </c>
      <c r="B380" t="str">
        <f>'Accionistas y Juntas'!C4</f>
        <v>Nombre del Accionista</v>
      </c>
      <c r="C380" t="str">
        <f>'Accionistas y Juntas'!D4</f>
        <v>Participación</v>
      </c>
      <c r="F380" t="str">
        <f>'Accionistas y Juntas'!F4</f>
        <v>Documento</v>
      </c>
      <c r="G380" t="str">
        <f>'Accionistas y Juntas'!G4</f>
        <v>Nombre del Accionista</v>
      </c>
      <c r="H380" t="str">
        <f>'Accionistas y Juntas'!H4</f>
        <v>Jerarquía</v>
      </c>
      <c r="Z380">
        <f t="shared" si="27"/>
        <v>0</v>
      </c>
      <c r="AA380">
        <f>ProveedoresRib!A12</f>
        <v>0</v>
      </c>
      <c r="AB380" t="str">
        <f>ProveedoresRib!D12&amp;" - "&amp;ProveedoresRib!F12&amp;" - "&amp;ProveedoresRib!E12</f>
        <v xml:space="preserve"> -  - </v>
      </c>
      <c r="AC380">
        <f>ProveedoresRib!G12</f>
        <v>0</v>
      </c>
    </row>
    <row r="381" spans="1:29" hidden="1" x14ac:dyDescent="0.25">
      <c r="A381" s="3125" t="str">
        <f>'Accionistas y Juntas'!B5</f>
        <v/>
      </c>
      <c r="B381" t="str">
        <f>'Accionistas y Juntas'!C5</f>
        <v/>
      </c>
      <c r="C381" t="str">
        <f>'Accionistas y Juntas'!D5</f>
        <v/>
      </c>
      <c r="D381">
        <f t="shared" ref="D381:D390" si="28">IF(AND(A381&lt;&gt;0,B381&lt;&gt;0,C381&lt;&gt;0),0,IF(AND(C381=0,B381=0,A381=0),0,"Error"))</f>
        <v>0</v>
      </c>
      <c r="F381" s="3125" t="str">
        <f>'Accionistas y Juntas'!F5</f>
        <v/>
      </c>
      <c r="G381" t="str">
        <f>'Accionistas y Juntas'!G5</f>
        <v/>
      </c>
      <c r="H381" t="str">
        <f>'Accionistas y Juntas'!H5</f>
        <v/>
      </c>
      <c r="I381">
        <f t="shared" ref="I381:I391" si="29">IF(AND(F381&lt;&gt;0,G381&lt;&gt;0,H381&lt;&gt;0),0,IF(AND(H381=0,G381=0,F381=0),0,"Error"))</f>
        <v>0</v>
      </c>
      <c r="Z381">
        <f t="shared" si="27"/>
        <v>0</v>
      </c>
      <c r="AA381">
        <f>ProveedoresRib!A13</f>
        <v>0</v>
      </c>
      <c r="AB381" t="str">
        <f>ProveedoresRib!D13&amp;" - "&amp;ProveedoresRib!F13&amp;" - "&amp;ProveedoresRib!E13</f>
        <v xml:space="preserve"> -  - </v>
      </c>
      <c r="AC381">
        <f>ProveedoresRib!G13</f>
        <v>0</v>
      </c>
    </row>
    <row r="382" spans="1:29" hidden="1" x14ac:dyDescent="0.25">
      <c r="A382" s="3125" t="str">
        <f>'Accionistas y Juntas'!B6</f>
        <v/>
      </c>
      <c r="B382" t="str">
        <f>'Accionistas y Juntas'!C6</f>
        <v/>
      </c>
      <c r="C382" t="str">
        <f>'Accionistas y Juntas'!D6</f>
        <v/>
      </c>
      <c r="D382">
        <f t="shared" si="28"/>
        <v>0</v>
      </c>
      <c r="F382" s="3125" t="str">
        <f>'Accionistas y Juntas'!F6</f>
        <v/>
      </c>
      <c r="G382" t="str">
        <f>'Accionistas y Juntas'!G6</f>
        <v/>
      </c>
      <c r="H382" t="str">
        <f>'Accionistas y Juntas'!H6</f>
        <v/>
      </c>
      <c r="I382">
        <f t="shared" si="29"/>
        <v>0</v>
      </c>
      <c r="Z382">
        <f t="shared" si="27"/>
        <v>0</v>
      </c>
      <c r="AA382">
        <f>ProveedoresRib!A14</f>
        <v>0</v>
      </c>
      <c r="AB382" t="str">
        <f>ProveedoresRib!D14&amp;" - "&amp;ProveedoresRib!F14&amp;" - "&amp;ProveedoresRib!E14</f>
        <v xml:space="preserve"> -  - </v>
      </c>
      <c r="AC382">
        <f>ProveedoresRib!G14</f>
        <v>0</v>
      </c>
    </row>
    <row r="383" spans="1:29" hidden="1" x14ac:dyDescent="0.25">
      <c r="A383" s="3125" t="str">
        <f>'Accionistas y Juntas'!B7</f>
        <v/>
      </c>
      <c r="B383" t="str">
        <f>'Accionistas y Juntas'!C7</f>
        <v/>
      </c>
      <c r="C383" t="str">
        <f>'Accionistas y Juntas'!D7</f>
        <v/>
      </c>
      <c r="D383">
        <f t="shared" si="28"/>
        <v>0</v>
      </c>
      <c r="F383" s="3125" t="str">
        <f>'Accionistas y Juntas'!F7</f>
        <v/>
      </c>
      <c r="G383" t="str">
        <f>'Accionistas y Juntas'!G7</f>
        <v/>
      </c>
      <c r="H383" t="str">
        <f>'Accionistas y Juntas'!H7</f>
        <v/>
      </c>
      <c r="I383">
        <f t="shared" si="29"/>
        <v>0</v>
      </c>
      <c r="Z383">
        <f t="shared" si="27"/>
        <v>0</v>
      </c>
      <c r="AA383">
        <f>ProveedoresRib!A15</f>
        <v>0</v>
      </c>
      <c r="AB383" t="str">
        <f>ProveedoresRib!D15&amp;" - "&amp;ProveedoresRib!F15&amp;" - "&amp;ProveedoresRib!E15</f>
        <v xml:space="preserve"> -  - </v>
      </c>
      <c r="AC383">
        <f>ProveedoresRib!G15</f>
        <v>0</v>
      </c>
    </row>
    <row r="384" spans="1:29" hidden="1" x14ac:dyDescent="0.25">
      <c r="A384" s="3125" t="str">
        <f>'Accionistas y Juntas'!B8</f>
        <v/>
      </c>
      <c r="B384" t="str">
        <f>'Accionistas y Juntas'!C8</f>
        <v/>
      </c>
      <c r="C384" t="str">
        <f>'Accionistas y Juntas'!D8</f>
        <v/>
      </c>
      <c r="D384">
        <f t="shared" si="28"/>
        <v>0</v>
      </c>
      <c r="F384" s="3125" t="str">
        <f>'Accionistas y Juntas'!F8</f>
        <v/>
      </c>
      <c r="G384" t="str">
        <f>'Accionistas y Juntas'!G8</f>
        <v/>
      </c>
      <c r="H384" t="str">
        <f>'Accionistas y Juntas'!H8</f>
        <v/>
      </c>
      <c r="I384">
        <f t="shared" si="29"/>
        <v>0</v>
      </c>
      <c r="Z384">
        <f t="shared" si="27"/>
        <v>0</v>
      </c>
      <c r="AA384">
        <f>ProveedoresRib!A16</f>
        <v>0</v>
      </c>
      <c r="AB384" t="str">
        <f>ProveedoresRib!D16&amp;" - "&amp;ProveedoresRib!F16&amp;" - "&amp;ProveedoresRib!E16</f>
        <v xml:space="preserve"> -  - </v>
      </c>
      <c r="AC384">
        <f>ProveedoresRib!G16</f>
        <v>0</v>
      </c>
    </row>
    <row r="385" spans="1:29" hidden="1" x14ac:dyDescent="0.25">
      <c r="A385" s="3125" t="str">
        <f>'Accionistas y Juntas'!B9</f>
        <v/>
      </c>
      <c r="B385" t="str">
        <f>'Accionistas y Juntas'!C9</f>
        <v/>
      </c>
      <c r="C385" t="str">
        <f>'Accionistas y Juntas'!D9</f>
        <v/>
      </c>
      <c r="D385">
        <f t="shared" si="28"/>
        <v>0</v>
      </c>
      <c r="F385" s="3125" t="str">
        <f>'Accionistas y Juntas'!F9</f>
        <v/>
      </c>
      <c r="G385" t="str">
        <f>'Accionistas y Juntas'!G9</f>
        <v/>
      </c>
      <c r="H385" t="str">
        <f>'Accionistas y Juntas'!H9</f>
        <v/>
      </c>
      <c r="I385">
        <f t="shared" si="29"/>
        <v>0</v>
      </c>
      <c r="Z385">
        <f t="shared" si="27"/>
        <v>0</v>
      </c>
      <c r="AA385">
        <f>ProveedoresRib!A17</f>
        <v>0</v>
      </c>
      <c r="AB385" t="str">
        <f>ProveedoresRib!D17&amp;" - "&amp;ProveedoresRib!F17&amp;" - "&amp;ProveedoresRib!E17</f>
        <v xml:space="preserve"> -  - </v>
      </c>
      <c r="AC385">
        <f>ProveedoresRib!G17</f>
        <v>0</v>
      </c>
    </row>
    <row r="386" spans="1:29" hidden="1" x14ac:dyDescent="0.25">
      <c r="A386" s="3125" t="str">
        <f>'Accionistas y Juntas'!B10</f>
        <v/>
      </c>
      <c r="B386" t="str">
        <f>'Accionistas y Juntas'!C10</f>
        <v/>
      </c>
      <c r="C386" t="str">
        <f>'Accionistas y Juntas'!D10</f>
        <v/>
      </c>
      <c r="D386">
        <f t="shared" si="28"/>
        <v>0</v>
      </c>
      <c r="F386" s="3125" t="str">
        <f>'Accionistas y Juntas'!F10</f>
        <v/>
      </c>
      <c r="G386" t="str">
        <f>'Accionistas y Juntas'!G10</f>
        <v/>
      </c>
      <c r="H386" t="str">
        <f>'Accionistas y Juntas'!H10</f>
        <v/>
      </c>
      <c r="I386">
        <f t="shared" si="29"/>
        <v>0</v>
      </c>
      <c r="Z386">
        <f t="shared" si="27"/>
        <v>0</v>
      </c>
      <c r="AA386">
        <f>ProveedoresRib!A18</f>
        <v>0</v>
      </c>
      <c r="AB386" t="str">
        <f>ProveedoresRib!D18&amp;" - "&amp;ProveedoresRib!F18&amp;" - "&amp;ProveedoresRib!E18</f>
        <v xml:space="preserve"> -  - </v>
      </c>
      <c r="AC386">
        <f>ProveedoresRib!G18</f>
        <v>0</v>
      </c>
    </row>
    <row r="387" spans="1:29" hidden="1" x14ac:dyDescent="0.25">
      <c r="A387" s="3125" t="str">
        <f>'Accionistas y Juntas'!B11</f>
        <v/>
      </c>
      <c r="B387" t="str">
        <f>'Accionistas y Juntas'!C11</f>
        <v/>
      </c>
      <c r="C387" t="str">
        <f>'Accionistas y Juntas'!D11</f>
        <v/>
      </c>
      <c r="D387">
        <f t="shared" si="28"/>
        <v>0</v>
      </c>
      <c r="F387" s="3125" t="str">
        <f>'Accionistas y Juntas'!F11</f>
        <v/>
      </c>
      <c r="G387" t="str">
        <f>'Accionistas y Juntas'!G11</f>
        <v/>
      </c>
      <c r="H387" t="str">
        <f>'Accionistas y Juntas'!H11</f>
        <v/>
      </c>
      <c r="I387">
        <f t="shared" si="29"/>
        <v>0</v>
      </c>
      <c r="Z387">
        <f t="shared" si="27"/>
        <v>0</v>
      </c>
      <c r="AA387">
        <f>ProveedoresRib!A19</f>
        <v>0</v>
      </c>
      <c r="AB387" t="str">
        <f>ProveedoresRib!D19&amp;" - "&amp;ProveedoresRib!F19&amp;" - "&amp;ProveedoresRib!E19</f>
        <v xml:space="preserve"> -  - </v>
      </c>
      <c r="AC387">
        <f>ProveedoresRib!G19</f>
        <v>0</v>
      </c>
    </row>
    <row r="388" spans="1:29" hidden="1" x14ac:dyDescent="0.25">
      <c r="A388" s="3125" t="str">
        <f>'Accionistas y Juntas'!B12</f>
        <v/>
      </c>
      <c r="B388" t="str">
        <f>'Accionistas y Juntas'!C12</f>
        <v/>
      </c>
      <c r="C388" t="str">
        <f>'Accionistas y Juntas'!D12</f>
        <v/>
      </c>
      <c r="D388">
        <f t="shared" si="28"/>
        <v>0</v>
      </c>
      <c r="F388" s="3125" t="str">
        <f>'Accionistas y Juntas'!F12</f>
        <v/>
      </c>
      <c r="G388" t="str">
        <f>'Accionistas y Juntas'!G12</f>
        <v/>
      </c>
      <c r="H388" t="str">
        <f>'Accionistas y Juntas'!H12</f>
        <v/>
      </c>
      <c r="I388">
        <f t="shared" si="29"/>
        <v>0</v>
      </c>
      <c r="Z388">
        <f t="shared" si="27"/>
        <v>0</v>
      </c>
      <c r="AA388">
        <f>ProveedoresRib!A20</f>
        <v>0</v>
      </c>
      <c r="AB388" t="str">
        <f>ProveedoresRib!D20&amp;" - "&amp;ProveedoresRib!F20&amp;" - "&amp;ProveedoresRib!E20</f>
        <v xml:space="preserve"> -  - </v>
      </c>
      <c r="AC388">
        <f>ProveedoresRib!G20</f>
        <v>0</v>
      </c>
    </row>
    <row r="389" spans="1:29" hidden="1" x14ac:dyDescent="0.25">
      <c r="A389" s="3125" t="str">
        <f>'Accionistas y Juntas'!B13</f>
        <v/>
      </c>
      <c r="B389" t="str">
        <f>'Accionistas y Juntas'!C13</f>
        <v/>
      </c>
      <c r="C389" t="str">
        <f>'Accionistas y Juntas'!D13</f>
        <v/>
      </c>
      <c r="D389">
        <f t="shared" si="28"/>
        <v>0</v>
      </c>
      <c r="F389" s="3125" t="str">
        <f>'Accionistas y Juntas'!F13</f>
        <v/>
      </c>
      <c r="G389" t="str">
        <f>'Accionistas y Juntas'!G13</f>
        <v/>
      </c>
      <c r="H389" t="str">
        <f>'Accionistas y Juntas'!H13</f>
        <v/>
      </c>
      <c r="I389">
        <f t="shared" si="29"/>
        <v>0</v>
      </c>
      <c r="Z389">
        <f t="shared" si="27"/>
        <v>0</v>
      </c>
      <c r="AA389">
        <f>ProveedoresRib!A21</f>
        <v>0</v>
      </c>
      <c r="AB389" t="str">
        <f>ProveedoresRib!D21&amp;" - "&amp;ProveedoresRib!F21&amp;" - "&amp;ProveedoresRib!E21</f>
        <v xml:space="preserve"> -  - </v>
      </c>
      <c r="AC389">
        <f>ProveedoresRib!G21</f>
        <v>0</v>
      </c>
    </row>
    <row r="390" spans="1:29" hidden="1" x14ac:dyDescent="0.25">
      <c r="A390" s="3125" t="str">
        <f>'Accionistas y Juntas'!B14</f>
        <v/>
      </c>
      <c r="B390" t="str">
        <f>'Accionistas y Juntas'!C14</f>
        <v/>
      </c>
      <c r="C390" t="str">
        <f>'Accionistas y Juntas'!D14</f>
        <v/>
      </c>
      <c r="D390">
        <f t="shared" si="28"/>
        <v>0</v>
      </c>
      <c r="F390" s="3125" t="str">
        <f>'Accionistas y Juntas'!F14</f>
        <v/>
      </c>
      <c r="G390" t="str">
        <f>'Accionistas y Juntas'!G14</f>
        <v/>
      </c>
      <c r="H390" t="str">
        <f>'Accionistas y Juntas'!H14</f>
        <v/>
      </c>
      <c r="I390">
        <f t="shared" si="29"/>
        <v>0</v>
      </c>
      <c r="Z390">
        <f t="shared" si="27"/>
        <v>0</v>
      </c>
      <c r="AA390">
        <f>ProveedoresRib!A22</f>
        <v>0</v>
      </c>
      <c r="AB390" t="str">
        <f>ProveedoresRib!D22&amp;" - "&amp;ProveedoresRib!F22&amp;" - "&amp;ProveedoresRib!E22</f>
        <v xml:space="preserve"> -  - </v>
      </c>
      <c r="AC390">
        <f>ProveedoresRib!G22</f>
        <v>0</v>
      </c>
    </row>
    <row r="391" spans="1:29" hidden="1" x14ac:dyDescent="0.25">
      <c r="A391">
        <f>'Accionistas y Juntas'!B15</f>
        <v>0</v>
      </c>
      <c r="B391" t="str">
        <f>'Accionistas y Juntas'!C15</f>
        <v>Total</v>
      </c>
      <c r="C391">
        <f>'Accionistas y Juntas'!D15</f>
        <v>0</v>
      </c>
      <c r="D391">
        <f>IF(AND(C391&gt;0,C391&lt;95),1,0)</f>
        <v>0</v>
      </c>
      <c r="F391">
        <f>'Accionistas y Juntas'!F15</f>
        <v>0</v>
      </c>
      <c r="G391">
        <f>'Accionistas y Juntas'!G15</f>
        <v>0</v>
      </c>
      <c r="H391">
        <f>'Accionistas y Juntas'!H15</f>
        <v>0</v>
      </c>
      <c r="I391">
        <f t="shared" si="29"/>
        <v>0</v>
      </c>
      <c r="Z391">
        <f t="shared" si="27"/>
        <v>0</v>
      </c>
      <c r="AA391">
        <f>ProveedoresRib!A23</f>
        <v>0</v>
      </c>
      <c r="AB391" t="str">
        <f>ProveedoresRib!D23&amp;" - "&amp;ProveedoresRib!F23&amp;" - "&amp;ProveedoresRib!E23</f>
        <v xml:space="preserve"> -  - </v>
      </c>
      <c r="AC391">
        <f>ProveedoresRib!G23</f>
        <v>0</v>
      </c>
    </row>
    <row r="392" spans="1:29" hidden="1" x14ac:dyDescent="0.25">
      <c r="D392">
        <f>SUM(D381:D391)</f>
        <v>0</v>
      </c>
      <c r="I392">
        <f>IF(SUM(F381:H391)=0,1,SUM(I381:I391))</f>
        <v>1</v>
      </c>
      <c r="Z392">
        <f t="shared" si="27"/>
        <v>0</v>
      </c>
      <c r="AA392">
        <f>ProveedoresRib!A24</f>
        <v>0</v>
      </c>
      <c r="AB392" t="str">
        <f>ProveedoresRib!D24&amp;" - "&amp;ProveedoresRib!F24&amp;" - "&amp;ProveedoresRib!E24</f>
        <v xml:space="preserve"> -  - </v>
      </c>
      <c r="AC392">
        <f>ProveedoresRib!G24</f>
        <v>0</v>
      </c>
    </row>
    <row r="393" spans="1:29" hidden="1" x14ac:dyDescent="0.25">
      <c r="Z393">
        <f t="shared" si="27"/>
        <v>0</v>
      </c>
      <c r="AA393">
        <f>ProveedoresRib!A25</f>
        <v>0</v>
      </c>
      <c r="AB393" t="str">
        <f>ProveedoresRib!D25&amp;" - "&amp;ProveedoresRib!F25&amp;" - "&amp;ProveedoresRib!E25</f>
        <v xml:space="preserve"> -  - </v>
      </c>
      <c r="AC393">
        <f>ProveedoresRib!G25</f>
        <v>0</v>
      </c>
    </row>
    <row r="394" spans="1:29" hidden="1" x14ac:dyDescent="0.25">
      <c r="Z394">
        <f t="shared" si="27"/>
        <v>0</v>
      </c>
      <c r="AA394">
        <f>ProveedoresRib!A26</f>
        <v>0</v>
      </c>
      <c r="AB394" t="str">
        <f>ProveedoresRib!D26&amp;" - "&amp;ProveedoresRib!F26&amp;" - "&amp;ProveedoresRib!E26</f>
        <v xml:space="preserve"> -  - </v>
      </c>
      <c r="AC394">
        <f>ProveedoresRib!G26</f>
        <v>0</v>
      </c>
    </row>
    <row r="395" spans="1:29" hidden="1" x14ac:dyDescent="0.25">
      <c r="Z395">
        <f t="shared" si="27"/>
        <v>0</v>
      </c>
      <c r="AA395">
        <f>ProveedoresRib!A27</f>
        <v>0</v>
      </c>
      <c r="AB395" t="str">
        <f>ProveedoresRib!D27&amp;" - "&amp;ProveedoresRib!F27&amp;" - "&amp;ProveedoresRib!E27</f>
        <v xml:space="preserve"> -  - </v>
      </c>
      <c r="AC395">
        <f>ProveedoresRib!G27</f>
        <v>0</v>
      </c>
    </row>
    <row r="396" spans="1:29" hidden="1" x14ac:dyDescent="0.25">
      <c r="Z396">
        <f t="shared" si="27"/>
        <v>0</v>
      </c>
      <c r="AA396">
        <f>ProveedoresRib!A28</f>
        <v>0</v>
      </c>
      <c r="AB396" t="str">
        <f>ProveedoresRib!D28&amp;" - "&amp;ProveedoresRib!F28&amp;" - "&amp;ProveedoresRib!E28</f>
        <v xml:space="preserve"> -  - </v>
      </c>
      <c r="AC396">
        <f>ProveedoresRib!G28</f>
        <v>0</v>
      </c>
    </row>
    <row r="397" spans="1:29" hidden="1" x14ac:dyDescent="0.25">
      <c r="Z397">
        <f t="shared" si="27"/>
        <v>0</v>
      </c>
      <c r="AA397">
        <f>ProveedoresRib!A29</f>
        <v>0</v>
      </c>
      <c r="AB397" t="str">
        <f>ProveedoresRib!D29&amp;" - "&amp;ProveedoresRib!F29&amp;" - "&amp;ProveedoresRib!E29</f>
        <v xml:space="preserve"> -  - </v>
      </c>
      <c r="AC397">
        <f>ProveedoresRib!G29</f>
        <v>0</v>
      </c>
    </row>
    <row r="398" spans="1:29" hidden="1" x14ac:dyDescent="0.25">
      <c r="Z398">
        <f t="shared" si="27"/>
        <v>0</v>
      </c>
      <c r="AA398">
        <f>ProveedoresRib!A30</f>
        <v>0</v>
      </c>
      <c r="AB398" t="str">
        <f>ProveedoresRib!D30&amp;" - "&amp;ProveedoresRib!F30&amp;" - "&amp;ProveedoresRib!E30</f>
        <v xml:space="preserve"> -  - </v>
      </c>
      <c r="AC398">
        <f>ProveedoresRib!G30</f>
        <v>0</v>
      </c>
    </row>
    <row r="399" spans="1:29" hidden="1" x14ac:dyDescent="0.25">
      <c r="Z399">
        <f t="shared" si="27"/>
        <v>0</v>
      </c>
      <c r="AA399">
        <f>ProveedoresRib!A31</f>
        <v>0</v>
      </c>
      <c r="AB399" t="str">
        <f>ProveedoresRib!D31&amp;" - "&amp;ProveedoresRib!F31&amp;" - "&amp;ProveedoresRib!E31</f>
        <v xml:space="preserve"> -  - </v>
      </c>
      <c r="AC399">
        <f>ProveedoresRib!G31</f>
        <v>0</v>
      </c>
    </row>
    <row r="400" spans="1:29" hidden="1" x14ac:dyDescent="0.25">
      <c r="Z400">
        <f t="shared" si="27"/>
        <v>0</v>
      </c>
      <c r="AA400">
        <f>ProveedoresRib!A32</f>
        <v>0</v>
      </c>
      <c r="AB400" t="str">
        <f>ProveedoresRib!D32&amp;" - "&amp;ProveedoresRib!F32&amp;" - "&amp;ProveedoresRib!E32</f>
        <v xml:space="preserve"> -  - </v>
      </c>
      <c r="AC400">
        <f>ProveedoresRib!G32</f>
        <v>0</v>
      </c>
    </row>
    <row r="401" spans="26:29" hidden="1" x14ac:dyDescent="0.25">
      <c r="Z401">
        <f t="shared" si="27"/>
        <v>0</v>
      </c>
      <c r="AA401">
        <f>ProveedoresRib!A33</f>
        <v>0</v>
      </c>
      <c r="AB401" t="str">
        <f>ProveedoresRib!D33&amp;" - "&amp;ProveedoresRib!F33&amp;" - "&amp;ProveedoresRib!E33</f>
        <v xml:space="preserve"> -  - </v>
      </c>
      <c r="AC401">
        <f>ProveedoresRib!G33</f>
        <v>0</v>
      </c>
    </row>
    <row r="402" spans="26:29" hidden="1" x14ac:dyDescent="0.25">
      <c r="Z402">
        <f t="shared" si="27"/>
        <v>0</v>
      </c>
      <c r="AA402">
        <f>ProveedoresRib!A34</f>
        <v>0</v>
      </c>
      <c r="AB402" t="str">
        <f>ProveedoresRib!D34&amp;" - "&amp;ProveedoresRib!F34&amp;" - "&amp;ProveedoresRib!E34</f>
        <v xml:space="preserve"> -  - </v>
      </c>
      <c r="AC402">
        <f>ProveedoresRib!G34</f>
        <v>0</v>
      </c>
    </row>
    <row r="403" spans="26:29" hidden="1" x14ac:dyDescent="0.25">
      <c r="Z403">
        <f t="shared" ref="Z403:Z434" si="30">IF(AA403=$A$4,Z402+1,0)</f>
        <v>0</v>
      </c>
      <c r="AA403">
        <f>ProveedoresRib!A35</f>
        <v>0</v>
      </c>
      <c r="AB403" t="str">
        <f>ProveedoresRib!D35&amp;" - "&amp;ProveedoresRib!F35&amp;" - "&amp;ProveedoresRib!E35</f>
        <v xml:space="preserve"> -  - </v>
      </c>
      <c r="AC403">
        <f>ProveedoresRib!G35</f>
        <v>0</v>
      </c>
    </row>
    <row r="404" spans="26:29" hidden="1" x14ac:dyDescent="0.25">
      <c r="Z404">
        <f t="shared" si="30"/>
        <v>0</v>
      </c>
      <c r="AA404">
        <f>ProveedoresRib!A36</f>
        <v>0</v>
      </c>
      <c r="AB404" t="str">
        <f>ProveedoresRib!D36&amp;" - "&amp;ProveedoresRib!F36&amp;" - "&amp;ProveedoresRib!E36</f>
        <v xml:space="preserve"> -  - </v>
      </c>
      <c r="AC404">
        <f>ProveedoresRib!G36</f>
        <v>0</v>
      </c>
    </row>
    <row r="405" spans="26:29" hidden="1" x14ac:dyDescent="0.25">
      <c r="Z405">
        <f t="shared" si="30"/>
        <v>0</v>
      </c>
      <c r="AA405">
        <f>ProveedoresRib!A37</f>
        <v>0</v>
      </c>
      <c r="AB405" t="str">
        <f>ProveedoresRib!D37&amp;" - "&amp;ProveedoresRib!F37&amp;" - "&amp;ProveedoresRib!E37</f>
        <v xml:space="preserve"> -  - </v>
      </c>
      <c r="AC405">
        <f>ProveedoresRib!G37</f>
        <v>0</v>
      </c>
    </row>
    <row r="406" spans="26:29" hidden="1" x14ac:dyDescent="0.25">
      <c r="Z406">
        <f t="shared" si="30"/>
        <v>0</v>
      </c>
      <c r="AA406">
        <f>ProveedoresRib!A38</f>
        <v>0</v>
      </c>
      <c r="AB406" t="str">
        <f>ProveedoresRib!D38&amp;" - "&amp;ProveedoresRib!F38&amp;" - "&amp;ProveedoresRib!E38</f>
        <v xml:space="preserve"> -  - </v>
      </c>
      <c r="AC406">
        <f>ProveedoresRib!G38</f>
        <v>0</v>
      </c>
    </row>
    <row r="407" spans="26:29" hidden="1" x14ac:dyDescent="0.25">
      <c r="Z407">
        <f t="shared" si="30"/>
        <v>0</v>
      </c>
      <c r="AA407">
        <f>ProveedoresRib!A39</f>
        <v>0</v>
      </c>
      <c r="AB407" t="str">
        <f>ProveedoresRib!D39&amp;" - "&amp;ProveedoresRib!F39&amp;" - "&amp;ProveedoresRib!E39</f>
        <v xml:space="preserve"> -  - </v>
      </c>
      <c r="AC407">
        <f>ProveedoresRib!G39</f>
        <v>0</v>
      </c>
    </row>
    <row r="408" spans="26:29" hidden="1" x14ac:dyDescent="0.25">
      <c r="Z408">
        <f t="shared" si="30"/>
        <v>0</v>
      </c>
      <c r="AA408">
        <f>ProveedoresRib!A40</f>
        <v>0</v>
      </c>
      <c r="AB408" t="str">
        <f>ProveedoresRib!D40&amp;" - "&amp;ProveedoresRib!F40&amp;" - "&amp;ProveedoresRib!E40</f>
        <v xml:space="preserve"> -  - </v>
      </c>
      <c r="AC408">
        <f>ProveedoresRib!G40</f>
        <v>0</v>
      </c>
    </row>
    <row r="409" spans="26:29" hidden="1" x14ac:dyDescent="0.25">
      <c r="Z409">
        <f t="shared" si="30"/>
        <v>0</v>
      </c>
      <c r="AA409">
        <f>ProveedoresRib!A41</f>
        <v>0</v>
      </c>
      <c r="AB409" t="str">
        <f>ProveedoresRib!D41&amp;" - "&amp;ProveedoresRib!F41&amp;" - "&amp;ProveedoresRib!E41</f>
        <v xml:space="preserve"> -  - </v>
      </c>
      <c r="AC409">
        <f>ProveedoresRib!G41</f>
        <v>0</v>
      </c>
    </row>
    <row r="410" spans="26:29" hidden="1" x14ac:dyDescent="0.25">
      <c r="Z410">
        <f t="shared" si="30"/>
        <v>0</v>
      </c>
      <c r="AA410">
        <f>ProveedoresRib!A42</f>
        <v>0</v>
      </c>
      <c r="AB410" t="str">
        <f>ProveedoresRib!D42&amp;" - "&amp;ProveedoresRib!F42&amp;" - "&amp;ProveedoresRib!E42</f>
        <v xml:space="preserve"> -  - </v>
      </c>
      <c r="AC410">
        <f>ProveedoresRib!G42</f>
        <v>0</v>
      </c>
    </row>
    <row r="411" spans="26:29" hidden="1" x14ac:dyDescent="0.25">
      <c r="Z411">
        <f t="shared" si="30"/>
        <v>0</v>
      </c>
      <c r="AA411">
        <f>ProveedoresRib!A43</f>
        <v>0</v>
      </c>
      <c r="AB411" t="str">
        <f>ProveedoresRib!D43&amp;" - "&amp;ProveedoresRib!F43&amp;" - "&amp;ProveedoresRib!E43</f>
        <v xml:space="preserve"> -  - </v>
      </c>
      <c r="AC411">
        <f>ProveedoresRib!G43</f>
        <v>0</v>
      </c>
    </row>
    <row r="412" spans="26:29" hidden="1" x14ac:dyDescent="0.25">
      <c r="Z412">
        <f t="shared" si="30"/>
        <v>0</v>
      </c>
      <c r="AA412">
        <f>ProveedoresRib!A44</f>
        <v>0</v>
      </c>
      <c r="AB412" t="str">
        <f>ProveedoresRib!D44&amp;" - "&amp;ProveedoresRib!F44&amp;" - "&amp;ProveedoresRib!E44</f>
        <v xml:space="preserve"> -  - </v>
      </c>
      <c r="AC412">
        <f>ProveedoresRib!G44</f>
        <v>0</v>
      </c>
    </row>
    <row r="413" spans="26:29" hidden="1" x14ac:dyDescent="0.25">
      <c r="Z413">
        <f t="shared" si="30"/>
        <v>0</v>
      </c>
      <c r="AA413">
        <f>ProveedoresRib!A45</f>
        <v>0</v>
      </c>
      <c r="AB413" t="str">
        <f>ProveedoresRib!D45&amp;" - "&amp;ProveedoresRib!F45&amp;" - "&amp;ProveedoresRib!E45</f>
        <v xml:space="preserve"> -  - </v>
      </c>
      <c r="AC413">
        <f>ProveedoresRib!G45</f>
        <v>0</v>
      </c>
    </row>
    <row r="414" spans="26:29" hidden="1" x14ac:dyDescent="0.25">
      <c r="Z414">
        <f t="shared" si="30"/>
        <v>0</v>
      </c>
      <c r="AA414">
        <f>ProveedoresRib!A46</f>
        <v>0</v>
      </c>
      <c r="AB414" t="str">
        <f>ProveedoresRib!D46&amp;" - "&amp;ProveedoresRib!F46&amp;" - "&amp;ProveedoresRib!E46</f>
        <v xml:space="preserve"> -  - </v>
      </c>
      <c r="AC414">
        <f>ProveedoresRib!G46</f>
        <v>0</v>
      </c>
    </row>
    <row r="415" spans="26:29" hidden="1" x14ac:dyDescent="0.25">
      <c r="Z415">
        <f t="shared" si="30"/>
        <v>0</v>
      </c>
      <c r="AA415">
        <f>ProveedoresRib!A47</f>
        <v>0</v>
      </c>
      <c r="AB415" t="str">
        <f>ProveedoresRib!D47&amp;" - "&amp;ProveedoresRib!F47&amp;" - "&amp;ProveedoresRib!E47</f>
        <v xml:space="preserve"> -  - </v>
      </c>
      <c r="AC415">
        <f>ProveedoresRib!G47</f>
        <v>0</v>
      </c>
    </row>
    <row r="416" spans="26:29" hidden="1" x14ac:dyDescent="0.25">
      <c r="Z416">
        <f t="shared" si="30"/>
        <v>0</v>
      </c>
      <c r="AA416">
        <f>ProveedoresRib!A48</f>
        <v>0</v>
      </c>
      <c r="AB416" t="str">
        <f>ProveedoresRib!D48&amp;" - "&amp;ProveedoresRib!F48&amp;" - "&amp;ProveedoresRib!E48</f>
        <v xml:space="preserve"> -  - </v>
      </c>
      <c r="AC416">
        <f>ProveedoresRib!G48</f>
        <v>0</v>
      </c>
    </row>
    <row r="417" spans="26:29" hidden="1" x14ac:dyDescent="0.25">
      <c r="Z417">
        <f t="shared" si="30"/>
        <v>0</v>
      </c>
      <c r="AA417">
        <f>ProveedoresRib!A49</f>
        <v>0</v>
      </c>
      <c r="AB417" t="str">
        <f>ProveedoresRib!D49&amp;" - "&amp;ProveedoresRib!F49&amp;" - "&amp;ProveedoresRib!E49</f>
        <v xml:space="preserve"> -  - </v>
      </c>
      <c r="AC417">
        <f>ProveedoresRib!G49</f>
        <v>0</v>
      </c>
    </row>
    <row r="418" spans="26:29" hidden="1" x14ac:dyDescent="0.25">
      <c r="Z418">
        <f t="shared" si="30"/>
        <v>0</v>
      </c>
      <c r="AA418">
        <f>ProveedoresRib!A50</f>
        <v>0</v>
      </c>
      <c r="AB418" t="str">
        <f>ProveedoresRib!D50&amp;" - "&amp;ProveedoresRib!F50&amp;" - "&amp;ProveedoresRib!E50</f>
        <v xml:space="preserve"> -  - </v>
      </c>
      <c r="AC418">
        <f>ProveedoresRib!G50</f>
        <v>0</v>
      </c>
    </row>
    <row r="419" spans="26:29" hidden="1" x14ac:dyDescent="0.25">
      <c r="Z419">
        <f t="shared" si="30"/>
        <v>0</v>
      </c>
      <c r="AA419">
        <f>ProveedoresRib!A51</f>
        <v>0</v>
      </c>
      <c r="AB419" t="str">
        <f>ProveedoresRib!D51&amp;" - "&amp;ProveedoresRib!F51&amp;" - "&amp;ProveedoresRib!E51</f>
        <v xml:space="preserve"> -  - </v>
      </c>
      <c r="AC419">
        <f>ProveedoresRib!G51</f>
        <v>0</v>
      </c>
    </row>
    <row r="420" spans="26:29" hidden="1" x14ac:dyDescent="0.25">
      <c r="Z420">
        <f t="shared" si="30"/>
        <v>0</v>
      </c>
      <c r="AA420">
        <f>ProveedoresRib!A52</f>
        <v>0</v>
      </c>
      <c r="AB420" t="str">
        <f>ProveedoresRib!D52&amp;" - "&amp;ProveedoresRib!F52&amp;" - "&amp;ProveedoresRib!E52</f>
        <v xml:space="preserve"> -  - </v>
      </c>
      <c r="AC420">
        <f>ProveedoresRib!G52</f>
        <v>0</v>
      </c>
    </row>
    <row r="421" spans="26:29" hidden="1" x14ac:dyDescent="0.25">
      <c r="Z421">
        <f t="shared" si="30"/>
        <v>0</v>
      </c>
      <c r="AA421">
        <f>ProveedoresRib!A53</f>
        <v>0</v>
      </c>
      <c r="AB421" t="str">
        <f>ProveedoresRib!D53&amp;" - "&amp;ProveedoresRib!F53&amp;" - "&amp;ProveedoresRib!E53</f>
        <v xml:space="preserve"> -  - </v>
      </c>
      <c r="AC421">
        <f>ProveedoresRib!G53</f>
        <v>0</v>
      </c>
    </row>
    <row r="422" spans="26:29" hidden="1" x14ac:dyDescent="0.25">
      <c r="Z422">
        <f t="shared" si="30"/>
        <v>0</v>
      </c>
      <c r="AA422">
        <f>ProveedoresRib!A54</f>
        <v>0</v>
      </c>
      <c r="AB422" t="str">
        <f>ProveedoresRib!D54&amp;" - "&amp;ProveedoresRib!F54&amp;" - "&amp;ProveedoresRib!E54</f>
        <v xml:space="preserve"> -  - </v>
      </c>
      <c r="AC422">
        <f>ProveedoresRib!G54</f>
        <v>0</v>
      </c>
    </row>
    <row r="423" spans="26:29" hidden="1" x14ac:dyDescent="0.25">
      <c r="Z423">
        <f t="shared" si="30"/>
        <v>0</v>
      </c>
      <c r="AA423">
        <f>ProveedoresRib!A55</f>
        <v>0</v>
      </c>
      <c r="AB423" t="str">
        <f>ProveedoresRib!D55&amp;" - "&amp;ProveedoresRib!F55&amp;" - "&amp;ProveedoresRib!E55</f>
        <v xml:space="preserve"> -  - </v>
      </c>
      <c r="AC423">
        <f>ProveedoresRib!G55</f>
        <v>0</v>
      </c>
    </row>
    <row r="424" spans="26:29" hidden="1" x14ac:dyDescent="0.25">
      <c r="Z424">
        <f t="shared" si="30"/>
        <v>0</v>
      </c>
      <c r="AA424">
        <f>ProveedoresRib!A56</f>
        <v>0</v>
      </c>
      <c r="AB424" t="str">
        <f>ProveedoresRib!D56&amp;" - "&amp;ProveedoresRib!F56&amp;" - "&amp;ProveedoresRib!E56</f>
        <v xml:space="preserve"> -  - </v>
      </c>
      <c r="AC424">
        <f>ProveedoresRib!G56</f>
        <v>0</v>
      </c>
    </row>
    <row r="425" spans="26:29" hidden="1" x14ac:dyDescent="0.25">
      <c r="Z425">
        <f t="shared" si="30"/>
        <v>0</v>
      </c>
      <c r="AA425">
        <f>ProveedoresRib!A57</f>
        <v>0</v>
      </c>
      <c r="AB425" t="str">
        <f>ProveedoresRib!D57&amp;" - "&amp;ProveedoresRib!F57&amp;" - "&amp;ProveedoresRib!E57</f>
        <v xml:space="preserve"> -  - </v>
      </c>
      <c r="AC425">
        <f>ProveedoresRib!G57</f>
        <v>0</v>
      </c>
    </row>
    <row r="426" spans="26:29" hidden="1" x14ac:dyDescent="0.25">
      <c r="Z426">
        <f t="shared" si="30"/>
        <v>0</v>
      </c>
      <c r="AA426">
        <f>ProveedoresRib!A58</f>
        <v>0</v>
      </c>
      <c r="AB426" t="str">
        <f>ProveedoresRib!D58&amp;" - "&amp;ProveedoresRib!F58&amp;" - "&amp;ProveedoresRib!E58</f>
        <v xml:space="preserve"> -  - </v>
      </c>
      <c r="AC426">
        <f>ProveedoresRib!G58</f>
        <v>0</v>
      </c>
    </row>
    <row r="427" spans="26:29" hidden="1" x14ac:dyDescent="0.25">
      <c r="Z427">
        <f t="shared" si="30"/>
        <v>0</v>
      </c>
      <c r="AA427">
        <f>ProveedoresRib!A59</f>
        <v>0</v>
      </c>
      <c r="AB427" t="str">
        <f>ProveedoresRib!D59&amp;" - "&amp;ProveedoresRib!F59&amp;" - "&amp;ProveedoresRib!E59</f>
        <v xml:space="preserve"> -  - </v>
      </c>
      <c r="AC427">
        <f>ProveedoresRib!G59</f>
        <v>0</v>
      </c>
    </row>
    <row r="428" spans="26:29" hidden="1" x14ac:dyDescent="0.25">
      <c r="Z428">
        <f t="shared" si="30"/>
        <v>0</v>
      </c>
      <c r="AA428">
        <f>ProveedoresRib!A60</f>
        <v>0</v>
      </c>
      <c r="AB428" t="str">
        <f>ProveedoresRib!D60&amp;" - "&amp;ProveedoresRib!F60&amp;" - "&amp;ProveedoresRib!E60</f>
        <v xml:space="preserve"> -  - </v>
      </c>
      <c r="AC428">
        <f>ProveedoresRib!G60</f>
        <v>0</v>
      </c>
    </row>
    <row r="429" spans="26:29" hidden="1" x14ac:dyDescent="0.25">
      <c r="Z429">
        <f t="shared" si="30"/>
        <v>0</v>
      </c>
      <c r="AA429">
        <f>ProveedoresRib!A61</f>
        <v>0</v>
      </c>
      <c r="AB429" t="str">
        <f>ProveedoresRib!D61&amp;" - "&amp;ProveedoresRib!F61&amp;" - "&amp;ProveedoresRib!E61</f>
        <v xml:space="preserve"> -  - </v>
      </c>
      <c r="AC429">
        <f>ProveedoresRib!G61</f>
        <v>0</v>
      </c>
    </row>
    <row r="430" spans="26:29" hidden="1" x14ac:dyDescent="0.25">
      <c r="Z430">
        <f t="shared" si="30"/>
        <v>0</v>
      </c>
      <c r="AA430">
        <f>ProveedoresRib!A62</f>
        <v>0</v>
      </c>
      <c r="AB430" t="str">
        <f>ProveedoresRib!D62&amp;" - "&amp;ProveedoresRib!F62&amp;" - "&amp;ProveedoresRib!E62</f>
        <v xml:space="preserve"> -  - </v>
      </c>
      <c r="AC430">
        <f>ProveedoresRib!G62</f>
        <v>0</v>
      </c>
    </row>
    <row r="431" spans="26:29" hidden="1" x14ac:dyDescent="0.25">
      <c r="Z431">
        <f t="shared" si="30"/>
        <v>0</v>
      </c>
      <c r="AA431">
        <f>ProveedoresRib!A63</f>
        <v>0</v>
      </c>
      <c r="AB431" t="str">
        <f>ProveedoresRib!D63&amp;" - "&amp;ProveedoresRib!F63&amp;" - "&amp;ProveedoresRib!E63</f>
        <v xml:space="preserve"> -  - </v>
      </c>
      <c r="AC431">
        <f>ProveedoresRib!G63</f>
        <v>0</v>
      </c>
    </row>
    <row r="432" spans="26:29" hidden="1" x14ac:dyDescent="0.25">
      <c r="Z432">
        <f t="shared" si="30"/>
        <v>0</v>
      </c>
      <c r="AA432">
        <f>ProveedoresRib!A64</f>
        <v>0</v>
      </c>
      <c r="AB432" t="str">
        <f>ProveedoresRib!D64&amp;" - "&amp;ProveedoresRib!F64&amp;" - "&amp;ProveedoresRib!E64</f>
        <v xml:space="preserve"> -  - </v>
      </c>
      <c r="AC432">
        <f>ProveedoresRib!G64</f>
        <v>0</v>
      </c>
    </row>
    <row r="433" spans="26:29" hidden="1" x14ac:dyDescent="0.25">
      <c r="Z433">
        <f t="shared" si="30"/>
        <v>0</v>
      </c>
      <c r="AA433">
        <f>ProveedoresRib!A65</f>
        <v>0</v>
      </c>
      <c r="AB433" t="str">
        <f>ProveedoresRib!D65&amp;" - "&amp;ProveedoresRib!F65&amp;" - "&amp;ProveedoresRib!E65</f>
        <v xml:space="preserve"> -  - </v>
      </c>
      <c r="AC433">
        <f>ProveedoresRib!G65</f>
        <v>0</v>
      </c>
    </row>
    <row r="434" spans="26:29" hidden="1" x14ac:dyDescent="0.25">
      <c r="Z434">
        <f t="shared" si="30"/>
        <v>0</v>
      </c>
      <c r="AA434">
        <f>ProveedoresRib!A66</f>
        <v>0</v>
      </c>
      <c r="AB434" t="str">
        <f>ProveedoresRib!D66&amp;" - "&amp;ProveedoresRib!F66&amp;" - "&amp;ProveedoresRib!E66</f>
        <v xml:space="preserve"> -  - </v>
      </c>
      <c r="AC434">
        <f>ProveedoresRib!G66</f>
        <v>0</v>
      </c>
    </row>
    <row r="435" spans="26:29" hidden="1" x14ac:dyDescent="0.25">
      <c r="Z435">
        <f t="shared" ref="Z435:Z466" si="31">IF(AA435=$A$4,Z434+1,0)</f>
        <v>0</v>
      </c>
      <c r="AA435">
        <f>ProveedoresRib!A67</f>
        <v>0</v>
      </c>
      <c r="AB435" t="str">
        <f>ProveedoresRib!D67&amp;" - "&amp;ProveedoresRib!F67&amp;" - "&amp;ProveedoresRib!E67</f>
        <v xml:space="preserve"> -  - </v>
      </c>
      <c r="AC435">
        <f>ProveedoresRib!G67</f>
        <v>0</v>
      </c>
    </row>
    <row r="436" spans="26:29" hidden="1" x14ac:dyDescent="0.25">
      <c r="Z436">
        <f t="shared" si="31"/>
        <v>0</v>
      </c>
      <c r="AA436">
        <f>ProveedoresRib!A68</f>
        <v>0</v>
      </c>
      <c r="AB436" t="str">
        <f>ProveedoresRib!D68&amp;" - "&amp;ProveedoresRib!F68&amp;" - "&amp;ProveedoresRib!E68</f>
        <v xml:space="preserve"> -  - </v>
      </c>
      <c r="AC436">
        <f>ProveedoresRib!G68</f>
        <v>0</v>
      </c>
    </row>
    <row r="437" spans="26:29" hidden="1" x14ac:dyDescent="0.25">
      <c r="Z437">
        <f t="shared" si="31"/>
        <v>0</v>
      </c>
      <c r="AA437">
        <f>ProveedoresRib!A69</f>
        <v>0</v>
      </c>
      <c r="AB437" t="str">
        <f>ProveedoresRib!D69&amp;" - "&amp;ProveedoresRib!F69&amp;" - "&amp;ProveedoresRib!E69</f>
        <v xml:space="preserve"> -  - </v>
      </c>
      <c r="AC437">
        <f>ProveedoresRib!G69</f>
        <v>0</v>
      </c>
    </row>
    <row r="438" spans="26:29" hidden="1" x14ac:dyDescent="0.25">
      <c r="Z438">
        <f t="shared" si="31"/>
        <v>0</v>
      </c>
      <c r="AA438">
        <f>ProveedoresRib!A70</f>
        <v>0</v>
      </c>
      <c r="AB438" t="str">
        <f>ProveedoresRib!D70&amp;" - "&amp;ProveedoresRib!F70&amp;" - "&amp;ProveedoresRib!E70</f>
        <v xml:space="preserve"> -  - </v>
      </c>
      <c r="AC438">
        <f>ProveedoresRib!G70</f>
        <v>0</v>
      </c>
    </row>
    <row r="439" spans="26:29" hidden="1" x14ac:dyDescent="0.25">
      <c r="Z439">
        <f t="shared" si="31"/>
        <v>0</v>
      </c>
      <c r="AA439">
        <f>ProveedoresRib!A71</f>
        <v>0</v>
      </c>
      <c r="AB439" t="str">
        <f>ProveedoresRib!D71&amp;" - "&amp;ProveedoresRib!F71&amp;" - "&amp;ProveedoresRib!E71</f>
        <v xml:space="preserve"> -  - </v>
      </c>
      <c r="AC439">
        <f>ProveedoresRib!G71</f>
        <v>0</v>
      </c>
    </row>
    <row r="440" spans="26:29" hidden="1" x14ac:dyDescent="0.25">
      <c r="Z440">
        <f t="shared" si="31"/>
        <v>0</v>
      </c>
      <c r="AA440">
        <f>ProveedoresRib!A72</f>
        <v>0</v>
      </c>
      <c r="AB440" t="str">
        <f>ProveedoresRib!D72&amp;" - "&amp;ProveedoresRib!F72&amp;" - "&amp;ProveedoresRib!E72</f>
        <v xml:space="preserve"> -  - </v>
      </c>
      <c r="AC440">
        <f>ProveedoresRib!G72</f>
        <v>0</v>
      </c>
    </row>
    <row r="441" spans="26:29" hidden="1" x14ac:dyDescent="0.25">
      <c r="Z441">
        <f t="shared" si="31"/>
        <v>0</v>
      </c>
      <c r="AA441">
        <f>ProveedoresRib!A73</f>
        <v>0</v>
      </c>
      <c r="AB441" t="str">
        <f>ProveedoresRib!D73&amp;" - "&amp;ProveedoresRib!F73&amp;" - "&amp;ProveedoresRib!E73</f>
        <v xml:space="preserve"> -  - </v>
      </c>
      <c r="AC441">
        <f>ProveedoresRib!G73</f>
        <v>0</v>
      </c>
    </row>
    <row r="442" spans="26:29" hidden="1" x14ac:dyDescent="0.25">
      <c r="Z442">
        <f t="shared" si="31"/>
        <v>0</v>
      </c>
      <c r="AA442">
        <f>ProveedoresRib!A74</f>
        <v>0</v>
      </c>
      <c r="AB442" t="str">
        <f>ProveedoresRib!D74&amp;" - "&amp;ProveedoresRib!F74&amp;" - "&amp;ProveedoresRib!E74</f>
        <v xml:space="preserve"> -  - </v>
      </c>
      <c r="AC442">
        <f>ProveedoresRib!G74</f>
        <v>0</v>
      </c>
    </row>
    <row r="443" spans="26:29" hidden="1" x14ac:dyDescent="0.25">
      <c r="Z443">
        <f t="shared" si="31"/>
        <v>0</v>
      </c>
      <c r="AA443">
        <f>ProveedoresRib!A75</f>
        <v>0</v>
      </c>
      <c r="AB443" t="str">
        <f>ProveedoresRib!D75&amp;" - "&amp;ProveedoresRib!F75&amp;" - "&amp;ProveedoresRib!E75</f>
        <v xml:space="preserve"> -  - </v>
      </c>
      <c r="AC443">
        <f>ProveedoresRib!G75</f>
        <v>0</v>
      </c>
    </row>
    <row r="444" spans="26:29" hidden="1" x14ac:dyDescent="0.25">
      <c r="Z444">
        <f t="shared" si="31"/>
        <v>0</v>
      </c>
      <c r="AA444">
        <f>ProveedoresRib!A76</f>
        <v>0</v>
      </c>
      <c r="AB444" t="str">
        <f>ProveedoresRib!D76&amp;" - "&amp;ProveedoresRib!F76&amp;" - "&amp;ProveedoresRib!E76</f>
        <v xml:space="preserve"> -  - </v>
      </c>
      <c r="AC444">
        <f>ProveedoresRib!G76</f>
        <v>0</v>
      </c>
    </row>
    <row r="445" spans="26:29" hidden="1" x14ac:dyDescent="0.25">
      <c r="Z445">
        <f t="shared" si="31"/>
        <v>0</v>
      </c>
      <c r="AA445">
        <f>ProveedoresRib!A77</f>
        <v>0</v>
      </c>
      <c r="AB445" t="str">
        <f>ProveedoresRib!D77&amp;" - "&amp;ProveedoresRib!F77&amp;" - "&amp;ProveedoresRib!E77</f>
        <v xml:space="preserve"> -  - </v>
      </c>
      <c r="AC445">
        <f>ProveedoresRib!G77</f>
        <v>0</v>
      </c>
    </row>
    <row r="446" spans="26:29" hidden="1" x14ac:dyDescent="0.25">
      <c r="Z446">
        <f t="shared" si="31"/>
        <v>0</v>
      </c>
      <c r="AA446">
        <f>ProveedoresRib!A78</f>
        <v>0</v>
      </c>
      <c r="AB446" t="str">
        <f>ProveedoresRib!D78&amp;" - "&amp;ProveedoresRib!F78&amp;" - "&amp;ProveedoresRib!E78</f>
        <v xml:space="preserve"> -  - </v>
      </c>
      <c r="AC446">
        <f>ProveedoresRib!G78</f>
        <v>0</v>
      </c>
    </row>
    <row r="447" spans="26:29" hidden="1" x14ac:dyDescent="0.25">
      <c r="Z447">
        <f t="shared" si="31"/>
        <v>0</v>
      </c>
      <c r="AA447">
        <f>ProveedoresRib!A79</f>
        <v>0</v>
      </c>
      <c r="AB447" t="str">
        <f>ProveedoresRib!D79&amp;" - "&amp;ProveedoresRib!F79&amp;" - "&amp;ProveedoresRib!E79</f>
        <v xml:space="preserve"> -  - </v>
      </c>
      <c r="AC447">
        <f>ProveedoresRib!G79</f>
        <v>0</v>
      </c>
    </row>
    <row r="448" spans="26:29" hidden="1" x14ac:dyDescent="0.25">
      <c r="Z448">
        <f t="shared" si="31"/>
        <v>0</v>
      </c>
      <c r="AA448">
        <f>ProveedoresRib!A80</f>
        <v>0</v>
      </c>
      <c r="AB448" t="str">
        <f>ProveedoresRib!D80&amp;" - "&amp;ProveedoresRib!F80&amp;" - "&amp;ProveedoresRib!E80</f>
        <v xml:space="preserve"> -  - </v>
      </c>
      <c r="AC448">
        <f>ProveedoresRib!G80</f>
        <v>0</v>
      </c>
    </row>
    <row r="449" spans="26:29" hidden="1" x14ac:dyDescent="0.25">
      <c r="Z449">
        <f t="shared" si="31"/>
        <v>0</v>
      </c>
      <c r="AA449">
        <f>ProveedoresRib!A81</f>
        <v>0</v>
      </c>
      <c r="AB449" t="str">
        <f>ProveedoresRib!D81&amp;" - "&amp;ProveedoresRib!F81&amp;" - "&amp;ProveedoresRib!E81</f>
        <v xml:space="preserve"> -  - </v>
      </c>
      <c r="AC449">
        <f>ProveedoresRib!G81</f>
        <v>0</v>
      </c>
    </row>
    <row r="450" spans="26:29" hidden="1" x14ac:dyDescent="0.25">
      <c r="Z450">
        <f t="shared" si="31"/>
        <v>0</v>
      </c>
      <c r="AA450">
        <f>ProveedoresRib!A82</f>
        <v>0</v>
      </c>
      <c r="AB450" t="str">
        <f>ProveedoresRib!D82&amp;" - "&amp;ProveedoresRib!F82&amp;" - "&amp;ProveedoresRib!E82</f>
        <v xml:space="preserve"> -  - </v>
      </c>
      <c r="AC450">
        <f>ProveedoresRib!G82</f>
        <v>0</v>
      </c>
    </row>
    <row r="451" spans="26:29" hidden="1" x14ac:dyDescent="0.25">
      <c r="Z451">
        <f t="shared" si="31"/>
        <v>0</v>
      </c>
      <c r="AA451">
        <f>ProveedoresRib!A83</f>
        <v>0</v>
      </c>
      <c r="AB451" t="str">
        <f>ProveedoresRib!D83&amp;" - "&amp;ProveedoresRib!F83&amp;" - "&amp;ProveedoresRib!E83</f>
        <v xml:space="preserve"> -  - </v>
      </c>
      <c r="AC451">
        <f>ProveedoresRib!G83</f>
        <v>0</v>
      </c>
    </row>
    <row r="452" spans="26:29" hidden="1" x14ac:dyDescent="0.25">
      <c r="Z452">
        <f t="shared" si="31"/>
        <v>0</v>
      </c>
      <c r="AA452">
        <f>ProveedoresRib!A84</f>
        <v>0</v>
      </c>
      <c r="AB452" t="str">
        <f>ProveedoresRib!D84&amp;" - "&amp;ProveedoresRib!F84&amp;" - "&amp;ProveedoresRib!E84</f>
        <v xml:space="preserve"> -  - </v>
      </c>
      <c r="AC452">
        <f>ProveedoresRib!G84</f>
        <v>0</v>
      </c>
    </row>
    <row r="453" spans="26:29" hidden="1" x14ac:dyDescent="0.25">
      <c r="Z453">
        <f t="shared" si="31"/>
        <v>0</v>
      </c>
      <c r="AA453">
        <f>ProveedoresRib!A85</f>
        <v>0</v>
      </c>
      <c r="AB453" t="str">
        <f>ProveedoresRib!D85&amp;" - "&amp;ProveedoresRib!F85&amp;" - "&amp;ProveedoresRib!E85</f>
        <v xml:space="preserve"> -  - </v>
      </c>
      <c r="AC453">
        <f>ProveedoresRib!G85</f>
        <v>0</v>
      </c>
    </row>
    <row r="454" spans="26:29" hidden="1" x14ac:dyDescent="0.25">
      <c r="Z454">
        <f t="shared" si="31"/>
        <v>0</v>
      </c>
      <c r="AA454">
        <f>ProveedoresRib!A86</f>
        <v>0</v>
      </c>
      <c r="AB454" t="str">
        <f>ProveedoresRib!D86&amp;" - "&amp;ProveedoresRib!F86&amp;" - "&amp;ProveedoresRib!E86</f>
        <v xml:space="preserve"> -  - </v>
      </c>
      <c r="AC454">
        <f>ProveedoresRib!G86</f>
        <v>0</v>
      </c>
    </row>
    <row r="455" spans="26:29" hidden="1" x14ac:dyDescent="0.25">
      <c r="Z455">
        <f t="shared" si="31"/>
        <v>0</v>
      </c>
      <c r="AA455">
        <f>ProveedoresRib!A87</f>
        <v>0</v>
      </c>
      <c r="AB455" t="str">
        <f>ProveedoresRib!D87&amp;" - "&amp;ProveedoresRib!F87&amp;" - "&amp;ProveedoresRib!E87</f>
        <v xml:space="preserve"> -  - </v>
      </c>
      <c r="AC455">
        <f>ProveedoresRib!G87</f>
        <v>0</v>
      </c>
    </row>
    <row r="456" spans="26:29" hidden="1" x14ac:dyDescent="0.25">
      <c r="Z456">
        <f t="shared" si="31"/>
        <v>0</v>
      </c>
      <c r="AA456">
        <f>ProveedoresRib!A88</f>
        <v>0</v>
      </c>
      <c r="AB456" t="str">
        <f>ProveedoresRib!D88&amp;" - "&amp;ProveedoresRib!F88&amp;" - "&amp;ProveedoresRib!E88</f>
        <v xml:space="preserve"> -  - </v>
      </c>
      <c r="AC456">
        <f>ProveedoresRib!G88</f>
        <v>0</v>
      </c>
    </row>
    <row r="457" spans="26:29" hidden="1" x14ac:dyDescent="0.25">
      <c r="Z457">
        <f t="shared" si="31"/>
        <v>0</v>
      </c>
      <c r="AA457">
        <f>ProveedoresRib!A89</f>
        <v>0</v>
      </c>
      <c r="AB457" t="str">
        <f>ProveedoresRib!D89&amp;" - "&amp;ProveedoresRib!F89&amp;" - "&amp;ProveedoresRib!E89</f>
        <v xml:space="preserve"> -  - </v>
      </c>
      <c r="AC457">
        <f>ProveedoresRib!G89</f>
        <v>0</v>
      </c>
    </row>
    <row r="458" spans="26:29" hidden="1" x14ac:dyDescent="0.25">
      <c r="Z458">
        <f t="shared" si="31"/>
        <v>0</v>
      </c>
      <c r="AA458">
        <f>ProveedoresRib!A90</f>
        <v>0</v>
      </c>
      <c r="AB458" t="str">
        <f>ProveedoresRib!D90&amp;" - "&amp;ProveedoresRib!F90&amp;" - "&amp;ProveedoresRib!E90</f>
        <v xml:space="preserve"> -  - </v>
      </c>
      <c r="AC458">
        <f>ProveedoresRib!G90</f>
        <v>0</v>
      </c>
    </row>
    <row r="459" spans="26:29" hidden="1" x14ac:dyDescent="0.25">
      <c r="Z459">
        <f t="shared" si="31"/>
        <v>0</v>
      </c>
      <c r="AA459">
        <f>ProveedoresRib!A91</f>
        <v>0</v>
      </c>
      <c r="AB459" t="str">
        <f>ProveedoresRib!D91&amp;" - "&amp;ProveedoresRib!F91&amp;" - "&amp;ProveedoresRib!E91</f>
        <v xml:space="preserve"> -  - </v>
      </c>
      <c r="AC459">
        <f>ProveedoresRib!G91</f>
        <v>0</v>
      </c>
    </row>
    <row r="460" spans="26:29" hidden="1" x14ac:dyDescent="0.25">
      <c r="Z460">
        <f t="shared" si="31"/>
        <v>0</v>
      </c>
      <c r="AA460">
        <f>ProveedoresRib!A92</f>
        <v>0</v>
      </c>
      <c r="AB460" t="str">
        <f>ProveedoresRib!D92&amp;" - "&amp;ProveedoresRib!F92&amp;" - "&amp;ProveedoresRib!E92</f>
        <v xml:space="preserve"> -  - </v>
      </c>
      <c r="AC460">
        <f>ProveedoresRib!G92</f>
        <v>0</v>
      </c>
    </row>
    <row r="461" spans="26:29" hidden="1" x14ac:dyDescent="0.25">
      <c r="Z461">
        <f t="shared" si="31"/>
        <v>0</v>
      </c>
      <c r="AA461">
        <f>ProveedoresRib!A93</f>
        <v>0</v>
      </c>
      <c r="AB461" t="str">
        <f>ProveedoresRib!D93&amp;" - "&amp;ProveedoresRib!F93&amp;" - "&amp;ProveedoresRib!E93</f>
        <v xml:space="preserve"> -  - </v>
      </c>
      <c r="AC461">
        <f>ProveedoresRib!G93</f>
        <v>0</v>
      </c>
    </row>
    <row r="462" spans="26:29" hidden="1" x14ac:dyDescent="0.25">
      <c r="Z462">
        <f t="shared" si="31"/>
        <v>0</v>
      </c>
      <c r="AA462">
        <f>ProveedoresRib!A94</f>
        <v>0</v>
      </c>
      <c r="AB462" t="str">
        <f>ProveedoresRib!D94&amp;" - "&amp;ProveedoresRib!F94&amp;" - "&amp;ProveedoresRib!E94</f>
        <v xml:space="preserve"> -  - </v>
      </c>
      <c r="AC462">
        <f>ProveedoresRib!G94</f>
        <v>0</v>
      </c>
    </row>
    <row r="463" spans="26:29" hidden="1" x14ac:dyDescent="0.25">
      <c r="Z463">
        <f t="shared" si="31"/>
        <v>0</v>
      </c>
      <c r="AA463">
        <f>ProveedoresRib!A95</f>
        <v>0</v>
      </c>
      <c r="AB463" t="str">
        <f>ProveedoresRib!D95&amp;" - "&amp;ProveedoresRib!F95&amp;" - "&amp;ProveedoresRib!E95</f>
        <v xml:space="preserve"> -  - </v>
      </c>
      <c r="AC463">
        <f>ProveedoresRib!G95</f>
        <v>0</v>
      </c>
    </row>
    <row r="464" spans="26:29" hidden="1" x14ac:dyDescent="0.25">
      <c r="Z464">
        <f t="shared" si="31"/>
        <v>0</v>
      </c>
      <c r="AA464">
        <f>ProveedoresRib!A96</f>
        <v>0</v>
      </c>
      <c r="AB464" t="str">
        <f>ProveedoresRib!D96&amp;" - "&amp;ProveedoresRib!F96&amp;" - "&amp;ProveedoresRib!E96</f>
        <v xml:space="preserve"> -  - </v>
      </c>
      <c r="AC464">
        <f>ProveedoresRib!G96</f>
        <v>0</v>
      </c>
    </row>
    <row r="465" spans="26:29" hidden="1" x14ac:dyDescent="0.25">
      <c r="Z465">
        <f t="shared" si="31"/>
        <v>0</v>
      </c>
      <c r="AA465">
        <f>ProveedoresRib!A97</f>
        <v>0</v>
      </c>
      <c r="AB465" t="str">
        <f>ProveedoresRib!D97&amp;" - "&amp;ProveedoresRib!F97&amp;" - "&amp;ProveedoresRib!E97</f>
        <v xml:space="preserve"> -  - </v>
      </c>
      <c r="AC465">
        <f>ProveedoresRib!G97</f>
        <v>0</v>
      </c>
    </row>
    <row r="466" spans="26:29" hidden="1" x14ac:dyDescent="0.25">
      <c r="Z466">
        <f t="shared" si="31"/>
        <v>0</v>
      </c>
      <c r="AA466">
        <f>ProveedoresRib!A98</f>
        <v>0</v>
      </c>
      <c r="AB466" t="str">
        <f>ProveedoresRib!D98&amp;" - "&amp;ProveedoresRib!F98&amp;" - "&amp;ProveedoresRib!E98</f>
        <v xml:space="preserve"> -  - </v>
      </c>
      <c r="AC466">
        <f>ProveedoresRib!G98</f>
        <v>0</v>
      </c>
    </row>
    <row r="467" spans="26:29" hidden="1" x14ac:dyDescent="0.25">
      <c r="Z467">
        <f t="shared" ref="Z467:Z498" si="32">IF(AA467=$A$4,Z466+1,0)</f>
        <v>0</v>
      </c>
      <c r="AA467">
        <f>ProveedoresRib!A99</f>
        <v>0</v>
      </c>
      <c r="AB467" t="str">
        <f>ProveedoresRib!D99&amp;" - "&amp;ProveedoresRib!F99&amp;" - "&amp;ProveedoresRib!E99</f>
        <v xml:space="preserve"> -  - </v>
      </c>
      <c r="AC467">
        <f>ProveedoresRib!G99</f>
        <v>0</v>
      </c>
    </row>
    <row r="468" spans="26:29" hidden="1" x14ac:dyDescent="0.25">
      <c r="Z468">
        <f t="shared" si="32"/>
        <v>0</v>
      </c>
      <c r="AA468">
        <f>ProveedoresRib!A100</f>
        <v>0</v>
      </c>
      <c r="AB468" t="str">
        <f>ProveedoresRib!D100&amp;" - "&amp;ProveedoresRib!F100&amp;" - "&amp;ProveedoresRib!E100</f>
        <v xml:space="preserve"> -  - </v>
      </c>
      <c r="AC468">
        <f>ProveedoresRib!G100</f>
        <v>0</v>
      </c>
    </row>
    <row r="469" spans="26:29" hidden="1" x14ac:dyDescent="0.25">
      <c r="Z469">
        <f t="shared" si="32"/>
        <v>0</v>
      </c>
      <c r="AA469">
        <f>ProveedoresRib!A101</f>
        <v>0</v>
      </c>
      <c r="AB469" t="str">
        <f>ProveedoresRib!D101&amp;" - "&amp;ProveedoresRib!F101&amp;" - "&amp;ProveedoresRib!E101</f>
        <v xml:space="preserve"> -  - </v>
      </c>
      <c r="AC469">
        <f>ProveedoresRib!G101</f>
        <v>0</v>
      </c>
    </row>
    <row r="470" spans="26:29" hidden="1" x14ac:dyDescent="0.25">
      <c r="Z470">
        <f t="shared" si="32"/>
        <v>0</v>
      </c>
      <c r="AA470">
        <f>ProveedoresRib!A102</f>
        <v>0</v>
      </c>
      <c r="AB470" t="str">
        <f>ProveedoresRib!D102&amp;" - "&amp;ProveedoresRib!F102&amp;" - "&amp;ProveedoresRib!E102</f>
        <v xml:space="preserve"> -  - </v>
      </c>
      <c r="AC470">
        <f>ProveedoresRib!G102</f>
        <v>0</v>
      </c>
    </row>
    <row r="471" spans="26:29" hidden="1" x14ac:dyDescent="0.25">
      <c r="Z471">
        <f t="shared" si="32"/>
        <v>0</v>
      </c>
      <c r="AA471">
        <f>ProveedoresRib!A103</f>
        <v>0</v>
      </c>
      <c r="AB471" t="str">
        <f>ProveedoresRib!D103&amp;" - "&amp;ProveedoresRib!F103&amp;" - "&amp;ProveedoresRib!E103</f>
        <v xml:space="preserve"> -  - </v>
      </c>
      <c r="AC471">
        <f>ProveedoresRib!G103</f>
        <v>0</v>
      </c>
    </row>
    <row r="472" spans="26:29" hidden="1" x14ac:dyDescent="0.25">
      <c r="Z472">
        <f t="shared" si="32"/>
        <v>0</v>
      </c>
      <c r="AA472">
        <f>ProveedoresRib!A104</f>
        <v>0</v>
      </c>
      <c r="AB472" t="str">
        <f>ProveedoresRib!D104&amp;" - "&amp;ProveedoresRib!F104&amp;" - "&amp;ProveedoresRib!E104</f>
        <v xml:space="preserve"> -  - </v>
      </c>
      <c r="AC472">
        <f>ProveedoresRib!G104</f>
        <v>0</v>
      </c>
    </row>
    <row r="473" spans="26:29" hidden="1" x14ac:dyDescent="0.25">
      <c r="Z473">
        <f t="shared" si="32"/>
        <v>0</v>
      </c>
      <c r="AA473">
        <f>ProveedoresRib!A105</f>
        <v>0</v>
      </c>
      <c r="AB473" t="str">
        <f>ProveedoresRib!D105&amp;" - "&amp;ProveedoresRib!F105&amp;" - "&amp;ProveedoresRib!E105</f>
        <v xml:space="preserve"> -  - </v>
      </c>
      <c r="AC473">
        <f>ProveedoresRib!G105</f>
        <v>0</v>
      </c>
    </row>
    <row r="474" spans="26:29" hidden="1" x14ac:dyDescent="0.25">
      <c r="Z474">
        <f t="shared" si="32"/>
        <v>0</v>
      </c>
      <c r="AA474">
        <f>ProveedoresRib!A106</f>
        <v>0</v>
      </c>
      <c r="AB474" t="str">
        <f>ProveedoresRib!D106&amp;" - "&amp;ProveedoresRib!F106&amp;" - "&amp;ProveedoresRib!E106</f>
        <v xml:space="preserve"> -  - </v>
      </c>
      <c r="AC474">
        <f>ProveedoresRib!G106</f>
        <v>0</v>
      </c>
    </row>
    <row r="475" spans="26:29" hidden="1" x14ac:dyDescent="0.25">
      <c r="Z475">
        <f t="shared" si="32"/>
        <v>0</v>
      </c>
      <c r="AA475">
        <f>ProveedoresRib!A107</f>
        <v>0</v>
      </c>
      <c r="AB475" t="str">
        <f>ProveedoresRib!D107&amp;" - "&amp;ProveedoresRib!F107&amp;" - "&amp;ProveedoresRib!E107</f>
        <v xml:space="preserve"> -  - </v>
      </c>
      <c r="AC475">
        <f>ProveedoresRib!G107</f>
        <v>0</v>
      </c>
    </row>
    <row r="476" spans="26:29" hidden="1" x14ac:dyDescent="0.25">
      <c r="Z476">
        <f t="shared" si="32"/>
        <v>0</v>
      </c>
      <c r="AA476">
        <f>ProveedoresRib!A108</f>
        <v>0</v>
      </c>
      <c r="AB476" t="str">
        <f>ProveedoresRib!D108&amp;" - "&amp;ProveedoresRib!F108&amp;" - "&amp;ProveedoresRib!E108</f>
        <v xml:space="preserve"> -  - </v>
      </c>
      <c r="AC476">
        <f>ProveedoresRib!G108</f>
        <v>0</v>
      </c>
    </row>
    <row r="477" spans="26:29" hidden="1" x14ac:dyDescent="0.25">
      <c r="Z477">
        <f t="shared" si="32"/>
        <v>0</v>
      </c>
      <c r="AA477">
        <f>ProveedoresRib!A109</f>
        <v>0</v>
      </c>
      <c r="AB477" t="str">
        <f>ProveedoresRib!D109&amp;" - "&amp;ProveedoresRib!F109&amp;" - "&amp;ProveedoresRib!E109</f>
        <v xml:space="preserve"> -  - </v>
      </c>
      <c r="AC477">
        <f>ProveedoresRib!G109</f>
        <v>0</v>
      </c>
    </row>
    <row r="478" spans="26:29" hidden="1" x14ac:dyDescent="0.25">
      <c r="Z478">
        <f t="shared" si="32"/>
        <v>0</v>
      </c>
      <c r="AA478">
        <f>ProveedoresRib!A110</f>
        <v>0</v>
      </c>
      <c r="AB478" t="str">
        <f>ProveedoresRib!D110&amp;" - "&amp;ProveedoresRib!F110&amp;" - "&amp;ProveedoresRib!E110</f>
        <v xml:space="preserve"> -  - </v>
      </c>
      <c r="AC478">
        <f>ProveedoresRib!G110</f>
        <v>0</v>
      </c>
    </row>
    <row r="479" spans="26:29" hidden="1" x14ac:dyDescent="0.25">
      <c r="Z479">
        <f t="shared" si="32"/>
        <v>0</v>
      </c>
      <c r="AA479">
        <f>ProveedoresRib!A111</f>
        <v>0</v>
      </c>
      <c r="AB479" t="str">
        <f>ProveedoresRib!D111&amp;" - "&amp;ProveedoresRib!F111&amp;" - "&amp;ProveedoresRib!E111</f>
        <v xml:space="preserve"> -  - </v>
      </c>
      <c r="AC479">
        <f>ProveedoresRib!G111</f>
        <v>0</v>
      </c>
    </row>
    <row r="480" spans="26:29" hidden="1" x14ac:dyDescent="0.25">
      <c r="Z480">
        <f t="shared" si="32"/>
        <v>0</v>
      </c>
      <c r="AA480">
        <f>ProveedoresRib!A112</f>
        <v>0</v>
      </c>
      <c r="AB480" t="str">
        <f>ProveedoresRib!D112&amp;" - "&amp;ProveedoresRib!F112&amp;" - "&amp;ProveedoresRib!E112</f>
        <v xml:space="preserve"> -  - </v>
      </c>
      <c r="AC480">
        <f>ProveedoresRib!G112</f>
        <v>0</v>
      </c>
    </row>
    <row r="481" spans="26:29" hidden="1" x14ac:dyDescent="0.25">
      <c r="Z481">
        <f t="shared" si="32"/>
        <v>0</v>
      </c>
      <c r="AA481">
        <f>ProveedoresRib!A113</f>
        <v>0</v>
      </c>
      <c r="AB481" t="str">
        <f>ProveedoresRib!D113&amp;" - "&amp;ProveedoresRib!F113&amp;" - "&amp;ProveedoresRib!E113</f>
        <v xml:space="preserve"> -  - </v>
      </c>
      <c r="AC481">
        <f>ProveedoresRib!G113</f>
        <v>0</v>
      </c>
    </row>
    <row r="482" spans="26:29" hidden="1" x14ac:dyDescent="0.25">
      <c r="Z482">
        <f t="shared" si="32"/>
        <v>0</v>
      </c>
      <c r="AA482">
        <f>ProveedoresRib!A114</f>
        <v>0</v>
      </c>
      <c r="AB482" t="str">
        <f>ProveedoresRib!D114&amp;" - "&amp;ProveedoresRib!F114&amp;" - "&amp;ProveedoresRib!E114</f>
        <v xml:space="preserve"> -  - </v>
      </c>
      <c r="AC482">
        <f>ProveedoresRib!G114</f>
        <v>0</v>
      </c>
    </row>
    <row r="483" spans="26:29" hidden="1" x14ac:dyDescent="0.25">
      <c r="Z483">
        <f t="shared" si="32"/>
        <v>0</v>
      </c>
      <c r="AA483">
        <f>ProveedoresRib!A115</f>
        <v>0</v>
      </c>
      <c r="AB483" t="str">
        <f>ProveedoresRib!D115&amp;" - "&amp;ProveedoresRib!F115&amp;" - "&amp;ProveedoresRib!E115</f>
        <v xml:space="preserve"> -  - </v>
      </c>
      <c r="AC483">
        <f>ProveedoresRib!G115</f>
        <v>0</v>
      </c>
    </row>
    <row r="484" spans="26:29" hidden="1" x14ac:dyDescent="0.25">
      <c r="Z484">
        <f t="shared" si="32"/>
        <v>0</v>
      </c>
      <c r="AA484">
        <f>ProveedoresRib!A116</f>
        <v>0</v>
      </c>
      <c r="AB484" t="str">
        <f>ProveedoresRib!D116&amp;" - "&amp;ProveedoresRib!F116&amp;" - "&amp;ProveedoresRib!E116</f>
        <v xml:space="preserve"> -  - </v>
      </c>
      <c r="AC484">
        <f>ProveedoresRib!G116</f>
        <v>0</v>
      </c>
    </row>
    <row r="485" spans="26:29" hidden="1" x14ac:dyDescent="0.25">
      <c r="Z485">
        <f t="shared" si="32"/>
        <v>0</v>
      </c>
      <c r="AA485">
        <f>ProveedoresRib!A117</f>
        <v>0</v>
      </c>
      <c r="AB485" t="str">
        <f>ProveedoresRib!D117&amp;" - "&amp;ProveedoresRib!F117&amp;" - "&amp;ProveedoresRib!E117</f>
        <v xml:space="preserve"> -  - </v>
      </c>
      <c r="AC485">
        <f>ProveedoresRib!G117</f>
        <v>0</v>
      </c>
    </row>
    <row r="486" spans="26:29" hidden="1" x14ac:dyDescent="0.25">
      <c r="Z486">
        <f t="shared" si="32"/>
        <v>0</v>
      </c>
      <c r="AA486">
        <f>ProveedoresRib!A118</f>
        <v>0</v>
      </c>
      <c r="AB486" t="str">
        <f>ProveedoresRib!D118&amp;" - "&amp;ProveedoresRib!F118&amp;" - "&amp;ProveedoresRib!E118</f>
        <v xml:space="preserve"> -  - </v>
      </c>
      <c r="AC486">
        <f>ProveedoresRib!G118</f>
        <v>0</v>
      </c>
    </row>
    <row r="487" spans="26:29" hidden="1" x14ac:dyDescent="0.25">
      <c r="Z487">
        <f t="shared" si="32"/>
        <v>0</v>
      </c>
      <c r="AA487">
        <f>ProveedoresRib!A119</f>
        <v>0</v>
      </c>
      <c r="AB487" t="str">
        <f>ProveedoresRib!D119&amp;" - "&amp;ProveedoresRib!F119&amp;" - "&amp;ProveedoresRib!E119</f>
        <v xml:space="preserve"> -  - </v>
      </c>
      <c r="AC487">
        <f>ProveedoresRib!G119</f>
        <v>0</v>
      </c>
    </row>
    <row r="488" spans="26:29" hidden="1" x14ac:dyDescent="0.25">
      <c r="Z488">
        <f t="shared" si="32"/>
        <v>0</v>
      </c>
      <c r="AA488">
        <f>ProveedoresRib!A120</f>
        <v>0</v>
      </c>
      <c r="AB488" t="str">
        <f>ProveedoresRib!D120&amp;" - "&amp;ProveedoresRib!F120&amp;" - "&amp;ProveedoresRib!E120</f>
        <v xml:space="preserve"> -  - </v>
      </c>
      <c r="AC488">
        <f>ProveedoresRib!G120</f>
        <v>0</v>
      </c>
    </row>
    <row r="489" spans="26:29" hidden="1" x14ac:dyDescent="0.25">
      <c r="Z489">
        <f t="shared" si="32"/>
        <v>0</v>
      </c>
      <c r="AA489">
        <f>ProveedoresRib!A121</f>
        <v>0</v>
      </c>
      <c r="AB489" t="str">
        <f>ProveedoresRib!D121&amp;" - "&amp;ProveedoresRib!F121&amp;" - "&amp;ProveedoresRib!E121</f>
        <v xml:space="preserve"> -  - </v>
      </c>
      <c r="AC489">
        <f>ProveedoresRib!G121</f>
        <v>0</v>
      </c>
    </row>
    <row r="490" spans="26:29" hidden="1" x14ac:dyDescent="0.25">
      <c r="Z490">
        <f t="shared" si="32"/>
        <v>0</v>
      </c>
      <c r="AA490">
        <f>ProveedoresRib!A122</f>
        <v>0</v>
      </c>
      <c r="AB490" t="str">
        <f>ProveedoresRib!D122&amp;" - "&amp;ProveedoresRib!F122&amp;" - "&amp;ProveedoresRib!E122</f>
        <v xml:space="preserve"> -  - </v>
      </c>
      <c r="AC490">
        <f>ProveedoresRib!G122</f>
        <v>0</v>
      </c>
    </row>
    <row r="491" spans="26:29" hidden="1" x14ac:dyDescent="0.25">
      <c r="Z491">
        <f t="shared" si="32"/>
        <v>0</v>
      </c>
      <c r="AA491">
        <f>ProveedoresRib!A123</f>
        <v>0</v>
      </c>
      <c r="AB491" t="str">
        <f>ProveedoresRib!D123&amp;" - "&amp;ProveedoresRib!F123&amp;" - "&amp;ProveedoresRib!E123</f>
        <v xml:space="preserve"> -  - </v>
      </c>
      <c r="AC491">
        <f>ProveedoresRib!G123</f>
        <v>0</v>
      </c>
    </row>
    <row r="492" spans="26:29" hidden="1" x14ac:dyDescent="0.25">
      <c r="Z492">
        <f t="shared" si="32"/>
        <v>0</v>
      </c>
      <c r="AA492">
        <f>ProveedoresRib!A124</f>
        <v>0</v>
      </c>
      <c r="AB492" t="str">
        <f>ProveedoresRib!D124&amp;" - "&amp;ProveedoresRib!F124&amp;" - "&amp;ProveedoresRib!E124</f>
        <v xml:space="preserve"> -  - </v>
      </c>
      <c r="AC492">
        <f>ProveedoresRib!G124</f>
        <v>0</v>
      </c>
    </row>
    <row r="493" spans="26:29" hidden="1" x14ac:dyDescent="0.25">
      <c r="Z493">
        <f t="shared" si="32"/>
        <v>0</v>
      </c>
      <c r="AA493">
        <f>ProveedoresRib!A125</f>
        <v>0</v>
      </c>
      <c r="AB493" t="str">
        <f>ProveedoresRib!D125&amp;" - "&amp;ProveedoresRib!F125&amp;" - "&amp;ProveedoresRib!E125</f>
        <v xml:space="preserve"> -  - </v>
      </c>
      <c r="AC493">
        <f>ProveedoresRib!G125</f>
        <v>0</v>
      </c>
    </row>
    <row r="494" spans="26:29" hidden="1" x14ac:dyDescent="0.25">
      <c r="Z494">
        <f t="shared" si="32"/>
        <v>0</v>
      </c>
      <c r="AA494">
        <f>ProveedoresRib!A126</f>
        <v>0</v>
      </c>
      <c r="AB494" t="str">
        <f>ProveedoresRib!D126&amp;" - "&amp;ProveedoresRib!F126&amp;" - "&amp;ProveedoresRib!E126</f>
        <v xml:space="preserve"> -  - </v>
      </c>
      <c r="AC494">
        <f>ProveedoresRib!G126</f>
        <v>0</v>
      </c>
    </row>
    <row r="495" spans="26:29" hidden="1" x14ac:dyDescent="0.25">
      <c r="Z495">
        <f t="shared" si="32"/>
        <v>0</v>
      </c>
      <c r="AA495">
        <f>ProveedoresRib!A127</f>
        <v>0</v>
      </c>
      <c r="AB495" t="str">
        <f>ProveedoresRib!D127&amp;" - "&amp;ProveedoresRib!F127&amp;" - "&amp;ProveedoresRib!E127</f>
        <v xml:space="preserve"> -  - </v>
      </c>
      <c r="AC495">
        <f>ProveedoresRib!G127</f>
        <v>0</v>
      </c>
    </row>
    <row r="496" spans="26:29" hidden="1" x14ac:dyDescent="0.25">
      <c r="Z496">
        <f t="shared" si="32"/>
        <v>0</v>
      </c>
      <c r="AA496">
        <f>ProveedoresRib!A128</f>
        <v>0</v>
      </c>
      <c r="AB496" t="str">
        <f>ProveedoresRib!D128&amp;" - "&amp;ProveedoresRib!F128&amp;" - "&amp;ProveedoresRib!E128</f>
        <v xml:space="preserve"> -  - </v>
      </c>
      <c r="AC496">
        <f>ProveedoresRib!G128</f>
        <v>0</v>
      </c>
    </row>
    <row r="497" spans="26:29" hidden="1" x14ac:dyDescent="0.25">
      <c r="Z497">
        <f t="shared" si="32"/>
        <v>0</v>
      </c>
      <c r="AA497">
        <f>ProveedoresRib!A129</f>
        <v>0</v>
      </c>
      <c r="AB497" t="str">
        <f>ProveedoresRib!D129&amp;" - "&amp;ProveedoresRib!F129&amp;" - "&amp;ProveedoresRib!E129</f>
        <v xml:space="preserve"> -  - </v>
      </c>
      <c r="AC497">
        <f>ProveedoresRib!G129</f>
        <v>0</v>
      </c>
    </row>
    <row r="498" spans="26:29" hidden="1" x14ac:dyDescent="0.25">
      <c r="Z498">
        <f t="shared" si="32"/>
        <v>0</v>
      </c>
      <c r="AA498">
        <f>ProveedoresRib!A130</f>
        <v>0</v>
      </c>
      <c r="AB498" t="str">
        <f>ProveedoresRib!D130&amp;" - "&amp;ProveedoresRib!F130&amp;" - "&amp;ProveedoresRib!E130</f>
        <v xml:space="preserve"> -  - </v>
      </c>
      <c r="AC498">
        <f>ProveedoresRib!G130</f>
        <v>0</v>
      </c>
    </row>
    <row r="499" spans="26:29" hidden="1" x14ac:dyDescent="0.25">
      <c r="Z499">
        <f t="shared" ref="Z499:Z520" si="33">IF(AA499=$A$4,Z498+1,0)</f>
        <v>0</v>
      </c>
      <c r="AA499">
        <f>ProveedoresRib!A131</f>
        <v>0</v>
      </c>
      <c r="AB499" t="str">
        <f>ProveedoresRib!D131&amp;" - "&amp;ProveedoresRib!F131&amp;" - "&amp;ProveedoresRib!E131</f>
        <v xml:space="preserve"> -  - </v>
      </c>
      <c r="AC499">
        <f>ProveedoresRib!G131</f>
        <v>0</v>
      </c>
    </row>
    <row r="500" spans="26:29" hidden="1" x14ac:dyDescent="0.25">
      <c r="Z500">
        <f t="shared" si="33"/>
        <v>0</v>
      </c>
      <c r="AA500">
        <f>ProveedoresRib!A132</f>
        <v>0</v>
      </c>
      <c r="AB500" t="str">
        <f>ProveedoresRib!D132&amp;" - "&amp;ProveedoresRib!F132&amp;" - "&amp;ProveedoresRib!E132</f>
        <v xml:space="preserve"> -  - </v>
      </c>
      <c r="AC500">
        <f>ProveedoresRib!G132</f>
        <v>0</v>
      </c>
    </row>
    <row r="501" spans="26:29" hidden="1" x14ac:dyDescent="0.25">
      <c r="Z501">
        <f t="shared" si="33"/>
        <v>0</v>
      </c>
      <c r="AA501">
        <f>ProveedoresRib!A133</f>
        <v>0</v>
      </c>
      <c r="AB501" t="str">
        <f>ProveedoresRib!D133&amp;" - "&amp;ProveedoresRib!F133&amp;" - "&amp;ProveedoresRib!E133</f>
        <v xml:space="preserve"> -  - </v>
      </c>
      <c r="AC501">
        <f>ProveedoresRib!G133</f>
        <v>0</v>
      </c>
    </row>
    <row r="502" spans="26:29" hidden="1" x14ac:dyDescent="0.25">
      <c r="Z502">
        <f t="shared" si="33"/>
        <v>0</v>
      </c>
      <c r="AA502">
        <f>ProveedoresRib!A134</f>
        <v>0</v>
      </c>
      <c r="AB502" t="str">
        <f>ProveedoresRib!D134&amp;" - "&amp;ProveedoresRib!F134&amp;" - "&amp;ProveedoresRib!E134</f>
        <v xml:space="preserve"> -  - </v>
      </c>
      <c r="AC502">
        <f>ProveedoresRib!G134</f>
        <v>0</v>
      </c>
    </row>
    <row r="503" spans="26:29" hidden="1" x14ac:dyDescent="0.25">
      <c r="Z503">
        <f t="shared" si="33"/>
        <v>0</v>
      </c>
      <c r="AA503">
        <f>ProveedoresRib!A135</f>
        <v>0</v>
      </c>
      <c r="AB503" t="str">
        <f>ProveedoresRib!D135&amp;" - "&amp;ProveedoresRib!F135&amp;" - "&amp;ProveedoresRib!E135</f>
        <v xml:space="preserve"> -  - </v>
      </c>
      <c r="AC503">
        <f>ProveedoresRib!G135</f>
        <v>0</v>
      </c>
    </row>
    <row r="504" spans="26:29" hidden="1" x14ac:dyDescent="0.25">
      <c r="Z504">
        <f t="shared" si="33"/>
        <v>0</v>
      </c>
      <c r="AA504">
        <f>ProveedoresRib!A136</f>
        <v>0</v>
      </c>
      <c r="AB504" t="str">
        <f>ProveedoresRib!D136&amp;" - "&amp;ProveedoresRib!F136&amp;" - "&amp;ProveedoresRib!E136</f>
        <v xml:space="preserve"> -  - </v>
      </c>
      <c r="AC504">
        <f>ProveedoresRib!G136</f>
        <v>0</v>
      </c>
    </row>
    <row r="505" spans="26:29" hidden="1" x14ac:dyDescent="0.25">
      <c r="Z505">
        <f t="shared" si="33"/>
        <v>0</v>
      </c>
      <c r="AA505">
        <f>ProveedoresRib!A137</f>
        <v>0</v>
      </c>
      <c r="AB505" t="str">
        <f>ProveedoresRib!D137&amp;" - "&amp;ProveedoresRib!F137&amp;" - "&amp;ProveedoresRib!E137</f>
        <v xml:space="preserve"> -  - </v>
      </c>
      <c r="AC505">
        <f>ProveedoresRib!G137</f>
        <v>0</v>
      </c>
    </row>
    <row r="506" spans="26:29" hidden="1" x14ac:dyDescent="0.25">
      <c r="Z506">
        <f t="shared" si="33"/>
        <v>0</v>
      </c>
      <c r="AA506">
        <f>ProveedoresRib!A138</f>
        <v>0</v>
      </c>
      <c r="AB506" t="str">
        <f>ProveedoresRib!D138&amp;" - "&amp;ProveedoresRib!F138&amp;" - "&amp;ProveedoresRib!E138</f>
        <v xml:space="preserve"> -  - </v>
      </c>
      <c r="AC506">
        <f>ProveedoresRib!G138</f>
        <v>0</v>
      </c>
    </row>
    <row r="507" spans="26:29" hidden="1" x14ac:dyDescent="0.25">
      <c r="Z507">
        <f t="shared" si="33"/>
        <v>0</v>
      </c>
      <c r="AA507">
        <f>ProveedoresRib!A139</f>
        <v>0</v>
      </c>
      <c r="AB507" t="str">
        <f>ProveedoresRib!D139&amp;" - "&amp;ProveedoresRib!F139&amp;" - "&amp;ProveedoresRib!E139</f>
        <v xml:space="preserve"> -  - </v>
      </c>
      <c r="AC507">
        <f>ProveedoresRib!G139</f>
        <v>0</v>
      </c>
    </row>
    <row r="508" spans="26:29" hidden="1" x14ac:dyDescent="0.25">
      <c r="Z508">
        <f t="shared" si="33"/>
        <v>0</v>
      </c>
      <c r="AA508">
        <f>ProveedoresRib!A140</f>
        <v>0</v>
      </c>
      <c r="AB508" t="str">
        <f>ProveedoresRib!D140&amp;" - "&amp;ProveedoresRib!F140&amp;" - "&amp;ProveedoresRib!E140</f>
        <v xml:space="preserve"> -  - </v>
      </c>
      <c r="AC508">
        <f>ProveedoresRib!G140</f>
        <v>0</v>
      </c>
    </row>
    <row r="509" spans="26:29" hidden="1" x14ac:dyDescent="0.25">
      <c r="Z509">
        <f t="shared" si="33"/>
        <v>0</v>
      </c>
      <c r="AA509">
        <f>ProveedoresRib!A141</f>
        <v>0</v>
      </c>
      <c r="AB509" t="str">
        <f>ProveedoresRib!D141&amp;" - "&amp;ProveedoresRib!F141&amp;" - "&amp;ProveedoresRib!E141</f>
        <v xml:space="preserve"> -  - </v>
      </c>
      <c r="AC509">
        <f>ProveedoresRib!G141</f>
        <v>0</v>
      </c>
    </row>
    <row r="510" spans="26:29" hidden="1" x14ac:dyDescent="0.25">
      <c r="Z510">
        <f t="shared" si="33"/>
        <v>0</v>
      </c>
      <c r="AA510">
        <f>ProveedoresRib!A142</f>
        <v>0</v>
      </c>
      <c r="AB510" t="str">
        <f>ProveedoresRib!D142&amp;" - "&amp;ProveedoresRib!F142&amp;" - "&amp;ProveedoresRib!E142</f>
        <v xml:space="preserve"> -  - </v>
      </c>
      <c r="AC510">
        <f>ProveedoresRib!G142</f>
        <v>0</v>
      </c>
    </row>
    <row r="511" spans="26:29" hidden="1" x14ac:dyDescent="0.25">
      <c r="Z511">
        <f t="shared" si="33"/>
        <v>0</v>
      </c>
      <c r="AA511">
        <f>ProveedoresRib!A143</f>
        <v>0</v>
      </c>
      <c r="AB511" t="str">
        <f>ProveedoresRib!D143&amp;" - "&amp;ProveedoresRib!F143&amp;" - "&amp;ProveedoresRib!E143</f>
        <v xml:space="preserve"> -  - </v>
      </c>
      <c r="AC511">
        <f>ProveedoresRib!G143</f>
        <v>0</v>
      </c>
    </row>
    <row r="512" spans="26:29" hidden="1" x14ac:dyDescent="0.25">
      <c r="Z512">
        <f t="shared" si="33"/>
        <v>0</v>
      </c>
      <c r="AA512">
        <f>ProveedoresRib!A144</f>
        <v>0</v>
      </c>
      <c r="AB512" t="str">
        <f>ProveedoresRib!D144&amp;" - "&amp;ProveedoresRib!F144&amp;" - "&amp;ProveedoresRib!E144</f>
        <v xml:space="preserve"> -  - </v>
      </c>
      <c r="AC512">
        <f>ProveedoresRib!G144</f>
        <v>0</v>
      </c>
    </row>
    <row r="513" spans="26:29" hidden="1" x14ac:dyDescent="0.25">
      <c r="Z513">
        <f t="shared" si="33"/>
        <v>0</v>
      </c>
      <c r="AA513">
        <f>ProveedoresRib!A145</f>
        <v>0</v>
      </c>
      <c r="AB513" t="str">
        <f>ProveedoresRib!D145&amp;" - "&amp;ProveedoresRib!F145&amp;" - "&amp;ProveedoresRib!E145</f>
        <v xml:space="preserve"> -  - </v>
      </c>
      <c r="AC513">
        <f>ProveedoresRib!G145</f>
        <v>0</v>
      </c>
    </row>
    <row r="514" spans="26:29" hidden="1" x14ac:dyDescent="0.25">
      <c r="Z514">
        <f t="shared" si="33"/>
        <v>0</v>
      </c>
      <c r="AA514">
        <f>ProveedoresRib!A146</f>
        <v>0</v>
      </c>
      <c r="AB514" t="str">
        <f>ProveedoresRib!D146&amp;" - "&amp;ProveedoresRib!F146&amp;" - "&amp;ProveedoresRib!E146</f>
        <v xml:space="preserve"> -  - </v>
      </c>
      <c r="AC514">
        <f>ProveedoresRib!G146</f>
        <v>0</v>
      </c>
    </row>
    <row r="515" spans="26:29" hidden="1" x14ac:dyDescent="0.25">
      <c r="Z515">
        <f t="shared" si="33"/>
        <v>0</v>
      </c>
      <c r="AA515">
        <f>ProveedoresRib!A147</f>
        <v>0</v>
      </c>
      <c r="AB515" t="str">
        <f>ProveedoresRib!D147&amp;" - "&amp;ProveedoresRib!F147&amp;" - "&amp;ProveedoresRib!E147</f>
        <v xml:space="preserve"> -  - </v>
      </c>
      <c r="AC515">
        <f>ProveedoresRib!G147</f>
        <v>0</v>
      </c>
    </row>
    <row r="516" spans="26:29" hidden="1" x14ac:dyDescent="0.25">
      <c r="Z516">
        <f t="shared" si="33"/>
        <v>0</v>
      </c>
      <c r="AA516">
        <f>ProveedoresRib!A148</f>
        <v>0</v>
      </c>
      <c r="AB516" t="str">
        <f>ProveedoresRib!D148&amp;" - "&amp;ProveedoresRib!F148&amp;" - "&amp;ProveedoresRib!E148</f>
        <v xml:space="preserve"> -  - </v>
      </c>
      <c r="AC516">
        <f>ProveedoresRib!G148</f>
        <v>0</v>
      </c>
    </row>
    <row r="517" spans="26:29" hidden="1" x14ac:dyDescent="0.25">
      <c r="Z517">
        <f t="shared" si="33"/>
        <v>0</v>
      </c>
      <c r="AA517">
        <f>ProveedoresRib!A149</f>
        <v>0</v>
      </c>
      <c r="AB517" t="str">
        <f>ProveedoresRib!D149&amp;" - "&amp;ProveedoresRib!F149&amp;" - "&amp;ProveedoresRib!E149</f>
        <v xml:space="preserve"> -  - </v>
      </c>
      <c r="AC517">
        <f>ProveedoresRib!G149</f>
        <v>0</v>
      </c>
    </row>
    <row r="518" spans="26:29" hidden="1" x14ac:dyDescent="0.25">
      <c r="Z518">
        <f t="shared" si="33"/>
        <v>0</v>
      </c>
      <c r="AA518">
        <f>ProveedoresRib!A150</f>
        <v>0</v>
      </c>
      <c r="AB518" t="str">
        <f>ProveedoresRib!D150&amp;" - "&amp;ProveedoresRib!F150&amp;" - "&amp;ProveedoresRib!E150</f>
        <v xml:space="preserve"> -  - </v>
      </c>
      <c r="AC518">
        <f>ProveedoresRib!G150</f>
        <v>0</v>
      </c>
    </row>
    <row r="519" spans="26:29" hidden="1" x14ac:dyDescent="0.25">
      <c r="Z519">
        <f t="shared" si="33"/>
        <v>0</v>
      </c>
      <c r="AA519">
        <f>ProveedoresRib!A151</f>
        <v>0</v>
      </c>
      <c r="AB519" t="str">
        <f>ProveedoresRib!D151&amp;" - "&amp;ProveedoresRib!F151&amp;" - "&amp;ProveedoresRib!E151</f>
        <v xml:space="preserve"> -  - </v>
      </c>
      <c r="AC519">
        <f>ProveedoresRib!G151</f>
        <v>0</v>
      </c>
    </row>
    <row r="520" spans="26:29" hidden="1" x14ac:dyDescent="0.25">
      <c r="Z520">
        <f t="shared" si="33"/>
        <v>0</v>
      </c>
      <c r="AA520">
        <f>ProveedoresRib!A152</f>
        <v>0</v>
      </c>
      <c r="AB520" t="str">
        <f>ProveedoresRib!D152&amp;" - "&amp;ProveedoresRib!F152&amp;" - "&amp;ProveedoresRib!E152</f>
        <v xml:space="preserve"> -  - </v>
      </c>
      <c r="AC520">
        <f>ProveedoresRib!G152</f>
        <v>0</v>
      </c>
    </row>
    <row r="521" spans="26:29" hidden="1" x14ac:dyDescent="0.25"/>
    <row r="522" spans="26:29" hidden="1" x14ac:dyDescent="0.25">
      <c r="AA522" t="s">
        <v>121</v>
      </c>
    </row>
    <row r="523" spans="26:29" hidden="1" x14ac:dyDescent="0.25">
      <c r="AA523" t="s">
        <v>33</v>
      </c>
      <c r="AB523" t="s">
        <v>121</v>
      </c>
      <c r="AC523" t="s">
        <v>113</v>
      </c>
    </row>
    <row r="524" spans="26:29" hidden="1" x14ac:dyDescent="0.25">
      <c r="Z524">
        <f>IF(AA524=$A$4,V523+1,0)</f>
        <v>0</v>
      </c>
      <c r="AA524">
        <f>CompetidoresRib!B3</f>
        <v>0</v>
      </c>
      <c r="AB524" t="str">
        <f>CompetidoresRib!D3&amp;" - "&amp;CompetidoresRib!E3</f>
        <v xml:space="preserve"> - </v>
      </c>
      <c r="AC524">
        <f>CompetidoresRib!F3</f>
        <v>0</v>
      </c>
    </row>
    <row r="525" spans="26:29" hidden="1" x14ac:dyDescent="0.25">
      <c r="Z525">
        <f t="shared" ref="Z525:Z556" si="34">IF(AA525=$A$4,Z524+1,0)</f>
        <v>0</v>
      </c>
      <c r="AA525">
        <f>CompetidoresRib!B4</f>
        <v>0</v>
      </c>
      <c r="AB525" t="str">
        <f>CompetidoresRib!D4&amp;" - "&amp;CompetidoresRib!E4</f>
        <v xml:space="preserve"> - </v>
      </c>
      <c r="AC525">
        <f>CompetidoresRib!F4</f>
        <v>0</v>
      </c>
    </row>
    <row r="526" spans="26:29" hidden="1" x14ac:dyDescent="0.25">
      <c r="Z526">
        <f t="shared" si="34"/>
        <v>0</v>
      </c>
      <c r="AA526">
        <f>CompetidoresRib!B5</f>
        <v>0</v>
      </c>
      <c r="AB526" t="str">
        <f>CompetidoresRib!D5&amp;" - "&amp;CompetidoresRib!E5</f>
        <v xml:space="preserve"> - </v>
      </c>
      <c r="AC526">
        <f>CompetidoresRib!F5</f>
        <v>0</v>
      </c>
    </row>
    <row r="527" spans="26:29" hidden="1" x14ac:dyDescent="0.25">
      <c r="Z527">
        <f t="shared" si="34"/>
        <v>0</v>
      </c>
      <c r="AA527">
        <f>CompetidoresRib!B6</f>
        <v>0</v>
      </c>
      <c r="AB527" t="str">
        <f>CompetidoresRib!D6&amp;" - "&amp;CompetidoresRib!E6</f>
        <v xml:space="preserve"> - </v>
      </c>
      <c r="AC527">
        <f>CompetidoresRib!F6</f>
        <v>0</v>
      </c>
    </row>
    <row r="528" spans="26:29" hidden="1" x14ac:dyDescent="0.25">
      <c r="Z528">
        <f t="shared" si="34"/>
        <v>0</v>
      </c>
      <c r="AA528">
        <f>CompetidoresRib!B7</f>
        <v>0</v>
      </c>
      <c r="AB528" t="str">
        <f>CompetidoresRib!D7&amp;" - "&amp;CompetidoresRib!E7</f>
        <v xml:space="preserve"> - </v>
      </c>
      <c r="AC528">
        <f>CompetidoresRib!F7</f>
        <v>0</v>
      </c>
    </row>
    <row r="529" spans="26:29" hidden="1" x14ac:dyDescent="0.25">
      <c r="Z529">
        <f t="shared" si="34"/>
        <v>0</v>
      </c>
      <c r="AA529">
        <f>CompetidoresRib!B8</f>
        <v>0</v>
      </c>
      <c r="AB529" t="str">
        <f>CompetidoresRib!D8&amp;" - "&amp;CompetidoresRib!E8</f>
        <v xml:space="preserve"> - </v>
      </c>
      <c r="AC529">
        <f>CompetidoresRib!F8</f>
        <v>0</v>
      </c>
    </row>
    <row r="530" spans="26:29" hidden="1" x14ac:dyDescent="0.25">
      <c r="Z530">
        <f t="shared" si="34"/>
        <v>0</v>
      </c>
      <c r="AA530">
        <f>CompetidoresRib!B9</f>
        <v>0</v>
      </c>
      <c r="AB530" t="str">
        <f>CompetidoresRib!D9&amp;" - "&amp;CompetidoresRib!E9</f>
        <v xml:space="preserve"> - </v>
      </c>
      <c r="AC530">
        <f>CompetidoresRib!F9</f>
        <v>0</v>
      </c>
    </row>
    <row r="531" spans="26:29" hidden="1" x14ac:dyDescent="0.25">
      <c r="Z531">
        <f t="shared" si="34"/>
        <v>0</v>
      </c>
      <c r="AA531">
        <f>CompetidoresRib!B10</f>
        <v>0</v>
      </c>
      <c r="AB531" t="str">
        <f>CompetidoresRib!D10&amp;" - "&amp;CompetidoresRib!E10</f>
        <v xml:space="preserve"> - </v>
      </c>
      <c r="AC531">
        <f>CompetidoresRib!F10</f>
        <v>0</v>
      </c>
    </row>
    <row r="532" spans="26:29" hidden="1" x14ac:dyDescent="0.25">
      <c r="Z532">
        <f t="shared" si="34"/>
        <v>0</v>
      </c>
      <c r="AA532">
        <f>CompetidoresRib!B11</f>
        <v>0</v>
      </c>
      <c r="AB532" t="str">
        <f>CompetidoresRib!D11&amp;" - "&amp;CompetidoresRib!E11</f>
        <v xml:space="preserve"> - </v>
      </c>
      <c r="AC532">
        <f>CompetidoresRib!F11</f>
        <v>0</v>
      </c>
    </row>
    <row r="533" spans="26:29" hidden="1" x14ac:dyDescent="0.25">
      <c r="Z533">
        <f t="shared" si="34"/>
        <v>0</v>
      </c>
      <c r="AA533">
        <f>CompetidoresRib!B12</f>
        <v>0</v>
      </c>
      <c r="AB533" t="str">
        <f>CompetidoresRib!D12&amp;" - "&amp;CompetidoresRib!E12</f>
        <v xml:space="preserve"> - </v>
      </c>
      <c r="AC533">
        <f>CompetidoresRib!F12</f>
        <v>0</v>
      </c>
    </row>
    <row r="534" spans="26:29" hidden="1" x14ac:dyDescent="0.25">
      <c r="Z534">
        <f t="shared" si="34"/>
        <v>0</v>
      </c>
      <c r="AA534">
        <f>CompetidoresRib!B13</f>
        <v>0</v>
      </c>
      <c r="AB534" t="str">
        <f>CompetidoresRib!D13&amp;" - "&amp;CompetidoresRib!E13</f>
        <v xml:space="preserve"> - </v>
      </c>
      <c r="AC534">
        <f>CompetidoresRib!F13</f>
        <v>0</v>
      </c>
    </row>
    <row r="535" spans="26:29" hidden="1" x14ac:dyDescent="0.25">
      <c r="Z535">
        <f t="shared" si="34"/>
        <v>0</v>
      </c>
      <c r="AA535">
        <f>CompetidoresRib!B14</f>
        <v>0</v>
      </c>
      <c r="AB535" t="str">
        <f>CompetidoresRib!D14&amp;" - "&amp;CompetidoresRib!E14</f>
        <v xml:space="preserve"> - </v>
      </c>
      <c r="AC535">
        <f>CompetidoresRib!F14</f>
        <v>0</v>
      </c>
    </row>
    <row r="536" spans="26:29" hidden="1" x14ac:dyDescent="0.25">
      <c r="Z536">
        <f t="shared" si="34"/>
        <v>0</v>
      </c>
      <c r="AA536">
        <f>CompetidoresRib!B15</f>
        <v>0</v>
      </c>
      <c r="AB536" t="str">
        <f>CompetidoresRib!D15&amp;" - "&amp;CompetidoresRib!E15</f>
        <v xml:space="preserve"> - </v>
      </c>
      <c r="AC536">
        <f>CompetidoresRib!F15</f>
        <v>0</v>
      </c>
    </row>
    <row r="537" spans="26:29" hidden="1" x14ac:dyDescent="0.25">
      <c r="Z537">
        <f t="shared" si="34"/>
        <v>0</v>
      </c>
      <c r="AA537">
        <f>CompetidoresRib!B16</f>
        <v>0</v>
      </c>
      <c r="AB537" t="str">
        <f>CompetidoresRib!D16&amp;" - "&amp;CompetidoresRib!E16</f>
        <v xml:space="preserve"> - </v>
      </c>
      <c r="AC537">
        <f>CompetidoresRib!F16</f>
        <v>0</v>
      </c>
    </row>
    <row r="538" spans="26:29" hidden="1" x14ac:dyDescent="0.25">
      <c r="Z538">
        <f t="shared" si="34"/>
        <v>0</v>
      </c>
      <c r="AA538">
        <f>CompetidoresRib!B17</f>
        <v>0</v>
      </c>
      <c r="AB538" t="str">
        <f>CompetidoresRib!D17&amp;" - "&amp;CompetidoresRib!E17</f>
        <v xml:space="preserve"> - </v>
      </c>
      <c r="AC538">
        <f>CompetidoresRib!F17</f>
        <v>0</v>
      </c>
    </row>
    <row r="539" spans="26:29" hidden="1" x14ac:dyDescent="0.25">
      <c r="Z539">
        <f t="shared" si="34"/>
        <v>0</v>
      </c>
      <c r="AA539">
        <f>CompetidoresRib!B18</f>
        <v>0</v>
      </c>
      <c r="AB539" t="str">
        <f>CompetidoresRib!D18&amp;" - "&amp;CompetidoresRib!E18</f>
        <v xml:space="preserve"> - </v>
      </c>
      <c r="AC539">
        <f>CompetidoresRib!F18</f>
        <v>0</v>
      </c>
    </row>
    <row r="540" spans="26:29" hidden="1" x14ac:dyDescent="0.25">
      <c r="Z540">
        <f t="shared" si="34"/>
        <v>0</v>
      </c>
      <c r="AA540">
        <f>CompetidoresRib!B19</f>
        <v>0</v>
      </c>
      <c r="AB540" t="str">
        <f>CompetidoresRib!D19&amp;" - "&amp;CompetidoresRib!E19</f>
        <v xml:space="preserve"> - </v>
      </c>
      <c r="AC540">
        <f>CompetidoresRib!F19</f>
        <v>0</v>
      </c>
    </row>
    <row r="541" spans="26:29" hidden="1" x14ac:dyDescent="0.25">
      <c r="Z541">
        <f t="shared" si="34"/>
        <v>0</v>
      </c>
      <c r="AA541">
        <f>CompetidoresRib!B20</f>
        <v>0</v>
      </c>
      <c r="AB541" t="str">
        <f>CompetidoresRib!D20&amp;" - "&amp;CompetidoresRib!E20</f>
        <v xml:space="preserve"> - </v>
      </c>
      <c r="AC541">
        <f>CompetidoresRib!F20</f>
        <v>0</v>
      </c>
    </row>
    <row r="542" spans="26:29" hidden="1" x14ac:dyDescent="0.25">
      <c r="Z542">
        <f t="shared" si="34"/>
        <v>0</v>
      </c>
      <c r="AA542">
        <f>CompetidoresRib!B21</f>
        <v>0</v>
      </c>
      <c r="AB542" t="str">
        <f>CompetidoresRib!D21&amp;" - "&amp;CompetidoresRib!E21</f>
        <v xml:space="preserve"> - </v>
      </c>
      <c r="AC542">
        <f>CompetidoresRib!F21</f>
        <v>0</v>
      </c>
    </row>
    <row r="543" spans="26:29" hidden="1" x14ac:dyDescent="0.25">
      <c r="Z543">
        <f t="shared" si="34"/>
        <v>0</v>
      </c>
      <c r="AA543">
        <f>CompetidoresRib!B22</f>
        <v>0</v>
      </c>
      <c r="AB543" t="str">
        <f>CompetidoresRib!D22&amp;" - "&amp;CompetidoresRib!E22</f>
        <v xml:space="preserve"> - </v>
      </c>
      <c r="AC543">
        <f>CompetidoresRib!F22</f>
        <v>0</v>
      </c>
    </row>
    <row r="544" spans="26:29" hidden="1" x14ac:dyDescent="0.25">
      <c r="Z544">
        <f t="shared" si="34"/>
        <v>0</v>
      </c>
      <c r="AA544">
        <f>CompetidoresRib!B23</f>
        <v>0</v>
      </c>
      <c r="AB544" t="str">
        <f>CompetidoresRib!D23&amp;" - "&amp;CompetidoresRib!E23</f>
        <v xml:space="preserve"> - </v>
      </c>
      <c r="AC544">
        <f>CompetidoresRib!F23</f>
        <v>0</v>
      </c>
    </row>
    <row r="545" spans="26:29" hidden="1" x14ac:dyDescent="0.25">
      <c r="Z545">
        <f t="shared" si="34"/>
        <v>0</v>
      </c>
      <c r="AA545">
        <f>CompetidoresRib!B24</f>
        <v>0</v>
      </c>
      <c r="AB545" t="str">
        <f>CompetidoresRib!D24&amp;" - "&amp;CompetidoresRib!E24</f>
        <v xml:space="preserve"> - </v>
      </c>
      <c r="AC545">
        <f>CompetidoresRib!F24</f>
        <v>0</v>
      </c>
    </row>
    <row r="546" spans="26:29" hidden="1" x14ac:dyDescent="0.25">
      <c r="Z546">
        <f t="shared" si="34"/>
        <v>0</v>
      </c>
      <c r="AA546">
        <f>CompetidoresRib!B25</f>
        <v>0</v>
      </c>
      <c r="AB546" t="str">
        <f>CompetidoresRib!D25&amp;" - "&amp;CompetidoresRib!E25</f>
        <v xml:space="preserve"> - </v>
      </c>
      <c r="AC546">
        <f>CompetidoresRib!F25</f>
        <v>0</v>
      </c>
    </row>
    <row r="547" spans="26:29" hidden="1" x14ac:dyDescent="0.25">
      <c r="Z547">
        <f t="shared" si="34"/>
        <v>0</v>
      </c>
      <c r="AA547">
        <f>CompetidoresRib!B26</f>
        <v>0</v>
      </c>
      <c r="AB547" t="str">
        <f>CompetidoresRib!D26&amp;" - "&amp;CompetidoresRib!E26</f>
        <v xml:space="preserve"> - </v>
      </c>
      <c r="AC547">
        <f>CompetidoresRib!F26</f>
        <v>0</v>
      </c>
    </row>
    <row r="548" spans="26:29" hidden="1" x14ac:dyDescent="0.25">
      <c r="Z548">
        <f t="shared" si="34"/>
        <v>0</v>
      </c>
      <c r="AA548">
        <f>CompetidoresRib!B27</f>
        <v>0</v>
      </c>
      <c r="AB548" t="str">
        <f>CompetidoresRib!D27&amp;" - "&amp;CompetidoresRib!E27</f>
        <v xml:space="preserve"> - </v>
      </c>
      <c r="AC548">
        <f>CompetidoresRib!F27</f>
        <v>0</v>
      </c>
    </row>
    <row r="549" spans="26:29" hidden="1" x14ac:dyDescent="0.25">
      <c r="Z549">
        <f t="shared" si="34"/>
        <v>0</v>
      </c>
      <c r="AA549">
        <f>CompetidoresRib!B28</f>
        <v>0</v>
      </c>
      <c r="AB549" t="str">
        <f>CompetidoresRib!D28&amp;" - "&amp;CompetidoresRib!E28</f>
        <v xml:space="preserve"> - </v>
      </c>
      <c r="AC549">
        <f>CompetidoresRib!F28</f>
        <v>0</v>
      </c>
    </row>
    <row r="550" spans="26:29" hidden="1" x14ac:dyDescent="0.25">
      <c r="Z550">
        <f t="shared" si="34"/>
        <v>0</v>
      </c>
      <c r="AA550">
        <f>CompetidoresRib!B29</f>
        <v>0</v>
      </c>
      <c r="AB550" t="str">
        <f>CompetidoresRib!D29&amp;" - "&amp;CompetidoresRib!E29</f>
        <v xml:space="preserve"> - </v>
      </c>
      <c r="AC550">
        <f>CompetidoresRib!F29</f>
        <v>0</v>
      </c>
    </row>
    <row r="551" spans="26:29" hidden="1" x14ac:dyDescent="0.25">
      <c r="Z551">
        <f t="shared" si="34"/>
        <v>0</v>
      </c>
      <c r="AA551">
        <f>CompetidoresRib!B30</f>
        <v>0</v>
      </c>
      <c r="AB551" t="str">
        <f>CompetidoresRib!D30&amp;" - "&amp;CompetidoresRib!E30</f>
        <v xml:space="preserve"> - </v>
      </c>
      <c r="AC551">
        <f>CompetidoresRib!F30</f>
        <v>0</v>
      </c>
    </row>
    <row r="552" spans="26:29" hidden="1" x14ac:dyDescent="0.25">
      <c r="Z552">
        <f t="shared" si="34"/>
        <v>0</v>
      </c>
      <c r="AA552">
        <f>CompetidoresRib!B31</f>
        <v>0</v>
      </c>
      <c r="AB552" t="str">
        <f>CompetidoresRib!D31&amp;" - "&amp;CompetidoresRib!E31</f>
        <v xml:space="preserve"> - </v>
      </c>
      <c r="AC552">
        <f>CompetidoresRib!F31</f>
        <v>0</v>
      </c>
    </row>
    <row r="553" spans="26:29" hidden="1" x14ac:dyDescent="0.25">
      <c r="Z553">
        <f t="shared" si="34"/>
        <v>0</v>
      </c>
      <c r="AA553">
        <f>CompetidoresRib!B32</f>
        <v>0</v>
      </c>
      <c r="AB553" t="str">
        <f>CompetidoresRib!D32&amp;" - "&amp;CompetidoresRib!E32</f>
        <v xml:space="preserve"> - </v>
      </c>
      <c r="AC553">
        <f>CompetidoresRib!F32</f>
        <v>0</v>
      </c>
    </row>
    <row r="554" spans="26:29" hidden="1" x14ac:dyDescent="0.25">
      <c r="Z554">
        <f t="shared" si="34"/>
        <v>0</v>
      </c>
      <c r="AA554">
        <f>CompetidoresRib!B33</f>
        <v>0</v>
      </c>
      <c r="AB554" t="str">
        <f>CompetidoresRib!D33&amp;" - "&amp;CompetidoresRib!E33</f>
        <v xml:space="preserve"> - </v>
      </c>
      <c r="AC554">
        <f>CompetidoresRib!F33</f>
        <v>0</v>
      </c>
    </row>
    <row r="555" spans="26:29" hidden="1" x14ac:dyDescent="0.25">
      <c r="Z555">
        <f t="shared" si="34"/>
        <v>0</v>
      </c>
      <c r="AA555">
        <f>CompetidoresRib!B34</f>
        <v>0</v>
      </c>
      <c r="AB555" t="str">
        <f>CompetidoresRib!D34&amp;" - "&amp;CompetidoresRib!E34</f>
        <v xml:space="preserve"> - </v>
      </c>
      <c r="AC555">
        <f>CompetidoresRib!F34</f>
        <v>0</v>
      </c>
    </row>
    <row r="556" spans="26:29" hidden="1" x14ac:dyDescent="0.25">
      <c r="Z556">
        <f t="shared" si="34"/>
        <v>0</v>
      </c>
      <c r="AA556">
        <f>CompetidoresRib!B35</f>
        <v>0</v>
      </c>
      <c r="AB556" t="str">
        <f>CompetidoresRib!D35&amp;" - "&amp;CompetidoresRib!E35</f>
        <v xml:space="preserve"> - </v>
      </c>
      <c r="AC556">
        <f>CompetidoresRib!F35</f>
        <v>0</v>
      </c>
    </row>
    <row r="557" spans="26:29" hidden="1" x14ac:dyDescent="0.25">
      <c r="Z557">
        <f t="shared" ref="Z557:Z588" si="35">IF(AA557=$A$4,Z556+1,0)</f>
        <v>0</v>
      </c>
      <c r="AA557">
        <f>CompetidoresRib!B36</f>
        <v>0</v>
      </c>
      <c r="AB557" t="str">
        <f>CompetidoresRib!D36&amp;" - "&amp;CompetidoresRib!E36</f>
        <v xml:space="preserve"> - </v>
      </c>
      <c r="AC557">
        <f>CompetidoresRib!F36</f>
        <v>0</v>
      </c>
    </row>
    <row r="558" spans="26:29" hidden="1" x14ac:dyDescent="0.25">
      <c r="Z558">
        <f t="shared" si="35"/>
        <v>0</v>
      </c>
      <c r="AA558">
        <f>CompetidoresRib!B37</f>
        <v>0</v>
      </c>
      <c r="AB558" t="str">
        <f>CompetidoresRib!D37&amp;" - "&amp;CompetidoresRib!E37</f>
        <v xml:space="preserve"> - </v>
      </c>
      <c r="AC558">
        <f>CompetidoresRib!F37</f>
        <v>0</v>
      </c>
    </row>
    <row r="559" spans="26:29" hidden="1" x14ac:dyDescent="0.25">
      <c r="Z559">
        <f t="shared" si="35"/>
        <v>0</v>
      </c>
      <c r="AA559">
        <f>CompetidoresRib!B38</f>
        <v>0</v>
      </c>
      <c r="AB559" t="str">
        <f>CompetidoresRib!D38&amp;" - "&amp;CompetidoresRib!E38</f>
        <v xml:space="preserve"> - </v>
      </c>
      <c r="AC559">
        <f>CompetidoresRib!F38</f>
        <v>0</v>
      </c>
    </row>
    <row r="560" spans="26:29" hidden="1" x14ac:dyDescent="0.25">
      <c r="Z560">
        <f t="shared" si="35"/>
        <v>0</v>
      </c>
      <c r="AA560">
        <f>CompetidoresRib!B39</f>
        <v>0</v>
      </c>
      <c r="AB560" t="str">
        <f>CompetidoresRib!D39&amp;" - "&amp;CompetidoresRib!E39</f>
        <v xml:space="preserve"> - </v>
      </c>
      <c r="AC560">
        <f>CompetidoresRib!F39</f>
        <v>0</v>
      </c>
    </row>
    <row r="561" spans="26:29" hidden="1" x14ac:dyDescent="0.25">
      <c r="Z561">
        <f t="shared" si="35"/>
        <v>0</v>
      </c>
      <c r="AA561">
        <f>CompetidoresRib!B40</f>
        <v>0</v>
      </c>
      <c r="AB561" t="str">
        <f>CompetidoresRib!D40&amp;" - "&amp;CompetidoresRib!E40</f>
        <v xml:space="preserve"> - </v>
      </c>
      <c r="AC561">
        <f>CompetidoresRib!F40</f>
        <v>0</v>
      </c>
    </row>
    <row r="562" spans="26:29" hidden="1" x14ac:dyDescent="0.25">
      <c r="Z562">
        <f t="shared" si="35"/>
        <v>0</v>
      </c>
      <c r="AA562">
        <f>CompetidoresRib!B41</f>
        <v>0</v>
      </c>
      <c r="AB562" t="str">
        <f>CompetidoresRib!D41&amp;" - "&amp;CompetidoresRib!E41</f>
        <v xml:space="preserve"> - </v>
      </c>
      <c r="AC562">
        <f>CompetidoresRib!F41</f>
        <v>0</v>
      </c>
    </row>
    <row r="563" spans="26:29" hidden="1" x14ac:dyDescent="0.25">
      <c r="Z563">
        <f t="shared" si="35"/>
        <v>0</v>
      </c>
      <c r="AA563">
        <f>CompetidoresRib!B42</f>
        <v>0</v>
      </c>
      <c r="AB563" t="str">
        <f>CompetidoresRib!D42&amp;" - "&amp;CompetidoresRib!E42</f>
        <v xml:space="preserve"> - </v>
      </c>
      <c r="AC563">
        <f>CompetidoresRib!F42</f>
        <v>0</v>
      </c>
    </row>
    <row r="564" spans="26:29" hidden="1" x14ac:dyDescent="0.25">
      <c r="Z564">
        <f t="shared" si="35"/>
        <v>0</v>
      </c>
      <c r="AA564">
        <f>CompetidoresRib!B43</f>
        <v>0</v>
      </c>
      <c r="AB564" t="str">
        <f>CompetidoresRib!D43&amp;" - "&amp;CompetidoresRib!E43</f>
        <v xml:space="preserve"> - </v>
      </c>
      <c r="AC564">
        <f>CompetidoresRib!F43</f>
        <v>0</v>
      </c>
    </row>
    <row r="565" spans="26:29" hidden="1" x14ac:dyDescent="0.25">
      <c r="Z565">
        <f t="shared" si="35"/>
        <v>0</v>
      </c>
      <c r="AA565">
        <f>CompetidoresRib!B44</f>
        <v>0</v>
      </c>
      <c r="AB565" t="str">
        <f>CompetidoresRib!D44&amp;" - "&amp;CompetidoresRib!E44</f>
        <v xml:space="preserve"> - </v>
      </c>
      <c r="AC565">
        <f>CompetidoresRib!F44</f>
        <v>0</v>
      </c>
    </row>
    <row r="566" spans="26:29" hidden="1" x14ac:dyDescent="0.25">
      <c r="Z566">
        <f t="shared" si="35"/>
        <v>0</v>
      </c>
      <c r="AA566">
        <f>CompetidoresRib!B45</f>
        <v>0</v>
      </c>
      <c r="AB566" t="str">
        <f>CompetidoresRib!D45&amp;" - "&amp;CompetidoresRib!E45</f>
        <v xml:space="preserve"> - </v>
      </c>
      <c r="AC566">
        <f>CompetidoresRib!F45</f>
        <v>0</v>
      </c>
    </row>
    <row r="567" spans="26:29" hidden="1" x14ac:dyDescent="0.25">
      <c r="Z567">
        <f t="shared" si="35"/>
        <v>0</v>
      </c>
      <c r="AA567">
        <f>CompetidoresRib!B46</f>
        <v>0</v>
      </c>
      <c r="AB567" t="str">
        <f>CompetidoresRib!D46&amp;" - "&amp;CompetidoresRib!E46</f>
        <v xml:space="preserve"> - </v>
      </c>
      <c r="AC567">
        <f>CompetidoresRib!F46</f>
        <v>0</v>
      </c>
    </row>
    <row r="568" spans="26:29" hidden="1" x14ac:dyDescent="0.25">
      <c r="Z568">
        <f t="shared" si="35"/>
        <v>0</v>
      </c>
      <c r="AA568">
        <f>CompetidoresRib!B47</f>
        <v>0</v>
      </c>
      <c r="AB568" t="str">
        <f>CompetidoresRib!D47&amp;" - "&amp;CompetidoresRib!E47</f>
        <v xml:space="preserve"> - </v>
      </c>
      <c r="AC568">
        <f>CompetidoresRib!F47</f>
        <v>0</v>
      </c>
    </row>
    <row r="569" spans="26:29" hidden="1" x14ac:dyDescent="0.25">
      <c r="Z569">
        <f t="shared" si="35"/>
        <v>0</v>
      </c>
      <c r="AA569">
        <f>CompetidoresRib!B48</f>
        <v>0</v>
      </c>
      <c r="AB569" t="str">
        <f>CompetidoresRib!D48&amp;" - "&amp;CompetidoresRib!E48</f>
        <v xml:space="preserve"> - </v>
      </c>
      <c r="AC569">
        <f>CompetidoresRib!F48</f>
        <v>0</v>
      </c>
    </row>
    <row r="570" spans="26:29" hidden="1" x14ac:dyDescent="0.25">
      <c r="Z570">
        <f t="shared" si="35"/>
        <v>0</v>
      </c>
      <c r="AA570">
        <f>CompetidoresRib!B49</f>
        <v>0</v>
      </c>
      <c r="AB570" t="str">
        <f>CompetidoresRib!D49&amp;" - "&amp;CompetidoresRib!E49</f>
        <v xml:space="preserve"> - </v>
      </c>
      <c r="AC570">
        <f>CompetidoresRib!F49</f>
        <v>0</v>
      </c>
    </row>
    <row r="571" spans="26:29" hidden="1" x14ac:dyDescent="0.25">
      <c r="Z571">
        <f t="shared" si="35"/>
        <v>0</v>
      </c>
      <c r="AA571">
        <f>CompetidoresRib!B50</f>
        <v>0</v>
      </c>
      <c r="AB571" t="str">
        <f>CompetidoresRib!D50&amp;" - "&amp;CompetidoresRib!E50</f>
        <v xml:space="preserve"> - </v>
      </c>
      <c r="AC571">
        <f>CompetidoresRib!F50</f>
        <v>0</v>
      </c>
    </row>
    <row r="572" spans="26:29" hidden="1" x14ac:dyDescent="0.25">
      <c r="Z572">
        <f t="shared" si="35"/>
        <v>0</v>
      </c>
      <c r="AA572">
        <f>CompetidoresRib!B51</f>
        <v>0</v>
      </c>
      <c r="AB572" t="str">
        <f>CompetidoresRib!D51&amp;" - "&amp;CompetidoresRib!E51</f>
        <v xml:space="preserve"> - </v>
      </c>
      <c r="AC572">
        <f>CompetidoresRib!F51</f>
        <v>0</v>
      </c>
    </row>
    <row r="573" spans="26:29" hidden="1" x14ac:dyDescent="0.25">
      <c r="Z573">
        <f t="shared" si="35"/>
        <v>0</v>
      </c>
      <c r="AA573">
        <f>CompetidoresRib!B52</f>
        <v>0</v>
      </c>
      <c r="AB573" t="str">
        <f>CompetidoresRib!D52&amp;" - "&amp;CompetidoresRib!E52</f>
        <v xml:space="preserve"> - </v>
      </c>
      <c r="AC573">
        <f>CompetidoresRib!F52</f>
        <v>0</v>
      </c>
    </row>
    <row r="574" spans="26:29" hidden="1" x14ac:dyDescent="0.25">
      <c r="Z574">
        <f t="shared" si="35"/>
        <v>0</v>
      </c>
      <c r="AA574">
        <f>CompetidoresRib!B53</f>
        <v>0</v>
      </c>
      <c r="AB574" t="str">
        <f>CompetidoresRib!D53&amp;" - "&amp;CompetidoresRib!E53</f>
        <v xml:space="preserve"> - </v>
      </c>
      <c r="AC574">
        <f>CompetidoresRib!F53</f>
        <v>0</v>
      </c>
    </row>
    <row r="575" spans="26:29" hidden="1" x14ac:dyDescent="0.25">
      <c r="Z575">
        <f t="shared" si="35"/>
        <v>0</v>
      </c>
      <c r="AA575">
        <f>CompetidoresRib!B54</f>
        <v>0</v>
      </c>
      <c r="AB575" t="str">
        <f>CompetidoresRib!D54&amp;" - "&amp;CompetidoresRib!E54</f>
        <v xml:space="preserve"> - </v>
      </c>
      <c r="AC575">
        <f>CompetidoresRib!F54</f>
        <v>0</v>
      </c>
    </row>
    <row r="576" spans="26:29" hidden="1" x14ac:dyDescent="0.25">
      <c r="Z576">
        <f t="shared" si="35"/>
        <v>0</v>
      </c>
      <c r="AA576">
        <f>CompetidoresRib!B55</f>
        <v>0</v>
      </c>
      <c r="AB576" t="str">
        <f>CompetidoresRib!D55&amp;" - "&amp;CompetidoresRib!E55</f>
        <v xml:space="preserve"> - </v>
      </c>
      <c r="AC576">
        <f>CompetidoresRib!F55</f>
        <v>0</v>
      </c>
    </row>
    <row r="577" spans="26:29" hidden="1" x14ac:dyDescent="0.25">
      <c r="Z577">
        <f t="shared" si="35"/>
        <v>0</v>
      </c>
      <c r="AA577">
        <f>CompetidoresRib!B56</f>
        <v>0</v>
      </c>
      <c r="AB577" t="str">
        <f>CompetidoresRib!D56&amp;" - "&amp;CompetidoresRib!E56</f>
        <v xml:space="preserve"> - </v>
      </c>
      <c r="AC577">
        <f>CompetidoresRib!F56</f>
        <v>0</v>
      </c>
    </row>
    <row r="578" spans="26:29" hidden="1" x14ac:dyDescent="0.25">
      <c r="Z578">
        <f t="shared" si="35"/>
        <v>0</v>
      </c>
      <c r="AA578">
        <f>CompetidoresRib!B57</f>
        <v>0</v>
      </c>
      <c r="AB578" t="str">
        <f>CompetidoresRib!D57&amp;" - "&amp;CompetidoresRib!E57</f>
        <v xml:space="preserve"> - </v>
      </c>
      <c r="AC578">
        <f>CompetidoresRib!F57</f>
        <v>0</v>
      </c>
    </row>
    <row r="579" spans="26:29" hidden="1" x14ac:dyDescent="0.25">
      <c r="Z579">
        <f t="shared" si="35"/>
        <v>0</v>
      </c>
      <c r="AA579">
        <f>CompetidoresRib!B58</f>
        <v>0</v>
      </c>
      <c r="AB579" t="str">
        <f>CompetidoresRib!D58&amp;" - "&amp;CompetidoresRib!E58</f>
        <v xml:space="preserve"> - </v>
      </c>
      <c r="AC579">
        <f>CompetidoresRib!F58</f>
        <v>0</v>
      </c>
    </row>
    <row r="580" spans="26:29" hidden="1" x14ac:dyDescent="0.25">
      <c r="Z580">
        <f t="shared" si="35"/>
        <v>0</v>
      </c>
      <c r="AA580">
        <f>CompetidoresRib!B59</f>
        <v>0</v>
      </c>
      <c r="AB580" t="str">
        <f>CompetidoresRib!D59&amp;" - "&amp;CompetidoresRib!E59</f>
        <v xml:space="preserve"> - </v>
      </c>
      <c r="AC580">
        <f>CompetidoresRib!F59</f>
        <v>0</v>
      </c>
    </row>
    <row r="581" spans="26:29" hidden="1" x14ac:dyDescent="0.25">
      <c r="Z581">
        <f t="shared" si="35"/>
        <v>0</v>
      </c>
      <c r="AA581">
        <f>CompetidoresRib!B60</f>
        <v>0</v>
      </c>
      <c r="AB581" t="str">
        <f>CompetidoresRib!D60&amp;" - "&amp;CompetidoresRib!E60</f>
        <v xml:space="preserve"> - </v>
      </c>
      <c r="AC581">
        <f>CompetidoresRib!F60</f>
        <v>0</v>
      </c>
    </row>
    <row r="582" spans="26:29" hidden="1" x14ac:dyDescent="0.25">
      <c r="Z582">
        <f t="shared" si="35"/>
        <v>0</v>
      </c>
      <c r="AA582">
        <f>CompetidoresRib!B61</f>
        <v>0</v>
      </c>
      <c r="AB582" t="str">
        <f>CompetidoresRib!D61&amp;" - "&amp;CompetidoresRib!E61</f>
        <v xml:space="preserve"> - </v>
      </c>
      <c r="AC582">
        <f>CompetidoresRib!F61</f>
        <v>0</v>
      </c>
    </row>
    <row r="583" spans="26:29" hidden="1" x14ac:dyDescent="0.25">
      <c r="Z583">
        <f t="shared" si="35"/>
        <v>0</v>
      </c>
      <c r="AA583">
        <f>CompetidoresRib!B62</f>
        <v>0</v>
      </c>
      <c r="AB583" t="str">
        <f>CompetidoresRib!D62&amp;" - "&amp;CompetidoresRib!E62</f>
        <v xml:space="preserve"> - </v>
      </c>
      <c r="AC583">
        <f>CompetidoresRib!F62</f>
        <v>0</v>
      </c>
    </row>
    <row r="584" spans="26:29" hidden="1" x14ac:dyDescent="0.25">
      <c r="Z584">
        <f t="shared" si="35"/>
        <v>0</v>
      </c>
      <c r="AA584">
        <f>CompetidoresRib!B63</f>
        <v>0</v>
      </c>
      <c r="AB584" t="str">
        <f>CompetidoresRib!D63&amp;" - "&amp;CompetidoresRib!E63</f>
        <v xml:space="preserve"> - </v>
      </c>
      <c r="AC584">
        <f>CompetidoresRib!F63</f>
        <v>0</v>
      </c>
    </row>
    <row r="585" spans="26:29" hidden="1" x14ac:dyDescent="0.25">
      <c r="Z585">
        <f t="shared" si="35"/>
        <v>0</v>
      </c>
      <c r="AA585">
        <f>CompetidoresRib!B64</f>
        <v>0</v>
      </c>
      <c r="AB585" t="str">
        <f>CompetidoresRib!D64&amp;" - "&amp;CompetidoresRib!E64</f>
        <v xml:space="preserve"> - </v>
      </c>
      <c r="AC585">
        <f>CompetidoresRib!F64</f>
        <v>0</v>
      </c>
    </row>
    <row r="586" spans="26:29" hidden="1" x14ac:dyDescent="0.25">
      <c r="Z586">
        <f t="shared" si="35"/>
        <v>0</v>
      </c>
      <c r="AA586">
        <f>CompetidoresRib!B65</f>
        <v>0</v>
      </c>
      <c r="AB586" t="str">
        <f>CompetidoresRib!D65&amp;" - "&amp;CompetidoresRib!E65</f>
        <v xml:space="preserve"> - </v>
      </c>
      <c r="AC586">
        <f>CompetidoresRib!F65</f>
        <v>0</v>
      </c>
    </row>
    <row r="587" spans="26:29" hidden="1" x14ac:dyDescent="0.25">
      <c r="Z587">
        <f t="shared" si="35"/>
        <v>0</v>
      </c>
      <c r="AA587">
        <f>CompetidoresRib!B66</f>
        <v>0</v>
      </c>
      <c r="AB587" t="str">
        <f>CompetidoresRib!D66&amp;" - "&amp;CompetidoresRib!E66</f>
        <v xml:space="preserve"> - </v>
      </c>
      <c r="AC587">
        <f>CompetidoresRib!F66</f>
        <v>0</v>
      </c>
    </row>
    <row r="588" spans="26:29" hidden="1" x14ac:dyDescent="0.25">
      <c r="Z588">
        <f t="shared" si="35"/>
        <v>0</v>
      </c>
      <c r="AA588">
        <f>CompetidoresRib!B67</f>
        <v>0</v>
      </c>
      <c r="AB588" t="str">
        <f>CompetidoresRib!D67&amp;" - "&amp;CompetidoresRib!E67</f>
        <v xml:space="preserve"> - </v>
      </c>
      <c r="AC588">
        <f>CompetidoresRib!F67</f>
        <v>0</v>
      </c>
    </row>
    <row r="589" spans="26:29" hidden="1" x14ac:dyDescent="0.25">
      <c r="Z589">
        <f t="shared" ref="Z589:Z620" si="36">IF(AA589=$A$4,Z588+1,0)</f>
        <v>0</v>
      </c>
      <c r="AA589">
        <f>CompetidoresRib!B68</f>
        <v>0</v>
      </c>
      <c r="AB589" t="str">
        <f>CompetidoresRib!D68&amp;" - "&amp;CompetidoresRib!E68</f>
        <v xml:space="preserve"> - </v>
      </c>
      <c r="AC589">
        <f>CompetidoresRib!F68</f>
        <v>0</v>
      </c>
    </row>
    <row r="590" spans="26:29" hidden="1" x14ac:dyDescent="0.25">
      <c r="Z590">
        <f t="shared" si="36"/>
        <v>0</v>
      </c>
      <c r="AA590">
        <f>CompetidoresRib!B69</f>
        <v>0</v>
      </c>
      <c r="AB590" t="str">
        <f>CompetidoresRib!D69&amp;" - "&amp;CompetidoresRib!E69</f>
        <v xml:space="preserve"> - </v>
      </c>
      <c r="AC590">
        <f>CompetidoresRib!F69</f>
        <v>0</v>
      </c>
    </row>
    <row r="591" spans="26:29" hidden="1" x14ac:dyDescent="0.25">
      <c r="Z591">
        <f t="shared" si="36"/>
        <v>0</v>
      </c>
      <c r="AA591">
        <f>CompetidoresRib!B70</f>
        <v>0</v>
      </c>
      <c r="AB591" t="str">
        <f>CompetidoresRib!D70&amp;" - "&amp;CompetidoresRib!E70</f>
        <v xml:space="preserve"> - </v>
      </c>
      <c r="AC591">
        <f>CompetidoresRib!F70</f>
        <v>0</v>
      </c>
    </row>
    <row r="592" spans="26:29" hidden="1" x14ac:dyDescent="0.25">
      <c r="Z592">
        <f t="shared" si="36"/>
        <v>0</v>
      </c>
      <c r="AA592">
        <f>CompetidoresRib!B71</f>
        <v>0</v>
      </c>
      <c r="AB592" t="str">
        <f>CompetidoresRib!D71&amp;" - "&amp;CompetidoresRib!E71</f>
        <v xml:space="preserve"> - </v>
      </c>
      <c r="AC592">
        <f>CompetidoresRib!F71</f>
        <v>0</v>
      </c>
    </row>
    <row r="593" spans="26:29" hidden="1" x14ac:dyDescent="0.25">
      <c r="Z593">
        <f t="shared" si="36"/>
        <v>0</v>
      </c>
      <c r="AA593">
        <f>CompetidoresRib!B72</f>
        <v>0</v>
      </c>
      <c r="AB593" t="str">
        <f>CompetidoresRib!D72&amp;" - "&amp;CompetidoresRib!E72</f>
        <v xml:space="preserve"> - </v>
      </c>
      <c r="AC593">
        <f>CompetidoresRib!F72</f>
        <v>0</v>
      </c>
    </row>
    <row r="594" spans="26:29" hidden="1" x14ac:dyDescent="0.25">
      <c r="Z594">
        <f t="shared" si="36"/>
        <v>0</v>
      </c>
      <c r="AA594">
        <f>CompetidoresRib!B73</f>
        <v>0</v>
      </c>
      <c r="AB594" t="str">
        <f>CompetidoresRib!D73&amp;" - "&amp;CompetidoresRib!E73</f>
        <v xml:space="preserve"> - </v>
      </c>
      <c r="AC594">
        <f>CompetidoresRib!F73</f>
        <v>0</v>
      </c>
    </row>
    <row r="595" spans="26:29" hidden="1" x14ac:dyDescent="0.25">
      <c r="Z595">
        <f t="shared" si="36"/>
        <v>0</v>
      </c>
      <c r="AA595">
        <f>CompetidoresRib!B74</f>
        <v>0</v>
      </c>
      <c r="AB595" t="str">
        <f>CompetidoresRib!D74&amp;" - "&amp;CompetidoresRib!E74</f>
        <v xml:space="preserve"> - </v>
      </c>
      <c r="AC595">
        <f>CompetidoresRib!F74</f>
        <v>0</v>
      </c>
    </row>
    <row r="596" spans="26:29" hidden="1" x14ac:dyDescent="0.25">
      <c r="Z596">
        <f t="shared" si="36"/>
        <v>0</v>
      </c>
      <c r="AA596">
        <f>CompetidoresRib!B75</f>
        <v>0</v>
      </c>
      <c r="AB596" t="str">
        <f>CompetidoresRib!D75&amp;" - "&amp;CompetidoresRib!E75</f>
        <v xml:space="preserve"> - </v>
      </c>
      <c r="AC596">
        <f>CompetidoresRib!F75</f>
        <v>0</v>
      </c>
    </row>
    <row r="597" spans="26:29" hidden="1" x14ac:dyDescent="0.25">
      <c r="Z597">
        <f t="shared" si="36"/>
        <v>0</v>
      </c>
      <c r="AA597">
        <f>CompetidoresRib!B76</f>
        <v>0</v>
      </c>
      <c r="AB597" t="str">
        <f>CompetidoresRib!D76&amp;" - "&amp;CompetidoresRib!E76</f>
        <v xml:space="preserve"> - </v>
      </c>
      <c r="AC597">
        <f>CompetidoresRib!F76</f>
        <v>0</v>
      </c>
    </row>
    <row r="598" spans="26:29" hidden="1" x14ac:dyDescent="0.25">
      <c r="Z598">
        <f t="shared" si="36"/>
        <v>0</v>
      </c>
      <c r="AA598">
        <f>CompetidoresRib!B77</f>
        <v>0</v>
      </c>
      <c r="AB598" t="str">
        <f>CompetidoresRib!D77&amp;" - "&amp;CompetidoresRib!E77</f>
        <v xml:space="preserve"> - </v>
      </c>
      <c r="AC598">
        <f>CompetidoresRib!F77</f>
        <v>0</v>
      </c>
    </row>
    <row r="599" spans="26:29" hidden="1" x14ac:dyDescent="0.25">
      <c r="Z599">
        <f t="shared" si="36"/>
        <v>0</v>
      </c>
      <c r="AA599">
        <f>CompetidoresRib!B78</f>
        <v>0</v>
      </c>
      <c r="AB599" t="str">
        <f>CompetidoresRib!D78&amp;" - "&amp;CompetidoresRib!E78</f>
        <v xml:space="preserve"> - </v>
      </c>
      <c r="AC599">
        <f>CompetidoresRib!F78</f>
        <v>0</v>
      </c>
    </row>
    <row r="600" spans="26:29" hidden="1" x14ac:dyDescent="0.25">
      <c r="Z600">
        <f t="shared" si="36"/>
        <v>0</v>
      </c>
      <c r="AA600">
        <f>CompetidoresRib!B79</f>
        <v>0</v>
      </c>
      <c r="AB600" t="str">
        <f>CompetidoresRib!D79&amp;" - "&amp;CompetidoresRib!E79</f>
        <v xml:space="preserve"> - </v>
      </c>
      <c r="AC600">
        <f>CompetidoresRib!F79</f>
        <v>0</v>
      </c>
    </row>
    <row r="601" spans="26:29" hidden="1" x14ac:dyDescent="0.25">
      <c r="Z601">
        <f t="shared" si="36"/>
        <v>0</v>
      </c>
      <c r="AA601">
        <f>CompetidoresRib!B80</f>
        <v>0</v>
      </c>
      <c r="AB601" t="str">
        <f>CompetidoresRib!D80&amp;" - "&amp;CompetidoresRib!E80</f>
        <v xml:space="preserve"> - </v>
      </c>
      <c r="AC601">
        <f>CompetidoresRib!F80</f>
        <v>0</v>
      </c>
    </row>
    <row r="602" spans="26:29" hidden="1" x14ac:dyDescent="0.25">
      <c r="Z602">
        <f t="shared" si="36"/>
        <v>0</v>
      </c>
      <c r="AA602">
        <f>CompetidoresRib!B81</f>
        <v>0</v>
      </c>
      <c r="AB602" t="str">
        <f>CompetidoresRib!D81&amp;" - "&amp;CompetidoresRib!E81</f>
        <v xml:space="preserve"> - </v>
      </c>
      <c r="AC602">
        <f>CompetidoresRib!F81</f>
        <v>0</v>
      </c>
    </row>
    <row r="603" spans="26:29" hidden="1" x14ac:dyDescent="0.25">
      <c r="Z603">
        <f t="shared" si="36"/>
        <v>0</v>
      </c>
      <c r="AA603">
        <f>CompetidoresRib!B82</f>
        <v>0</v>
      </c>
      <c r="AB603" t="str">
        <f>CompetidoresRib!D82&amp;" - "&amp;CompetidoresRib!E82</f>
        <v xml:space="preserve"> - </v>
      </c>
      <c r="AC603">
        <f>CompetidoresRib!F82</f>
        <v>0</v>
      </c>
    </row>
    <row r="604" spans="26:29" hidden="1" x14ac:dyDescent="0.25">
      <c r="Z604">
        <f t="shared" si="36"/>
        <v>0</v>
      </c>
      <c r="AA604">
        <f>CompetidoresRib!B83</f>
        <v>0</v>
      </c>
      <c r="AB604" t="str">
        <f>CompetidoresRib!D83&amp;" - "&amp;CompetidoresRib!E83</f>
        <v xml:space="preserve"> - </v>
      </c>
      <c r="AC604">
        <f>CompetidoresRib!F83</f>
        <v>0</v>
      </c>
    </row>
    <row r="605" spans="26:29" hidden="1" x14ac:dyDescent="0.25">
      <c r="Z605">
        <f t="shared" si="36"/>
        <v>0</v>
      </c>
      <c r="AA605">
        <f>CompetidoresRib!B84</f>
        <v>0</v>
      </c>
      <c r="AB605" t="str">
        <f>CompetidoresRib!D84&amp;" - "&amp;CompetidoresRib!E84</f>
        <v xml:space="preserve"> - </v>
      </c>
      <c r="AC605">
        <f>CompetidoresRib!F84</f>
        <v>0</v>
      </c>
    </row>
    <row r="606" spans="26:29" hidden="1" x14ac:dyDescent="0.25">
      <c r="Z606">
        <f t="shared" si="36"/>
        <v>0</v>
      </c>
      <c r="AA606">
        <f>CompetidoresRib!B85</f>
        <v>0</v>
      </c>
      <c r="AB606" t="str">
        <f>CompetidoresRib!D85&amp;" - "&amp;CompetidoresRib!E85</f>
        <v xml:space="preserve"> - </v>
      </c>
      <c r="AC606">
        <f>CompetidoresRib!F85</f>
        <v>0</v>
      </c>
    </row>
    <row r="607" spans="26:29" hidden="1" x14ac:dyDescent="0.25">
      <c r="Z607">
        <f t="shared" si="36"/>
        <v>0</v>
      </c>
      <c r="AA607">
        <f>CompetidoresRib!B86</f>
        <v>0</v>
      </c>
      <c r="AB607" t="str">
        <f>CompetidoresRib!D86&amp;" - "&amp;CompetidoresRib!E86</f>
        <v xml:space="preserve"> - </v>
      </c>
      <c r="AC607">
        <f>CompetidoresRib!F86</f>
        <v>0</v>
      </c>
    </row>
    <row r="608" spans="26:29" hidden="1" x14ac:dyDescent="0.25">
      <c r="Z608">
        <f t="shared" si="36"/>
        <v>0</v>
      </c>
      <c r="AA608">
        <f>CompetidoresRib!B87</f>
        <v>0</v>
      </c>
      <c r="AB608" t="str">
        <f>CompetidoresRib!D87&amp;" - "&amp;CompetidoresRib!E87</f>
        <v xml:space="preserve"> - </v>
      </c>
      <c r="AC608">
        <f>CompetidoresRib!F87</f>
        <v>0</v>
      </c>
    </row>
    <row r="609" spans="26:29" hidden="1" x14ac:dyDescent="0.25">
      <c r="Z609">
        <f t="shared" si="36"/>
        <v>0</v>
      </c>
      <c r="AA609">
        <f>CompetidoresRib!B88</f>
        <v>0</v>
      </c>
      <c r="AB609" t="str">
        <f>CompetidoresRib!D88&amp;" - "&amp;CompetidoresRib!E88</f>
        <v xml:space="preserve"> - </v>
      </c>
      <c r="AC609">
        <f>CompetidoresRib!F88</f>
        <v>0</v>
      </c>
    </row>
    <row r="610" spans="26:29" hidden="1" x14ac:dyDescent="0.25">
      <c r="Z610">
        <f t="shared" si="36"/>
        <v>0</v>
      </c>
      <c r="AA610">
        <f>CompetidoresRib!B89</f>
        <v>0</v>
      </c>
      <c r="AB610" t="str">
        <f>CompetidoresRib!D89&amp;" - "&amp;CompetidoresRib!E89</f>
        <v xml:space="preserve"> - </v>
      </c>
      <c r="AC610">
        <f>CompetidoresRib!F89</f>
        <v>0</v>
      </c>
    </row>
    <row r="611" spans="26:29" hidden="1" x14ac:dyDescent="0.25">
      <c r="Z611">
        <f t="shared" si="36"/>
        <v>0</v>
      </c>
      <c r="AA611">
        <f>CompetidoresRib!B90</f>
        <v>0</v>
      </c>
      <c r="AB611" t="str">
        <f>CompetidoresRib!D90&amp;" - "&amp;CompetidoresRib!E90</f>
        <v xml:space="preserve"> - </v>
      </c>
      <c r="AC611">
        <f>CompetidoresRib!F90</f>
        <v>0</v>
      </c>
    </row>
    <row r="612" spans="26:29" hidden="1" x14ac:dyDescent="0.25">
      <c r="Z612">
        <f t="shared" si="36"/>
        <v>0</v>
      </c>
      <c r="AA612">
        <f>CompetidoresRib!B91</f>
        <v>0</v>
      </c>
      <c r="AB612" t="str">
        <f>CompetidoresRib!D91&amp;" - "&amp;CompetidoresRib!E91</f>
        <v xml:space="preserve"> - </v>
      </c>
      <c r="AC612">
        <f>CompetidoresRib!F91</f>
        <v>0</v>
      </c>
    </row>
    <row r="613" spans="26:29" hidden="1" x14ac:dyDescent="0.25">
      <c r="Z613">
        <f t="shared" si="36"/>
        <v>0</v>
      </c>
      <c r="AA613">
        <f>CompetidoresRib!B92</f>
        <v>0</v>
      </c>
      <c r="AB613" t="str">
        <f>CompetidoresRib!D92&amp;" - "&amp;CompetidoresRib!E92</f>
        <v xml:space="preserve"> - </v>
      </c>
      <c r="AC613">
        <f>CompetidoresRib!F92</f>
        <v>0</v>
      </c>
    </row>
    <row r="614" spans="26:29" hidden="1" x14ac:dyDescent="0.25">
      <c r="Z614">
        <f t="shared" si="36"/>
        <v>0</v>
      </c>
      <c r="AA614">
        <f>CompetidoresRib!B93</f>
        <v>0</v>
      </c>
      <c r="AB614" t="str">
        <f>CompetidoresRib!D93&amp;" - "&amp;CompetidoresRib!E93</f>
        <v xml:space="preserve"> - </v>
      </c>
      <c r="AC614">
        <f>CompetidoresRib!F93</f>
        <v>0</v>
      </c>
    </row>
    <row r="615" spans="26:29" hidden="1" x14ac:dyDescent="0.25">
      <c r="Z615">
        <f t="shared" si="36"/>
        <v>0</v>
      </c>
      <c r="AA615">
        <f>CompetidoresRib!B94</f>
        <v>0</v>
      </c>
      <c r="AB615" t="str">
        <f>CompetidoresRib!D94&amp;" - "&amp;CompetidoresRib!E94</f>
        <v xml:space="preserve"> - </v>
      </c>
      <c r="AC615">
        <f>CompetidoresRib!F94</f>
        <v>0</v>
      </c>
    </row>
    <row r="616" spans="26:29" hidden="1" x14ac:dyDescent="0.25">
      <c r="Z616">
        <f t="shared" si="36"/>
        <v>0</v>
      </c>
      <c r="AA616">
        <f>CompetidoresRib!B95</f>
        <v>0</v>
      </c>
      <c r="AB616" t="str">
        <f>CompetidoresRib!D95&amp;" - "&amp;CompetidoresRib!E95</f>
        <v xml:space="preserve"> - </v>
      </c>
      <c r="AC616">
        <f>CompetidoresRib!F95</f>
        <v>0</v>
      </c>
    </row>
    <row r="617" spans="26:29" hidden="1" x14ac:dyDescent="0.25">
      <c r="Z617">
        <f t="shared" si="36"/>
        <v>0</v>
      </c>
      <c r="AA617">
        <f>CompetidoresRib!B96</f>
        <v>0</v>
      </c>
      <c r="AB617" t="str">
        <f>CompetidoresRib!D96&amp;" - "&amp;CompetidoresRib!E96</f>
        <v xml:space="preserve"> - </v>
      </c>
      <c r="AC617">
        <f>CompetidoresRib!F96</f>
        <v>0</v>
      </c>
    </row>
    <row r="618" spans="26:29" hidden="1" x14ac:dyDescent="0.25">
      <c r="Z618">
        <f t="shared" si="36"/>
        <v>0</v>
      </c>
      <c r="AA618">
        <f>CompetidoresRib!B97</f>
        <v>0</v>
      </c>
      <c r="AB618" t="str">
        <f>CompetidoresRib!D97&amp;" - "&amp;CompetidoresRib!E97</f>
        <v xml:space="preserve"> - </v>
      </c>
      <c r="AC618">
        <f>CompetidoresRib!F97</f>
        <v>0</v>
      </c>
    </row>
    <row r="619" spans="26:29" hidden="1" x14ac:dyDescent="0.25">
      <c r="Z619">
        <f t="shared" si="36"/>
        <v>0</v>
      </c>
      <c r="AA619">
        <f>CompetidoresRib!B98</f>
        <v>0</v>
      </c>
      <c r="AB619" t="str">
        <f>CompetidoresRib!D98&amp;" - "&amp;CompetidoresRib!E98</f>
        <v xml:space="preserve"> - </v>
      </c>
      <c r="AC619">
        <f>CompetidoresRib!F98</f>
        <v>0</v>
      </c>
    </row>
    <row r="620" spans="26:29" hidden="1" x14ac:dyDescent="0.25">
      <c r="Z620">
        <f t="shared" si="36"/>
        <v>0</v>
      </c>
      <c r="AA620">
        <f>CompetidoresRib!B99</f>
        <v>0</v>
      </c>
      <c r="AB620" t="str">
        <f>CompetidoresRib!D99&amp;" - "&amp;CompetidoresRib!E99</f>
        <v xml:space="preserve"> - </v>
      </c>
      <c r="AC620">
        <f>CompetidoresRib!F99</f>
        <v>0</v>
      </c>
    </row>
    <row r="621" spans="26:29" hidden="1" x14ac:dyDescent="0.25">
      <c r="Z621">
        <f t="shared" ref="Z621:Z652" si="37">IF(AA621=$A$4,Z620+1,0)</f>
        <v>0</v>
      </c>
      <c r="AA621">
        <f>CompetidoresRib!B100</f>
        <v>0</v>
      </c>
      <c r="AB621" t="str">
        <f>CompetidoresRib!D100&amp;" - "&amp;CompetidoresRib!E100</f>
        <v xml:space="preserve"> - </v>
      </c>
      <c r="AC621">
        <f>CompetidoresRib!F100</f>
        <v>0</v>
      </c>
    </row>
    <row r="622" spans="26:29" hidden="1" x14ac:dyDescent="0.25">
      <c r="Z622">
        <f t="shared" si="37"/>
        <v>0</v>
      </c>
      <c r="AA622">
        <f>CompetidoresRib!B101</f>
        <v>0</v>
      </c>
      <c r="AB622" t="str">
        <f>CompetidoresRib!D101&amp;" - "&amp;CompetidoresRib!E101</f>
        <v xml:space="preserve"> - </v>
      </c>
      <c r="AC622">
        <f>CompetidoresRib!F101</f>
        <v>0</v>
      </c>
    </row>
    <row r="623" spans="26:29" hidden="1" x14ac:dyDescent="0.25">
      <c r="Z623">
        <f t="shared" si="37"/>
        <v>0</v>
      </c>
      <c r="AA623">
        <f>CompetidoresRib!B102</f>
        <v>0</v>
      </c>
      <c r="AB623" t="str">
        <f>CompetidoresRib!D102&amp;" - "&amp;CompetidoresRib!E102</f>
        <v xml:space="preserve"> - </v>
      </c>
      <c r="AC623">
        <f>CompetidoresRib!F102</f>
        <v>0</v>
      </c>
    </row>
    <row r="624" spans="26:29" hidden="1" x14ac:dyDescent="0.25">
      <c r="Z624">
        <f t="shared" si="37"/>
        <v>0</v>
      </c>
      <c r="AA624">
        <f>CompetidoresRib!B103</f>
        <v>0</v>
      </c>
      <c r="AB624" t="str">
        <f>CompetidoresRib!D103&amp;" - "&amp;CompetidoresRib!E103</f>
        <v xml:space="preserve"> - </v>
      </c>
      <c r="AC624">
        <f>CompetidoresRib!F103</f>
        <v>0</v>
      </c>
    </row>
    <row r="625" spans="26:29" hidden="1" x14ac:dyDescent="0.25">
      <c r="Z625">
        <f t="shared" si="37"/>
        <v>0</v>
      </c>
      <c r="AA625">
        <f>CompetidoresRib!B104</f>
        <v>0</v>
      </c>
      <c r="AB625" t="str">
        <f>CompetidoresRib!D104&amp;" - "&amp;CompetidoresRib!E104</f>
        <v xml:space="preserve"> - </v>
      </c>
      <c r="AC625">
        <f>CompetidoresRib!F104</f>
        <v>0</v>
      </c>
    </row>
    <row r="626" spans="26:29" hidden="1" x14ac:dyDescent="0.25">
      <c r="Z626">
        <f t="shared" si="37"/>
        <v>0</v>
      </c>
      <c r="AA626">
        <f>CompetidoresRib!B105</f>
        <v>0</v>
      </c>
      <c r="AB626" t="str">
        <f>CompetidoresRib!D105&amp;" - "&amp;CompetidoresRib!E105</f>
        <v xml:space="preserve"> - </v>
      </c>
      <c r="AC626">
        <f>CompetidoresRib!F105</f>
        <v>0</v>
      </c>
    </row>
    <row r="627" spans="26:29" hidden="1" x14ac:dyDescent="0.25">
      <c r="Z627">
        <f t="shared" si="37"/>
        <v>0</v>
      </c>
      <c r="AA627">
        <f>CompetidoresRib!B106</f>
        <v>0</v>
      </c>
      <c r="AB627" t="str">
        <f>CompetidoresRib!D106&amp;" - "&amp;CompetidoresRib!E106</f>
        <v xml:space="preserve"> - </v>
      </c>
      <c r="AC627">
        <f>CompetidoresRib!F106</f>
        <v>0</v>
      </c>
    </row>
    <row r="628" spans="26:29" hidden="1" x14ac:dyDescent="0.25">
      <c r="Z628">
        <f t="shared" si="37"/>
        <v>0</v>
      </c>
      <c r="AA628">
        <f>CompetidoresRib!B107</f>
        <v>0</v>
      </c>
      <c r="AB628" t="str">
        <f>CompetidoresRib!D107&amp;" - "&amp;CompetidoresRib!E107</f>
        <v xml:space="preserve"> - </v>
      </c>
      <c r="AC628">
        <f>CompetidoresRib!F107</f>
        <v>0</v>
      </c>
    </row>
    <row r="629" spans="26:29" hidden="1" x14ac:dyDescent="0.25">
      <c r="Z629">
        <f t="shared" si="37"/>
        <v>0</v>
      </c>
      <c r="AA629">
        <f>CompetidoresRib!B108</f>
        <v>0</v>
      </c>
      <c r="AB629" t="str">
        <f>CompetidoresRib!D108&amp;" - "&amp;CompetidoresRib!E108</f>
        <v xml:space="preserve"> - </v>
      </c>
      <c r="AC629">
        <f>CompetidoresRib!F108</f>
        <v>0</v>
      </c>
    </row>
    <row r="630" spans="26:29" hidden="1" x14ac:dyDescent="0.25">
      <c r="Z630">
        <f t="shared" si="37"/>
        <v>0</v>
      </c>
      <c r="AA630">
        <f>CompetidoresRib!B109</f>
        <v>0</v>
      </c>
      <c r="AB630" t="str">
        <f>CompetidoresRib!D109&amp;" - "&amp;CompetidoresRib!E109</f>
        <v xml:space="preserve"> - </v>
      </c>
      <c r="AC630">
        <f>CompetidoresRib!F109</f>
        <v>0</v>
      </c>
    </row>
    <row r="631" spans="26:29" hidden="1" x14ac:dyDescent="0.25">
      <c r="Z631">
        <f t="shared" si="37"/>
        <v>0</v>
      </c>
      <c r="AA631">
        <f>CompetidoresRib!B110</f>
        <v>0</v>
      </c>
      <c r="AB631" t="str">
        <f>CompetidoresRib!D110&amp;" - "&amp;CompetidoresRib!E110</f>
        <v xml:space="preserve"> - </v>
      </c>
      <c r="AC631">
        <f>CompetidoresRib!F110</f>
        <v>0</v>
      </c>
    </row>
    <row r="632" spans="26:29" hidden="1" x14ac:dyDescent="0.25">
      <c r="Z632">
        <f t="shared" si="37"/>
        <v>0</v>
      </c>
      <c r="AA632">
        <f>CompetidoresRib!B111</f>
        <v>0</v>
      </c>
      <c r="AB632" t="str">
        <f>CompetidoresRib!D111&amp;" - "&amp;CompetidoresRib!E111</f>
        <v xml:space="preserve"> - </v>
      </c>
      <c r="AC632">
        <f>CompetidoresRib!F111</f>
        <v>0</v>
      </c>
    </row>
    <row r="633" spans="26:29" hidden="1" x14ac:dyDescent="0.25">
      <c r="Z633">
        <f t="shared" si="37"/>
        <v>0</v>
      </c>
      <c r="AA633">
        <f>CompetidoresRib!B112</f>
        <v>0</v>
      </c>
      <c r="AB633" t="str">
        <f>CompetidoresRib!D112&amp;" - "&amp;CompetidoresRib!E112</f>
        <v xml:space="preserve"> - </v>
      </c>
      <c r="AC633">
        <f>CompetidoresRib!F112</f>
        <v>0</v>
      </c>
    </row>
    <row r="634" spans="26:29" hidden="1" x14ac:dyDescent="0.25">
      <c r="Z634">
        <f t="shared" si="37"/>
        <v>0</v>
      </c>
      <c r="AA634">
        <f>CompetidoresRib!B113</f>
        <v>0</v>
      </c>
      <c r="AB634" t="str">
        <f>CompetidoresRib!D113&amp;" - "&amp;CompetidoresRib!E113</f>
        <v xml:space="preserve"> - </v>
      </c>
      <c r="AC634">
        <f>CompetidoresRib!F113</f>
        <v>0</v>
      </c>
    </row>
    <row r="635" spans="26:29" hidden="1" x14ac:dyDescent="0.25">
      <c r="Z635">
        <f t="shared" si="37"/>
        <v>0</v>
      </c>
      <c r="AA635">
        <f>CompetidoresRib!B114</f>
        <v>0</v>
      </c>
      <c r="AB635" t="str">
        <f>CompetidoresRib!D114&amp;" - "&amp;CompetidoresRib!E114</f>
        <v xml:space="preserve"> - </v>
      </c>
      <c r="AC635">
        <f>CompetidoresRib!F114</f>
        <v>0</v>
      </c>
    </row>
    <row r="636" spans="26:29" hidden="1" x14ac:dyDescent="0.25">
      <c r="Z636">
        <f t="shared" si="37"/>
        <v>0</v>
      </c>
      <c r="AA636">
        <f>CompetidoresRib!B115</f>
        <v>0</v>
      </c>
      <c r="AB636" t="str">
        <f>CompetidoresRib!D115&amp;" - "&amp;CompetidoresRib!E115</f>
        <v xml:space="preserve"> - </v>
      </c>
      <c r="AC636">
        <f>CompetidoresRib!F115</f>
        <v>0</v>
      </c>
    </row>
    <row r="637" spans="26:29" hidden="1" x14ac:dyDescent="0.25">
      <c r="Z637">
        <f t="shared" si="37"/>
        <v>0</v>
      </c>
      <c r="AA637">
        <f>CompetidoresRib!B116</f>
        <v>0</v>
      </c>
      <c r="AB637" t="str">
        <f>CompetidoresRib!D116&amp;" - "&amp;CompetidoresRib!E116</f>
        <v xml:space="preserve"> - </v>
      </c>
      <c r="AC637">
        <f>CompetidoresRib!F116</f>
        <v>0</v>
      </c>
    </row>
    <row r="638" spans="26:29" hidden="1" x14ac:dyDescent="0.25">
      <c r="Z638">
        <f t="shared" si="37"/>
        <v>0</v>
      </c>
      <c r="AA638">
        <f>CompetidoresRib!B117</f>
        <v>0</v>
      </c>
      <c r="AB638" t="str">
        <f>CompetidoresRib!D117&amp;" - "&amp;CompetidoresRib!E117</f>
        <v xml:space="preserve"> - </v>
      </c>
      <c r="AC638">
        <f>CompetidoresRib!F117</f>
        <v>0</v>
      </c>
    </row>
    <row r="639" spans="26:29" hidden="1" x14ac:dyDescent="0.25">
      <c r="Z639">
        <f t="shared" si="37"/>
        <v>0</v>
      </c>
      <c r="AA639">
        <f>CompetidoresRib!B118</f>
        <v>0</v>
      </c>
      <c r="AB639" t="str">
        <f>CompetidoresRib!D118&amp;" - "&amp;CompetidoresRib!E118</f>
        <v xml:space="preserve"> - </v>
      </c>
      <c r="AC639">
        <f>CompetidoresRib!F118</f>
        <v>0</v>
      </c>
    </row>
    <row r="640" spans="26:29" hidden="1" x14ac:dyDescent="0.25">
      <c r="Z640">
        <f t="shared" si="37"/>
        <v>0</v>
      </c>
      <c r="AA640">
        <f>CompetidoresRib!B119</f>
        <v>0</v>
      </c>
      <c r="AB640" t="str">
        <f>CompetidoresRib!D119&amp;" - "&amp;CompetidoresRib!E119</f>
        <v xml:space="preserve"> - </v>
      </c>
      <c r="AC640">
        <f>CompetidoresRib!F119</f>
        <v>0</v>
      </c>
    </row>
    <row r="641" spans="26:29" hidden="1" x14ac:dyDescent="0.25">
      <c r="Z641">
        <f t="shared" si="37"/>
        <v>0</v>
      </c>
      <c r="AA641">
        <f>CompetidoresRib!B120</f>
        <v>0</v>
      </c>
      <c r="AB641" t="str">
        <f>CompetidoresRib!D120&amp;" - "&amp;CompetidoresRib!E120</f>
        <v xml:space="preserve"> - </v>
      </c>
      <c r="AC641">
        <f>CompetidoresRib!F120</f>
        <v>0</v>
      </c>
    </row>
    <row r="642" spans="26:29" hidden="1" x14ac:dyDescent="0.25">
      <c r="Z642">
        <f t="shared" si="37"/>
        <v>0</v>
      </c>
      <c r="AA642">
        <f>CompetidoresRib!B121</f>
        <v>0</v>
      </c>
      <c r="AB642" t="str">
        <f>CompetidoresRib!D121&amp;" - "&amp;CompetidoresRib!E121</f>
        <v xml:space="preserve"> - </v>
      </c>
      <c r="AC642">
        <f>CompetidoresRib!F121</f>
        <v>0</v>
      </c>
    </row>
    <row r="643" spans="26:29" hidden="1" x14ac:dyDescent="0.25">
      <c r="Z643">
        <f t="shared" si="37"/>
        <v>0</v>
      </c>
      <c r="AA643">
        <f>CompetidoresRib!B122</f>
        <v>0</v>
      </c>
      <c r="AB643" t="str">
        <f>CompetidoresRib!D122&amp;" - "&amp;CompetidoresRib!E122</f>
        <v xml:space="preserve"> - </v>
      </c>
      <c r="AC643">
        <f>CompetidoresRib!F122</f>
        <v>0</v>
      </c>
    </row>
    <row r="644" spans="26:29" hidden="1" x14ac:dyDescent="0.25">
      <c r="Z644">
        <f t="shared" si="37"/>
        <v>0</v>
      </c>
      <c r="AA644">
        <f>CompetidoresRib!B123</f>
        <v>0</v>
      </c>
      <c r="AB644" t="str">
        <f>CompetidoresRib!D123&amp;" - "&amp;CompetidoresRib!E123</f>
        <v xml:space="preserve"> - </v>
      </c>
      <c r="AC644">
        <f>CompetidoresRib!F123</f>
        <v>0</v>
      </c>
    </row>
    <row r="645" spans="26:29" hidden="1" x14ac:dyDescent="0.25">
      <c r="Z645">
        <f t="shared" si="37"/>
        <v>0</v>
      </c>
      <c r="AA645">
        <f>CompetidoresRib!B124</f>
        <v>0</v>
      </c>
      <c r="AB645" t="str">
        <f>CompetidoresRib!D124&amp;" - "&amp;CompetidoresRib!E124</f>
        <v xml:space="preserve"> - </v>
      </c>
      <c r="AC645">
        <f>CompetidoresRib!F124</f>
        <v>0</v>
      </c>
    </row>
    <row r="646" spans="26:29" hidden="1" x14ac:dyDescent="0.25">
      <c r="Z646">
        <f t="shared" si="37"/>
        <v>0</v>
      </c>
      <c r="AA646">
        <f>CompetidoresRib!B125</f>
        <v>0</v>
      </c>
      <c r="AB646" t="str">
        <f>CompetidoresRib!D125&amp;" - "&amp;CompetidoresRib!E125</f>
        <v xml:space="preserve"> - </v>
      </c>
      <c r="AC646">
        <f>CompetidoresRib!F125</f>
        <v>0</v>
      </c>
    </row>
    <row r="647" spans="26:29" hidden="1" x14ac:dyDescent="0.25">
      <c r="Z647">
        <f t="shared" si="37"/>
        <v>0</v>
      </c>
      <c r="AA647">
        <f>CompetidoresRib!B126</f>
        <v>0</v>
      </c>
      <c r="AB647" t="str">
        <f>CompetidoresRib!D126&amp;" - "&amp;CompetidoresRib!E126</f>
        <v xml:space="preserve"> - </v>
      </c>
      <c r="AC647">
        <f>CompetidoresRib!F126</f>
        <v>0</v>
      </c>
    </row>
    <row r="648" spans="26:29" hidden="1" x14ac:dyDescent="0.25">
      <c r="Z648">
        <f t="shared" si="37"/>
        <v>0</v>
      </c>
      <c r="AA648">
        <f>CompetidoresRib!B127</f>
        <v>0</v>
      </c>
      <c r="AB648" t="str">
        <f>CompetidoresRib!D127&amp;" - "&amp;CompetidoresRib!E127</f>
        <v xml:space="preserve"> - </v>
      </c>
      <c r="AC648">
        <f>CompetidoresRib!F127</f>
        <v>0</v>
      </c>
    </row>
    <row r="649" spans="26:29" hidden="1" x14ac:dyDescent="0.25">
      <c r="Z649">
        <f t="shared" si="37"/>
        <v>0</v>
      </c>
      <c r="AA649">
        <f>CompetidoresRib!B128</f>
        <v>0</v>
      </c>
      <c r="AB649" t="str">
        <f>CompetidoresRib!D128&amp;" - "&amp;CompetidoresRib!E128</f>
        <v xml:space="preserve"> - </v>
      </c>
      <c r="AC649">
        <f>CompetidoresRib!F128</f>
        <v>0</v>
      </c>
    </row>
    <row r="650" spans="26:29" hidden="1" x14ac:dyDescent="0.25">
      <c r="Z650">
        <f t="shared" si="37"/>
        <v>0</v>
      </c>
      <c r="AA650">
        <f>CompetidoresRib!B129</f>
        <v>0</v>
      </c>
      <c r="AB650" t="str">
        <f>CompetidoresRib!D129&amp;" - "&amp;CompetidoresRib!E129</f>
        <v xml:space="preserve"> - </v>
      </c>
      <c r="AC650">
        <f>CompetidoresRib!F129</f>
        <v>0</v>
      </c>
    </row>
    <row r="651" spans="26:29" hidden="1" x14ac:dyDescent="0.25">
      <c r="Z651">
        <f t="shared" si="37"/>
        <v>0</v>
      </c>
      <c r="AA651">
        <f>CompetidoresRib!B130</f>
        <v>0</v>
      </c>
      <c r="AB651" t="str">
        <f>CompetidoresRib!D130&amp;" - "&amp;CompetidoresRib!E130</f>
        <v xml:space="preserve"> - </v>
      </c>
      <c r="AC651">
        <f>CompetidoresRib!F130</f>
        <v>0</v>
      </c>
    </row>
    <row r="652" spans="26:29" hidden="1" x14ac:dyDescent="0.25">
      <c r="Z652">
        <f t="shared" si="37"/>
        <v>0</v>
      </c>
      <c r="AA652">
        <f>CompetidoresRib!B131</f>
        <v>0</v>
      </c>
      <c r="AB652" t="str">
        <f>CompetidoresRib!D131&amp;" - "&amp;CompetidoresRib!E131</f>
        <v xml:space="preserve"> - </v>
      </c>
      <c r="AC652">
        <f>CompetidoresRib!F131</f>
        <v>0</v>
      </c>
    </row>
    <row r="653" spans="26:29" hidden="1" x14ac:dyDescent="0.25">
      <c r="Z653">
        <f t="shared" ref="Z653:Z673" si="38">IF(AA653=$A$4,Z652+1,0)</f>
        <v>0</v>
      </c>
      <c r="AA653">
        <f>CompetidoresRib!B132</f>
        <v>0</v>
      </c>
      <c r="AB653" t="str">
        <f>CompetidoresRib!D132&amp;" - "&amp;CompetidoresRib!E132</f>
        <v xml:space="preserve"> - </v>
      </c>
      <c r="AC653">
        <f>CompetidoresRib!F132</f>
        <v>0</v>
      </c>
    </row>
    <row r="654" spans="26:29" hidden="1" x14ac:dyDescent="0.25">
      <c r="Z654">
        <f t="shared" si="38"/>
        <v>0</v>
      </c>
      <c r="AA654">
        <f>CompetidoresRib!B133</f>
        <v>0</v>
      </c>
      <c r="AB654" t="str">
        <f>CompetidoresRib!D133&amp;" - "&amp;CompetidoresRib!E133</f>
        <v xml:space="preserve"> - </v>
      </c>
      <c r="AC654">
        <f>CompetidoresRib!F133</f>
        <v>0</v>
      </c>
    </row>
    <row r="655" spans="26:29" hidden="1" x14ac:dyDescent="0.25">
      <c r="Z655">
        <f t="shared" si="38"/>
        <v>0</v>
      </c>
      <c r="AA655">
        <f>CompetidoresRib!B134</f>
        <v>0</v>
      </c>
      <c r="AB655" t="str">
        <f>CompetidoresRib!D134&amp;" - "&amp;CompetidoresRib!E134</f>
        <v xml:space="preserve"> - </v>
      </c>
      <c r="AC655">
        <f>CompetidoresRib!F134</f>
        <v>0</v>
      </c>
    </row>
    <row r="656" spans="26:29" hidden="1" x14ac:dyDescent="0.25">
      <c r="Z656">
        <f t="shared" si="38"/>
        <v>0</v>
      </c>
      <c r="AA656">
        <f>CompetidoresRib!B135</f>
        <v>0</v>
      </c>
      <c r="AB656" t="str">
        <f>CompetidoresRib!D135&amp;" - "&amp;CompetidoresRib!E135</f>
        <v xml:space="preserve"> - </v>
      </c>
      <c r="AC656">
        <f>CompetidoresRib!F135</f>
        <v>0</v>
      </c>
    </row>
    <row r="657" spans="26:29" hidden="1" x14ac:dyDescent="0.25">
      <c r="Z657">
        <f t="shared" si="38"/>
        <v>0</v>
      </c>
      <c r="AA657">
        <f>CompetidoresRib!B136</f>
        <v>0</v>
      </c>
      <c r="AB657" t="str">
        <f>CompetidoresRib!D136&amp;" - "&amp;CompetidoresRib!E136</f>
        <v xml:space="preserve"> - </v>
      </c>
      <c r="AC657">
        <f>CompetidoresRib!F136</f>
        <v>0</v>
      </c>
    </row>
    <row r="658" spans="26:29" hidden="1" x14ac:dyDescent="0.25">
      <c r="Z658">
        <f t="shared" si="38"/>
        <v>0</v>
      </c>
      <c r="AA658">
        <f>CompetidoresRib!B137</f>
        <v>0</v>
      </c>
      <c r="AB658" t="str">
        <f>CompetidoresRib!D137&amp;" - "&amp;CompetidoresRib!E137</f>
        <v xml:space="preserve"> - </v>
      </c>
      <c r="AC658">
        <f>CompetidoresRib!F137</f>
        <v>0</v>
      </c>
    </row>
    <row r="659" spans="26:29" hidden="1" x14ac:dyDescent="0.25">
      <c r="Z659">
        <f t="shared" si="38"/>
        <v>0</v>
      </c>
      <c r="AA659">
        <f>CompetidoresRib!B138</f>
        <v>0</v>
      </c>
      <c r="AB659" t="str">
        <f>CompetidoresRib!D138&amp;" - "&amp;CompetidoresRib!E138</f>
        <v xml:space="preserve"> - </v>
      </c>
      <c r="AC659">
        <f>CompetidoresRib!F138</f>
        <v>0</v>
      </c>
    </row>
    <row r="660" spans="26:29" hidden="1" x14ac:dyDescent="0.25">
      <c r="Z660">
        <f t="shared" si="38"/>
        <v>0</v>
      </c>
      <c r="AA660">
        <f>CompetidoresRib!B139</f>
        <v>0</v>
      </c>
      <c r="AB660" t="str">
        <f>CompetidoresRib!D139&amp;" - "&amp;CompetidoresRib!E139</f>
        <v xml:space="preserve"> - </v>
      </c>
      <c r="AC660">
        <f>CompetidoresRib!F139</f>
        <v>0</v>
      </c>
    </row>
    <row r="661" spans="26:29" hidden="1" x14ac:dyDescent="0.25">
      <c r="Z661">
        <f t="shared" si="38"/>
        <v>0</v>
      </c>
      <c r="AA661">
        <f>CompetidoresRib!B140</f>
        <v>0</v>
      </c>
      <c r="AB661" t="str">
        <f>CompetidoresRib!D140&amp;" - "&amp;CompetidoresRib!E140</f>
        <v xml:space="preserve"> - </v>
      </c>
      <c r="AC661">
        <f>CompetidoresRib!F140</f>
        <v>0</v>
      </c>
    </row>
    <row r="662" spans="26:29" hidden="1" x14ac:dyDescent="0.25">
      <c r="Z662">
        <f t="shared" si="38"/>
        <v>0</v>
      </c>
      <c r="AA662">
        <f>CompetidoresRib!B141</f>
        <v>0</v>
      </c>
      <c r="AB662" t="str">
        <f>CompetidoresRib!D141&amp;" - "&amp;CompetidoresRib!E141</f>
        <v xml:space="preserve"> - </v>
      </c>
      <c r="AC662">
        <f>CompetidoresRib!F141</f>
        <v>0</v>
      </c>
    </row>
    <row r="663" spans="26:29" hidden="1" x14ac:dyDescent="0.25">
      <c r="Z663">
        <f t="shared" si="38"/>
        <v>0</v>
      </c>
      <c r="AA663">
        <f>CompetidoresRib!B142</f>
        <v>0</v>
      </c>
      <c r="AB663" t="str">
        <f>CompetidoresRib!D142&amp;" - "&amp;CompetidoresRib!E142</f>
        <v xml:space="preserve"> - </v>
      </c>
      <c r="AC663">
        <f>CompetidoresRib!F142</f>
        <v>0</v>
      </c>
    </row>
    <row r="664" spans="26:29" hidden="1" x14ac:dyDescent="0.25">
      <c r="Z664">
        <f t="shared" si="38"/>
        <v>0</v>
      </c>
      <c r="AA664">
        <f>CompetidoresRib!B143</f>
        <v>0</v>
      </c>
      <c r="AB664" t="str">
        <f>CompetidoresRib!D143&amp;" - "&amp;CompetidoresRib!E143</f>
        <v xml:space="preserve"> - </v>
      </c>
      <c r="AC664">
        <f>CompetidoresRib!F143</f>
        <v>0</v>
      </c>
    </row>
    <row r="665" spans="26:29" hidden="1" x14ac:dyDescent="0.25">
      <c r="Z665">
        <f t="shared" si="38"/>
        <v>0</v>
      </c>
      <c r="AA665">
        <f>CompetidoresRib!B144</f>
        <v>0</v>
      </c>
      <c r="AB665" t="str">
        <f>CompetidoresRib!D144&amp;" - "&amp;CompetidoresRib!E144</f>
        <v xml:space="preserve"> - </v>
      </c>
      <c r="AC665">
        <f>CompetidoresRib!F144</f>
        <v>0</v>
      </c>
    </row>
    <row r="666" spans="26:29" hidden="1" x14ac:dyDescent="0.25">
      <c r="Z666">
        <f t="shared" si="38"/>
        <v>0</v>
      </c>
      <c r="AA666">
        <f>CompetidoresRib!B145</f>
        <v>0</v>
      </c>
      <c r="AB666" t="str">
        <f>CompetidoresRib!D145&amp;" - "&amp;CompetidoresRib!E145</f>
        <v xml:space="preserve"> - </v>
      </c>
      <c r="AC666">
        <f>CompetidoresRib!F145</f>
        <v>0</v>
      </c>
    </row>
    <row r="667" spans="26:29" hidden="1" x14ac:dyDescent="0.25">
      <c r="Z667">
        <f t="shared" si="38"/>
        <v>0</v>
      </c>
      <c r="AA667">
        <f>CompetidoresRib!B146</f>
        <v>0</v>
      </c>
      <c r="AB667" t="str">
        <f>CompetidoresRib!D146&amp;" - "&amp;CompetidoresRib!E146</f>
        <v xml:space="preserve"> - </v>
      </c>
      <c r="AC667">
        <f>CompetidoresRib!F146</f>
        <v>0</v>
      </c>
    </row>
    <row r="668" spans="26:29" hidden="1" x14ac:dyDescent="0.25">
      <c r="Z668">
        <f t="shared" si="38"/>
        <v>0</v>
      </c>
      <c r="AA668">
        <f>CompetidoresRib!B147</f>
        <v>0</v>
      </c>
      <c r="AB668" t="str">
        <f>CompetidoresRib!D147&amp;" - "&amp;CompetidoresRib!E147</f>
        <v xml:space="preserve"> - </v>
      </c>
      <c r="AC668">
        <f>CompetidoresRib!F147</f>
        <v>0</v>
      </c>
    </row>
    <row r="669" spans="26:29" hidden="1" x14ac:dyDescent="0.25">
      <c r="Z669">
        <f t="shared" si="38"/>
        <v>0</v>
      </c>
      <c r="AA669">
        <f>CompetidoresRib!B148</f>
        <v>0</v>
      </c>
      <c r="AB669" t="str">
        <f>CompetidoresRib!D148&amp;" - "&amp;CompetidoresRib!E148</f>
        <v xml:space="preserve"> - </v>
      </c>
      <c r="AC669">
        <f>CompetidoresRib!F148</f>
        <v>0</v>
      </c>
    </row>
    <row r="670" spans="26:29" hidden="1" x14ac:dyDescent="0.25">
      <c r="Z670">
        <f t="shared" si="38"/>
        <v>0</v>
      </c>
      <c r="AA670">
        <f>CompetidoresRib!B149</f>
        <v>0</v>
      </c>
      <c r="AB670" t="str">
        <f>CompetidoresRib!D149&amp;" - "&amp;CompetidoresRib!E149</f>
        <v xml:space="preserve"> - </v>
      </c>
      <c r="AC670">
        <f>CompetidoresRib!F149</f>
        <v>0</v>
      </c>
    </row>
    <row r="671" spans="26:29" hidden="1" x14ac:dyDescent="0.25">
      <c r="Z671">
        <f t="shared" si="38"/>
        <v>0</v>
      </c>
      <c r="AA671">
        <f>CompetidoresRib!B150</f>
        <v>0</v>
      </c>
      <c r="AB671" t="str">
        <f>CompetidoresRib!D150&amp;" - "&amp;CompetidoresRib!E150</f>
        <v xml:space="preserve"> - </v>
      </c>
      <c r="AC671">
        <f>CompetidoresRib!F150</f>
        <v>0</v>
      </c>
    </row>
    <row r="672" spans="26:29" hidden="1" x14ac:dyDescent="0.25">
      <c r="Z672">
        <f t="shared" si="38"/>
        <v>0</v>
      </c>
      <c r="AA672">
        <f>CompetidoresRib!B151</f>
        <v>0</v>
      </c>
      <c r="AB672" t="str">
        <f>CompetidoresRib!D151&amp;" - "&amp;CompetidoresRib!E151</f>
        <v xml:space="preserve"> - </v>
      </c>
      <c r="AC672">
        <f>CompetidoresRib!F151</f>
        <v>0</v>
      </c>
    </row>
    <row r="673" spans="26:29" hidden="1" x14ac:dyDescent="0.25">
      <c r="Z673">
        <f t="shared" si="38"/>
        <v>0</v>
      </c>
      <c r="AA673">
        <f>CompetidoresRib!B152</f>
        <v>0</v>
      </c>
      <c r="AB673" t="str">
        <f>CompetidoresRib!D152&amp;" - "&amp;CompetidoresRib!E152</f>
        <v xml:space="preserve"> - </v>
      </c>
      <c r="AC673">
        <f>CompetidoresRib!F152</f>
        <v>0</v>
      </c>
    </row>
    <row r="674" spans="26:29" hidden="1" x14ac:dyDescent="0.25"/>
    <row r="675" spans="26:29" hidden="1" x14ac:dyDescent="0.25"/>
    <row r="676" spans="26:29" hidden="1" x14ac:dyDescent="0.25"/>
    <row r="677" spans="26:29" hidden="1" x14ac:dyDescent="0.25"/>
    <row r="678" spans="26:29" hidden="1" x14ac:dyDescent="0.25"/>
    <row r="679" spans="26:29" hidden="1" x14ac:dyDescent="0.25"/>
    <row r="680" spans="26:29" hidden="1" x14ac:dyDescent="0.25"/>
    <row r="681" spans="26:29" hidden="1" x14ac:dyDescent="0.25"/>
    <row r="682" spans="26:29" hidden="1" x14ac:dyDescent="0.25"/>
    <row r="683" spans="26:29" hidden="1" x14ac:dyDescent="0.25"/>
    <row r="684" spans="26:29" hidden="1" x14ac:dyDescent="0.25"/>
    <row r="685" spans="26:29" hidden="1" x14ac:dyDescent="0.25"/>
    <row r="686" spans="26:29" hidden="1" x14ac:dyDescent="0.25"/>
    <row r="687" spans="26:29" hidden="1" x14ac:dyDescent="0.25"/>
    <row r="688" spans="26:29"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spans="30:36" hidden="1" x14ac:dyDescent="0.25"/>
    <row r="2002" spans="30:36" hidden="1" x14ac:dyDescent="0.25"/>
    <row r="2003" spans="30:36" hidden="1" x14ac:dyDescent="0.25"/>
    <row r="2004" spans="30:36" hidden="1" x14ac:dyDescent="0.25"/>
    <row r="2005" spans="30:36" hidden="1" x14ac:dyDescent="0.25"/>
    <row r="2006" spans="30:36" hidden="1" x14ac:dyDescent="0.25"/>
    <row r="2007" spans="30:36" hidden="1" x14ac:dyDescent="0.25"/>
    <row r="2008" spans="30:36" hidden="1" x14ac:dyDescent="0.25"/>
    <row r="2009" spans="30:36" hidden="1" x14ac:dyDescent="0.25">
      <c r="AE2009" t="s">
        <v>51</v>
      </c>
    </row>
    <row r="2010" spans="30:36" hidden="1" x14ac:dyDescent="0.25">
      <c r="AD2010">
        <f t="shared" ref="AD2010:AD2028" si="39">IF($AB$4=AE2010,AD2009+1,0)</f>
        <v>0</v>
      </c>
      <c r="AE2010">
        <f>Ejecutivos1!B2</f>
        <v>0</v>
      </c>
      <c r="AF2010">
        <f>Ejecutivos1!C2</f>
        <v>0</v>
      </c>
      <c r="AG2010">
        <f>Ejecutivos1!D2</f>
        <v>0</v>
      </c>
      <c r="AH2010">
        <f>Ejecutivos1!E2</f>
        <v>0</v>
      </c>
      <c r="AI2010">
        <f>Ejecutivos1!F2</f>
        <v>0</v>
      </c>
      <c r="AJ2010">
        <f>Ejecutivos1!G2</f>
        <v>0</v>
      </c>
    </row>
    <row r="2011" spans="30:36" hidden="1" x14ac:dyDescent="0.25">
      <c r="AD2011">
        <f t="shared" si="39"/>
        <v>0</v>
      </c>
      <c r="AE2011">
        <f>Ejecutivos1!B3</f>
        <v>0</v>
      </c>
      <c r="AF2011">
        <f>Ejecutivos1!C3</f>
        <v>0</v>
      </c>
      <c r="AG2011">
        <f>Ejecutivos1!D3</f>
        <v>0</v>
      </c>
      <c r="AH2011">
        <f>Ejecutivos1!E3</f>
        <v>0</v>
      </c>
      <c r="AI2011">
        <f>Ejecutivos1!F3</f>
        <v>0</v>
      </c>
      <c r="AJ2011">
        <f>Ejecutivos1!G3</f>
        <v>0</v>
      </c>
    </row>
    <row r="2012" spans="30:36" hidden="1" x14ac:dyDescent="0.25">
      <c r="AD2012">
        <f t="shared" si="39"/>
        <v>0</v>
      </c>
      <c r="AE2012">
        <f>Ejecutivos1!B4</f>
        <v>0</v>
      </c>
      <c r="AF2012">
        <f>Ejecutivos1!C4</f>
        <v>0</v>
      </c>
      <c r="AG2012">
        <f>Ejecutivos1!D4</f>
        <v>0</v>
      </c>
      <c r="AH2012">
        <f>Ejecutivos1!E4</f>
        <v>0</v>
      </c>
      <c r="AI2012">
        <f>Ejecutivos1!F4</f>
        <v>0</v>
      </c>
      <c r="AJ2012">
        <f>Ejecutivos1!G4</f>
        <v>0</v>
      </c>
    </row>
    <row r="2013" spans="30:36" hidden="1" x14ac:dyDescent="0.25">
      <c r="AD2013">
        <f t="shared" si="39"/>
        <v>0</v>
      </c>
      <c r="AE2013">
        <f>Ejecutivos1!B5</f>
        <v>0</v>
      </c>
      <c r="AF2013">
        <f>Ejecutivos1!C5</f>
        <v>0</v>
      </c>
      <c r="AG2013">
        <f>Ejecutivos1!D5</f>
        <v>0</v>
      </c>
      <c r="AH2013">
        <f>Ejecutivos1!E5</f>
        <v>0</v>
      </c>
      <c r="AI2013">
        <f>Ejecutivos1!F5</f>
        <v>0</v>
      </c>
      <c r="AJ2013">
        <f>Ejecutivos1!G5</f>
        <v>0</v>
      </c>
    </row>
    <row r="2014" spans="30:36" hidden="1" x14ac:dyDescent="0.25">
      <c r="AD2014">
        <f t="shared" si="39"/>
        <v>0</v>
      </c>
      <c r="AE2014">
        <f>Ejecutivos1!B6</f>
        <v>0</v>
      </c>
      <c r="AF2014">
        <f>Ejecutivos1!C6</f>
        <v>0</v>
      </c>
      <c r="AG2014">
        <f>Ejecutivos1!D6</f>
        <v>0</v>
      </c>
      <c r="AH2014">
        <f>Ejecutivos1!E6</f>
        <v>0</v>
      </c>
      <c r="AI2014">
        <f>Ejecutivos1!F6</f>
        <v>0</v>
      </c>
      <c r="AJ2014">
        <f>Ejecutivos1!G6</f>
        <v>0</v>
      </c>
    </row>
    <row r="2015" spans="30:36" hidden="1" x14ac:dyDescent="0.25">
      <c r="AD2015">
        <f t="shared" si="39"/>
        <v>0</v>
      </c>
      <c r="AE2015">
        <f>Ejecutivos1!B7</f>
        <v>0</v>
      </c>
      <c r="AF2015">
        <f>Ejecutivos1!C7</f>
        <v>0</v>
      </c>
      <c r="AG2015">
        <f>Ejecutivos1!D7</f>
        <v>0</v>
      </c>
      <c r="AH2015">
        <f>Ejecutivos1!E7</f>
        <v>0</v>
      </c>
      <c r="AI2015">
        <f>Ejecutivos1!F7</f>
        <v>0</v>
      </c>
      <c r="AJ2015">
        <f>Ejecutivos1!G7</f>
        <v>0</v>
      </c>
    </row>
    <row r="2016" spans="30:36" hidden="1" x14ac:dyDescent="0.25">
      <c r="AD2016">
        <f t="shared" si="39"/>
        <v>0</v>
      </c>
      <c r="AE2016">
        <f>Ejecutivos1!B8</f>
        <v>0</v>
      </c>
      <c r="AF2016">
        <f>Ejecutivos1!C8</f>
        <v>0</v>
      </c>
      <c r="AG2016">
        <f>Ejecutivos1!D8</f>
        <v>0</v>
      </c>
      <c r="AH2016">
        <f>Ejecutivos1!E8</f>
        <v>0</v>
      </c>
      <c r="AI2016">
        <f>Ejecutivos1!F8</f>
        <v>0</v>
      </c>
      <c r="AJ2016">
        <f>Ejecutivos1!G8</f>
        <v>0</v>
      </c>
    </row>
    <row r="2017" spans="30:36" hidden="1" x14ac:dyDescent="0.25">
      <c r="AD2017">
        <f t="shared" si="39"/>
        <v>0</v>
      </c>
      <c r="AE2017">
        <f>Ejecutivos1!B9</f>
        <v>0</v>
      </c>
      <c r="AF2017">
        <f>Ejecutivos1!C9</f>
        <v>0</v>
      </c>
      <c r="AG2017">
        <f>Ejecutivos1!D9</f>
        <v>0</v>
      </c>
      <c r="AH2017">
        <f>Ejecutivos1!E9</f>
        <v>0</v>
      </c>
      <c r="AI2017">
        <f>Ejecutivos1!F9</f>
        <v>0</v>
      </c>
      <c r="AJ2017">
        <f>Ejecutivos1!G9</f>
        <v>0</v>
      </c>
    </row>
    <row r="2018" spans="30:36" hidden="1" x14ac:dyDescent="0.25">
      <c r="AD2018">
        <f t="shared" si="39"/>
        <v>0</v>
      </c>
      <c r="AE2018">
        <f>Ejecutivos1!B10</f>
        <v>0</v>
      </c>
      <c r="AF2018">
        <f>Ejecutivos1!C10</f>
        <v>0</v>
      </c>
      <c r="AG2018">
        <f>Ejecutivos1!D10</f>
        <v>0</v>
      </c>
      <c r="AH2018">
        <f>Ejecutivos1!E10</f>
        <v>0</v>
      </c>
      <c r="AI2018">
        <f>Ejecutivos1!F10</f>
        <v>0</v>
      </c>
      <c r="AJ2018">
        <f>Ejecutivos1!G10</f>
        <v>0</v>
      </c>
    </row>
    <row r="2019" spans="30:36" hidden="1" x14ac:dyDescent="0.25">
      <c r="AD2019">
        <f t="shared" si="39"/>
        <v>0</v>
      </c>
      <c r="AE2019">
        <f>Ejecutivos1!B11</f>
        <v>0</v>
      </c>
      <c r="AF2019">
        <f>Ejecutivos1!C11</f>
        <v>0</v>
      </c>
      <c r="AG2019">
        <f>Ejecutivos1!D11</f>
        <v>0</v>
      </c>
      <c r="AH2019">
        <f>Ejecutivos1!E11</f>
        <v>0</v>
      </c>
      <c r="AI2019">
        <f>Ejecutivos1!F11</f>
        <v>0</v>
      </c>
      <c r="AJ2019">
        <f>Ejecutivos1!G11</f>
        <v>0</v>
      </c>
    </row>
    <row r="2020" spans="30:36" hidden="1" x14ac:dyDescent="0.25">
      <c r="AD2020">
        <f t="shared" si="39"/>
        <v>0</v>
      </c>
      <c r="AE2020">
        <f>Ejecutivos1!B12</f>
        <v>0</v>
      </c>
      <c r="AF2020">
        <f>Ejecutivos1!C12</f>
        <v>0</v>
      </c>
      <c r="AG2020">
        <f>Ejecutivos1!D12</f>
        <v>0</v>
      </c>
      <c r="AH2020">
        <f>Ejecutivos1!E12</f>
        <v>0</v>
      </c>
      <c r="AI2020">
        <f>Ejecutivos1!F12</f>
        <v>0</v>
      </c>
      <c r="AJ2020">
        <f>Ejecutivos1!G12</f>
        <v>0</v>
      </c>
    </row>
    <row r="2021" spans="30:36" hidden="1" x14ac:dyDescent="0.25">
      <c r="AD2021">
        <f t="shared" si="39"/>
        <v>0</v>
      </c>
      <c r="AE2021">
        <f>Ejecutivos1!B13</f>
        <v>0</v>
      </c>
      <c r="AF2021">
        <f>Ejecutivos1!C13</f>
        <v>0</v>
      </c>
      <c r="AG2021">
        <f>Ejecutivos1!D13</f>
        <v>0</v>
      </c>
      <c r="AH2021">
        <f>Ejecutivos1!E13</f>
        <v>0</v>
      </c>
      <c r="AI2021">
        <f>Ejecutivos1!F13</f>
        <v>0</v>
      </c>
      <c r="AJ2021">
        <f>Ejecutivos1!G13</f>
        <v>0</v>
      </c>
    </row>
    <row r="2022" spans="30:36" hidden="1" x14ac:dyDescent="0.25">
      <c r="AD2022">
        <f t="shared" si="39"/>
        <v>0</v>
      </c>
      <c r="AE2022">
        <f>Ejecutivos1!B14</f>
        <v>0</v>
      </c>
      <c r="AF2022">
        <f>Ejecutivos1!C14</f>
        <v>0</v>
      </c>
      <c r="AG2022">
        <f>Ejecutivos1!D14</f>
        <v>0</v>
      </c>
      <c r="AH2022">
        <f>Ejecutivos1!E14</f>
        <v>0</v>
      </c>
      <c r="AI2022">
        <f>Ejecutivos1!F14</f>
        <v>0</v>
      </c>
      <c r="AJ2022">
        <f>Ejecutivos1!G14</f>
        <v>0</v>
      </c>
    </row>
    <row r="2023" spans="30:36" hidden="1" x14ac:dyDescent="0.25">
      <c r="AD2023">
        <f t="shared" si="39"/>
        <v>0</v>
      </c>
      <c r="AE2023">
        <f>Ejecutivos1!B15</f>
        <v>0</v>
      </c>
      <c r="AF2023">
        <f>Ejecutivos1!C15</f>
        <v>0</v>
      </c>
      <c r="AG2023">
        <f>Ejecutivos1!D15</f>
        <v>0</v>
      </c>
      <c r="AH2023">
        <f>Ejecutivos1!E15</f>
        <v>0</v>
      </c>
      <c r="AI2023">
        <f>Ejecutivos1!F15</f>
        <v>0</v>
      </c>
      <c r="AJ2023">
        <f>Ejecutivos1!G15</f>
        <v>0</v>
      </c>
    </row>
    <row r="2024" spans="30:36" hidden="1" x14ac:dyDescent="0.25">
      <c r="AD2024">
        <f t="shared" si="39"/>
        <v>0</v>
      </c>
      <c r="AE2024">
        <f>Ejecutivos1!B16</f>
        <v>0</v>
      </c>
      <c r="AF2024">
        <f>Ejecutivos1!C16</f>
        <v>0</v>
      </c>
      <c r="AG2024">
        <f>Ejecutivos1!D16</f>
        <v>0</v>
      </c>
      <c r="AH2024">
        <f>Ejecutivos1!E16</f>
        <v>0</v>
      </c>
      <c r="AI2024">
        <f>Ejecutivos1!F16</f>
        <v>0</v>
      </c>
      <c r="AJ2024">
        <f>Ejecutivos1!G16</f>
        <v>0</v>
      </c>
    </row>
    <row r="2025" spans="30:36" hidden="1" x14ac:dyDescent="0.25">
      <c r="AD2025">
        <f t="shared" si="39"/>
        <v>0</v>
      </c>
      <c r="AE2025">
        <f>Ejecutivos1!B17</f>
        <v>0</v>
      </c>
      <c r="AF2025">
        <f>Ejecutivos1!C17</f>
        <v>0</v>
      </c>
      <c r="AG2025">
        <f>Ejecutivos1!D17</f>
        <v>0</v>
      </c>
      <c r="AH2025">
        <f>Ejecutivos1!E17</f>
        <v>0</v>
      </c>
      <c r="AI2025">
        <f>Ejecutivos1!F17</f>
        <v>0</v>
      </c>
      <c r="AJ2025">
        <f>Ejecutivos1!G17</f>
        <v>0</v>
      </c>
    </row>
    <row r="2026" spans="30:36" hidden="1" x14ac:dyDescent="0.25">
      <c r="AD2026">
        <f t="shared" si="39"/>
        <v>0</v>
      </c>
      <c r="AE2026">
        <f>Ejecutivos1!B18</f>
        <v>0</v>
      </c>
      <c r="AF2026">
        <f>Ejecutivos1!C18</f>
        <v>0</v>
      </c>
      <c r="AG2026">
        <f>Ejecutivos1!D18</f>
        <v>0</v>
      </c>
      <c r="AH2026">
        <f>Ejecutivos1!E18</f>
        <v>0</v>
      </c>
      <c r="AI2026">
        <f>Ejecutivos1!F18</f>
        <v>0</v>
      </c>
      <c r="AJ2026">
        <f>Ejecutivos1!G18</f>
        <v>0</v>
      </c>
    </row>
    <row r="2027" spans="30:36" hidden="1" x14ac:dyDescent="0.25">
      <c r="AD2027">
        <f t="shared" si="39"/>
        <v>0</v>
      </c>
      <c r="AE2027">
        <f>Ejecutivos1!B19</f>
        <v>0</v>
      </c>
      <c r="AF2027">
        <f>Ejecutivos1!C19</f>
        <v>0</v>
      </c>
      <c r="AG2027">
        <f>Ejecutivos1!D19</f>
        <v>0</v>
      </c>
      <c r="AH2027">
        <f>Ejecutivos1!E19</f>
        <v>0</v>
      </c>
      <c r="AI2027">
        <f>Ejecutivos1!F19</f>
        <v>0</v>
      </c>
      <c r="AJ2027">
        <f>Ejecutivos1!G19</f>
        <v>0</v>
      </c>
    </row>
    <row r="2028" spans="30:36" hidden="1" x14ac:dyDescent="0.25">
      <c r="AD2028">
        <f t="shared" si="39"/>
        <v>0</v>
      </c>
      <c r="AE2028">
        <f>Ejecutivos1!B20</f>
        <v>0</v>
      </c>
      <c r="AF2028">
        <f>Ejecutivos1!C20</f>
        <v>0</v>
      </c>
      <c r="AG2028">
        <f>Ejecutivos1!D20</f>
        <v>0</v>
      </c>
      <c r="AH2028">
        <f>Ejecutivos1!E20</f>
        <v>0</v>
      </c>
      <c r="AI2028">
        <f>Ejecutivos1!F20</f>
        <v>0</v>
      </c>
      <c r="AJ2028">
        <f>Ejecutivos1!G20</f>
        <v>0</v>
      </c>
    </row>
    <row r="2029" spans="30:36" hidden="1" x14ac:dyDescent="0.25"/>
    <row r="2030" spans="30:36" hidden="1" x14ac:dyDescent="0.25"/>
    <row r="2031" spans="30:36" hidden="1" x14ac:dyDescent="0.25"/>
    <row r="2032" spans="30:36"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password="B0E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sheetPr codeName="Hoja11"/>
  <dimension ref="A1:E1087"/>
  <sheetViews>
    <sheetView workbookViewId="0" rightToLeft="false">
      <selection activeCell="J5" sqref="J5"/>
    </sheetView>
  </sheetViews>
  <sheetFormatPr baseColWidth="10" defaultRowHeight="15"/>
  <sheetData>
    <row spans="1:5" outlineLevel="0" r="1">
      <c r="A1" t="s">
        <v>122</v>
      </c>
      <c r="B1" t="s">
        <v>38</v>
      </c>
      <c r="C1" t="s">
        <v>0</v>
      </c>
      <c r="D1" t="s">
        <v>39</v>
      </c>
      <c r="E1" t="s">
        <v>40</v>
      </c>
    </row>
    <row outlineLevel="0" r="2">
      <c r="A2" s="3452" t="inlineStr">
        <is>
          <t>0002240002020120</t>
        </is>
      </c>
      <c r="B2" s="3452" t="inlineStr">
        <is>
          <t>0</t>
        </is>
      </c>
      <c r="C2" s="3452" t="inlineStr">
        <is>
          <t>000224000</t>
        </is>
      </c>
      <c r="D2" s="3452" t="inlineStr">
        <is>
          <t>202012</t>
        </is>
      </c>
      <c r="E2" s="3452" t="inlineStr">
        <is>
          <t>300000,000000000000</t>
        </is>
      </c>
    </row>
    <row outlineLevel="0" r="3">
      <c r="A3" s="3452" t="inlineStr">
        <is>
          <t>0002240002020121</t>
        </is>
      </c>
      <c r="B3" s="3452" t="inlineStr">
        <is>
          <t>1</t>
        </is>
      </c>
      <c r="C3" s="3452" t="inlineStr">
        <is>
          <t>000224000</t>
        </is>
      </c>
      <c r="D3" s="3452" t="inlineStr">
        <is>
          <t>202012</t>
        </is>
      </c>
      <c r="E3" s="3452" t="inlineStr">
        <is>
          <t>300000,000000000000</t>
        </is>
      </c>
    </row>
    <row outlineLevel="0" r="4">
      <c r="A4" s="3452" t="inlineStr">
        <is>
          <t>0002240002020122</t>
        </is>
      </c>
      <c r="B4" s="3452" t="inlineStr">
        <is>
          <t>2</t>
        </is>
      </c>
      <c r="C4" s="3452" t="inlineStr">
        <is>
          <t>000224000</t>
        </is>
      </c>
      <c r="D4" s="3452" t="inlineStr">
        <is>
          <t>202012</t>
        </is>
      </c>
      <c r="E4" s="3452" t="inlineStr">
        <is>
          <t>200000,000000000000</t>
        </is>
      </c>
    </row>
    <row outlineLevel="0" r="5">
      <c r="A5" s="3452" t="inlineStr">
        <is>
          <t>0002240002020123</t>
        </is>
      </c>
      <c r="B5" s="3452" t="inlineStr">
        <is>
          <t>3</t>
        </is>
      </c>
      <c r="C5" s="3452" t="inlineStr">
        <is>
          <t>000224000</t>
        </is>
      </c>
      <c r="D5" s="3452" t="inlineStr">
        <is>
          <t>202012</t>
        </is>
      </c>
      <c r="E5" s="3452" t="inlineStr">
        <is>
          <t>100000,000000000000</t>
        </is>
      </c>
    </row>
    <row outlineLevel="0" r="6">
      <c r="A6" s="3452" t="inlineStr">
        <is>
          <t>00022400020201211</t>
        </is>
      </c>
      <c r="B6" s="3452" t="inlineStr">
        <is>
          <t>11</t>
        </is>
      </c>
      <c r="C6" s="3452" t="inlineStr">
        <is>
          <t>000224000</t>
        </is>
      </c>
      <c r="D6" s="3452" t="inlineStr">
        <is>
          <t>202012</t>
        </is>
      </c>
      <c r="E6" s="3452" t="inlineStr">
        <is>
          <t>300000,000000000000</t>
        </is>
      </c>
    </row>
    <row outlineLevel="0" r="7">
      <c r="A7" s="3452" t="inlineStr">
        <is>
          <t>00022400020201212</t>
        </is>
      </c>
      <c r="B7" s="3452" t="inlineStr">
        <is>
          <t>12</t>
        </is>
      </c>
      <c r="C7" s="3452" t="inlineStr">
        <is>
          <t>000224000</t>
        </is>
      </c>
      <c r="D7" s="3452" t="inlineStr">
        <is>
          <t>202012</t>
        </is>
      </c>
      <c r="E7" s="3452" t="inlineStr">
        <is>
          <t>0,000000000000</t>
        </is>
      </c>
    </row>
    <row outlineLevel="0" r="8">
      <c r="A8" s="3452" t="inlineStr">
        <is>
          <t>00022400020201221</t>
        </is>
      </c>
      <c r="B8" s="3452" t="inlineStr">
        <is>
          <t>21</t>
        </is>
      </c>
      <c r="C8" s="3452" t="inlineStr">
        <is>
          <t>000224000</t>
        </is>
      </c>
      <c r="D8" s="3452" t="inlineStr">
        <is>
          <t>202012</t>
        </is>
      </c>
      <c r="E8" s="3452" t="inlineStr">
        <is>
          <t>200000,000000000000</t>
        </is>
      </c>
    </row>
    <row outlineLevel="0" r="9">
      <c r="A9" s="3452" t="inlineStr">
        <is>
          <t>00022400020201222</t>
        </is>
      </c>
      <c r="B9" s="3452" t="inlineStr">
        <is>
          <t>22</t>
        </is>
      </c>
      <c r="C9" s="3452" t="inlineStr">
        <is>
          <t>000224000</t>
        </is>
      </c>
      <c r="D9" s="3452" t="inlineStr">
        <is>
          <t>202012</t>
        </is>
      </c>
      <c r="E9" s="3452" t="inlineStr">
        <is>
          <t>0,000000000000</t>
        </is>
      </c>
    </row>
    <row outlineLevel="0" r="10">
      <c r="A10" s="3452" t="inlineStr">
        <is>
          <t>00022400020201231</t>
        </is>
      </c>
      <c r="B10" s="3452" t="inlineStr">
        <is>
          <t>31</t>
        </is>
      </c>
      <c r="C10" s="3452" t="inlineStr">
        <is>
          <t>000224000</t>
        </is>
      </c>
      <c r="D10" s="3452" t="inlineStr">
        <is>
          <t>202012</t>
        </is>
      </c>
      <c r="E10" s="3452" t="inlineStr">
        <is>
          <t>100000,000000000000</t>
        </is>
      </c>
    </row>
    <row outlineLevel="0" r="11">
      <c r="A11" s="3452" t="inlineStr">
        <is>
          <t>00022400020201232</t>
        </is>
      </c>
      <c r="B11" s="3452" t="inlineStr">
        <is>
          <t>32</t>
        </is>
      </c>
      <c r="C11" s="3452" t="inlineStr">
        <is>
          <t>000224000</t>
        </is>
      </c>
      <c r="D11" s="3452" t="inlineStr">
        <is>
          <t>202012</t>
        </is>
      </c>
      <c r="E11" s="3452" t="inlineStr">
        <is>
          <t>0,000000000000</t>
        </is>
      </c>
    </row>
    <row outlineLevel="0" r="12">
      <c r="A12" s="3452" t="inlineStr">
        <is>
          <t>00022400020201233</t>
        </is>
      </c>
      <c r="B12" s="3452" t="inlineStr">
        <is>
          <t>33</t>
        </is>
      </c>
      <c r="C12" s="3452" t="inlineStr">
        <is>
          <t>000224000</t>
        </is>
      </c>
      <c r="D12" s="3452" t="inlineStr">
        <is>
          <t>202012</t>
        </is>
      </c>
      <c r="E12" s="3452" t="inlineStr">
        <is>
          <t>0,000000000000</t>
        </is>
      </c>
    </row>
    <row outlineLevel="0" r="13">
      <c r="A13" s="3452" t="inlineStr">
        <is>
          <t>00022400020201234</t>
        </is>
      </c>
      <c r="B13" s="3452" t="inlineStr">
        <is>
          <t>34</t>
        </is>
      </c>
      <c r="C13" s="3452" t="inlineStr">
        <is>
          <t>000224000</t>
        </is>
      </c>
      <c r="D13" s="3452" t="inlineStr">
        <is>
          <t>202012</t>
        </is>
      </c>
      <c r="E13" s="3452" t="inlineStr">
        <is>
          <t>0,000000000000</t>
        </is>
      </c>
    </row>
    <row outlineLevel="0" r="14">
      <c r="A14" s="3452" t="inlineStr">
        <is>
          <t>00022400020201235</t>
        </is>
      </c>
      <c r="B14" s="3452" t="inlineStr">
        <is>
          <t>35</t>
        </is>
      </c>
      <c r="C14" s="3452" t="inlineStr">
        <is>
          <t>000224000</t>
        </is>
      </c>
      <c r="D14" s="3452" t="inlineStr">
        <is>
          <t>202012</t>
        </is>
      </c>
      <c r="E14" s="3452" t="inlineStr">
        <is>
          <t>0,000000000000</t>
        </is>
      </c>
    </row>
    <row outlineLevel="0" r="15">
      <c r="A15" s="3452" t="inlineStr">
        <is>
          <t>00022400020201236</t>
        </is>
      </c>
      <c r="B15" s="3452" t="inlineStr">
        <is>
          <t>36</t>
        </is>
      </c>
      <c r="C15" s="3452" t="inlineStr">
        <is>
          <t>000224000</t>
        </is>
      </c>
      <c r="D15" s="3452" t="inlineStr">
        <is>
          <t>202012</t>
        </is>
      </c>
      <c r="E15" s="3452" t="inlineStr">
        <is>
          <t>0,000000000000</t>
        </is>
      </c>
    </row>
    <row outlineLevel="0" r="16">
      <c r="A16" s="3452" t="inlineStr">
        <is>
          <t>00022400020201237</t>
        </is>
      </c>
      <c r="B16" s="3452" t="inlineStr">
        <is>
          <t>37</t>
        </is>
      </c>
      <c r="C16" s="3452" t="inlineStr">
        <is>
          <t>000224000</t>
        </is>
      </c>
      <c r="D16" s="3452" t="inlineStr">
        <is>
          <t>202012</t>
        </is>
      </c>
      <c r="E16" s="3452" t="inlineStr">
        <is>
          <t>0,000000000000</t>
        </is>
      </c>
    </row>
    <row outlineLevel="0" r="17">
      <c r="A17" s="3452" t="inlineStr">
        <is>
          <t>00022400020201238</t>
        </is>
      </c>
      <c r="B17" s="3452" t="inlineStr">
        <is>
          <t>38</t>
        </is>
      </c>
      <c r="C17" s="3452" t="inlineStr">
        <is>
          <t>000224000</t>
        </is>
      </c>
      <c r="D17" s="3452" t="inlineStr">
        <is>
          <t>202012</t>
        </is>
      </c>
      <c r="E17" s="3452" t="inlineStr">
        <is>
          <t>0,000000000000</t>
        </is>
      </c>
    </row>
    <row outlineLevel="0" r="18">
      <c r="A18" s="3452" t="inlineStr">
        <is>
          <t>00022400020201241</t>
        </is>
      </c>
      <c r="B18" s="3452" t="inlineStr">
        <is>
          <t>41</t>
        </is>
      </c>
      <c r="C18" s="3452" t="inlineStr">
        <is>
          <t>000224000</t>
        </is>
      </c>
      <c r="D18" s="3452" t="inlineStr">
        <is>
          <t>202012</t>
        </is>
      </c>
      <c r="E18" s="3452" t="inlineStr">
        <is>
          <t>0,000000000000</t>
        </is>
      </c>
    </row>
    <row outlineLevel="0" r="19">
      <c r="A19" s="3452" t="inlineStr">
        <is>
          <t>00022400020201242</t>
        </is>
      </c>
      <c r="B19" s="3452" t="inlineStr">
        <is>
          <t>42</t>
        </is>
      </c>
      <c r="C19" s="3452" t="inlineStr">
        <is>
          <t>000224000</t>
        </is>
      </c>
      <c r="D19" s="3452" t="inlineStr">
        <is>
          <t>202012</t>
        </is>
      </c>
      <c r="E19" s="3452" t="inlineStr">
        <is>
          <t>0,000000000000</t>
        </is>
      </c>
    </row>
    <row outlineLevel="0" r="20">
      <c r="A20" s="3452" t="inlineStr">
        <is>
          <t>00022400020201251</t>
        </is>
      </c>
      <c r="B20" s="3452" t="inlineStr">
        <is>
          <t>51</t>
        </is>
      </c>
      <c r="C20" s="3452" t="inlineStr">
        <is>
          <t>000224000</t>
        </is>
      </c>
      <c r="D20" s="3452" t="inlineStr">
        <is>
          <t>202012</t>
        </is>
      </c>
      <c r="E20" s="3452" t="inlineStr">
        <is>
          <t>0,000000000000</t>
        </is>
      </c>
    </row>
    <row outlineLevel="0" r="21">
      <c r="A21" s="3452" t="inlineStr">
        <is>
          <t>00022400020201252</t>
        </is>
      </c>
      <c r="B21" s="3452" t="inlineStr">
        <is>
          <t>52</t>
        </is>
      </c>
      <c r="C21" s="3452" t="inlineStr">
        <is>
          <t>000224000</t>
        </is>
      </c>
      <c r="D21" s="3452" t="inlineStr">
        <is>
          <t>202012</t>
        </is>
      </c>
      <c r="E21" s="3452" t="inlineStr">
        <is>
          <t>0,000000000000</t>
        </is>
      </c>
    </row>
    <row outlineLevel="0" r="22">
      <c r="A22" s="3452" t="inlineStr">
        <is>
          <t>00022400020201253</t>
        </is>
      </c>
      <c r="B22" s="3452" t="inlineStr">
        <is>
          <t>53</t>
        </is>
      </c>
      <c r="C22" s="3452" t="inlineStr">
        <is>
          <t>000224000</t>
        </is>
      </c>
      <c r="D22" s="3452" t="inlineStr">
        <is>
          <t>202012</t>
        </is>
      </c>
      <c r="E22" s="3452" t="inlineStr">
        <is>
          <t>0,000000000000</t>
        </is>
      </c>
    </row>
    <row outlineLevel="0" r="23">
      <c r="A23" s="3452" t="inlineStr">
        <is>
          <t>00022400020201254</t>
        </is>
      </c>
      <c r="B23" s="3452" t="inlineStr">
        <is>
          <t>54</t>
        </is>
      </c>
      <c r="C23" s="3452" t="inlineStr">
        <is>
          <t>000224000</t>
        </is>
      </c>
      <c r="D23" s="3452" t="inlineStr">
        <is>
          <t>202012</t>
        </is>
      </c>
      <c r="E23" s="3452" t="inlineStr">
        <is>
          <t>0,000000000000</t>
        </is>
      </c>
    </row>
    <row outlineLevel="0" r="24">
      <c r="A24" s="3452" t="inlineStr">
        <is>
          <t>00022400020201261</t>
        </is>
      </c>
      <c r="B24" s="3452" t="inlineStr">
        <is>
          <t>61</t>
        </is>
      </c>
      <c r="C24" s="3452" t="inlineStr">
        <is>
          <t>000224000</t>
        </is>
      </c>
      <c r="D24" s="3452" t="inlineStr">
        <is>
          <t>202012</t>
        </is>
      </c>
      <c r="E24" s="3452" t="inlineStr">
        <is>
          <t>0,000000000000</t>
        </is>
      </c>
    </row>
    <row outlineLevel="0" r="25">
      <c r="A25" s="3452" t="inlineStr">
        <is>
          <t>00022400020201295</t>
        </is>
      </c>
      <c r="B25" s="3452" t="inlineStr">
        <is>
          <t>95</t>
        </is>
      </c>
      <c r="C25" s="3452" t="inlineStr">
        <is>
          <t>000224000</t>
        </is>
      </c>
      <c r="D25" s="3452" t="inlineStr">
        <is>
          <t>202012</t>
        </is>
      </c>
      <c r="E25" s="3452" t="inlineStr">
        <is>
          <t>0,000000000000</t>
        </is>
      </c>
    </row>
    <row outlineLevel="0" r="26">
      <c r="A26" s="3452" t="inlineStr">
        <is>
          <t>00022400020201296</t>
        </is>
      </c>
      <c r="B26" s="3452" t="inlineStr">
        <is>
          <t>96</t>
        </is>
      </c>
      <c r="C26" s="3452" t="inlineStr">
        <is>
          <t>000224000</t>
        </is>
      </c>
      <c r="D26" s="3452" t="inlineStr">
        <is>
          <t>202012</t>
        </is>
      </c>
      <c r="E26" s="3452" t="inlineStr">
        <is>
          <t>0,000000000000</t>
        </is>
      </c>
    </row>
    <row outlineLevel="0" r="27">
      <c r="A27" s="3452" t="inlineStr">
        <is>
          <t>00022400020201297</t>
        </is>
      </c>
      <c r="B27" s="3452" t="inlineStr">
        <is>
          <t>97</t>
        </is>
      </c>
      <c r="C27" s="3452" t="inlineStr">
        <is>
          <t>000224000</t>
        </is>
      </c>
      <c r="D27" s="3452" t="inlineStr">
        <is>
          <t>202012</t>
        </is>
      </c>
      <c r="E27" s="3452" t="inlineStr">
        <is>
          <t>0,000000000000</t>
        </is>
      </c>
    </row>
    <row outlineLevel="0" r="28">
      <c r="A28" s="3452" t="inlineStr">
        <is>
          <t>00022400020201298</t>
        </is>
      </c>
      <c r="B28" s="3452" t="inlineStr">
        <is>
          <t>98</t>
        </is>
      </c>
      <c r="C28" s="3452" t="inlineStr">
        <is>
          <t>000224000</t>
        </is>
      </c>
      <c r="D28" s="3452" t="inlineStr">
        <is>
          <t>202012</t>
        </is>
      </c>
      <c r="E28" s="3452" t="inlineStr">
        <is>
          <t>0,000000000000</t>
        </is>
      </c>
    </row>
    <row outlineLevel="0" r="29">
      <c r="A29" s="3452" t="inlineStr">
        <is>
          <t>00022400020201299</t>
        </is>
      </c>
      <c r="B29" s="3452" t="inlineStr">
        <is>
          <t>99</t>
        </is>
      </c>
      <c r="C29" s="3452" t="inlineStr">
        <is>
          <t>000224000</t>
        </is>
      </c>
      <c r="D29" s="3452" t="inlineStr">
        <is>
          <t>202012</t>
        </is>
      </c>
      <c r="E29" s="3452" t="inlineStr">
        <is>
          <t>0,000000000000</t>
        </is>
      </c>
    </row>
    <row outlineLevel="0" r="30">
      <c r="A30" s="3452" t="inlineStr">
        <is>
          <t>0002240002020121101</t>
        </is>
      </c>
      <c r="B30" s="3452" t="inlineStr">
        <is>
          <t>1101</t>
        </is>
      </c>
      <c r="C30" s="3452" t="inlineStr">
        <is>
          <t>000224000</t>
        </is>
      </c>
      <c r="D30" s="3452" t="inlineStr">
        <is>
          <t>202012</t>
        </is>
      </c>
      <c r="E30" s="3452" t="inlineStr">
        <is>
          <t>300000,000000000000</t>
        </is>
      </c>
    </row>
    <row outlineLevel="0" r="31">
      <c r="A31" s="3452" t="inlineStr">
        <is>
          <t>0002240002020121102</t>
        </is>
      </c>
      <c r="B31" s="3452" t="inlineStr">
        <is>
          <t>1102</t>
        </is>
      </c>
      <c r="C31" s="3452" t="inlineStr">
        <is>
          <t>000224000</t>
        </is>
      </c>
      <c r="D31" s="3452" t="inlineStr">
        <is>
          <t>202012</t>
        </is>
      </c>
      <c r="E31" s="3452" t="inlineStr">
        <is>
          <t>0,000000000000</t>
        </is>
      </c>
    </row>
    <row outlineLevel="0" r="32">
      <c r="A32" s="3452" t="inlineStr">
        <is>
          <t>0002240002020121103</t>
        </is>
      </c>
      <c r="B32" s="3452" t="inlineStr">
        <is>
          <t>1103</t>
        </is>
      </c>
      <c r="C32" s="3452" t="inlineStr">
        <is>
          <t>000224000</t>
        </is>
      </c>
      <c r="D32" s="3452" t="inlineStr">
        <is>
          <t>202012</t>
        </is>
      </c>
      <c r="E32" s="3452" t="inlineStr">
        <is>
          <t>0,000000000000</t>
        </is>
      </c>
    </row>
    <row outlineLevel="0" r="33">
      <c r="A33" s="3452" t="inlineStr">
        <is>
          <t>0002240002020121104</t>
        </is>
      </c>
      <c r="B33" s="3452" t="inlineStr">
        <is>
          <t>1104</t>
        </is>
      </c>
      <c r="C33" s="3452" t="inlineStr">
        <is>
          <t>000224000</t>
        </is>
      </c>
      <c r="D33" s="3452" t="inlineStr">
        <is>
          <t>202012</t>
        </is>
      </c>
      <c r="E33" s="3452" t="inlineStr">
        <is>
          <t>0,000000000000</t>
        </is>
      </c>
    </row>
    <row outlineLevel="0" r="34">
      <c r="A34" s="3452" t="inlineStr">
        <is>
          <t>0002240002020121106</t>
        </is>
      </c>
      <c r="B34" s="3452" t="inlineStr">
        <is>
          <t>1106</t>
        </is>
      </c>
      <c r="C34" s="3452" t="inlineStr">
        <is>
          <t>000224000</t>
        </is>
      </c>
      <c r="D34" s="3452" t="inlineStr">
        <is>
          <t>202012</t>
        </is>
      </c>
      <c r="E34" s="3452" t="inlineStr">
        <is>
          <t>0,000000000000</t>
        </is>
      </c>
    </row>
    <row outlineLevel="0" r="35">
      <c r="A35" s="3452" t="inlineStr">
        <is>
          <t>0002240002020121107</t>
        </is>
      </c>
      <c r="B35" s="3452" t="inlineStr">
        <is>
          <t>1107</t>
        </is>
      </c>
      <c r="C35" s="3452" t="inlineStr">
        <is>
          <t>000224000</t>
        </is>
      </c>
      <c r="D35" s="3452" t="inlineStr">
        <is>
          <t>202012</t>
        </is>
      </c>
      <c r="E35" s="3452" t="inlineStr">
        <is>
          <t>0,000000000000</t>
        </is>
      </c>
    </row>
    <row outlineLevel="0" r="36">
      <c r="A36" s="3452" t="inlineStr">
        <is>
          <t>0002240002020121201</t>
        </is>
      </c>
      <c r="B36" s="3452" t="inlineStr">
        <is>
          <t>1201</t>
        </is>
      </c>
      <c r="C36" s="3452" t="inlineStr">
        <is>
          <t>000224000</t>
        </is>
      </c>
      <c r="D36" s="3452" t="inlineStr">
        <is>
          <t>202012</t>
        </is>
      </c>
      <c r="E36" s="3452" t="inlineStr">
        <is>
          <t>0,000000000000</t>
        </is>
      </c>
    </row>
    <row outlineLevel="0" r="37">
      <c r="A37" s="3452" t="inlineStr">
        <is>
          <t>0002240002020121202</t>
        </is>
      </c>
      <c r="B37" s="3452" t="inlineStr">
        <is>
          <t>1202</t>
        </is>
      </c>
      <c r="C37" s="3452" t="inlineStr">
        <is>
          <t>000224000</t>
        </is>
      </c>
      <c r="D37" s="3452" t="inlineStr">
        <is>
          <t>202012</t>
        </is>
      </c>
      <c r="E37" s="3452" t="inlineStr">
        <is>
          <t>0,000000000000</t>
        </is>
      </c>
    </row>
    <row outlineLevel="0" r="38">
      <c r="A38" s="3452" t="inlineStr">
        <is>
          <t>0002240002020121203</t>
        </is>
      </c>
      <c r="B38" s="3452" t="inlineStr">
        <is>
          <t>1203</t>
        </is>
      </c>
      <c r="C38" s="3452" t="inlineStr">
        <is>
          <t>000224000</t>
        </is>
      </c>
      <c r="D38" s="3452" t="inlineStr">
        <is>
          <t>202012</t>
        </is>
      </c>
      <c r="E38" s="3452" t="inlineStr">
        <is>
          <t>0,000000000000</t>
        </is>
      </c>
    </row>
    <row outlineLevel="0" r="39">
      <c r="A39" s="3452" t="inlineStr">
        <is>
          <t>0002240002020121205</t>
        </is>
      </c>
      <c r="B39" s="3452" t="inlineStr">
        <is>
          <t>1205</t>
        </is>
      </c>
      <c r="C39" s="3452" t="inlineStr">
        <is>
          <t>000224000</t>
        </is>
      </c>
      <c r="D39" s="3452" t="inlineStr">
        <is>
          <t>202012</t>
        </is>
      </c>
      <c r="E39" s="3452" t="inlineStr">
        <is>
          <t>0,000000000000</t>
        </is>
      </c>
    </row>
    <row outlineLevel="0" r="40">
      <c r="A40" s="3452" t="inlineStr">
        <is>
          <t>0002240002020121206</t>
        </is>
      </c>
      <c r="B40" s="3452" t="inlineStr">
        <is>
          <t>1206</t>
        </is>
      </c>
      <c r="C40" s="3452" t="inlineStr">
        <is>
          <t>000224000</t>
        </is>
      </c>
      <c r="D40" s="3452" t="inlineStr">
        <is>
          <t>202012</t>
        </is>
      </c>
      <c r="E40" s="3452" t="inlineStr">
        <is>
          <t>0,000000000000</t>
        </is>
      </c>
    </row>
    <row outlineLevel="0" r="41">
      <c r="A41" s="3452" t="inlineStr">
        <is>
          <t>0002240002020121207</t>
        </is>
      </c>
      <c r="B41" s="3452" t="inlineStr">
        <is>
          <t>1207</t>
        </is>
      </c>
      <c r="C41" s="3452" t="inlineStr">
        <is>
          <t>000224000</t>
        </is>
      </c>
      <c r="D41" s="3452" t="inlineStr">
        <is>
          <t>202012</t>
        </is>
      </c>
      <c r="E41" s="3452" t="inlineStr">
        <is>
          <t>0,000000000000</t>
        </is>
      </c>
    </row>
    <row outlineLevel="0" r="42">
      <c r="A42" s="3452" t="inlineStr">
        <is>
          <t>0002240002020121208</t>
        </is>
      </c>
      <c r="B42" s="3452" t="inlineStr">
        <is>
          <t>1208</t>
        </is>
      </c>
      <c r="C42" s="3452" t="inlineStr">
        <is>
          <t>000224000</t>
        </is>
      </c>
      <c r="D42" s="3452" t="inlineStr">
        <is>
          <t>202012</t>
        </is>
      </c>
      <c r="E42" s="3452" t="inlineStr">
        <is>
          <t>0,000000000000</t>
        </is>
      </c>
    </row>
    <row outlineLevel="0" r="43">
      <c r="A43" s="3452" t="inlineStr">
        <is>
          <t>0002240002020122101</t>
        </is>
      </c>
      <c r="B43" s="3452" t="inlineStr">
        <is>
          <t>2101</t>
        </is>
      </c>
      <c r="C43" s="3452" t="inlineStr">
        <is>
          <t>000224000</t>
        </is>
      </c>
      <c r="D43" s="3452" t="inlineStr">
        <is>
          <t>202012</t>
        </is>
      </c>
      <c r="E43" s="3452" t="inlineStr">
        <is>
          <t>200000,000000000000</t>
        </is>
      </c>
    </row>
    <row outlineLevel="0" r="44">
      <c r="A44" s="3452" t="inlineStr">
        <is>
          <t>0002240002020122102</t>
        </is>
      </c>
      <c r="B44" s="3452" t="inlineStr">
        <is>
          <t>2102</t>
        </is>
      </c>
      <c r="C44" s="3452" t="inlineStr">
        <is>
          <t>000224000</t>
        </is>
      </c>
      <c r="D44" s="3452" t="inlineStr">
        <is>
          <t>202012</t>
        </is>
      </c>
      <c r="E44" s="3452" t="inlineStr">
        <is>
          <t>0,000000000000</t>
        </is>
      </c>
    </row>
    <row outlineLevel="0" r="45">
      <c r="A45" s="3452" t="inlineStr">
        <is>
          <t>0002240002020122103</t>
        </is>
      </c>
      <c r="B45" s="3452" t="inlineStr">
        <is>
          <t>2103</t>
        </is>
      </c>
      <c r="C45" s="3452" t="inlineStr">
        <is>
          <t>000224000</t>
        </is>
      </c>
      <c r="D45" s="3452" t="inlineStr">
        <is>
          <t>202012</t>
        </is>
      </c>
      <c r="E45" s="3452" t="inlineStr">
        <is>
          <t>0,000000000000</t>
        </is>
      </c>
    </row>
    <row outlineLevel="0" r="46">
      <c r="A46" s="3452" t="inlineStr">
        <is>
          <t>0002240002020122104</t>
        </is>
      </c>
      <c r="B46" s="3452" t="inlineStr">
        <is>
          <t>2104</t>
        </is>
      </c>
      <c r="C46" s="3452" t="inlineStr">
        <is>
          <t>000224000</t>
        </is>
      </c>
      <c r="D46" s="3452" t="inlineStr">
        <is>
          <t>202012</t>
        </is>
      </c>
      <c r="E46" s="3452" t="inlineStr">
        <is>
          <t>0,000000000000</t>
        </is>
      </c>
    </row>
    <row outlineLevel="0" r="47">
      <c r="A47" s="3452" t="inlineStr">
        <is>
          <t>0002240002020122105</t>
        </is>
      </c>
      <c r="B47" s="3452" t="inlineStr">
        <is>
          <t>2105</t>
        </is>
      </c>
      <c r="C47" s="3452" t="inlineStr">
        <is>
          <t>000224000</t>
        </is>
      </c>
      <c r="D47" s="3452" t="inlineStr">
        <is>
          <t>202012</t>
        </is>
      </c>
      <c r="E47" s="3452" t="inlineStr">
        <is>
          <t>0,000000000000</t>
        </is>
      </c>
    </row>
    <row outlineLevel="0" r="48">
      <c r="A48" s="3452" t="inlineStr">
        <is>
          <t>0002240002020122106</t>
        </is>
      </c>
      <c r="B48" s="3452" t="inlineStr">
        <is>
          <t>2106</t>
        </is>
      </c>
      <c r="C48" s="3452" t="inlineStr">
        <is>
          <t>000224000</t>
        </is>
      </c>
      <c r="D48" s="3452" t="inlineStr">
        <is>
          <t>202012</t>
        </is>
      </c>
      <c r="E48" s="3452" t="inlineStr">
        <is>
          <t>0,000000000000</t>
        </is>
      </c>
    </row>
    <row outlineLevel="0" r="49">
      <c r="A49" s="3452" t="inlineStr">
        <is>
          <t>0002240002020122107</t>
        </is>
      </c>
      <c r="B49" s="3452" t="inlineStr">
        <is>
          <t>2107</t>
        </is>
      </c>
      <c r="C49" s="3452" t="inlineStr">
        <is>
          <t>000224000</t>
        </is>
      </c>
      <c r="D49" s="3452" t="inlineStr">
        <is>
          <t>202012</t>
        </is>
      </c>
      <c r="E49" s="3452" t="inlineStr">
        <is>
          <t>0,000000000000</t>
        </is>
      </c>
    </row>
    <row outlineLevel="0" r="50">
      <c r="A50" s="3452" t="inlineStr">
        <is>
          <t>0002240002020122109</t>
        </is>
      </c>
      <c r="B50" s="3452" t="inlineStr">
        <is>
          <t>2109</t>
        </is>
      </c>
      <c r="C50" s="3452" t="inlineStr">
        <is>
          <t>000224000</t>
        </is>
      </c>
      <c r="D50" s="3452" t="inlineStr">
        <is>
          <t>202012</t>
        </is>
      </c>
      <c r="E50" s="3452" t="inlineStr">
        <is>
          <t>0,000000000000</t>
        </is>
      </c>
    </row>
    <row outlineLevel="0" r="51">
      <c r="A51" s="3452" t="inlineStr">
        <is>
          <t>0002240002020122201</t>
        </is>
      </c>
      <c r="B51" s="3452" t="inlineStr">
        <is>
          <t>2201</t>
        </is>
      </c>
      <c r="C51" s="3452" t="inlineStr">
        <is>
          <t>000224000</t>
        </is>
      </c>
      <c r="D51" s="3452" t="inlineStr">
        <is>
          <t>202012</t>
        </is>
      </c>
      <c r="E51" s="3452" t="inlineStr">
        <is>
          <t>0,000000000000</t>
        </is>
      </c>
    </row>
    <row outlineLevel="0" r="52">
      <c r="A52" s="3452" t="inlineStr">
        <is>
          <t>0002240002020122203</t>
        </is>
      </c>
      <c r="B52" s="3452" t="inlineStr">
        <is>
          <t>2203</t>
        </is>
      </c>
      <c r="C52" s="3452" t="inlineStr">
        <is>
          <t>000224000</t>
        </is>
      </c>
      <c r="D52" s="3452" t="inlineStr">
        <is>
          <t>202012</t>
        </is>
      </c>
      <c r="E52" s="3452" t="inlineStr">
        <is>
          <t>0,000000000000</t>
        </is>
      </c>
    </row>
    <row outlineLevel="0" r="53">
      <c r="A53" s="3452" t="inlineStr">
        <is>
          <t>0002240002020122204</t>
        </is>
      </c>
      <c r="B53" s="3452" t="inlineStr">
        <is>
          <t>2204</t>
        </is>
      </c>
      <c r="C53" s="3452" t="inlineStr">
        <is>
          <t>000224000</t>
        </is>
      </c>
      <c r="D53" s="3452" t="inlineStr">
        <is>
          <t>202012</t>
        </is>
      </c>
      <c r="E53" s="3452" t="inlineStr">
        <is>
          <t>0,000000000000</t>
        </is>
      </c>
    </row>
    <row outlineLevel="0" r="54">
      <c r="A54" s="3452" t="inlineStr">
        <is>
          <t>0002240002020122206</t>
        </is>
      </c>
      <c r="B54" s="3452" t="inlineStr">
        <is>
          <t>2206</t>
        </is>
      </c>
      <c r="C54" s="3452" t="inlineStr">
        <is>
          <t>000224000</t>
        </is>
      </c>
      <c r="D54" s="3452" t="inlineStr">
        <is>
          <t>202012</t>
        </is>
      </c>
      <c r="E54" s="3452" t="inlineStr">
        <is>
          <t>0,000000000000</t>
        </is>
      </c>
    </row>
    <row outlineLevel="0" r="55">
      <c r="A55" s="3452" t="inlineStr">
        <is>
          <t>0002240002020122207</t>
        </is>
      </c>
      <c r="B55" s="3452" t="inlineStr">
        <is>
          <t>2207</t>
        </is>
      </c>
      <c r="C55" s="3452" t="inlineStr">
        <is>
          <t>000224000</t>
        </is>
      </c>
      <c r="D55" s="3452" t="inlineStr">
        <is>
          <t>202012</t>
        </is>
      </c>
      <c r="E55" s="3452" t="inlineStr">
        <is>
          <t>0,000000000000</t>
        </is>
      </c>
    </row>
    <row outlineLevel="0" r="56">
      <c r="A56" s="3452" t="inlineStr">
        <is>
          <t>0002240002020122209</t>
        </is>
      </c>
      <c r="B56" s="3452" t="inlineStr">
        <is>
          <t>2209</t>
        </is>
      </c>
      <c r="C56" s="3452" t="inlineStr">
        <is>
          <t>000224000</t>
        </is>
      </c>
      <c r="D56" s="3452" t="inlineStr">
        <is>
          <t>202012</t>
        </is>
      </c>
      <c r="E56" s="3452" t="inlineStr">
        <is>
          <t>0,000000000000</t>
        </is>
      </c>
    </row>
    <row outlineLevel="0" r="57">
      <c r="A57" s="3452" t="inlineStr">
        <is>
          <t>0002240002020125301</t>
        </is>
      </c>
      <c r="B57" s="3452" t="inlineStr">
        <is>
          <t>5301</t>
        </is>
      </c>
      <c r="C57" s="3452" t="inlineStr">
        <is>
          <t>000224000</t>
        </is>
      </c>
      <c r="D57" s="3452" t="inlineStr">
        <is>
          <t>202012</t>
        </is>
      </c>
      <c r="E57" s="3452" t="inlineStr">
        <is>
          <t>0,000000000000</t>
        </is>
      </c>
    </row>
    <row outlineLevel="0" r="58">
      <c r="A58" s="3452" t="inlineStr">
        <is>
          <t>000224000202012108000</t>
        </is>
      </c>
      <c r="B58" s="3452" t="inlineStr">
        <is>
          <t>108000</t>
        </is>
      </c>
      <c r="C58" s="3452" t="inlineStr">
        <is>
          <t>000224000</t>
        </is>
      </c>
      <c r="D58" s="3452" t="inlineStr">
        <is>
          <t>202012</t>
        </is>
      </c>
      <c r="E58" s="3452" t="inlineStr">
        <is>
          <t>0,000000000000</t>
        </is>
      </c>
    </row>
    <row outlineLevel="0" r="59">
      <c r="A59" s="3452" t="inlineStr">
        <is>
          <t>000224000202012108100</t>
        </is>
      </c>
      <c r="B59" s="3452" t="inlineStr">
        <is>
          <t>108100</t>
        </is>
      </c>
      <c r="C59" s="3452" t="inlineStr">
        <is>
          <t>000224000</t>
        </is>
      </c>
      <c r="D59" s="3452" t="inlineStr">
        <is>
          <t>202012</t>
        </is>
      </c>
      <c r="E59" s="3452" t="inlineStr">
        <is>
          <t>0,000000000000</t>
        </is>
      </c>
    </row>
    <row outlineLevel="0" r="60">
      <c r="A60" s="3452" t="inlineStr">
        <is>
          <t>000224000202012108200</t>
        </is>
      </c>
      <c r="B60" s="3452" t="inlineStr">
        <is>
          <t>108200</t>
        </is>
      </c>
      <c r="C60" s="3452" t="inlineStr">
        <is>
          <t>000224000</t>
        </is>
      </c>
      <c r="D60" s="3452" t="inlineStr">
        <is>
          <t>202012</t>
        </is>
      </c>
      <c r="E60" s="3452" t="inlineStr">
        <is>
          <t>0,000000000000</t>
        </is>
      </c>
    </row>
    <row outlineLevel="0" r="61">
      <c r="A61" s="3452" t="inlineStr">
        <is>
          <t>000224000202012108300</t>
        </is>
      </c>
      <c r="B61" s="3452" t="inlineStr">
        <is>
          <t>108300</t>
        </is>
      </c>
      <c r="C61" s="3452" t="inlineStr">
        <is>
          <t>000224000</t>
        </is>
      </c>
      <c r="D61" s="3452" t="inlineStr">
        <is>
          <t>202012</t>
        </is>
      </c>
      <c r="E61" s="3452" t="inlineStr">
        <is>
          <t>0,000000000000</t>
        </is>
      </c>
    </row>
    <row outlineLevel="0" r="62">
      <c r="A62" s="3452" t="inlineStr">
        <is>
          <t>000224000202012108400</t>
        </is>
      </c>
      <c r="B62" s="3452" t="inlineStr">
        <is>
          <t>108400</t>
        </is>
      </c>
      <c r="C62" s="3452" t="inlineStr">
        <is>
          <t>000224000</t>
        </is>
      </c>
      <c r="D62" s="3452" t="inlineStr">
        <is>
          <t>202012</t>
        </is>
      </c>
      <c r="E62" s="3452" t="inlineStr">
        <is>
          <t>0,000000000000</t>
        </is>
      </c>
    </row>
    <row outlineLevel="0" r="63">
      <c r="A63" s="3452" t="inlineStr">
        <is>
          <t>000224000202012109801</t>
        </is>
      </c>
      <c r="B63" s="3452" t="inlineStr">
        <is>
          <t>109801</t>
        </is>
      </c>
      <c r="C63" s="3452" t="inlineStr">
        <is>
          <t>000224000</t>
        </is>
      </c>
      <c r="D63" s="3452" t="inlineStr">
        <is>
          <t>202012</t>
        </is>
      </c>
      <c r="E63" s="3452" t="inlineStr">
        <is>
          <t>0,000000000000</t>
        </is>
      </c>
    </row>
    <row outlineLevel="0" r="64">
      <c r="A64" s="3452" t="inlineStr">
        <is>
          <t>000224000202012110105</t>
        </is>
      </c>
      <c r="B64" s="3452" t="inlineStr">
        <is>
          <t>110105</t>
        </is>
      </c>
      <c r="C64" s="3452" t="inlineStr">
        <is>
          <t>000224000</t>
        </is>
      </c>
      <c r="D64" s="3452" t="inlineStr">
        <is>
          <t>202012</t>
        </is>
      </c>
      <c r="E64" s="3452" t="inlineStr">
        <is>
          <t>0,000000000000</t>
        </is>
      </c>
    </row>
    <row outlineLevel="0" r="65">
      <c r="A65" s="3452" t="inlineStr">
        <is>
          <t>000224000202012110110</t>
        </is>
      </c>
      <c r="B65" s="3452" t="inlineStr">
        <is>
          <t>110110</t>
        </is>
      </c>
      <c r="C65" s="3452" t="inlineStr">
        <is>
          <t>000224000</t>
        </is>
      </c>
      <c r="D65" s="3452" t="inlineStr">
        <is>
          <t>202012</t>
        </is>
      </c>
      <c r="E65" s="3452" t="inlineStr">
        <is>
          <t>300000,000000000000</t>
        </is>
      </c>
    </row>
    <row outlineLevel="0" r="66">
      <c r="A66" s="3452" t="inlineStr">
        <is>
          <t>000224000202012110125</t>
        </is>
      </c>
      <c r="B66" s="3452" t="inlineStr">
        <is>
          <t>110125</t>
        </is>
      </c>
      <c r="C66" s="3452" t="inlineStr">
        <is>
          <t>000224000</t>
        </is>
      </c>
      <c r="D66" s="3452" t="inlineStr">
        <is>
          <t>202012</t>
        </is>
      </c>
      <c r="E66" s="3452" t="inlineStr">
        <is>
          <t>0,000000000000</t>
        </is>
      </c>
    </row>
    <row outlineLevel="0" r="67">
      <c r="A67" s="3452" t="inlineStr">
        <is>
          <t>000224000202012110130</t>
        </is>
      </c>
      <c r="B67" s="3452" t="inlineStr">
        <is>
          <t>110130</t>
        </is>
      </c>
      <c r="C67" s="3452" t="inlineStr">
        <is>
          <t>000224000</t>
        </is>
      </c>
      <c r="D67" s="3452" t="inlineStr">
        <is>
          <t>202012</t>
        </is>
      </c>
      <c r="E67" s="3452" t="inlineStr">
        <is>
          <t>0,000000000000</t>
        </is>
      </c>
    </row>
    <row outlineLevel="0" r="68">
      <c r="A68" s="3452" t="inlineStr">
        <is>
          <t>000224000202012110205</t>
        </is>
      </c>
      <c r="B68" s="3452" t="inlineStr">
        <is>
          <t>110205</t>
        </is>
      </c>
      <c r="C68" s="3452" t="inlineStr">
        <is>
          <t>000224000</t>
        </is>
      </c>
      <c r="D68" s="3452" t="inlineStr">
        <is>
          <t>202012</t>
        </is>
      </c>
      <c r="E68" s="3452" t="inlineStr">
        <is>
          <t>0,000000000000</t>
        </is>
      </c>
    </row>
    <row outlineLevel="0" r="69">
      <c r="A69" s="3452" t="inlineStr">
        <is>
          <t>000224000202012110210</t>
        </is>
      </c>
      <c r="B69" s="3452" t="inlineStr">
        <is>
          <t>110210</t>
        </is>
      </c>
      <c r="C69" s="3452" t="inlineStr">
        <is>
          <t>000224000</t>
        </is>
      </c>
      <c r="D69" s="3452" t="inlineStr">
        <is>
          <t>202012</t>
        </is>
      </c>
      <c r="E69" s="3452" t="inlineStr">
        <is>
          <t>0,000000000000</t>
        </is>
      </c>
    </row>
    <row outlineLevel="0" r="70">
      <c r="A70" s="3452" t="inlineStr">
        <is>
          <t>000224000202012110215</t>
        </is>
      </c>
      <c r="B70" s="3452" t="inlineStr">
        <is>
          <t>110215</t>
        </is>
      </c>
      <c r="C70" s="3452" t="inlineStr">
        <is>
          <t>000224000</t>
        </is>
      </c>
      <c r="D70" s="3452" t="inlineStr">
        <is>
          <t>202012</t>
        </is>
      </c>
      <c r="E70" s="3452" t="inlineStr">
        <is>
          <t>0,000000000000</t>
        </is>
      </c>
    </row>
    <row outlineLevel="0" r="71">
      <c r="A71" s="3452" t="inlineStr">
        <is>
          <t>000224000202012110225</t>
        </is>
      </c>
      <c r="B71" s="3452" t="inlineStr">
        <is>
          <t>110225</t>
        </is>
      </c>
      <c r="C71" s="3452" t="inlineStr">
        <is>
          <t>000224000</t>
        </is>
      </c>
      <c r="D71" s="3452" t="inlineStr">
        <is>
          <t>202012</t>
        </is>
      </c>
      <c r="E71" s="3452" t="inlineStr">
        <is>
          <t>0,000000000000</t>
        </is>
      </c>
    </row>
    <row outlineLevel="0" r="72">
      <c r="A72" s="3452" t="inlineStr">
        <is>
          <t>000224000202012110235</t>
        </is>
      </c>
      <c r="B72" s="3452" t="inlineStr">
        <is>
          <t>110235</t>
        </is>
      </c>
      <c r="C72" s="3452" t="inlineStr">
        <is>
          <t>000224000</t>
        </is>
      </c>
      <c r="D72" s="3452" t="inlineStr">
        <is>
          <t>202012</t>
        </is>
      </c>
      <c r="E72" s="3452" t="inlineStr">
        <is>
          <t>0,000000000000</t>
        </is>
      </c>
    </row>
    <row outlineLevel="0" r="73">
      <c r="A73" s="3452" t="inlineStr">
        <is>
          <t>000224000202012110255</t>
        </is>
      </c>
      <c r="B73" s="3452" t="inlineStr">
        <is>
          <t>110255</t>
        </is>
      </c>
      <c r="C73" s="3452" t="inlineStr">
        <is>
          <t>000224000</t>
        </is>
      </c>
      <c r="D73" s="3452" t="inlineStr">
        <is>
          <t>202012</t>
        </is>
      </c>
      <c r="E73" s="3452" t="inlineStr">
        <is>
          <t>0,000000000000</t>
        </is>
      </c>
    </row>
    <row outlineLevel="0" r="74">
      <c r="A74" s="3452" t="inlineStr">
        <is>
          <t>000224000202012110260</t>
        </is>
      </c>
      <c r="B74" s="3452" t="inlineStr">
        <is>
          <t>110260</t>
        </is>
      </c>
      <c r="C74" s="3452" t="inlineStr">
        <is>
          <t>000224000</t>
        </is>
      </c>
      <c r="D74" s="3452" t="inlineStr">
        <is>
          <t>202012</t>
        </is>
      </c>
      <c r="E74" s="3452" t="inlineStr">
        <is>
          <t>0,000000000000</t>
        </is>
      </c>
    </row>
    <row outlineLevel="0" r="75">
      <c r="A75" s="3452" t="inlineStr">
        <is>
          <t>000224000202012110305</t>
        </is>
      </c>
      <c r="B75" s="3452" t="inlineStr">
        <is>
          <t>110305</t>
        </is>
      </c>
      <c r="C75" s="3452" t="inlineStr">
        <is>
          <t>000224000</t>
        </is>
      </c>
      <c r="D75" s="3452" t="inlineStr">
        <is>
          <t>202012</t>
        </is>
      </c>
      <c r="E75" s="3452" t="inlineStr">
        <is>
          <t>0,000000000000</t>
        </is>
      </c>
    </row>
    <row outlineLevel="0" r="76">
      <c r="A76" s="3452" t="inlineStr">
        <is>
          <t>000224000202012110390</t>
        </is>
      </c>
      <c r="B76" s="3452" t="inlineStr">
        <is>
          <t>110390</t>
        </is>
      </c>
      <c r="C76" s="3452" t="inlineStr">
        <is>
          <t>000224000</t>
        </is>
      </c>
      <c r="D76" s="3452" t="inlineStr">
        <is>
          <t>202012</t>
        </is>
      </c>
      <c r="E76" s="3452" t="inlineStr">
        <is>
          <t>0,000000000000</t>
        </is>
      </c>
    </row>
    <row outlineLevel="0" r="77">
      <c r="A77" s="3452" t="inlineStr">
        <is>
          <t>000224000202012110395</t>
        </is>
      </c>
      <c r="B77" s="3452" t="inlineStr">
        <is>
          <t>110395</t>
        </is>
      </c>
      <c r="C77" s="3452" t="inlineStr">
        <is>
          <t>000224000</t>
        </is>
      </c>
      <c r="D77" s="3452" t="inlineStr">
        <is>
          <t>202012</t>
        </is>
      </c>
      <c r="E77" s="3452" t="inlineStr">
        <is>
          <t>0,000000000000</t>
        </is>
      </c>
    </row>
    <row outlineLevel="0" r="78">
      <c r="A78" s="3452" t="inlineStr">
        <is>
          <t>000224000202012110405</t>
        </is>
      </c>
      <c r="B78" s="3452" t="inlineStr">
        <is>
          <t>110405</t>
        </is>
      </c>
      <c r="C78" s="3452" t="inlineStr">
        <is>
          <t>000224000</t>
        </is>
      </c>
      <c r="D78" s="3452" t="inlineStr">
        <is>
          <t>202012</t>
        </is>
      </c>
      <c r="E78" s="3452" t="inlineStr">
        <is>
          <t>0,000000000000</t>
        </is>
      </c>
    </row>
    <row outlineLevel="0" r="79">
      <c r="A79" s="3452" t="inlineStr">
        <is>
          <t>000224000202012110410</t>
        </is>
      </c>
      <c r="B79" s="3452" t="inlineStr">
        <is>
          <t>110410</t>
        </is>
      </c>
      <c r="C79" s="3452" t="inlineStr">
        <is>
          <t>000224000</t>
        </is>
      </c>
      <c r="D79" s="3452" t="inlineStr">
        <is>
          <t>202012</t>
        </is>
      </c>
      <c r="E79" s="3452" t="inlineStr">
        <is>
          <t>0,000000000000</t>
        </is>
      </c>
    </row>
    <row outlineLevel="0" r="80">
      <c r="A80" s="3452" t="inlineStr">
        <is>
          <t>000224000202012110415</t>
        </is>
      </c>
      <c r="B80" s="3452" t="inlineStr">
        <is>
          <t>110415</t>
        </is>
      </c>
      <c r="C80" s="3452" t="inlineStr">
        <is>
          <t>000224000</t>
        </is>
      </c>
      <c r="D80" s="3452" t="inlineStr">
        <is>
          <t>202012</t>
        </is>
      </c>
      <c r="E80" s="3452" t="inlineStr">
        <is>
          <t>0,000000000000</t>
        </is>
      </c>
    </row>
    <row outlineLevel="0" r="81">
      <c r="A81" s="3452" t="inlineStr">
        <is>
          <t>000224000202012110420</t>
        </is>
      </c>
      <c r="B81" s="3452" t="inlineStr">
        <is>
          <t>110420</t>
        </is>
      </c>
      <c r="C81" s="3452" t="inlineStr">
        <is>
          <t>000224000</t>
        </is>
      </c>
      <c r="D81" s="3452" t="inlineStr">
        <is>
          <t>202012</t>
        </is>
      </c>
      <c r="E81" s="3452" t="inlineStr">
        <is>
          <t>0,000000000000</t>
        </is>
      </c>
    </row>
    <row outlineLevel="0" r="82">
      <c r="A82" s="3452" t="inlineStr">
        <is>
          <t>000224000202012110490</t>
        </is>
      </c>
      <c r="B82" s="3452" t="inlineStr">
        <is>
          <t>110490</t>
        </is>
      </c>
      <c r="C82" s="3452" t="inlineStr">
        <is>
          <t>000224000</t>
        </is>
      </c>
      <c r="D82" s="3452" t="inlineStr">
        <is>
          <t>202012</t>
        </is>
      </c>
      <c r="E82" s="3452" t="inlineStr">
        <is>
          <t>0,000000000000</t>
        </is>
      </c>
    </row>
    <row outlineLevel="0" r="83">
      <c r="A83" s="3452" t="inlineStr">
        <is>
          <t>000224000202012110491</t>
        </is>
      </c>
      <c r="B83" s="3452" t="inlineStr">
        <is>
          <t>110491</t>
        </is>
      </c>
      <c r="C83" s="3452" t="inlineStr">
        <is>
          <t>000224000</t>
        </is>
      </c>
      <c r="D83" s="3452" t="inlineStr">
        <is>
          <t>202012</t>
        </is>
      </c>
      <c r="E83" s="3452" t="inlineStr">
        <is>
          <t>0,000000000000</t>
        </is>
      </c>
    </row>
    <row outlineLevel="0" r="84">
      <c r="A84" s="3452" t="inlineStr">
        <is>
          <t>000224000202012110495</t>
        </is>
      </c>
      <c r="B84" s="3452" t="inlineStr">
        <is>
          <t>110495</t>
        </is>
      </c>
      <c r="C84" s="3452" t="inlineStr">
        <is>
          <t>000224000</t>
        </is>
      </c>
      <c r="D84" s="3452" t="inlineStr">
        <is>
          <t>202012</t>
        </is>
      </c>
      <c r="E84" s="3452" t="inlineStr">
        <is>
          <t>0,000000000000</t>
        </is>
      </c>
    </row>
    <row outlineLevel="0" r="85">
      <c r="A85" s="3452" t="inlineStr">
        <is>
          <t>000224000202012111010</t>
        </is>
      </c>
      <c r="B85" s="3452" t="inlineStr">
        <is>
          <t>111010</t>
        </is>
      </c>
      <c r="C85" s="3452" t="inlineStr">
        <is>
          <t>000224000</t>
        </is>
      </c>
      <c r="D85" s="3452" t="inlineStr">
        <is>
          <t>202012</t>
        </is>
      </c>
      <c r="E85" s="3452" t="inlineStr">
        <is>
          <t>0,000000000000</t>
        </is>
      </c>
    </row>
    <row outlineLevel="0" r="86">
      <c r="A86" s="3452" t="inlineStr">
        <is>
          <t>000224000202012120104</t>
        </is>
      </c>
      <c r="B86" s="3452" t="inlineStr">
        <is>
          <t>120104</t>
        </is>
      </c>
      <c r="C86" s="3452" t="inlineStr">
        <is>
          <t>000224000</t>
        </is>
      </c>
      <c r="D86" s="3452" t="inlineStr">
        <is>
          <t>202012</t>
        </is>
      </c>
      <c r="E86" s="3452" t="inlineStr">
        <is>
          <t>0,000000000000</t>
        </is>
      </c>
    </row>
    <row outlineLevel="0" r="87">
      <c r="A87" s="3452" t="inlineStr">
        <is>
          <t>000224000202012120108</t>
        </is>
      </c>
      <c r="B87" s="3452" t="inlineStr">
        <is>
          <t>120108</t>
        </is>
      </c>
      <c r="C87" s="3452" t="inlineStr">
        <is>
          <t>000224000</t>
        </is>
      </c>
      <c r="D87" s="3452" t="inlineStr">
        <is>
          <t>202012</t>
        </is>
      </c>
      <c r="E87" s="3452" t="inlineStr">
        <is>
          <t>0,000000000000</t>
        </is>
      </c>
    </row>
    <row outlineLevel="0" r="88">
      <c r="A88" s="3452" t="inlineStr">
        <is>
          <t>000224000202012120116</t>
        </is>
      </c>
      <c r="B88" s="3452" t="inlineStr">
        <is>
          <t>120116</t>
        </is>
      </c>
      <c r="C88" s="3452" t="inlineStr">
        <is>
          <t>000224000</t>
        </is>
      </c>
      <c r="D88" s="3452" t="inlineStr">
        <is>
          <t>202012</t>
        </is>
      </c>
      <c r="E88" s="3452" t="inlineStr">
        <is>
          <t>0,000000000000</t>
        </is>
      </c>
    </row>
    <row outlineLevel="0" r="89">
      <c r="A89" s="3452" t="inlineStr">
        <is>
          <t>000224000202012120120</t>
        </is>
      </c>
      <c r="B89" s="3452" t="inlineStr">
        <is>
          <t>120120</t>
        </is>
      </c>
      <c r="C89" s="3452" t="inlineStr">
        <is>
          <t>000224000</t>
        </is>
      </c>
      <c r="D89" s="3452" t="inlineStr">
        <is>
          <t>202012</t>
        </is>
      </c>
      <c r="E89" s="3452" t="inlineStr">
        <is>
          <t>0,000000000000</t>
        </is>
      </c>
    </row>
    <row outlineLevel="0" r="90">
      <c r="A90" s="3452" t="inlineStr">
        <is>
          <t>000224000202012120124</t>
        </is>
      </c>
      <c r="B90" s="3452" t="inlineStr">
        <is>
          <t>120124</t>
        </is>
      </c>
      <c r="C90" s="3452" t="inlineStr">
        <is>
          <t>000224000</t>
        </is>
      </c>
      <c r="D90" s="3452" t="inlineStr">
        <is>
          <t>202012</t>
        </is>
      </c>
      <c r="E90" s="3452" t="inlineStr">
        <is>
          <t>0,000000000000</t>
        </is>
      </c>
    </row>
    <row outlineLevel="0" r="91">
      <c r="A91" s="3452" t="inlineStr">
        <is>
          <t>000224000202012120128</t>
        </is>
      </c>
      <c r="B91" s="3452" t="inlineStr">
        <is>
          <t>120128</t>
        </is>
      </c>
      <c r="C91" s="3452" t="inlineStr">
        <is>
          <t>000224000</t>
        </is>
      </c>
      <c r="D91" s="3452" t="inlineStr">
        <is>
          <t>202012</t>
        </is>
      </c>
      <c r="E91" s="3452" t="inlineStr">
        <is>
          <t>0,000000000000</t>
        </is>
      </c>
    </row>
    <row outlineLevel="0" r="92">
      <c r="A92" s="3452" t="inlineStr">
        <is>
          <t>000224000202012120140</t>
        </is>
      </c>
      <c r="B92" s="3452" t="inlineStr">
        <is>
          <t>120140</t>
        </is>
      </c>
      <c r="C92" s="3452" t="inlineStr">
        <is>
          <t>000224000</t>
        </is>
      </c>
      <c r="D92" s="3452" t="inlineStr">
        <is>
          <t>202012</t>
        </is>
      </c>
      <c r="E92" s="3452" t="inlineStr">
        <is>
          <t>0,000000000000</t>
        </is>
      </c>
    </row>
    <row outlineLevel="0" r="93">
      <c r="A93" s="3452" t="inlineStr">
        <is>
          <t>000224000202012120145</t>
        </is>
      </c>
      <c r="B93" s="3452" t="inlineStr">
        <is>
          <t>120145</t>
        </is>
      </c>
      <c r="C93" s="3452" t="inlineStr">
        <is>
          <t>000224000</t>
        </is>
      </c>
      <c r="D93" s="3452" t="inlineStr">
        <is>
          <t>202012</t>
        </is>
      </c>
      <c r="E93" s="3452" t="inlineStr">
        <is>
          <t>0,000000000000</t>
        </is>
      </c>
    </row>
    <row outlineLevel="0" r="94">
      <c r="A94" s="3452" t="inlineStr">
        <is>
          <t>000224000202012120195</t>
        </is>
      </c>
      <c r="B94" s="3452" t="inlineStr">
        <is>
          <t>120195</t>
        </is>
      </c>
      <c r="C94" s="3452" t="inlineStr">
        <is>
          <t>000224000</t>
        </is>
      </c>
      <c r="D94" s="3452" t="inlineStr">
        <is>
          <t>202012</t>
        </is>
      </c>
      <c r="E94" s="3452" t="inlineStr">
        <is>
          <t>0,000000000000</t>
        </is>
      </c>
    </row>
    <row outlineLevel="0" r="95">
      <c r="A95" s="3452" t="inlineStr">
        <is>
          <t>000224000202012120501</t>
        </is>
      </c>
      <c r="B95" s="3452" t="inlineStr">
        <is>
          <t>120501</t>
        </is>
      </c>
      <c r="C95" s="3452" t="inlineStr">
        <is>
          <t>000224000</t>
        </is>
      </c>
      <c r="D95" s="3452" t="inlineStr">
        <is>
          <t>202012</t>
        </is>
      </c>
      <c r="E95" s="3452" t="inlineStr">
        <is>
          <t>0,000000000000</t>
        </is>
      </c>
    </row>
    <row outlineLevel="0" r="96">
      <c r="A96" s="3452" t="inlineStr">
        <is>
          <t>000224000202012120610</t>
        </is>
      </c>
      <c r="B96" s="3452" t="inlineStr">
        <is>
          <t>120610</t>
        </is>
      </c>
      <c r="C96" s="3452" t="inlineStr">
        <is>
          <t>000224000</t>
        </is>
      </c>
      <c r="D96" s="3452" t="inlineStr">
        <is>
          <t>202012</t>
        </is>
      </c>
      <c r="E96" s="3452" t="inlineStr">
        <is>
          <t>0,000000000000</t>
        </is>
      </c>
    </row>
    <row outlineLevel="0" r="97">
      <c r="A97" s="3452" t="inlineStr">
        <is>
          <t>000224000202012120615</t>
        </is>
      </c>
      <c r="B97" s="3452" t="inlineStr">
        <is>
          <t>120615</t>
        </is>
      </c>
      <c r="C97" s="3452" t="inlineStr">
        <is>
          <t>000224000</t>
        </is>
      </c>
      <c r="D97" s="3452" t="inlineStr">
        <is>
          <t>202012</t>
        </is>
      </c>
      <c r="E97" s="3452" t="inlineStr">
        <is>
          <t>0,000000000000</t>
        </is>
      </c>
    </row>
    <row outlineLevel="0" r="98">
      <c r="A98" s="3452" t="inlineStr">
        <is>
          <t>000224000202012120620</t>
        </is>
      </c>
      <c r="B98" s="3452" t="inlineStr">
        <is>
          <t>120620</t>
        </is>
      </c>
      <c r="C98" s="3452" t="inlineStr">
        <is>
          <t>000224000</t>
        </is>
      </c>
      <c r="D98" s="3452" t="inlineStr">
        <is>
          <t>202012</t>
        </is>
      </c>
      <c r="E98" s="3452" t="inlineStr">
        <is>
          <t>0,000000000000</t>
        </is>
      </c>
    </row>
    <row outlineLevel="0" r="99">
      <c r="A99" s="3452" t="inlineStr">
        <is>
          <t>000224000202012121001</t>
        </is>
      </c>
      <c r="B99" s="3452" t="inlineStr">
        <is>
          <t>121001</t>
        </is>
      </c>
      <c r="C99" s="3452" t="inlineStr">
        <is>
          <t>000224000</t>
        </is>
      </c>
      <c r="D99" s="3452" t="inlineStr">
        <is>
          <t>202012</t>
        </is>
      </c>
      <c r="E99" s="3452" t="inlineStr">
        <is>
          <t>0,000000000000</t>
        </is>
      </c>
    </row>
    <row outlineLevel="0" r="100">
      <c r="A100" s="3452" t="inlineStr">
        <is>
          <t>000224000202012121501</t>
        </is>
      </c>
      <c r="B100" s="3452" t="inlineStr">
        <is>
          <t>121501</t>
        </is>
      </c>
      <c r="C100" s="3452" t="inlineStr">
        <is>
          <t>000224000</t>
        </is>
      </c>
      <c r="D100" s="3452" t="inlineStr">
        <is>
          <t>202012</t>
        </is>
      </c>
      <c r="E100" s="3452" t="inlineStr">
        <is>
          <t>0,000000000000</t>
        </is>
      </c>
    </row>
    <row outlineLevel="0" r="101">
      <c r="A101" s="3452" t="inlineStr">
        <is>
          <t>000224000202012123501</t>
        </is>
      </c>
      <c r="B101" s="3452" t="inlineStr">
        <is>
          <t>123501</t>
        </is>
      </c>
      <c r="C101" s="3452" t="inlineStr">
        <is>
          <t>000224000</t>
        </is>
      </c>
      <c r="D101" s="3452" t="inlineStr">
        <is>
          <t>202012</t>
        </is>
      </c>
      <c r="E101" s="3452" t="inlineStr">
        <is>
          <t>0,000000000000</t>
        </is>
      </c>
    </row>
    <row outlineLevel="0" r="102">
      <c r="A102" s="3452" t="inlineStr">
        <is>
          <t>000224000202012125501</t>
        </is>
      </c>
      <c r="B102" s="3452" t="inlineStr">
        <is>
          <t>125501</t>
        </is>
      </c>
      <c r="C102" s="3452" t="inlineStr">
        <is>
          <t>000224000</t>
        </is>
      </c>
      <c r="D102" s="3452" t="inlineStr">
        <is>
          <t>202012</t>
        </is>
      </c>
      <c r="E102" s="3452" t="inlineStr">
        <is>
          <t>0,000000000000</t>
        </is>
      </c>
    </row>
    <row outlineLevel="0" r="103">
      <c r="A103" s="3452" t="inlineStr">
        <is>
          <t>000224000202012126001</t>
        </is>
      </c>
      <c r="B103" s="3452" t="inlineStr">
        <is>
          <t>126001</t>
        </is>
      </c>
      <c r="C103" s="3452" t="inlineStr">
        <is>
          <t>000224000</t>
        </is>
      </c>
      <c r="D103" s="3452" t="inlineStr">
        <is>
          <t>202012</t>
        </is>
      </c>
      <c r="E103" s="3452" t="inlineStr">
        <is>
          <t>0,000000000000</t>
        </is>
      </c>
    </row>
    <row outlineLevel="0" r="104">
      <c r="A104" s="3452" t="inlineStr">
        <is>
          <t>000224000202012129501</t>
        </is>
      </c>
      <c r="B104" s="3452" t="inlineStr">
        <is>
          <t>129501</t>
        </is>
      </c>
      <c r="C104" s="3452" t="inlineStr">
        <is>
          <t>000224000</t>
        </is>
      </c>
      <c r="D104" s="3452" t="inlineStr">
        <is>
          <t>202012</t>
        </is>
      </c>
      <c r="E104" s="3452" t="inlineStr">
        <is>
          <t>0,000000000000</t>
        </is>
      </c>
    </row>
    <row outlineLevel="0" r="105">
      <c r="A105" s="3452" t="inlineStr">
        <is>
          <t>000224000202012129700</t>
        </is>
      </c>
      <c r="B105" s="3452" t="inlineStr">
        <is>
          <t>129700</t>
        </is>
      </c>
      <c r="C105" s="3452" t="inlineStr">
        <is>
          <t>000224000</t>
        </is>
      </c>
      <c r="D105" s="3452" t="inlineStr">
        <is>
          <t>202012</t>
        </is>
      </c>
      <c r="E105" s="3452" t="inlineStr">
        <is>
          <t>0,000000000000</t>
        </is>
      </c>
    </row>
    <row outlineLevel="0" r="106">
      <c r="A106" s="3452" t="inlineStr">
        <is>
          <t>000224000202012129701</t>
        </is>
      </c>
      <c r="B106" s="3452" t="inlineStr">
        <is>
          <t>129701</t>
        </is>
      </c>
      <c r="C106" s="3452" t="inlineStr">
        <is>
          <t>000224000</t>
        </is>
      </c>
      <c r="D106" s="3452" t="inlineStr">
        <is>
          <t>202012</t>
        </is>
      </c>
      <c r="E106" s="3452" t="inlineStr">
        <is>
          <t>0,000000000000</t>
        </is>
      </c>
    </row>
    <row outlineLevel="0" r="107">
      <c r="A107" s="3452" t="inlineStr">
        <is>
          <t>000224000202012129901</t>
        </is>
      </c>
      <c r="B107" s="3452" t="inlineStr">
        <is>
          <t>129901</t>
        </is>
      </c>
      <c r="C107" s="3452" t="inlineStr">
        <is>
          <t>000224000</t>
        </is>
      </c>
      <c r="D107" s="3452" t="inlineStr">
        <is>
          <t>202012</t>
        </is>
      </c>
      <c r="E107" s="3452" t="inlineStr">
        <is>
          <t>0,000000000000</t>
        </is>
      </c>
    </row>
    <row outlineLevel="0" r="108">
      <c r="A108" s="3452" t="inlineStr">
        <is>
          <t>000224000202012130506</t>
        </is>
      </c>
      <c r="B108" s="3452" t="inlineStr">
        <is>
          <t>130506</t>
        </is>
      </c>
      <c r="C108" s="3452" t="inlineStr">
        <is>
          <t>000224000</t>
        </is>
      </c>
      <c r="D108" s="3452" t="inlineStr">
        <is>
          <t>202012</t>
        </is>
      </c>
      <c r="E108" s="3452" t="inlineStr">
        <is>
          <t>0,000000000000</t>
        </is>
      </c>
    </row>
    <row outlineLevel="0" r="109">
      <c r="A109" s="3452" t="inlineStr">
        <is>
          <t>000224000202012130510</t>
        </is>
      </c>
      <c r="B109" s="3452" t="inlineStr">
        <is>
          <t>130510</t>
        </is>
      </c>
      <c r="C109" s="3452" t="inlineStr">
        <is>
          <t>000224000</t>
        </is>
      </c>
      <c r="D109" s="3452" t="inlineStr">
        <is>
          <t>202012</t>
        </is>
      </c>
      <c r="E109" s="3452" t="inlineStr">
        <is>
          <t>0,000000000000</t>
        </is>
      </c>
    </row>
    <row outlineLevel="0" r="110">
      <c r="A110" s="3452" t="inlineStr">
        <is>
          <t>000224000202012130511</t>
        </is>
      </c>
      <c r="B110" s="3452" t="inlineStr">
        <is>
          <t>130511</t>
        </is>
      </c>
      <c r="C110" s="3452" t="inlineStr">
        <is>
          <t>000224000</t>
        </is>
      </c>
      <c r="D110" s="3452" t="inlineStr">
        <is>
          <t>202012</t>
        </is>
      </c>
      <c r="E110" s="3452" t="inlineStr">
        <is>
          <t>0,000000000000</t>
        </is>
      </c>
    </row>
    <row outlineLevel="0" r="111">
      <c r="A111" s="3452" t="inlineStr">
        <is>
          <t>000224000202012131000</t>
        </is>
      </c>
      <c r="B111" s="3452" t="inlineStr">
        <is>
          <t>131000</t>
        </is>
      </c>
      <c r="C111" s="3452" t="inlineStr">
        <is>
          <t>000224000</t>
        </is>
      </c>
      <c r="D111" s="3452" t="inlineStr">
        <is>
          <t>202012</t>
        </is>
      </c>
      <c r="E111" s="3452" t="inlineStr">
        <is>
          <t>0,000000000000</t>
        </is>
      </c>
    </row>
    <row outlineLevel="0" r="112">
      <c r="A112" s="3452" t="inlineStr">
        <is>
          <t>000224000202012131001</t>
        </is>
      </c>
      <c r="B112" s="3452" t="inlineStr">
        <is>
          <t>131001</t>
        </is>
      </c>
      <c r="C112" s="3452" t="inlineStr">
        <is>
          <t>000224000</t>
        </is>
      </c>
      <c r="D112" s="3452" t="inlineStr">
        <is>
          <t>202012</t>
        </is>
      </c>
      <c r="E112" s="3452" t="inlineStr">
        <is>
          <t>0,000000000000</t>
        </is>
      </c>
    </row>
    <row outlineLevel="0" r="113">
      <c r="A113" s="3452" t="inlineStr">
        <is>
          <t>000224000202012131501</t>
        </is>
      </c>
      <c r="B113" s="3452" t="inlineStr">
        <is>
          <t>131501</t>
        </is>
      </c>
      <c r="C113" s="3452" t="inlineStr">
        <is>
          <t>000224000</t>
        </is>
      </c>
      <c r="D113" s="3452" t="inlineStr">
        <is>
          <t>202012</t>
        </is>
      </c>
      <c r="E113" s="3452" t="inlineStr">
        <is>
          <t>0,000000000000</t>
        </is>
      </c>
    </row>
    <row outlineLevel="0" r="114">
      <c r="A114" s="3452" t="inlineStr">
        <is>
          <t>000224000202012132000</t>
        </is>
      </c>
      <c r="B114" s="3452" t="inlineStr">
        <is>
          <t>132000</t>
        </is>
      </c>
      <c r="C114" s="3452" t="inlineStr">
        <is>
          <t>000224000</t>
        </is>
      </c>
      <c r="D114" s="3452" t="inlineStr">
        <is>
          <t>202012</t>
        </is>
      </c>
      <c r="E114" s="3452" t="inlineStr">
        <is>
          <t>0,000000000000</t>
        </is>
      </c>
    </row>
    <row outlineLevel="0" r="115">
      <c r="A115" s="3452" t="inlineStr">
        <is>
          <t>000224000202012132001</t>
        </is>
      </c>
      <c r="B115" s="3452" t="inlineStr">
        <is>
          <t>132001</t>
        </is>
      </c>
      <c r="C115" s="3452" t="inlineStr">
        <is>
          <t>000224000</t>
        </is>
      </c>
      <c r="D115" s="3452" t="inlineStr">
        <is>
          <t>202012</t>
        </is>
      </c>
      <c r="E115" s="3452" t="inlineStr">
        <is>
          <t>0,000000000000</t>
        </is>
      </c>
    </row>
    <row outlineLevel="0" r="116">
      <c r="A116" s="3452" t="inlineStr">
        <is>
          <t>000224000202012132500</t>
        </is>
      </c>
      <c r="B116" s="3452" t="inlineStr">
        <is>
          <t>132500</t>
        </is>
      </c>
      <c r="C116" s="3452" t="inlineStr">
        <is>
          <t>000224000</t>
        </is>
      </c>
      <c r="D116" s="3452" t="inlineStr">
        <is>
          <t>202012</t>
        </is>
      </c>
      <c r="E116" s="3452" t="inlineStr">
        <is>
          <t>0,000000000000</t>
        </is>
      </c>
    </row>
    <row outlineLevel="0" r="117">
      <c r="A117" s="3452" t="inlineStr">
        <is>
          <t>000224000202012132501</t>
        </is>
      </c>
      <c r="B117" s="3452" t="inlineStr">
        <is>
          <t>132501</t>
        </is>
      </c>
      <c r="C117" s="3452" t="inlineStr">
        <is>
          <t>000224000</t>
        </is>
      </c>
      <c r="D117" s="3452" t="inlineStr">
        <is>
          <t>202012</t>
        </is>
      </c>
      <c r="E117" s="3452" t="inlineStr">
        <is>
          <t>0,000000000000</t>
        </is>
      </c>
    </row>
    <row outlineLevel="0" r="118">
      <c r="A118" s="3452" t="inlineStr">
        <is>
          <t>000224000202012133000</t>
        </is>
      </c>
      <c r="B118" s="3452" t="inlineStr">
        <is>
          <t>133000</t>
        </is>
      </c>
      <c r="C118" s="3452" t="inlineStr">
        <is>
          <t>000224000</t>
        </is>
      </c>
      <c r="D118" s="3452" t="inlineStr">
        <is>
          <t>202012</t>
        </is>
      </c>
      <c r="E118" s="3452" t="inlineStr">
        <is>
          <t>0,000000000000</t>
        </is>
      </c>
    </row>
    <row outlineLevel="0" r="119">
      <c r="A119" s="3452" t="inlineStr">
        <is>
          <t>000224000202012133001</t>
        </is>
      </c>
      <c r="B119" s="3452" t="inlineStr">
        <is>
          <t>133001</t>
        </is>
      </c>
      <c r="C119" s="3452" t="inlineStr">
        <is>
          <t>000224000</t>
        </is>
      </c>
      <c r="D119" s="3452" t="inlineStr">
        <is>
          <t>202012</t>
        </is>
      </c>
      <c r="E119" s="3452" t="inlineStr">
        <is>
          <t>0,000000000000</t>
        </is>
      </c>
    </row>
    <row outlineLevel="0" r="120">
      <c r="A120" s="3452" t="inlineStr">
        <is>
          <t>000224000202012133500</t>
        </is>
      </c>
      <c r="B120" s="3452" t="inlineStr">
        <is>
          <t>133500</t>
        </is>
      </c>
      <c r="C120" s="3452" t="inlineStr">
        <is>
          <t>000224000</t>
        </is>
      </c>
      <c r="D120" s="3452" t="inlineStr">
        <is>
          <t>202012</t>
        </is>
      </c>
      <c r="E120" s="3452" t="inlineStr">
        <is>
          <t>0,000000000000</t>
        </is>
      </c>
    </row>
    <row outlineLevel="0" r="121">
      <c r="A121" s="3452" t="inlineStr">
        <is>
          <t>000224000202012133501</t>
        </is>
      </c>
      <c r="B121" s="3452" t="inlineStr">
        <is>
          <t>133501</t>
        </is>
      </c>
      <c r="C121" s="3452" t="inlineStr">
        <is>
          <t>000224000</t>
        </is>
      </c>
      <c r="D121" s="3452" t="inlineStr">
        <is>
          <t>202012</t>
        </is>
      </c>
      <c r="E121" s="3452" t="inlineStr">
        <is>
          <t>0,000000000000</t>
        </is>
      </c>
    </row>
    <row outlineLevel="0" r="122">
      <c r="A122" s="3452" t="inlineStr">
        <is>
          <t>000224000202012134000</t>
        </is>
      </c>
      <c r="B122" s="3452" t="inlineStr">
        <is>
          <t>134000</t>
        </is>
      </c>
      <c r="C122" s="3452" t="inlineStr">
        <is>
          <t>000224000</t>
        </is>
      </c>
      <c r="D122" s="3452" t="inlineStr">
        <is>
          <t>202012</t>
        </is>
      </c>
      <c r="E122" s="3452" t="inlineStr">
        <is>
          <t>0,000000000000</t>
        </is>
      </c>
    </row>
    <row outlineLevel="0" r="123">
      <c r="A123" s="3452" t="inlineStr">
        <is>
          <t>000224000202012134001</t>
        </is>
      </c>
      <c r="B123" s="3452" t="inlineStr">
        <is>
          <t>134001</t>
        </is>
      </c>
      <c r="C123" s="3452" t="inlineStr">
        <is>
          <t>000224000</t>
        </is>
      </c>
      <c r="D123" s="3452" t="inlineStr">
        <is>
          <t>202012</t>
        </is>
      </c>
      <c r="E123" s="3452" t="inlineStr">
        <is>
          <t>0,000000000000</t>
        </is>
      </c>
    </row>
    <row outlineLevel="0" r="124">
      <c r="A124" s="3452" t="inlineStr">
        <is>
          <t>000224000202012134500</t>
        </is>
      </c>
      <c r="B124" s="3452" t="inlineStr">
        <is>
          <t>134500</t>
        </is>
      </c>
      <c r="C124" s="3452" t="inlineStr">
        <is>
          <t>000224000</t>
        </is>
      </c>
      <c r="D124" s="3452" t="inlineStr">
        <is>
          <t>202012</t>
        </is>
      </c>
      <c r="E124" s="3452" t="inlineStr">
        <is>
          <t>0,000000000000</t>
        </is>
      </c>
    </row>
    <row outlineLevel="0" r="125">
      <c r="A125" s="3452" t="inlineStr">
        <is>
          <t>000224000202012134501</t>
        </is>
      </c>
      <c r="B125" s="3452" t="inlineStr">
        <is>
          <t>134501</t>
        </is>
      </c>
      <c r="C125" s="3452" t="inlineStr">
        <is>
          <t>000224000</t>
        </is>
      </c>
      <c r="D125" s="3452" t="inlineStr">
        <is>
          <t>202012</t>
        </is>
      </c>
      <c r="E125" s="3452" t="inlineStr">
        <is>
          <t>0,000000000000</t>
        </is>
      </c>
    </row>
    <row outlineLevel="0" r="126">
      <c r="A126" s="3452" t="inlineStr">
        <is>
          <t>000224000202012135000</t>
        </is>
      </c>
      <c r="B126" s="3452" t="inlineStr">
        <is>
          <t>135000</t>
        </is>
      </c>
      <c r="C126" s="3452" t="inlineStr">
        <is>
          <t>000224000</t>
        </is>
      </c>
      <c r="D126" s="3452" t="inlineStr">
        <is>
          <t>202012</t>
        </is>
      </c>
      <c r="E126" s="3452" t="inlineStr">
        <is>
          <t>0,000000000000</t>
        </is>
      </c>
    </row>
    <row outlineLevel="0" r="127">
      <c r="A127" s="3452" t="inlineStr">
        <is>
          <t>000224000202012135001</t>
        </is>
      </c>
      <c r="B127" s="3452" t="inlineStr">
        <is>
          <t>135001</t>
        </is>
      </c>
      <c r="C127" s="3452" t="inlineStr">
        <is>
          <t>000224000</t>
        </is>
      </c>
      <c r="D127" s="3452" t="inlineStr">
        <is>
          <t>202012</t>
        </is>
      </c>
      <c r="E127" s="3452" t="inlineStr">
        <is>
          <t>0,000000000000</t>
        </is>
      </c>
    </row>
    <row outlineLevel="0" r="128">
      <c r="A128" s="3452" t="inlineStr">
        <is>
          <t>000224000202012135500</t>
        </is>
      </c>
      <c r="B128" s="3452" t="inlineStr">
        <is>
          <t>135500</t>
        </is>
      </c>
      <c r="C128" s="3452" t="inlineStr">
        <is>
          <t>000224000</t>
        </is>
      </c>
      <c r="D128" s="3452" t="inlineStr">
        <is>
          <t>202012</t>
        </is>
      </c>
      <c r="E128" s="3452" t="inlineStr">
        <is>
          <t>0,000000000000</t>
        </is>
      </c>
    </row>
    <row outlineLevel="0" r="129">
      <c r="A129" s="3452" t="inlineStr">
        <is>
          <t>000224000202012135501</t>
        </is>
      </c>
      <c r="B129" s="3452" t="inlineStr">
        <is>
          <t>135501</t>
        </is>
      </c>
      <c r="C129" s="3452" t="inlineStr">
        <is>
          <t>000224000</t>
        </is>
      </c>
      <c r="D129" s="3452" t="inlineStr">
        <is>
          <t>202012</t>
        </is>
      </c>
      <c r="E129" s="3452" t="inlineStr">
        <is>
          <t>0,000000000000</t>
        </is>
      </c>
    </row>
    <row outlineLevel="0" r="130">
      <c r="A130" s="3452" t="inlineStr">
        <is>
          <t>000224000202012136000</t>
        </is>
      </c>
      <c r="B130" s="3452" t="inlineStr">
        <is>
          <t>136000</t>
        </is>
      </c>
      <c r="C130" s="3452" t="inlineStr">
        <is>
          <t>000224000</t>
        </is>
      </c>
      <c r="D130" s="3452" t="inlineStr">
        <is>
          <t>202012</t>
        </is>
      </c>
      <c r="E130" s="3452" t="inlineStr">
        <is>
          <t>0,000000000000</t>
        </is>
      </c>
    </row>
    <row outlineLevel="0" r="131">
      <c r="A131" s="3452" t="inlineStr">
        <is>
          <t>000224000202012136001</t>
        </is>
      </c>
      <c r="B131" s="3452" t="inlineStr">
        <is>
          <t>136001</t>
        </is>
      </c>
      <c r="C131" s="3452" t="inlineStr">
        <is>
          <t>000224000</t>
        </is>
      </c>
      <c r="D131" s="3452" t="inlineStr">
        <is>
          <t>202012</t>
        </is>
      </c>
      <c r="E131" s="3452" t="inlineStr">
        <is>
          <t>0,000000000000</t>
        </is>
      </c>
    </row>
    <row outlineLevel="0" r="132">
      <c r="A132" s="3452" t="inlineStr">
        <is>
          <t>000224000202012136500</t>
        </is>
      </c>
      <c r="B132" s="3452" t="inlineStr">
        <is>
          <t>136500</t>
        </is>
      </c>
      <c r="C132" s="3452" t="inlineStr">
        <is>
          <t>000224000</t>
        </is>
      </c>
      <c r="D132" s="3452" t="inlineStr">
        <is>
          <t>202012</t>
        </is>
      </c>
      <c r="E132" s="3452" t="inlineStr">
        <is>
          <t>0,000000000000</t>
        </is>
      </c>
    </row>
    <row outlineLevel="0" r="133">
      <c r="A133" s="3452" t="inlineStr">
        <is>
          <t>000224000202012136501</t>
        </is>
      </c>
      <c r="B133" s="3452" t="inlineStr">
        <is>
          <t>136501</t>
        </is>
      </c>
      <c r="C133" s="3452" t="inlineStr">
        <is>
          <t>000224000</t>
        </is>
      </c>
      <c r="D133" s="3452" t="inlineStr">
        <is>
          <t>202012</t>
        </is>
      </c>
      <c r="E133" s="3452" t="inlineStr">
        <is>
          <t>0,000000000000</t>
        </is>
      </c>
    </row>
    <row outlineLevel="0" r="134">
      <c r="A134" s="3452" t="inlineStr">
        <is>
          <t>000224000202012137000</t>
        </is>
      </c>
      <c r="B134" s="3452" t="inlineStr">
        <is>
          <t>137000</t>
        </is>
      </c>
      <c r="C134" s="3452" t="inlineStr">
        <is>
          <t>000224000</t>
        </is>
      </c>
      <c r="D134" s="3452" t="inlineStr">
        <is>
          <t>202012</t>
        </is>
      </c>
      <c r="E134" s="3452" t="inlineStr">
        <is>
          <t>0,000000000000</t>
        </is>
      </c>
    </row>
    <row outlineLevel="0" r="135">
      <c r="A135" s="3452" t="inlineStr">
        <is>
          <t>000224000202012137001</t>
        </is>
      </c>
      <c r="B135" s="3452" t="inlineStr">
        <is>
          <t>137001</t>
        </is>
      </c>
      <c r="C135" s="3452" t="inlineStr">
        <is>
          <t>000224000</t>
        </is>
      </c>
      <c r="D135" s="3452" t="inlineStr">
        <is>
          <t>202012</t>
        </is>
      </c>
      <c r="E135" s="3452" t="inlineStr">
        <is>
          <t>0,000000000000</t>
        </is>
      </c>
    </row>
    <row outlineLevel="0" r="136">
      <c r="A136" s="3452" t="inlineStr">
        <is>
          <t>000224000202012138001</t>
        </is>
      </c>
      <c r="B136" s="3452" t="inlineStr">
        <is>
          <t>138001</t>
        </is>
      </c>
      <c r="C136" s="3452" t="inlineStr">
        <is>
          <t>000224000</t>
        </is>
      </c>
      <c r="D136" s="3452" t="inlineStr">
        <is>
          <t>202012</t>
        </is>
      </c>
      <c r="E136" s="3452" t="inlineStr">
        <is>
          <t>0,000000000000</t>
        </is>
      </c>
    </row>
    <row outlineLevel="0" r="137">
      <c r="A137" s="3452" t="inlineStr">
        <is>
          <t>000224000202012138501</t>
        </is>
      </c>
      <c r="B137" s="3452" t="inlineStr">
        <is>
          <t>138501</t>
        </is>
      </c>
      <c r="C137" s="3452" t="inlineStr">
        <is>
          <t>000224000</t>
        </is>
      </c>
      <c r="D137" s="3452" t="inlineStr">
        <is>
          <t>202012</t>
        </is>
      </c>
      <c r="E137" s="3452" t="inlineStr">
        <is>
          <t>0,000000000000</t>
        </is>
      </c>
    </row>
    <row outlineLevel="0" r="138">
      <c r="A138" s="3452" t="inlineStr">
        <is>
          <t>000224000202012139000</t>
        </is>
      </c>
      <c r="B138" s="3452" t="inlineStr">
        <is>
          <t>139000</t>
        </is>
      </c>
      <c r="C138" s="3452" t="inlineStr">
        <is>
          <t>000224000</t>
        </is>
      </c>
      <c r="D138" s="3452" t="inlineStr">
        <is>
          <t>202012</t>
        </is>
      </c>
      <c r="E138" s="3452" t="inlineStr">
        <is>
          <t>0,000000000000</t>
        </is>
      </c>
    </row>
    <row outlineLevel="0" r="139">
      <c r="A139" s="3452" t="inlineStr">
        <is>
          <t>000224000202012139001</t>
        </is>
      </c>
      <c r="B139" s="3452" t="inlineStr">
        <is>
          <t>139001</t>
        </is>
      </c>
      <c r="C139" s="3452" t="inlineStr">
        <is>
          <t>000224000</t>
        </is>
      </c>
      <c r="D139" s="3452" t="inlineStr">
        <is>
          <t>202012</t>
        </is>
      </c>
      <c r="E139" s="3452" t="inlineStr">
        <is>
          <t>0,000000000000</t>
        </is>
      </c>
    </row>
    <row outlineLevel="0" r="140">
      <c r="A140" s="3452" t="inlineStr">
        <is>
          <t>000224000202012139500</t>
        </is>
      </c>
      <c r="B140" s="3452" t="inlineStr">
        <is>
          <t>139500</t>
        </is>
      </c>
      <c r="C140" s="3452" t="inlineStr">
        <is>
          <t>000224000</t>
        </is>
      </c>
      <c r="D140" s="3452" t="inlineStr">
        <is>
          <t>202012</t>
        </is>
      </c>
      <c r="E140" s="3452" t="inlineStr">
        <is>
          <t>0,000000000000</t>
        </is>
      </c>
    </row>
    <row outlineLevel="0" r="141">
      <c r="A141" s="3452" t="inlineStr">
        <is>
          <t>000224000202012139901</t>
        </is>
      </c>
      <c r="B141" s="3452" t="inlineStr">
        <is>
          <t>139901</t>
        </is>
      </c>
      <c r="C141" s="3452" t="inlineStr">
        <is>
          <t>000224000</t>
        </is>
      </c>
      <c r="D141" s="3452" t="inlineStr">
        <is>
          <t>202012</t>
        </is>
      </c>
      <c r="E141" s="3452" t="inlineStr">
        <is>
          <t>0,000000000000</t>
        </is>
      </c>
    </row>
    <row outlineLevel="0" r="142">
      <c r="A142" s="3452" t="inlineStr">
        <is>
          <t>000224000202012139905</t>
        </is>
      </c>
      <c r="B142" s="3452" t="inlineStr">
        <is>
          <t>139905</t>
        </is>
      </c>
      <c r="C142" s="3452" t="inlineStr">
        <is>
          <t>000224000</t>
        </is>
      </c>
      <c r="D142" s="3452" t="inlineStr">
        <is>
          <t>202012</t>
        </is>
      </c>
      <c r="E142" s="3452" t="inlineStr">
        <is>
          <t>0,000000000000</t>
        </is>
      </c>
    </row>
    <row outlineLevel="0" r="143">
      <c r="A143" s="3452" t="inlineStr">
        <is>
          <t>000224000202012140005</t>
        </is>
      </c>
      <c r="B143" s="3452" t="inlineStr">
        <is>
          <t>140005</t>
        </is>
      </c>
      <c r="C143" s="3452" t="inlineStr">
        <is>
          <t>000224000</t>
        </is>
      </c>
      <c r="D143" s="3452" t="inlineStr">
        <is>
          <t>202012</t>
        </is>
      </c>
      <c r="E143" s="3452" t="inlineStr">
        <is>
          <t>0,000000000000</t>
        </is>
      </c>
    </row>
    <row outlineLevel="0" r="144">
      <c r="A144" s="3452" t="inlineStr">
        <is>
          <t>000224000202012140010</t>
        </is>
      </c>
      <c r="B144" s="3452" t="inlineStr">
        <is>
          <t>140010</t>
        </is>
      </c>
      <c r="C144" s="3452" t="inlineStr">
        <is>
          <t>000224000</t>
        </is>
      </c>
      <c r="D144" s="3452" t="inlineStr">
        <is>
          <t>202012</t>
        </is>
      </c>
      <c r="E144" s="3452" t="inlineStr">
        <is>
          <t>0,000000000000</t>
        </is>
      </c>
    </row>
    <row outlineLevel="0" r="145">
      <c r="A145" s="3452" t="inlineStr">
        <is>
          <t>000224000202012142500</t>
        </is>
      </c>
      <c r="B145" s="3452" t="inlineStr">
        <is>
          <t>142500</t>
        </is>
      </c>
      <c r="C145" s="3452" t="inlineStr">
        <is>
          <t>000224000</t>
        </is>
      </c>
      <c r="D145" s="3452" t="inlineStr">
        <is>
          <t>202012</t>
        </is>
      </c>
      <c r="E145" s="3452" t="inlineStr">
        <is>
          <t>0,000000000000</t>
        </is>
      </c>
    </row>
    <row outlineLevel="0" r="146">
      <c r="A146" s="3452" t="inlineStr">
        <is>
          <t>000224000202012143500</t>
        </is>
      </c>
      <c r="B146" s="3452" t="inlineStr">
        <is>
          <t>143500</t>
        </is>
      </c>
      <c r="C146" s="3452" t="inlineStr">
        <is>
          <t>000224000</t>
        </is>
      </c>
      <c r="D146" s="3452" t="inlineStr">
        <is>
          <t>202012</t>
        </is>
      </c>
      <c r="E146" s="3452" t="inlineStr">
        <is>
          <t>0,000000000000</t>
        </is>
      </c>
    </row>
    <row outlineLevel="0" r="147">
      <c r="A147" s="3452" t="inlineStr">
        <is>
          <t>000224000202012145500</t>
        </is>
      </c>
      <c r="B147" s="3452" t="inlineStr">
        <is>
          <t>145500</t>
        </is>
      </c>
      <c r="C147" s="3452" t="inlineStr">
        <is>
          <t>000224000</t>
        </is>
      </c>
      <c r="D147" s="3452" t="inlineStr">
        <is>
          <t>202012</t>
        </is>
      </c>
      <c r="E147" s="3452" t="inlineStr">
        <is>
          <t>0,000000000000</t>
        </is>
      </c>
    </row>
    <row outlineLevel="0" r="148">
      <c r="A148" s="3452" t="inlineStr">
        <is>
          <t>000224000202012146000</t>
        </is>
      </c>
      <c r="B148" s="3452" t="inlineStr">
        <is>
          <t>146000</t>
        </is>
      </c>
      <c r="C148" s="3452" t="inlineStr">
        <is>
          <t>000224000</t>
        </is>
      </c>
      <c r="D148" s="3452" t="inlineStr">
        <is>
          <t>202012</t>
        </is>
      </c>
      <c r="E148" s="3452" t="inlineStr">
        <is>
          <t>0,000000000000</t>
        </is>
      </c>
    </row>
    <row outlineLevel="0" r="149">
      <c r="A149" s="3452" t="inlineStr">
        <is>
          <t>000224000202012149510</t>
        </is>
      </c>
      <c r="B149" s="3452" t="inlineStr">
        <is>
          <t>149510</t>
        </is>
      </c>
      <c r="C149" s="3452" t="inlineStr">
        <is>
          <t>000224000</t>
        </is>
      </c>
      <c r="D149" s="3452" t="inlineStr">
        <is>
          <t>202012</t>
        </is>
      </c>
      <c r="E149" s="3452" t="inlineStr">
        <is>
          <t>0,000000000000</t>
        </is>
      </c>
    </row>
    <row outlineLevel="0" r="150">
      <c r="A150" s="3452" t="inlineStr">
        <is>
          <t>000224000202012149900</t>
        </is>
      </c>
      <c r="B150" s="3452" t="inlineStr">
        <is>
          <t>149900</t>
        </is>
      </c>
      <c r="C150" s="3452" t="inlineStr">
        <is>
          <t>000224000</t>
        </is>
      </c>
      <c r="D150" s="3452" t="inlineStr">
        <is>
          <t>202012</t>
        </is>
      </c>
      <c r="E150" s="3452" t="inlineStr">
        <is>
          <t>0,000000000000</t>
        </is>
      </c>
    </row>
    <row outlineLevel="0" r="151">
      <c r="A151" s="3452" t="inlineStr">
        <is>
          <t>000224000202012149901</t>
        </is>
      </c>
      <c r="B151" s="3452" t="inlineStr">
        <is>
          <t>149901</t>
        </is>
      </c>
      <c r="C151" s="3452" t="inlineStr">
        <is>
          <t>000224000</t>
        </is>
      </c>
      <c r="D151" s="3452" t="inlineStr">
        <is>
          <t>202012</t>
        </is>
      </c>
      <c r="E151" s="3452" t="inlineStr">
        <is>
          <t>0,000000000000</t>
        </is>
      </c>
    </row>
    <row outlineLevel="0" r="152">
      <c r="A152" s="3452" t="inlineStr">
        <is>
          <t>000224000202012149902</t>
        </is>
      </c>
      <c r="B152" s="3452" t="inlineStr">
        <is>
          <t>149902</t>
        </is>
      </c>
      <c r="C152" s="3452" t="inlineStr">
        <is>
          <t>000224000</t>
        </is>
      </c>
      <c r="D152" s="3452" t="inlineStr">
        <is>
          <t>202012</t>
        </is>
      </c>
      <c r="E152" s="3452" t="inlineStr">
        <is>
          <t>0,000000000000</t>
        </is>
      </c>
    </row>
    <row outlineLevel="0" r="153">
      <c r="A153" s="3452" t="inlineStr">
        <is>
          <t>000224000202012149910</t>
        </is>
      </c>
      <c r="B153" s="3452" t="inlineStr">
        <is>
          <t>149910</t>
        </is>
      </c>
      <c r="C153" s="3452" t="inlineStr">
        <is>
          <t>000224000</t>
        </is>
      </c>
      <c r="D153" s="3452" t="inlineStr">
        <is>
          <t>202012</t>
        </is>
      </c>
      <c r="E153" s="3452" t="inlineStr">
        <is>
          <t>0,000000000000</t>
        </is>
      </c>
    </row>
    <row outlineLevel="0" r="154">
      <c r="A154" s="3452" t="inlineStr">
        <is>
          <t>000224000202012151201</t>
        </is>
      </c>
      <c r="B154" s="3452" t="inlineStr">
        <is>
          <t>151201</t>
        </is>
      </c>
      <c r="C154" s="3452" t="inlineStr">
        <is>
          <t>000224000</t>
        </is>
      </c>
      <c r="D154" s="3452" t="inlineStr">
        <is>
          <t>202012</t>
        </is>
      </c>
      <c r="E154" s="3452" t="inlineStr">
        <is>
          <t>0,000000000000</t>
        </is>
      </c>
    </row>
    <row outlineLevel="0" r="155">
      <c r="A155" s="3452" t="inlineStr">
        <is>
          <t>000224000202012155601</t>
        </is>
      </c>
      <c r="B155" s="3452" t="inlineStr">
        <is>
          <t>155601</t>
        </is>
      </c>
      <c r="C155" s="3452" t="inlineStr">
        <is>
          <t>000224000</t>
        </is>
      </c>
      <c r="D155" s="3452" t="inlineStr">
        <is>
          <t>202012</t>
        </is>
      </c>
      <c r="E155" s="3452" t="inlineStr">
        <is>
          <t>0,000000000000</t>
        </is>
      </c>
    </row>
    <row outlineLevel="0" r="156">
      <c r="A156" s="3452" t="inlineStr">
        <is>
          <t>000224000202012156001</t>
        </is>
      </c>
      <c r="B156" s="3452" t="inlineStr">
        <is>
          <t>156001</t>
        </is>
      </c>
      <c r="C156" s="3452" t="inlineStr">
        <is>
          <t>000224000</t>
        </is>
      </c>
      <c r="D156" s="3452" t="inlineStr">
        <is>
          <t>202012</t>
        </is>
      </c>
      <c r="E156" s="3452" t="inlineStr">
        <is>
          <t>0,000000000000</t>
        </is>
      </c>
    </row>
    <row outlineLevel="0" r="157">
      <c r="A157" s="3452" t="inlineStr">
        <is>
          <t>000224000202012156401</t>
        </is>
      </c>
      <c r="B157" s="3452" t="inlineStr">
        <is>
          <t>156401</t>
        </is>
      </c>
      <c r="C157" s="3452" t="inlineStr">
        <is>
          <t>000224000</t>
        </is>
      </c>
      <c r="D157" s="3452" t="inlineStr">
        <is>
          <t>202012</t>
        </is>
      </c>
      <c r="E157" s="3452" t="inlineStr">
        <is>
          <t>0,000000000000</t>
        </is>
      </c>
    </row>
    <row outlineLevel="0" r="158">
      <c r="A158" s="3452" t="inlineStr">
        <is>
          <t>000224000202012157201</t>
        </is>
      </c>
      <c r="B158" s="3452" t="inlineStr">
        <is>
          <t>157201</t>
        </is>
      </c>
      <c r="C158" s="3452" t="inlineStr">
        <is>
          <t>000224000</t>
        </is>
      </c>
      <c r="D158" s="3452" t="inlineStr">
        <is>
          <t>202012</t>
        </is>
      </c>
      <c r="E158" s="3452" t="inlineStr">
        <is>
          <t>0,000000000000</t>
        </is>
      </c>
    </row>
    <row outlineLevel="0" r="159">
      <c r="A159" s="3452" t="inlineStr">
        <is>
          <t>000224000202012157601</t>
        </is>
      </c>
      <c r="B159" s="3452" t="inlineStr">
        <is>
          <t>157601</t>
        </is>
      </c>
      <c r="C159" s="3452" t="inlineStr">
        <is>
          <t>000224000</t>
        </is>
      </c>
      <c r="D159" s="3452" t="inlineStr">
        <is>
          <t>202012</t>
        </is>
      </c>
      <c r="E159" s="3452" t="inlineStr">
        <is>
          <t>0,000000000000</t>
        </is>
      </c>
    </row>
    <row outlineLevel="0" r="160">
      <c r="A160" s="3452" t="inlineStr">
        <is>
          <t>000224000202012158401</t>
        </is>
      </c>
      <c r="B160" s="3452" t="inlineStr">
        <is>
          <t>158401</t>
        </is>
      </c>
      <c r="C160" s="3452" t="inlineStr">
        <is>
          <t>000224000</t>
        </is>
      </c>
      <c r="D160" s="3452" t="inlineStr">
        <is>
          <t>202012</t>
        </is>
      </c>
      <c r="E160" s="3452" t="inlineStr">
        <is>
          <t>0,000000000000</t>
        </is>
      </c>
    </row>
    <row outlineLevel="0" r="161">
      <c r="A161" s="3452" t="inlineStr">
        <is>
          <t>000224000202012158801</t>
        </is>
      </c>
      <c r="B161" s="3452" t="inlineStr">
        <is>
          <t>158801</t>
        </is>
      </c>
      <c r="C161" s="3452" t="inlineStr">
        <is>
          <t>000224000</t>
        </is>
      </c>
      <c r="D161" s="3452" t="inlineStr">
        <is>
          <t>202012</t>
        </is>
      </c>
      <c r="E161" s="3452" t="inlineStr">
        <is>
          <t>0,000000000000</t>
        </is>
      </c>
    </row>
    <row outlineLevel="0" r="162">
      <c r="A162" s="3452" t="inlineStr">
        <is>
          <t>000224000202012159701</t>
        </is>
      </c>
      <c r="B162" s="3452" t="inlineStr">
        <is>
          <t>159701</t>
        </is>
      </c>
      <c r="C162" s="3452" t="inlineStr">
        <is>
          <t>000224000</t>
        </is>
      </c>
      <c r="D162" s="3452" t="inlineStr">
        <is>
          <t>202012</t>
        </is>
      </c>
      <c r="E162" s="3452" t="inlineStr">
        <is>
          <t>0,000000000000</t>
        </is>
      </c>
    </row>
    <row outlineLevel="0" r="163">
      <c r="A163" s="3452" t="inlineStr">
        <is>
          <t>000224000202012159899</t>
        </is>
      </c>
      <c r="B163" s="3452" t="inlineStr">
        <is>
          <t>159899</t>
        </is>
      </c>
      <c r="C163" s="3452" t="inlineStr">
        <is>
          <t>000224000</t>
        </is>
      </c>
      <c r="D163" s="3452" t="inlineStr">
        <is>
          <t>202012</t>
        </is>
      </c>
      <c r="E163" s="3452" t="inlineStr">
        <is>
          <t>0,000000000000</t>
        </is>
      </c>
    </row>
    <row outlineLevel="0" r="164">
      <c r="A164" s="3452" t="inlineStr">
        <is>
          <t>000224000202012159901</t>
        </is>
      </c>
      <c r="B164" s="3452" t="inlineStr">
        <is>
          <t>159901</t>
        </is>
      </c>
      <c r="C164" s="3452" t="inlineStr">
        <is>
          <t>000224000</t>
        </is>
      </c>
      <c r="D164" s="3452" t="inlineStr">
        <is>
          <t>202012</t>
        </is>
      </c>
      <c r="E164" s="3452" t="inlineStr">
        <is>
          <t>0,000000000000</t>
        </is>
      </c>
    </row>
    <row outlineLevel="0" r="165">
      <c r="A165" s="3452" t="inlineStr">
        <is>
          <t>000224000202012160501</t>
        </is>
      </c>
      <c r="B165" s="3452" t="inlineStr">
        <is>
          <t>160501</t>
        </is>
      </c>
      <c r="C165" s="3452" t="inlineStr">
        <is>
          <t>000224000</t>
        </is>
      </c>
      <c r="D165" s="3452" t="inlineStr">
        <is>
          <t>202012</t>
        </is>
      </c>
      <c r="E165" s="3452" t="inlineStr">
        <is>
          <t>0,000000000000</t>
        </is>
      </c>
    </row>
    <row outlineLevel="0" r="166">
      <c r="A166" s="3452" t="inlineStr">
        <is>
          <t>000224000202012161001</t>
        </is>
      </c>
      <c r="B166" s="3452" t="inlineStr">
        <is>
          <t>161001</t>
        </is>
      </c>
      <c r="C166" s="3452" t="inlineStr">
        <is>
          <t>000224000</t>
        </is>
      </c>
      <c r="D166" s="3452" t="inlineStr">
        <is>
          <t>202012</t>
        </is>
      </c>
      <c r="E166" s="3452" t="inlineStr">
        <is>
          <t>0,000000000000</t>
        </is>
      </c>
    </row>
    <row outlineLevel="0" r="167">
      <c r="A167" s="3452" t="inlineStr">
        <is>
          <t>000224000202012163001</t>
        </is>
      </c>
      <c r="B167" s="3452" t="inlineStr">
        <is>
          <t>163001</t>
        </is>
      </c>
      <c r="C167" s="3452" t="inlineStr">
        <is>
          <t>000224000</t>
        </is>
      </c>
      <c r="D167" s="3452" t="inlineStr">
        <is>
          <t>202012</t>
        </is>
      </c>
      <c r="E167" s="3452" t="inlineStr">
        <is>
          <t>0,000000000000</t>
        </is>
      </c>
    </row>
    <row outlineLevel="0" r="168">
      <c r="A168" s="3452" t="inlineStr">
        <is>
          <t>000224000202012164001</t>
        </is>
      </c>
      <c r="B168" s="3452" t="inlineStr">
        <is>
          <t>164001</t>
        </is>
      </c>
      <c r="C168" s="3452" t="inlineStr">
        <is>
          <t>000224000</t>
        </is>
      </c>
      <c r="D168" s="3452" t="inlineStr">
        <is>
          <t>202012</t>
        </is>
      </c>
      <c r="E168" s="3452" t="inlineStr">
        <is>
          <t>0,000000000000</t>
        </is>
      </c>
    </row>
    <row outlineLevel="0" r="169">
      <c r="A169" s="3452" t="inlineStr">
        <is>
          <t>000224000202012169899</t>
        </is>
      </c>
      <c r="B169" s="3452" t="inlineStr">
        <is>
          <t>169899</t>
        </is>
      </c>
      <c r="C169" s="3452" t="inlineStr">
        <is>
          <t>000224000</t>
        </is>
      </c>
      <c r="D169" s="3452" t="inlineStr">
        <is>
          <t>202012</t>
        </is>
      </c>
      <c r="E169" s="3452" t="inlineStr">
        <is>
          <t>0,000000000000</t>
        </is>
      </c>
    </row>
    <row outlineLevel="0" r="170">
      <c r="A170" s="3452" t="inlineStr">
        <is>
          <t>000224000202012169901</t>
        </is>
      </c>
      <c r="B170" s="3452" t="inlineStr">
        <is>
          <t>169901</t>
        </is>
      </c>
      <c r="C170" s="3452" t="inlineStr">
        <is>
          <t>000224000</t>
        </is>
      </c>
      <c r="D170" s="3452" t="inlineStr">
        <is>
          <t>202012</t>
        </is>
      </c>
      <c r="E170" s="3452" t="inlineStr">
        <is>
          <t>0,000000000000</t>
        </is>
      </c>
    </row>
    <row outlineLevel="0" r="171">
      <c r="A171" s="3452" t="inlineStr">
        <is>
          <t>000224000202012170500</t>
        </is>
      </c>
      <c r="B171" s="3452" t="inlineStr">
        <is>
          <t>170500</t>
        </is>
      </c>
      <c r="C171" s="3452" t="inlineStr">
        <is>
          <t>000224000</t>
        </is>
      </c>
      <c r="D171" s="3452" t="inlineStr">
        <is>
          <t>202012</t>
        </is>
      </c>
      <c r="E171" s="3452" t="inlineStr">
        <is>
          <t>0,000000000000</t>
        </is>
      </c>
    </row>
    <row outlineLevel="0" r="172">
      <c r="A172" s="3452" t="inlineStr">
        <is>
          <t>000224000202012171000</t>
        </is>
      </c>
      <c r="B172" s="3452" t="inlineStr">
        <is>
          <t>171000</t>
        </is>
      </c>
      <c r="C172" s="3452" t="inlineStr">
        <is>
          <t>000224000</t>
        </is>
      </c>
      <c r="D172" s="3452" t="inlineStr">
        <is>
          <t>202012</t>
        </is>
      </c>
      <c r="E172" s="3452" t="inlineStr">
        <is>
          <t>0,000000000000</t>
        </is>
      </c>
    </row>
    <row outlineLevel="0" r="173">
      <c r="A173" s="3452" t="inlineStr">
        <is>
          <t>000224000202012173000</t>
        </is>
      </c>
      <c r="B173" s="3452" t="inlineStr">
        <is>
          <t>173000</t>
        </is>
      </c>
      <c r="C173" s="3452" t="inlineStr">
        <is>
          <t>000224000</t>
        </is>
      </c>
      <c r="D173" s="3452" t="inlineStr">
        <is>
          <t>202012</t>
        </is>
      </c>
      <c r="E173" s="3452" t="inlineStr">
        <is>
          <t>0,000000000000</t>
        </is>
      </c>
    </row>
    <row outlineLevel="0" r="174">
      <c r="A174" s="3452" t="inlineStr">
        <is>
          <t>000224000202012173001</t>
        </is>
      </c>
      <c r="B174" s="3452" t="inlineStr">
        <is>
          <t>173001</t>
        </is>
      </c>
      <c r="C174" s="3452" t="inlineStr">
        <is>
          <t>000224000</t>
        </is>
      </c>
      <c r="D174" s="3452" t="inlineStr">
        <is>
          <t>202012</t>
        </is>
      </c>
      <c r="E174" s="3452" t="inlineStr">
        <is>
          <t>0,000000000000</t>
        </is>
      </c>
    </row>
    <row outlineLevel="0" r="175">
      <c r="A175" s="3452" t="inlineStr">
        <is>
          <t>000224000202012179500</t>
        </is>
      </c>
      <c r="B175" s="3452" t="inlineStr">
        <is>
          <t>179500</t>
        </is>
      </c>
      <c r="C175" s="3452" t="inlineStr">
        <is>
          <t>000224000</t>
        </is>
      </c>
      <c r="D175" s="3452" t="inlineStr">
        <is>
          <t>202012</t>
        </is>
      </c>
      <c r="E175" s="3452" t="inlineStr">
        <is>
          <t>0,000000000000</t>
        </is>
      </c>
    </row>
    <row outlineLevel="0" r="176">
      <c r="A176" s="3452" t="inlineStr">
        <is>
          <t>000224000202012179700</t>
        </is>
      </c>
      <c r="B176" s="3452" t="inlineStr">
        <is>
          <t>179700</t>
        </is>
      </c>
      <c r="C176" s="3452" t="inlineStr">
        <is>
          <t>000224000</t>
        </is>
      </c>
      <c r="D176" s="3452" t="inlineStr">
        <is>
          <t>202012</t>
        </is>
      </c>
      <c r="E176" s="3452" t="inlineStr">
        <is>
          <t>0,000000000000</t>
        </is>
      </c>
    </row>
    <row outlineLevel="0" r="177">
      <c r="A177" s="3452" t="inlineStr">
        <is>
          <t>000224000202012179701</t>
        </is>
      </c>
      <c r="B177" s="3452" t="inlineStr">
        <is>
          <t>179701</t>
        </is>
      </c>
      <c r="C177" s="3452" t="inlineStr">
        <is>
          <t>000224000</t>
        </is>
      </c>
      <c r="D177" s="3452" t="inlineStr">
        <is>
          <t>202012</t>
        </is>
      </c>
      <c r="E177" s="3452" t="inlineStr">
        <is>
          <t>0,000000000000</t>
        </is>
      </c>
    </row>
    <row outlineLevel="0" r="178">
      <c r="A178" s="3452" t="inlineStr">
        <is>
          <t>000224000202012179801</t>
        </is>
      </c>
      <c r="B178" s="3452" t="inlineStr">
        <is>
          <t>179801</t>
        </is>
      </c>
      <c r="C178" s="3452" t="inlineStr">
        <is>
          <t>000224000</t>
        </is>
      </c>
      <c r="D178" s="3452" t="inlineStr">
        <is>
          <t>202012</t>
        </is>
      </c>
      <c r="E178" s="3452" t="inlineStr">
        <is>
          <t>0,000000000000</t>
        </is>
      </c>
    </row>
    <row outlineLevel="0" r="179">
      <c r="A179" s="3452" t="inlineStr">
        <is>
          <t>000224000202012180000</t>
        </is>
      </c>
      <c r="B179" s="3452" t="inlineStr">
        <is>
          <t>180000</t>
        </is>
      </c>
      <c r="C179" s="3452" t="inlineStr">
        <is>
          <t>000224000</t>
        </is>
      </c>
      <c r="D179" s="3452" t="inlineStr">
        <is>
          <t>202012</t>
        </is>
      </c>
      <c r="E179" s="3452" t="inlineStr">
        <is>
          <t>0,000000000000</t>
        </is>
      </c>
    </row>
    <row outlineLevel="0" r="180">
      <c r="A180" s="3452" t="inlineStr">
        <is>
          <t>000224000202012180501</t>
        </is>
      </c>
      <c r="B180" s="3452" t="inlineStr">
        <is>
          <t>180501</t>
        </is>
      </c>
      <c r="C180" s="3452" t="inlineStr">
        <is>
          <t>000224000</t>
        </is>
      </c>
      <c r="D180" s="3452" t="inlineStr">
        <is>
          <t>202012</t>
        </is>
      </c>
      <c r="E180" s="3452" t="inlineStr">
        <is>
          <t>0,000000000000</t>
        </is>
      </c>
    </row>
    <row outlineLevel="0" r="181">
      <c r="A181" s="3452" t="inlineStr">
        <is>
          <t>000224000202012181000</t>
        </is>
      </c>
      <c r="B181" s="3452" t="inlineStr">
        <is>
          <t>181000</t>
        </is>
      </c>
      <c r="C181" s="3452" t="inlineStr">
        <is>
          <t>000224000</t>
        </is>
      </c>
      <c r="D181" s="3452" t="inlineStr">
        <is>
          <t>202012</t>
        </is>
      </c>
      <c r="E181" s="3452" t="inlineStr">
        <is>
          <t>0,000000000000</t>
        </is>
      </c>
    </row>
    <row outlineLevel="0" r="182">
      <c r="A182" s="3452" t="inlineStr">
        <is>
          <t>000224000202012189500</t>
        </is>
      </c>
      <c r="B182" s="3452" t="inlineStr">
        <is>
          <t>189500</t>
        </is>
      </c>
      <c r="C182" s="3452" t="inlineStr">
        <is>
          <t>000224000</t>
        </is>
      </c>
      <c r="D182" s="3452" t="inlineStr">
        <is>
          <t>202012</t>
        </is>
      </c>
      <c r="E182" s="3452" t="inlineStr">
        <is>
          <t>0,000000000000</t>
        </is>
      </c>
    </row>
    <row outlineLevel="0" r="183">
      <c r="A183" s="3452" t="inlineStr">
        <is>
          <t>000224000202012189501</t>
        </is>
      </c>
      <c r="B183" s="3452" t="inlineStr">
        <is>
          <t>189501</t>
        </is>
      </c>
      <c r="C183" s="3452" t="inlineStr">
        <is>
          <t>000224000</t>
        </is>
      </c>
      <c r="D183" s="3452" t="inlineStr">
        <is>
          <t>202012</t>
        </is>
      </c>
      <c r="E183" s="3452" t="inlineStr">
        <is>
          <t>0,000000000000</t>
        </is>
      </c>
    </row>
    <row outlineLevel="0" r="184">
      <c r="A184" s="3452" t="inlineStr">
        <is>
          <t>000224000202012189520</t>
        </is>
      </c>
      <c r="B184" s="3452" t="inlineStr">
        <is>
          <t>189520</t>
        </is>
      </c>
      <c r="C184" s="3452" t="inlineStr">
        <is>
          <t>000224000</t>
        </is>
      </c>
      <c r="D184" s="3452" t="inlineStr">
        <is>
          <t>202012</t>
        </is>
      </c>
      <c r="E184" s="3452" t="inlineStr">
        <is>
          <t>0,000000000000</t>
        </is>
      </c>
    </row>
    <row outlineLevel="0" r="185">
      <c r="A185" s="3452" t="inlineStr">
        <is>
          <t>000224000202012189701</t>
        </is>
      </c>
      <c r="B185" s="3452" t="inlineStr">
        <is>
          <t>189701</t>
        </is>
      </c>
      <c r="C185" s="3452" t="inlineStr">
        <is>
          <t>000224000</t>
        </is>
      </c>
      <c r="D185" s="3452" t="inlineStr">
        <is>
          <t>202012</t>
        </is>
      </c>
      <c r="E185" s="3452" t="inlineStr">
        <is>
          <t>0,000000000000</t>
        </is>
      </c>
    </row>
    <row outlineLevel="0" r="186">
      <c r="A186" s="3452" t="inlineStr">
        <is>
          <t>000224000202012189901</t>
        </is>
      </c>
      <c r="B186" s="3452" t="inlineStr">
        <is>
          <t>189901</t>
        </is>
      </c>
      <c r="C186" s="3452" t="inlineStr">
        <is>
          <t>000224000</t>
        </is>
      </c>
      <c r="D186" s="3452" t="inlineStr">
        <is>
          <t>202012</t>
        </is>
      </c>
      <c r="E186" s="3452" t="inlineStr">
        <is>
          <t>0,000000000000</t>
        </is>
      </c>
    </row>
    <row outlineLevel="0" r="187">
      <c r="A187" s="3452" t="inlineStr">
        <is>
          <t>000224000202012190000</t>
        </is>
      </c>
      <c r="B187" s="3452" t="inlineStr">
        <is>
          <t>190000</t>
        </is>
      </c>
      <c r="C187" s="3452" t="inlineStr">
        <is>
          <t>000224000</t>
        </is>
      </c>
      <c r="D187" s="3452" t="inlineStr">
        <is>
          <t>202012</t>
        </is>
      </c>
      <c r="E187" s="3452" t="inlineStr">
        <is>
          <t>0,000000000000</t>
        </is>
      </c>
    </row>
    <row outlineLevel="0" r="188">
      <c r="A188" s="3452" t="inlineStr">
        <is>
          <t>000224000202012190501</t>
        </is>
      </c>
      <c r="B188" s="3452" t="inlineStr">
        <is>
          <t>190501</t>
        </is>
      </c>
      <c r="C188" s="3452" t="inlineStr">
        <is>
          <t>000224000</t>
        </is>
      </c>
      <c r="D188" s="3452" t="inlineStr">
        <is>
          <t>202012</t>
        </is>
      </c>
      <c r="E188" s="3452" t="inlineStr">
        <is>
          <t>0,000000000000</t>
        </is>
      </c>
    </row>
    <row outlineLevel="0" r="189">
      <c r="A189" s="3452" t="inlineStr">
        <is>
          <t>000224000202012191001</t>
        </is>
      </c>
      <c r="B189" s="3452" t="inlineStr">
        <is>
          <t>191001</t>
        </is>
      </c>
      <c r="C189" s="3452" t="inlineStr">
        <is>
          <t>000224000</t>
        </is>
      </c>
      <c r="D189" s="3452" t="inlineStr">
        <is>
          <t>202012</t>
        </is>
      </c>
      <c r="E189" s="3452" t="inlineStr">
        <is>
          <t>0,000000000000</t>
        </is>
      </c>
    </row>
    <row outlineLevel="0" r="190">
      <c r="A190" s="3452" t="inlineStr">
        <is>
          <t>000224000202012199501</t>
        </is>
      </c>
      <c r="B190" s="3452" t="inlineStr">
        <is>
          <t>199501</t>
        </is>
      </c>
      <c r="C190" s="3452" t="inlineStr">
        <is>
          <t>000224000</t>
        </is>
      </c>
      <c r="D190" s="3452" t="inlineStr">
        <is>
          <t>202012</t>
        </is>
      </c>
      <c r="E190" s="3452" t="inlineStr">
        <is>
          <t>0,000000000000</t>
        </is>
      </c>
    </row>
    <row outlineLevel="0" r="191">
      <c r="A191" s="3452" t="inlineStr">
        <is>
          <t>000224000202012210500</t>
        </is>
      </c>
      <c r="B191" s="3452" t="inlineStr">
        <is>
          <t>210500</t>
        </is>
      </c>
      <c r="C191" s="3452" t="inlineStr">
        <is>
          <t>000224000</t>
        </is>
      </c>
      <c r="D191" s="3452" t="inlineStr">
        <is>
          <t>202012</t>
        </is>
      </c>
      <c r="E191" s="3452" t="inlineStr">
        <is>
          <t>200000,000000000000</t>
        </is>
      </c>
    </row>
    <row outlineLevel="0" r="192">
      <c r="A192" s="3452" t="inlineStr">
        <is>
          <t>000224000202012210501</t>
        </is>
      </c>
      <c r="B192" s="3452" t="inlineStr">
        <is>
          <t>210501</t>
        </is>
      </c>
      <c r="C192" s="3452" t="inlineStr">
        <is>
          <t>000224000</t>
        </is>
      </c>
      <c r="D192" s="3452" t="inlineStr">
        <is>
          <t>202012</t>
        </is>
      </c>
      <c r="E192" s="3452" t="inlineStr">
        <is>
          <t>0,000000000000</t>
        </is>
      </c>
    </row>
    <row outlineLevel="0" r="193">
      <c r="A193" s="3452" t="inlineStr">
        <is>
          <t>000224000202012211001</t>
        </is>
      </c>
      <c r="B193" s="3452" t="inlineStr">
        <is>
          <t>211001</t>
        </is>
      </c>
      <c r="C193" s="3452" t="inlineStr">
        <is>
          <t>000224000</t>
        </is>
      </c>
      <c r="D193" s="3452" t="inlineStr">
        <is>
          <t>202012</t>
        </is>
      </c>
      <c r="E193" s="3452" t="inlineStr">
        <is>
          <t>0,000000000000</t>
        </is>
      </c>
    </row>
    <row outlineLevel="0" r="194">
      <c r="A194" s="3452" t="inlineStr">
        <is>
          <t>000224000202012211500</t>
        </is>
      </c>
      <c r="B194" s="3452" t="inlineStr">
        <is>
          <t>211500</t>
        </is>
      </c>
      <c r="C194" s="3452" t="inlineStr">
        <is>
          <t>000224000</t>
        </is>
      </c>
      <c r="D194" s="3452" t="inlineStr">
        <is>
          <t>202012</t>
        </is>
      </c>
      <c r="E194" s="3452" t="inlineStr">
        <is>
          <t>0,000000000000</t>
        </is>
      </c>
    </row>
    <row outlineLevel="0" r="195">
      <c r="A195" s="3452" t="inlineStr">
        <is>
          <t>000224000202012219500</t>
        </is>
      </c>
      <c r="B195" s="3452" t="inlineStr">
        <is>
          <t>219500</t>
        </is>
      </c>
      <c r="C195" s="3452" t="inlineStr">
        <is>
          <t>000224000</t>
        </is>
      </c>
      <c r="D195" s="3452" t="inlineStr">
        <is>
          <t>202012</t>
        </is>
      </c>
      <c r="E195" s="3452" t="inlineStr">
        <is>
          <t>0,000000000000</t>
        </is>
      </c>
    </row>
    <row outlineLevel="0" r="196">
      <c r="A196" s="3452" t="inlineStr">
        <is>
          <t>000224000202012220500</t>
        </is>
      </c>
      <c r="B196" s="3452" t="inlineStr">
        <is>
          <t>220500</t>
        </is>
      </c>
      <c r="C196" s="3452" t="inlineStr">
        <is>
          <t>000224000</t>
        </is>
      </c>
      <c r="D196" s="3452" t="inlineStr">
        <is>
          <t>202012</t>
        </is>
      </c>
      <c r="E196" s="3452" t="inlineStr">
        <is>
          <t>0,000000000000</t>
        </is>
      </c>
    </row>
    <row outlineLevel="0" r="197">
      <c r="A197" s="3452" t="inlineStr">
        <is>
          <t>000224000202012220501</t>
        </is>
      </c>
      <c r="B197" s="3452" t="inlineStr">
        <is>
          <t>220501</t>
        </is>
      </c>
      <c r="C197" s="3452" t="inlineStr">
        <is>
          <t>000224000</t>
        </is>
      </c>
      <c r="D197" s="3452" t="inlineStr">
        <is>
          <t>202012</t>
        </is>
      </c>
      <c r="E197" s="3452" t="inlineStr">
        <is>
          <t>0,000000000000</t>
        </is>
      </c>
    </row>
    <row outlineLevel="0" r="198">
      <c r="A198" s="3452" t="inlineStr">
        <is>
          <t>000224000202012221000</t>
        </is>
      </c>
      <c r="B198" s="3452" t="inlineStr">
        <is>
          <t>221000</t>
        </is>
      </c>
      <c r="C198" s="3452" t="inlineStr">
        <is>
          <t>000224000</t>
        </is>
      </c>
      <c r="D198" s="3452" t="inlineStr">
        <is>
          <t>202012</t>
        </is>
      </c>
      <c r="E198" s="3452" t="inlineStr">
        <is>
          <t>0,000000000000</t>
        </is>
      </c>
    </row>
    <row outlineLevel="0" r="199">
      <c r="A199" s="3452" t="inlineStr">
        <is>
          <t>000224000202012221001</t>
        </is>
      </c>
      <c r="B199" s="3452" t="inlineStr">
        <is>
          <t>221001</t>
        </is>
      </c>
      <c r="C199" s="3452" t="inlineStr">
        <is>
          <t>000224000</t>
        </is>
      </c>
      <c r="D199" s="3452" t="inlineStr">
        <is>
          <t>202012</t>
        </is>
      </c>
      <c r="E199" s="3452" t="inlineStr">
        <is>
          <t>0,000000000000</t>
        </is>
      </c>
    </row>
    <row outlineLevel="0" r="200">
      <c r="A200" s="3452" t="inlineStr">
        <is>
          <t>000224000202012221500</t>
        </is>
      </c>
      <c r="B200" s="3452" t="inlineStr">
        <is>
          <t>221500</t>
        </is>
      </c>
      <c r="C200" s="3452" t="inlineStr">
        <is>
          <t>000224000</t>
        </is>
      </c>
      <c r="D200" s="3452" t="inlineStr">
        <is>
          <t>202012</t>
        </is>
      </c>
      <c r="E200" s="3452" t="inlineStr">
        <is>
          <t>0,000000000000</t>
        </is>
      </c>
    </row>
    <row outlineLevel="0" r="201">
      <c r="A201" s="3452" t="inlineStr">
        <is>
          <t>000224000202012230500</t>
        </is>
      </c>
      <c r="B201" s="3452" t="inlineStr">
        <is>
          <t>230500</t>
        </is>
      </c>
      <c r="C201" s="3452" t="inlineStr">
        <is>
          <t>000224000</t>
        </is>
      </c>
      <c r="D201" s="3452" t="inlineStr">
        <is>
          <t>202012</t>
        </is>
      </c>
      <c r="E201" s="3452" t="inlineStr">
        <is>
          <t>0,000000000000</t>
        </is>
      </c>
    </row>
    <row outlineLevel="0" r="202">
      <c r="A202" s="3452" t="inlineStr">
        <is>
          <t>000224000202012230501</t>
        </is>
      </c>
      <c r="B202" s="3452" t="inlineStr">
        <is>
          <t>230501</t>
        </is>
      </c>
      <c r="C202" s="3452" t="inlineStr">
        <is>
          <t>000224000</t>
        </is>
      </c>
      <c r="D202" s="3452" t="inlineStr">
        <is>
          <t>202012</t>
        </is>
      </c>
      <c r="E202" s="3452" t="inlineStr">
        <is>
          <t>0,000000000000</t>
        </is>
      </c>
    </row>
    <row outlineLevel="0" r="203">
      <c r="A203" s="3452" t="inlineStr">
        <is>
          <t>000224000202012231000</t>
        </is>
      </c>
      <c r="B203" s="3452" t="inlineStr">
        <is>
          <t>231000</t>
        </is>
      </c>
      <c r="C203" s="3452" t="inlineStr">
        <is>
          <t>000224000</t>
        </is>
      </c>
      <c r="D203" s="3452" t="inlineStr">
        <is>
          <t>202012</t>
        </is>
      </c>
      <c r="E203" s="3452" t="inlineStr">
        <is>
          <t>0,000000000000</t>
        </is>
      </c>
    </row>
    <row outlineLevel="0" r="204">
      <c r="A204" s="3452" t="inlineStr">
        <is>
          <t>000224000202012231001</t>
        </is>
      </c>
      <c r="B204" s="3452" t="inlineStr">
        <is>
          <t>231001</t>
        </is>
      </c>
      <c r="C204" s="3452" t="inlineStr">
        <is>
          <t>000224000</t>
        </is>
      </c>
      <c r="D204" s="3452" t="inlineStr">
        <is>
          <t>202012</t>
        </is>
      </c>
      <c r="E204" s="3452" t="inlineStr">
        <is>
          <t>0,000000000000</t>
        </is>
      </c>
    </row>
    <row outlineLevel="0" r="205">
      <c r="A205" s="3452" t="inlineStr">
        <is>
          <t>000224000202012231500</t>
        </is>
      </c>
      <c r="B205" s="3452" t="inlineStr">
        <is>
          <t>231500</t>
        </is>
      </c>
      <c r="C205" s="3452" t="inlineStr">
        <is>
          <t>000224000</t>
        </is>
      </c>
      <c r="D205" s="3452" t="inlineStr">
        <is>
          <t>202012</t>
        </is>
      </c>
      <c r="E205" s="3452" t="inlineStr">
        <is>
          <t>0,000000000000</t>
        </is>
      </c>
    </row>
    <row outlineLevel="0" r="206">
      <c r="A206" s="3452" t="inlineStr">
        <is>
          <t>000224000202012231501</t>
        </is>
      </c>
      <c r="B206" s="3452" t="inlineStr">
        <is>
          <t>231501</t>
        </is>
      </c>
      <c r="C206" s="3452" t="inlineStr">
        <is>
          <t>000224000</t>
        </is>
      </c>
      <c r="D206" s="3452" t="inlineStr">
        <is>
          <t>202012</t>
        </is>
      </c>
      <c r="E206" s="3452" t="inlineStr">
        <is>
          <t>0,000000000000</t>
        </is>
      </c>
    </row>
    <row outlineLevel="0" r="207">
      <c r="A207" s="3452" t="inlineStr">
        <is>
          <t>000224000202012232000</t>
        </is>
      </c>
      <c r="B207" s="3452" t="inlineStr">
        <is>
          <t>232000</t>
        </is>
      </c>
      <c r="C207" s="3452" t="inlineStr">
        <is>
          <t>000224000</t>
        </is>
      </c>
      <c r="D207" s="3452" t="inlineStr">
        <is>
          <t>202012</t>
        </is>
      </c>
      <c r="E207" s="3452" t="inlineStr">
        <is>
          <t>0,000000000000</t>
        </is>
      </c>
    </row>
    <row outlineLevel="0" r="208">
      <c r="A208" s="3452" t="inlineStr">
        <is>
          <t>000224000202012232001</t>
        </is>
      </c>
      <c r="B208" s="3452" t="inlineStr">
        <is>
          <t>232001</t>
        </is>
      </c>
      <c r="C208" s="3452" t="inlineStr">
        <is>
          <t>000224000</t>
        </is>
      </c>
      <c r="D208" s="3452" t="inlineStr">
        <is>
          <t>202012</t>
        </is>
      </c>
      <c r="E208" s="3452" t="inlineStr">
        <is>
          <t>0,000000000000</t>
        </is>
      </c>
    </row>
    <row outlineLevel="0" r="209">
      <c r="A209" s="3452" t="inlineStr">
        <is>
          <t>000224000202012233500</t>
        </is>
      </c>
      <c r="B209" s="3452" t="inlineStr">
        <is>
          <t>233500</t>
        </is>
      </c>
      <c r="C209" s="3452" t="inlineStr">
        <is>
          <t>000224000</t>
        </is>
      </c>
      <c r="D209" s="3452" t="inlineStr">
        <is>
          <t>202012</t>
        </is>
      </c>
      <c r="E209" s="3452" t="inlineStr">
        <is>
          <t>0,000000000000</t>
        </is>
      </c>
    </row>
    <row outlineLevel="0" r="210">
      <c r="A210" s="3452" t="inlineStr">
        <is>
          <t>000224000202012233501</t>
        </is>
      </c>
      <c r="B210" s="3452" t="inlineStr">
        <is>
          <t>233501</t>
        </is>
      </c>
      <c r="C210" s="3452" t="inlineStr">
        <is>
          <t>000224000</t>
        </is>
      </c>
      <c r="D210" s="3452" t="inlineStr">
        <is>
          <t>202012</t>
        </is>
      </c>
      <c r="E210" s="3452" t="inlineStr">
        <is>
          <t>0,000000000000</t>
        </is>
      </c>
    </row>
    <row outlineLevel="0" r="211">
      <c r="A211" s="3452" t="inlineStr">
        <is>
          <t>000224000202012234500</t>
        </is>
      </c>
      <c r="B211" s="3452" t="inlineStr">
        <is>
          <t>234500</t>
        </is>
      </c>
      <c r="C211" s="3452" t="inlineStr">
        <is>
          <t>000224000</t>
        </is>
      </c>
      <c r="D211" s="3452" t="inlineStr">
        <is>
          <t>202012</t>
        </is>
      </c>
      <c r="E211" s="3452" t="inlineStr">
        <is>
          <t>0,000000000000</t>
        </is>
      </c>
    </row>
    <row outlineLevel="0" r="212">
      <c r="A212" s="3452" t="inlineStr">
        <is>
          <t>000224000202012234501</t>
        </is>
      </c>
      <c r="B212" s="3452" t="inlineStr">
        <is>
          <t>234501</t>
        </is>
      </c>
      <c r="C212" s="3452" t="inlineStr">
        <is>
          <t>000224000</t>
        </is>
      </c>
      <c r="D212" s="3452" t="inlineStr">
        <is>
          <t>202012</t>
        </is>
      </c>
      <c r="E212" s="3452" t="inlineStr">
        <is>
          <t>0,000000000000</t>
        </is>
      </c>
    </row>
    <row outlineLevel="0" r="213">
      <c r="A213" s="3452" t="inlineStr">
        <is>
          <t>000224000202012235000</t>
        </is>
      </c>
      <c r="B213" s="3452" t="inlineStr">
        <is>
          <t>235000</t>
        </is>
      </c>
      <c r="C213" s="3452" t="inlineStr">
        <is>
          <t>000224000</t>
        </is>
      </c>
      <c r="D213" s="3452" t="inlineStr">
        <is>
          <t>202012</t>
        </is>
      </c>
      <c r="E213" s="3452" t="inlineStr">
        <is>
          <t>0,000000000000</t>
        </is>
      </c>
    </row>
    <row outlineLevel="0" r="214">
      <c r="A214" s="3452" t="inlineStr">
        <is>
          <t>000224000202012235001</t>
        </is>
      </c>
      <c r="B214" s="3452" t="inlineStr">
        <is>
          <t>235001</t>
        </is>
      </c>
      <c r="C214" s="3452" t="inlineStr">
        <is>
          <t>000224000</t>
        </is>
      </c>
      <c r="D214" s="3452" t="inlineStr">
        <is>
          <t>202012</t>
        </is>
      </c>
      <c r="E214" s="3452" t="inlineStr">
        <is>
          <t>0,000000000000</t>
        </is>
      </c>
    </row>
    <row outlineLevel="0" r="215">
      <c r="A215" s="3452" t="inlineStr">
        <is>
          <t>000224000202012235500</t>
        </is>
      </c>
      <c r="B215" s="3452" t="inlineStr">
        <is>
          <t>235500</t>
        </is>
      </c>
      <c r="C215" s="3452" t="inlineStr">
        <is>
          <t>000224000</t>
        </is>
      </c>
      <c r="D215" s="3452" t="inlineStr">
        <is>
          <t>202012</t>
        </is>
      </c>
      <c r="E215" s="3452" t="inlineStr">
        <is>
          <t>0,000000000000</t>
        </is>
      </c>
    </row>
    <row outlineLevel="0" r="216">
      <c r="A216" s="3452" t="inlineStr">
        <is>
          <t>000224000202012235501</t>
        </is>
      </c>
      <c r="B216" s="3452" t="inlineStr">
        <is>
          <t>235501</t>
        </is>
      </c>
      <c r="C216" s="3452" t="inlineStr">
        <is>
          <t>000224000</t>
        </is>
      </c>
      <c r="D216" s="3452" t="inlineStr">
        <is>
          <t>202012</t>
        </is>
      </c>
      <c r="E216" s="3452" t="inlineStr">
        <is>
          <t>0,000000000000</t>
        </is>
      </c>
    </row>
    <row outlineLevel="0" r="217">
      <c r="A217" s="3452" t="inlineStr">
        <is>
          <t>000224000202012236000</t>
        </is>
      </c>
      <c r="B217" s="3452" t="inlineStr">
        <is>
          <t>236000</t>
        </is>
      </c>
      <c r="C217" s="3452" t="inlineStr">
        <is>
          <t>000224000</t>
        </is>
      </c>
      <c r="D217" s="3452" t="inlineStr">
        <is>
          <t>202012</t>
        </is>
      </c>
      <c r="E217" s="3452" t="inlineStr">
        <is>
          <t>0,000000000000</t>
        </is>
      </c>
    </row>
    <row outlineLevel="0" r="218">
      <c r="A218" s="3452" t="inlineStr">
        <is>
          <t>000224000202012236001</t>
        </is>
      </c>
      <c r="B218" s="3452" t="inlineStr">
        <is>
          <t>236001</t>
        </is>
      </c>
      <c r="C218" s="3452" t="inlineStr">
        <is>
          <t>000224000</t>
        </is>
      </c>
      <c r="D218" s="3452" t="inlineStr">
        <is>
          <t>202012</t>
        </is>
      </c>
      <c r="E218" s="3452" t="inlineStr">
        <is>
          <t>0,000000000000</t>
        </is>
      </c>
    </row>
    <row outlineLevel="0" r="219">
      <c r="A219" s="3452" t="inlineStr">
        <is>
          <t>000224000202012236500</t>
        </is>
      </c>
      <c r="B219" s="3452" t="inlineStr">
        <is>
          <t>236500</t>
        </is>
      </c>
      <c r="C219" s="3452" t="inlineStr">
        <is>
          <t>000224000</t>
        </is>
      </c>
      <c r="D219" s="3452" t="inlineStr">
        <is>
          <t>202012</t>
        </is>
      </c>
      <c r="E219" s="3452" t="inlineStr">
        <is>
          <t>0,000000000000</t>
        </is>
      </c>
    </row>
    <row outlineLevel="0" r="220">
      <c r="A220" s="3452" t="inlineStr">
        <is>
          <t>000224000202012236501</t>
        </is>
      </c>
      <c r="B220" s="3452" t="inlineStr">
        <is>
          <t>236501</t>
        </is>
      </c>
      <c r="C220" s="3452" t="inlineStr">
        <is>
          <t>000224000</t>
        </is>
      </c>
      <c r="D220" s="3452" t="inlineStr">
        <is>
          <t>202012</t>
        </is>
      </c>
      <c r="E220" s="3452" t="inlineStr">
        <is>
          <t>0,000000000000</t>
        </is>
      </c>
    </row>
    <row outlineLevel="0" r="221">
      <c r="A221" s="3452" t="inlineStr">
        <is>
          <t>000224000202012236700</t>
        </is>
      </c>
      <c r="B221" s="3452" t="inlineStr">
        <is>
          <t>236700</t>
        </is>
      </c>
      <c r="C221" s="3452" t="inlineStr">
        <is>
          <t>000224000</t>
        </is>
      </c>
      <c r="D221" s="3452" t="inlineStr">
        <is>
          <t>202012</t>
        </is>
      </c>
      <c r="E221" s="3452" t="inlineStr">
        <is>
          <t>0,000000000000</t>
        </is>
      </c>
    </row>
    <row outlineLevel="0" r="222">
      <c r="A222" s="3452" t="inlineStr">
        <is>
          <t>000224000202012236701</t>
        </is>
      </c>
      <c r="B222" s="3452" t="inlineStr">
        <is>
          <t>236701</t>
        </is>
      </c>
      <c r="C222" s="3452" t="inlineStr">
        <is>
          <t>000224000</t>
        </is>
      </c>
      <c r="D222" s="3452" t="inlineStr">
        <is>
          <t>202012</t>
        </is>
      </c>
      <c r="E222" s="3452" t="inlineStr">
        <is>
          <t>0,000000000000</t>
        </is>
      </c>
    </row>
    <row outlineLevel="0" r="223">
      <c r="A223" s="3452" t="inlineStr">
        <is>
          <t>000224000202012236800</t>
        </is>
      </c>
      <c r="B223" s="3452" t="inlineStr">
        <is>
          <t>236800</t>
        </is>
      </c>
      <c r="C223" s="3452" t="inlineStr">
        <is>
          <t>000224000</t>
        </is>
      </c>
      <c r="D223" s="3452" t="inlineStr">
        <is>
          <t>202012</t>
        </is>
      </c>
      <c r="E223" s="3452" t="inlineStr">
        <is>
          <t>0,000000000000</t>
        </is>
      </c>
    </row>
    <row outlineLevel="0" r="224">
      <c r="A224" s="3452" t="inlineStr">
        <is>
          <t>000224000202012237000</t>
        </is>
      </c>
      <c r="B224" s="3452" t="inlineStr">
        <is>
          <t>237000</t>
        </is>
      </c>
      <c r="C224" s="3452" t="inlineStr">
        <is>
          <t>000224000</t>
        </is>
      </c>
      <c r="D224" s="3452" t="inlineStr">
        <is>
          <t>202012</t>
        </is>
      </c>
      <c r="E224" s="3452" t="inlineStr">
        <is>
          <t>0,000000000000</t>
        </is>
      </c>
    </row>
    <row outlineLevel="0" r="225">
      <c r="A225" s="3452" t="inlineStr">
        <is>
          <t>000224000202012237001</t>
        </is>
      </c>
      <c r="B225" s="3452" t="inlineStr">
        <is>
          <t>237001</t>
        </is>
      </c>
      <c r="C225" s="3452" t="inlineStr">
        <is>
          <t>000224000</t>
        </is>
      </c>
      <c r="D225" s="3452" t="inlineStr">
        <is>
          <t>202012</t>
        </is>
      </c>
      <c r="E225" s="3452" t="inlineStr">
        <is>
          <t>0,000000000000</t>
        </is>
      </c>
    </row>
    <row outlineLevel="0" r="226">
      <c r="A226" s="3452" t="inlineStr">
        <is>
          <t>000224000202012238000</t>
        </is>
      </c>
      <c r="B226" s="3452" t="inlineStr">
        <is>
          <t>238000</t>
        </is>
      </c>
      <c r="C226" s="3452" t="inlineStr">
        <is>
          <t>000224000</t>
        </is>
      </c>
      <c r="D226" s="3452" t="inlineStr">
        <is>
          <t>202012</t>
        </is>
      </c>
      <c r="E226" s="3452" t="inlineStr">
        <is>
          <t>0,000000000000</t>
        </is>
      </c>
    </row>
    <row outlineLevel="0" r="227">
      <c r="A227" s="3452" t="inlineStr">
        <is>
          <t>000224000202012238001</t>
        </is>
      </c>
      <c r="B227" s="3452" t="inlineStr">
        <is>
          <t>238001</t>
        </is>
      </c>
      <c r="C227" s="3452" t="inlineStr">
        <is>
          <t>000224000</t>
        </is>
      </c>
      <c r="D227" s="3452" t="inlineStr">
        <is>
          <t>202012</t>
        </is>
      </c>
      <c r="E227" s="3452" t="inlineStr">
        <is>
          <t>0,000000000000</t>
        </is>
      </c>
    </row>
    <row outlineLevel="0" r="228">
      <c r="A228" s="3452" t="inlineStr">
        <is>
          <t>000224000202012240001</t>
        </is>
      </c>
      <c r="B228" s="3452" t="inlineStr">
        <is>
          <t>240001</t>
        </is>
      </c>
      <c r="C228" s="3452" t="inlineStr">
        <is>
          <t>000224000</t>
        </is>
      </c>
      <c r="D228" s="3452" t="inlineStr">
        <is>
          <t>202012</t>
        </is>
      </c>
      <c r="E228" s="3452" t="inlineStr">
        <is>
          <t>0,000000000000</t>
        </is>
      </c>
    </row>
    <row outlineLevel="0" r="229">
      <c r="A229" s="3452" t="inlineStr">
        <is>
          <t>000224000202012240400</t>
        </is>
      </c>
      <c r="B229" s="3452" t="inlineStr">
        <is>
          <t>240400</t>
        </is>
      </c>
      <c r="C229" s="3452" t="inlineStr">
        <is>
          <t>000224000</t>
        </is>
      </c>
      <c r="D229" s="3452" t="inlineStr">
        <is>
          <t>202012</t>
        </is>
      </c>
      <c r="E229" s="3452" t="inlineStr">
        <is>
          <t>0,000000000000</t>
        </is>
      </c>
    </row>
    <row outlineLevel="0" r="230">
      <c r="A230" s="3452" t="inlineStr">
        <is>
          <t>000224000202012240401</t>
        </is>
      </c>
      <c r="B230" s="3452" t="inlineStr">
        <is>
          <t>240401</t>
        </is>
      </c>
      <c r="C230" s="3452" t="inlineStr">
        <is>
          <t>000224000</t>
        </is>
      </c>
      <c r="D230" s="3452" t="inlineStr">
        <is>
          <t>202012</t>
        </is>
      </c>
      <c r="E230" s="3452" t="inlineStr">
        <is>
          <t>0,000000000000</t>
        </is>
      </c>
    </row>
    <row outlineLevel="0" r="231">
      <c r="A231" s="3452" t="inlineStr">
        <is>
          <t>000224000202012240800</t>
        </is>
      </c>
      <c r="B231" s="3452" t="inlineStr">
        <is>
          <t>240800</t>
        </is>
      </c>
      <c r="C231" s="3452" t="inlineStr">
        <is>
          <t>000224000</t>
        </is>
      </c>
      <c r="D231" s="3452" t="inlineStr">
        <is>
          <t>202012</t>
        </is>
      </c>
      <c r="E231" s="3452" t="inlineStr">
        <is>
          <t>0,000000000000</t>
        </is>
      </c>
    </row>
    <row outlineLevel="0" r="232">
      <c r="A232" s="3452" t="inlineStr">
        <is>
          <t>000224000202012240801</t>
        </is>
      </c>
      <c r="B232" s="3452" t="inlineStr">
        <is>
          <t>240801</t>
        </is>
      </c>
      <c r="C232" s="3452" t="inlineStr">
        <is>
          <t>000224000</t>
        </is>
      </c>
      <c r="D232" s="3452" t="inlineStr">
        <is>
          <t>202012</t>
        </is>
      </c>
      <c r="E232" s="3452" t="inlineStr">
        <is>
          <t>0,000000000000</t>
        </is>
      </c>
    </row>
    <row outlineLevel="0" r="233">
      <c r="A233" s="3452" t="inlineStr">
        <is>
          <t>000224000202012241200</t>
        </is>
      </c>
      <c r="B233" s="3452" t="inlineStr">
        <is>
          <t>241200</t>
        </is>
      </c>
      <c r="C233" s="3452" t="inlineStr">
        <is>
          <t>000224000</t>
        </is>
      </c>
      <c r="D233" s="3452" t="inlineStr">
        <is>
          <t>202012</t>
        </is>
      </c>
      <c r="E233" s="3452" t="inlineStr">
        <is>
          <t>0,000000000000</t>
        </is>
      </c>
    </row>
    <row outlineLevel="0" r="234">
      <c r="A234" s="3452" t="inlineStr">
        <is>
          <t>000224000202012241201</t>
        </is>
      </c>
      <c r="B234" s="3452" t="inlineStr">
        <is>
          <t>241201</t>
        </is>
      </c>
      <c r="C234" s="3452" t="inlineStr">
        <is>
          <t>000224000</t>
        </is>
      </c>
      <c r="D234" s="3452" t="inlineStr">
        <is>
          <t>202012</t>
        </is>
      </c>
      <c r="E234" s="3452" t="inlineStr">
        <is>
          <t>0,000000000000</t>
        </is>
      </c>
    </row>
    <row outlineLevel="0" r="235">
      <c r="A235" s="3452" t="inlineStr">
        <is>
          <t>000224000202012249500</t>
        </is>
      </c>
      <c r="B235" s="3452" t="inlineStr">
        <is>
          <t>249500</t>
        </is>
      </c>
      <c r="C235" s="3452" t="inlineStr">
        <is>
          <t>000224000</t>
        </is>
      </c>
      <c r="D235" s="3452" t="inlineStr">
        <is>
          <t>202012</t>
        </is>
      </c>
      <c r="E235" s="3452" t="inlineStr">
        <is>
          <t>0,000000000000</t>
        </is>
      </c>
    </row>
    <row outlineLevel="0" r="236">
      <c r="A236" s="3452" t="inlineStr">
        <is>
          <t>000224000202012249501</t>
        </is>
      </c>
      <c r="B236" s="3452" t="inlineStr">
        <is>
          <t>249501</t>
        </is>
      </c>
      <c r="C236" s="3452" t="inlineStr">
        <is>
          <t>000224000</t>
        </is>
      </c>
      <c r="D236" s="3452" t="inlineStr">
        <is>
          <t>202012</t>
        </is>
      </c>
      <c r="E236" s="3452" t="inlineStr">
        <is>
          <t>0,000000000000</t>
        </is>
      </c>
    </row>
    <row outlineLevel="0" r="237">
      <c r="A237" s="3452" t="inlineStr">
        <is>
          <t>000224000202012250500</t>
        </is>
      </c>
      <c r="B237" s="3452" t="inlineStr">
        <is>
          <t>250500</t>
        </is>
      </c>
      <c r="C237" s="3452" t="inlineStr">
        <is>
          <t>000224000</t>
        </is>
      </c>
      <c r="D237" s="3452" t="inlineStr">
        <is>
          <t>202012</t>
        </is>
      </c>
      <c r="E237" s="3452" t="inlineStr">
        <is>
          <t>0,000000000000</t>
        </is>
      </c>
    </row>
    <row outlineLevel="0" r="238">
      <c r="A238" s="3452" t="inlineStr">
        <is>
          <t>000224000202012250501</t>
        </is>
      </c>
      <c r="B238" s="3452" t="inlineStr">
        <is>
          <t>250501</t>
        </is>
      </c>
      <c r="C238" s="3452" t="inlineStr">
        <is>
          <t>000224000</t>
        </is>
      </c>
      <c r="D238" s="3452" t="inlineStr">
        <is>
          <t>202012</t>
        </is>
      </c>
      <c r="E238" s="3452" t="inlineStr">
        <is>
          <t>0,000000000000</t>
        </is>
      </c>
    </row>
    <row outlineLevel="0" r="239">
      <c r="A239" s="3452" t="inlineStr">
        <is>
          <t>000224000202012251000</t>
        </is>
      </c>
      <c r="B239" s="3452" t="inlineStr">
        <is>
          <t>251000</t>
        </is>
      </c>
      <c r="C239" s="3452" t="inlineStr">
        <is>
          <t>000224000</t>
        </is>
      </c>
      <c r="D239" s="3452" t="inlineStr">
        <is>
          <t>202012</t>
        </is>
      </c>
      <c r="E239" s="3452" t="inlineStr">
        <is>
          <t>0,000000000000</t>
        </is>
      </c>
    </row>
    <row outlineLevel="0" r="240">
      <c r="A240" s="3452" t="inlineStr">
        <is>
          <t>000224000202012251001</t>
        </is>
      </c>
      <c r="B240" s="3452" t="inlineStr">
        <is>
          <t>251001</t>
        </is>
      </c>
      <c r="C240" s="3452" t="inlineStr">
        <is>
          <t>000224000</t>
        </is>
      </c>
      <c r="D240" s="3452" t="inlineStr">
        <is>
          <t>202012</t>
        </is>
      </c>
      <c r="E240" s="3452" t="inlineStr">
        <is>
          <t>0,000000000000</t>
        </is>
      </c>
    </row>
    <row outlineLevel="0" r="241">
      <c r="A241" s="3452" t="inlineStr">
        <is>
          <t>000224000202012251500</t>
        </is>
      </c>
      <c r="B241" s="3452" t="inlineStr">
        <is>
          <t>251500</t>
        </is>
      </c>
      <c r="C241" s="3452" t="inlineStr">
        <is>
          <t>000224000</t>
        </is>
      </c>
      <c r="D241" s="3452" t="inlineStr">
        <is>
          <t>202012</t>
        </is>
      </c>
      <c r="E241" s="3452" t="inlineStr">
        <is>
          <t>0,000000000000</t>
        </is>
      </c>
    </row>
    <row outlineLevel="0" r="242">
      <c r="A242" s="3452" t="inlineStr">
        <is>
          <t>000224000202012251501</t>
        </is>
      </c>
      <c r="B242" s="3452" t="inlineStr">
        <is>
          <t>251501</t>
        </is>
      </c>
      <c r="C242" s="3452" t="inlineStr">
        <is>
          <t>000224000</t>
        </is>
      </c>
      <c r="D242" s="3452" t="inlineStr">
        <is>
          <t>202012</t>
        </is>
      </c>
      <c r="E242" s="3452" t="inlineStr">
        <is>
          <t>0,000000000000</t>
        </is>
      </c>
    </row>
    <row outlineLevel="0" r="243">
      <c r="A243" s="3452" t="inlineStr">
        <is>
          <t>000224000202012252500</t>
        </is>
      </c>
      <c r="B243" s="3452" t="inlineStr">
        <is>
          <t>252500</t>
        </is>
      </c>
      <c r="C243" s="3452" t="inlineStr">
        <is>
          <t>000224000</t>
        </is>
      </c>
      <c r="D243" s="3452" t="inlineStr">
        <is>
          <t>202012</t>
        </is>
      </c>
      <c r="E243" s="3452" t="inlineStr">
        <is>
          <t>0,000000000000</t>
        </is>
      </c>
    </row>
    <row outlineLevel="0" r="244">
      <c r="A244" s="3452" t="inlineStr">
        <is>
          <t>000224000202012252501</t>
        </is>
      </c>
      <c r="B244" s="3452" t="inlineStr">
        <is>
          <t>252501</t>
        </is>
      </c>
      <c r="C244" s="3452" t="inlineStr">
        <is>
          <t>000224000</t>
        </is>
      </c>
      <c r="D244" s="3452" t="inlineStr">
        <is>
          <t>202012</t>
        </is>
      </c>
      <c r="E244" s="3452" t="inlineStr">
        <is>
          <t>0,000000000000</t>
        </is>
      </c>
    </row>
    <row outlineLevel="0" r="245">
      <c r="A245" s="3452" t="inlineStr">
        <is>
          <t>000224000202012253000</t>
        </is>
      </c>
      <c r="B245" s="3452" t="inlineStr">
        <is>
          <t>253000</t>
        </is>
      </c>
      <c r="C245" s="3452" t="inlineStr">
        <is>
          <t>000224000</t>
        </is>
      </c>
      <c r="D245" s="3452" t="inlineStr">
        <is>
          <t>202012</t>
        </is>
      </c>
      <c r="E245" s="3452" t="inlineStr">
        <is>
          <t>0,000000000000</t>
        </is>
      </c>
    </row>
    <row outlineLevel="0" r="246">
      <c r="A246" s="3452" t="inlineStr">
        <is>
          <t>000224000202012253001</t>
        </is>
      </c>
      <c r="B246" s="3452" t="inlineStr">
        <is>
          <t>253001</t>
        </is>
      </c>
      <c r="C246" s="3452" t="inlineStr">
        <is>
          <t>000224000</t>
        </is>
      </c>
      <c r="D246" s="3452" t="inlineStr">
        <is>
          <t>202012</t>
        </is>
      </c>
      <c r="E246" s="3452" t="inlineStr">
        <is>
          <t>0,000000000000</t>
        </is>
      </c>
    </row>
    <row outlineLevel="0" r="247">
      <c r="A247" s="3452" t="inlineStr">
        <is>
          <t>000224000202012259500</t>
        </is>
      </c>
      <c r="B247" s="3452" t="inlineStr">
        <is>
          <t>259500</t>
        </is>
      </c>
      <c r="C247" s="3452" t="inlineStr">
        <is>
          <t>000224000</t>
        </is>
      </c>
      <c r="D247" s="3452" t="inlineStr">
        <is>
          <t>202012</t>
        </is>
      </c>
      <c r="E247" s="3452" t="inlineStr">
        <is>
          <t>0,000000000000</t>
        </is>
      </c>
    </row>
    <row outlineLevel="0" r="248">
      <c r="A248" s="3452" t="inlineStr">
        <is>
          <t>000224000202012259501</t>
        </is>
      </c>
      <c r="B248" s="3452" t="inlineStr">
        <is>
          <t>259501</t>
        </is>
      </c>
      <c r="C248" s="3452" t="inlineStr">
        <is>
          <t>000224000</t>
        </is>
      </c>
      <c r="D248" s="3452" t="inlineStr">
        <is>
          <t>202012</t>
        </is>
      </c>
      <c r="E248" s="3452" t="inlineStr">
        <is>
          <t>0,000000000000</t>
        </is>
      </c>
    </row>
    <row outlineLevel="0" r="249">
      <c r="A249" s="3452" t="inlineStr">
        <is>
          <t>000224000202012260500</t>
        </is>
      </c>
      <c r="B249" s="3452" t="inlineStr">
        <is>
          <t>260500</t>
        </is>
      </c>
      <c r="C249" s="3452" t="inlineStr">
        <is>
          <t>000224000</t>
        </is>
      </c>
      <c r="D249" s="3452" t="inlineStr">
        <is>
          <t>202012</t>
        </is>
      </c>
      <c r="E249" s="3452" t="inlineStr">
        <is>
          <t>0,000000000000</t>
        </is>
      </c>
    </row>
    <row outlineLevel="0" r="250">
      <c r="A250" s="3452" t="inlineStr">
        <is>
          <t>000224000202012260501</t>
        </is>
      </c>
      <c r="B250" s="3452" t="inlineStr">
        <is>
          <t>260501</t>
        </is>
      </c>
      <c r="C250" s="3452" t="inlineStr">
        <is>
          <t>000224000</t>
        </is>
      </c>
      <c r="D250" s="3452" t="inlineStr">
        <is>
          <t>202012</t>
        </is>
      </c>
      <c r="E250" s="3452" t="inlineStr">
        <is>
          <t>0,000000000000</t>
        </is>
      </c>
    </row>
    <row outlineLevel="0" r="251">
      <c r="A251" s="3452" t="inlineStr">
        <is>
          <t>000224000202012261000</t>
        </is>
      </c>
      <c r="B251" s="3452" t="inlineStr">
        <is>
          <t>261000</t>
        </is>
      </c>
      <c r="C251" s="3452" t="inlineStr">
        <is>
          <t>000224000</t>
        </is>
      </c>
      <c r="D251" s="3452" t="inlineStr">
        <is>
          <t>202012</t>
        </is>
      </c>
      <c r="E251" s="3452" t="inlineStr">
        <is>
          <t>0,000000000000</t>
        </is>
      </c>
    </row>
    <row outlineLevel="0" r="252">
      <c r="A252" s="3452" t="inlineStr">
        <is>
          <t>000224000202012261001</t>
        </is>
      </c>
      <c r="B252" s="3452" t="inlineStr">
        <is>
          <t>261001</t>
        </is>
      </c>
      <c r="C252" s="3452" t="inlineStr">
        <is>
          <t>000224000</t>
        </is>
      </c>
      <c r="D252" s="3452" t="inlineStr">
        <is>
          <t>202012</t>
        </is>
      </c>
      <c r="E252" s="3452" t="inlineStr">
        <is>
          <t>0,000000000000</t>
        </is>
      </c>
    </row>
    <row outlineLevel="0" r="253">
      <c r="A253" s="3452" t="inlineStr">
        <is>
          <t>000224000202012261500</t>
        </is>
      </c>
      <c r="B253" s="3452" t="inlineStr">
        <is>
          <t>261500</t>
        </is>
      </c>
      <c r="C253" s="3452" t="inlineStr">
        <is>
          <t>000224000</t>
        </is>
      </c>
      <c r="D253" s="3452" t="inlineStr">
        <is>
          <t>202012</t>
        </is>
      </c>
      <c r="E253" s="3452" t="inlineStr">
        <is>
          <t>0,000000000000</t>
        </is>
      </c>
    </row>
    <row outlineLevel="0" r="254">
      <c r="A254" s="3452" t="inlineStr">
        <is>
          <t>000224000202012261501</t>
        </is>
      </c>
      <c r="B254" s="3452" t="inlineStr">
        <is>
          <t>261501</t>
        </is>
      </c>
      <c r="C254" s="3452" t="inlineStr">
        <is>
          <t>000224000</t>
        </is>
      </c>
      <c r="D254" s="3452" t="inlineStr">
        <is>
          <t>202012</t>
        </is>
      </c>
      <c r="E254" s="3452" t="inlineStr">
        <is>
          <t>0,000000000000</t>
        </is>
      </c>
    </row>
    <row outlineLevel="0" r="255">
      <c r="A255" s="3452" t="inlineStr">
        <is>
          <t>000224000202012262000</t>
        </is>
      </c>
      <c r="B255" s="3452" t="inlineStr">
        <is>
          <t>262000</t>
        </is>
      </c>
      <c r="C255" s="3452" t="inlineStr">
        <is>
          <t>000224000</t>
        </is>
      </c>
      <c r="D255" s="3452" t="inlineStr">
        <is>
          <t>202012</t>
        </is>
      </c>
      <c r="E255" s="3452" t="inlineStr">
        <is>
          <t>0,000000000000</t>
        </is>
      </c>
    </row>
    <row outlineLevel="0" r="256">
      <c r="A256" s="3452" t="inlineStr">
        <is>
          <t>000224000202012262001</t>
        </is>
      </c>
      <c r="B256" s="3452" t="inlineStr">
        <is>
          <t>262001</t>
        </is>
      </c>
      <c r="C256" s="3452" t="inlineStr">
        <is>
          <t>000224000</t>
        </is>
      </c>
      <c r="D256" s="3452" t="inlineStr">
        <is>
          <t>202012</t>
        </is>
      </c>
      <c r="E256" s="3452" t="inlineStr">
        <is>
          <t>0,000000000000</t>
        </is>
      </c>
    </row>
    <row outlineLevel="0" r="257">
      <c r="A257" s="3452" t="inlineStr">
        <is>
          <t>000224000202012262500</t>
        </is>
      </c>
      <c r="B257" s="3452" t="inlineStr">
        <is>
          <t>262500</t>
        </is>
      </c>
      <c r="C257" s="3452" t="inlineStr">
        <is>
          <t>000224000</t>
        </is>
      </c>
      <c r="D257" s="3452" t="inlineStr">
        <is>
          <t>202012</t>
        </is>
      </c>
      <c r="E257" s="3452" t="inlineStr">
        <is>
          <t>0,000000000000</t>
        </is>
      </c>
    </row>
    <row outlineLevel="0" r="258">
      <c r="A258" s="3452" t="inlineStr">
        <is>
          <t>000224000202012262501</t>
        </is>
      </c>
      <c r="B258" s="3452" t="inlineStr">
        <is>
          <t>262501</t>
        </is>
      </c>
      <c r="C258" s="3452" t="inlineStr">
        <is>
          <t>000224000</t>
        </is>
      </c>
      <c r="D258" s="3452" t="inlineStr">
        <is>
          <t>202012</t>
        </is>
      </c>
      <c r="E258" s="3452" t="inlineStr">
        <is>
          <t>0,000000000000</t>
        </is>
      </c>
    </row>
    <row outlineLevel="0" r="259">
      <c r="A259" s="3452" t="inlineStr">
        <is>
          <t>000224000202012263000</t>
        </is>
      </c>
      <c r="B259" s="3452" t="inlineStr">
        <is>
          <t>263000</t>
        </is>
      </c>
      <c r="C259" s="3452" t="inlineStr">
        <is>
          <t>000224000</t>
        </is>
      </c>
      <c r="D259" s="3452" t="inlineStr">
        <is>
          <t>202012</t>
        </is>
      </c>
      <c r="E259" s="3452" t="inlineStr">
        <is>
          <t>0,000000000000</t>
        </is>
      </c>
    </row>
    <row outlineLevel="0" r="260">
      <c r="A260" s="3452" t="inlineStr">
        <is>
          <t>000224000202012263001</t>
        </is>
      </c>
      <c r="B260" s="3452" t="inlineStr">
        <is>
          <t>263001</t>
        </is>
      </c>
      <c r="C260" s="3452" t="inlineStr">
        <is>
          <t>000224000</t>
        </is>
      </c>
      <c r="D260" s="3452" t="inlineStr">
        <is>
          <t>202012</t>
        </is>
      </c>
      <c r="E260" s="3452" t="inlineStr">
        <is>
          <t>0,000000000000</t>
        </is>
      </c>
    </row>
    <row outlineLevel="0" r="261">
      <c r="A261" s="3452" t="inlineStr">
        <is>
          <t>000224000202012263500</t>
        </is>
      </c>
      <c r="B261" s="3452" t="inlineStr">
        <is>
          <t>263500</t>
        </is>
      </c>
      <c r="C261" s="3452" t="inlineStr">
        <is>
          <t>000224000</t>
        </is>
      </c>
      <c r="D261" s="3452" t="inlineStr">
        <is>
          <t>202012</t>
        </is>
      </c>
      <c r="E261" s="3452" t="inlineStr">
        <is>
          <t>0,000000000000</t>
        </is>
      </c>
    </row>
    <row outlineLevel="0" r="262">
      <c r="A262" s="3452" t="inlineStr">
        <is>
          <t>000224000202012263501</t>
        </is>
      </c>
      <c r="B262" s="3452" t="inlineStr">
        <is>
          <t>263501</t>
        </is>
      </c>
      <c r="C262" s="3452" t="inlineStr">
        <is>
          <t>000224000</t>
        </is>
      </c>
      <c r="D262" s="3452" t="inlineStr">
        <is>
          <t>202012</t>
        </is>
      </c>
      <c r="E262" s="3452" t="inlineStr">
        <is>
          <t>0,000000000000</t>
        </is>
      </c>
    </row>
    <row outlineLevel="0" r="263">
      <c r="A263" s="3452" t="inlineStr">
        <is>
          <t>000224000202012264000</t>
        </is>
      </c>
      <c r="B263" s="3452" t="inlineStr">
        <is>
          <t>264000</t>
        </is>
      </c>
      <c r="C263" s="3452" t="inlineStr">
        <is>
          <t>000224000</t>
        </is>
      </c>
      <c r="D263" s="3452" t="inlineStr">
        <is>
          <t>202012</t>
        </is>
      </c>
      <c r="E263" s="3452" t="inlineStr">
        <is>
          <t>0,000000000000</t>
        </is>
      </c>
    </row>
    <row outlineLevel="0" r="264">
      <c r="A264" s="3452" t="inlineStr">
        <is>
          <t>000224000202012264001</t>
        </is>
      </c>
      <c r="B264" s="3452" t="inlineStr">
        <is>
          <t>264001</t>
        </is>
      </c>
      <c r="C264" s="3452" t="inlineStr">
        <is>
          <t>000224000</t>
        </is>
      </c>
      <c r="D264" s="3452" t="inlineStr">
        <is>
          <t>202012</t>
        </is>
      </c>
      <c r="E264" s="3452" t="inlineStr">
        <is>
          <t>0,000000000000</t>
        </is>
      </c>
    </row>
    <row outlineLevel="0" r="265">
      <c r="A265" s="3452" t="inlineStr">
        <is>
          <t>000224000202012269500</t>
        </is>
      </c>
      <c r="B265" s="3452" t="inlineStr">
        <is>
          <t>269500</t>
        </is>
      </c>
      <c r="C265" s="3452" t="inlineStr">
        <is>
          <t>000224000</t>
        </is>
      </c>
      <c r="D265" s="3452" t="inlineStr">
        <is>
          <t>202012</t>
        </is>
      </c>
      <c r="E265" s="3452" t="inlineStr">
        <is>
          <t>0,000000000000</t>
        </is>
      </c>
    </row>
    <row outlineLevel="0" r="266">
      <c r="A266" s="3452" t="inlineStr">
        <is>
          <t>000224000202012269501</t>
        </is>
      </c>
      <c r="B266" s="3452" t="inlineStr">
        <is>
          <t>269501</t>
        </is>
      </c>
      <c r="C266" s="3452" t="inlineStr">
        <is>
          <t>000224000</t>
        </is>
      </c>
      <c r="D266" s="3452" t="inlineStr">
        <is>
          <t>202012</t>
        </is>
      </c>
      <c r="E266" s="3452" t="inlineStr">
        <is>
          <t>0,000000000000</t>
        </is>
      </c>
    </row>
    <row outlineLevel="0" r="267">
      <c r="A267" s="3452" t="inlineStr">
        <is>
          <t>000224000202012270500</t>
        </is>
      </c>
      <c r="B267" s="3452" t="inlineStr">
        <is>
          <t>270500</t>
        </is>
      </c>
      <c r="C267" s="3452" t="inlineStr">
        <is>
          <t>000224000</t>
        </is>
      </c>
      <c r="D267" s="3452" t="inlineStr">
        <is>
          <t>202012</t>
        </is>
      </c>
      <c r="E267" s="3452" t="inlineStr">
        <is>
          <t>0,000000000000</t>
        </is>
      </c>
    </row>
    <row outlineLevel="0" r="268">
      <c r="A268" s="3452" t="inlineStr">
        <is>
          <t>000224000202012270501</t>
        </is>
      </c>
      <c r="B268" s="3452" t="inlineStr">
        <is>
          <t>270501</t>
        </is>
      </c>
      <c r="C268" s="3452" t="inlineStr">
        <is>
          <t>000224000</t>
        </is>
      </c>
      <c r="D268" s="3452" t="inlineStr">
        <is>
          <t>202012</t>
        </is>
      </c>
      <c r="E268" s="3452" t="inlineStr">
        <is>
          <t>0,000000000000</t>
        </is>
      </c>
    </row>
    <row outlineLevel="0" r="269">
      <c r="A269" s="3452" t="inlineStr">
        <is>
          <t>000224000202012271000</t>
        </is>
      </c>
      <c r="B269" s="3452" t="inlineStr">
        <is>
          <t>271000</t>
        </is>
      </c>
      <c r="C269" s="3452" t="inlineStr">
        <is>
          <t>000224000</t>
        </is>
      </c>
      <c r="D269" s="3452" t="inlineStr">
        <is>
          <t>202012</t>
        </is>
      </c>
      <c r="E269" s="3452" t="inlineStr">
        <is>
          <t>0,000000000000</t>
        </is>
      </c>
    </row>
    <row outlineLevel="0" r="270">
      <c r="A270" s="3452" t="inlineStr">
        <is>
          <t>000224000202012271001</t>
        </is>
      </c>
      <c r="B270" s="3452" t="inlineStr">
        <is>
          <t>271001</t>
        </is>
      </c>
      <c r="C270" s="3452" t="inlineStr">
        <is>
          <t>000224000</t>
        </is>
      </c>
      <c r="D270" s="3452" t="inlineStr">
        <is>
          <t>202012</t>
        </is>
      </c>
      <c r="E270" s="3452" t="inlineStr">
        <is>
          <t>0,000000000000</t>
        </is>
      </c>
    </row>
    <row outlineLevel="0" r="271">
      <c r="A271" s="3452" t="inlineStr">
        <is>
          <t>000224000202012272001</t>
        </is>
      </c>
      <c r="B271" s="3452" t="inlineStr">
        <is>
          <t>272001</t>
        </is>
      </c>
      <c r="C271" s="3452" t="inlineStr">
        <is>
          <t>000224000</t>
        </is>
      </c>
      <c r="D271" s="3452" t="inlineStr">
        <is>
          <t>202012</t>
        </is>
      </c>
      <c r="E271" s="3452" t="inlineStr">
        <is>
          <t>0,000000000000</t>
        </is>
      </c>
    </row>
    <row outlineLevel="0" r="272">
      <c r="A272" s="3452" t="inlineStr">
        <is>
          <t>000224000202012272500</t>
        </is>
      </c>
      <c r="B272" s="3452" t="inlineStr">
        <is>
          <t>272500</t>
        </is>
      </c>
      <c r="C272" s="3452" t="inlineStr">
        <is>
          <t>000224000</t>
        </is>
      </c>
      <c r="D272" s="3452" t="inlineStr">
        <is>
          <t>202012</t>
        </is>
      </c>
      <c r="E272" s="3452" t="inlineStr">
        <is>
          <t>0,000000000000</t>
        </is>
      </c>
    </row>
    <row outlineLevel="0" r="273">
      <c r="A273" s="3452" t="inlineStr">
        <is>
          <t>000224000202012272501</t>
        </is>
      </c>
      <c r="B273" s="3452" t="inlineStr">
        <is>
          <t>272501</t>
        </is>
      </c>
      <c r="C273" s="3452" t="inlineStr">
        <is>
          <t>000224000</t>
        </is>
      </c>
      <c r="D273" s="3452" t="inlineStr">
        <is>
          <t>202012</t>
        </is>
      </c>
      <c r="E273" s="3452" t="inlineStr">
        <is>
          <t>0,000000000000</t>
        </is>
      </c>
    </row>
    <row outlineLevel="0" r="274">
      <c r="A274" s="3452" t="inlineStr">
        <is>
          <t>000224000202012279500</t>
        </is>
      </c>
      <c r="B274" s="3452" t="inlineStr">
        <is>
          <t>279500</t>
        </is>
      </c>
      <c r="C274" s="3452" t="inlineStr">
        <is>
          <t>000224000</t>
        </is>
      </c>
      <c r="D274" s="3452" t="inlineStr">
        <is>
          <t>202012</t>
        </is>
      </c>
      <c r="E274" s="3452" t="inlineStr">
        <is>
          <t>0,000000000000</t>
        </is>
      </c>
    </row>
    <row outlineLevel="0" r="275">
      <c r="A275" s="3452" t="inlineStr">
        <is>
          <t>000224000202012279501</t>
        </is>
      </c>
      <c r="B275" s="3452" t="inlineStr">
        <is>
          <t>279501</t>
        </is>
      </c>
      <c r="C275" s="3452" t="inlineStr">
        <is>
          <t>000224000</t>
        </is>
      </c>
      <c r="D275" s="3452" t="inlineStr">
        <is>
          <t>202012</t>
        </is>
      </c>
      <c r="E275" s="3452" t="inlineStr">
        <is>
          <t>0,000000000000</t>
        </is>
      </c>
    </row>
    <row outlineLevel="0" r="276">
      <c r="A276" s="3452" t="inlineStr">
        <is>
          <t>000224000202012281000</t>
        </is>
      </c>
      <c r="B276" s="3452" t="inlineStr">
        <is>
          <t>281000</t>
        </is>
      </c>
      <c r="C276" s="3452" t="inlineStr">
        <is>
          <t>000224000</t>
        </is>
      </c>
      <c r="D276" s="3452" t="inlineStr">
        <is>
          <t>202012</t>
        </is>
      </c>
      <c r="E276" s="3452" t="inlineStr">
        <is>
          <t>0,000000000000</t>
        </is>
      </c>
    </row>
    <row outlineLevel="0" r="277">
      <c r="A277" s="3452" t="inlineStr">
        <is>
          <t>000224000202012282000</t>
        </is>
      </c>
      <c r="B277" s="3452" t="inlineStr">
        <is>
          <t>282000</t>
        </is>
      </c>
      <c r="C277" s="3452" t="inlineStr">
        <is>
          <t>000224000</t>
        </is>
      </c>
      <c r="D277" s="3452" t="inlineStr">
        <is>
          <t>202012</t>
        </is>
      </c>
      <c r="E277" s="3452" t="inlineStr">
        <is>
          <t>0,000000000000</t>
        </is>
      </c>
    </row>
    <row outlineLevel="0" r="278">
      <c r="A278" s="3452" t="inlineStr">
        <is>
          <t>000224000202012282500</t>
        </is>
      </c>
      <c r="B278" s="3452" t="inlineStr">
        <is>
          <t>282500</t>
        </is>
      </c>
      <c r="C278" s="3452" t="inlineStr">
        <is>
          <t>000224000</t>
        </is>
      </c>
      <c r="D278" s="3452" t="inlineStr">
        <is>
          <t>202012</t>
        </is>
      </c>
      <c r="E278" s="3452" t="inlineStr">
        <is>
          <t>0,000000000000</t>
        </is>
      </c>
    </row>
    <row outlineLevel="0" r="279">
      <c r="A279" s="3452" t="inlineStr">
        <is>
          <t>000224000202012284000</t>
        </is>
      </c>
      <c r="B279" s="3452" t="inlineStr">
        <is>
          <t>284000</t>
        </is>
      </c>
      <c r="C279" s="3452" t="inlineStr">
        <is>
          <t>000224000</t>
        </is>
      </c>
      <c r="D279" s="3452" t="inlineStr">
        <is>
          <t>202012</t>
        </is>
      </c>
      <c r="E279" s="3452" t="inlineStr">
        <is>
          <t>0,000000000000</t>
        </is>
      </c>
    </row>
    <row outlineLevel="0" r="280">
      <c r="A280" s="3452" t="inlineStr">
        <is>
          <t>000224000202012289500</t>
        </is>
      </c>
      <c r="B280" s="3452" t="inlineStr">
        <is>
          <t>289500</t>
        </is>
      </c>
      <c r="C280" s="3452" t="inlineStr">
        <is>
          <t>000224000</t>
        </is>
      </c>
      <c r="D280" s="3452" t="inlineStr">
        <is>
          <t>202012</t>
        </is>
      </c>
      <c r="E280" s="3452" t="inlineStr">
        <is>
          <t>0,000000000000</t>
        </is>
      </c>
    </row>
    <row outlineLevel="0" r="281">
      <c r="A281" s="3452" t="inlineStr">
        <is>
          <t>000224000202012290501</t>
        </is>
      </c>
      <c r="B281" s="3452" t="inlineStr">
        <is>
          <t>290501</t>
        </is>
      </c>
      <c r="C281" s="3452" t="inlineStr">
        <is>
          <t>000224000</t>
        </is>
      </c>
      <c r="D281" s="3452" t="inlineStr">
        <is>
          <t>202012</t>
        </is>
      </c>
      <c r="E281" s="3452" t="inlineStr">
        <is>
          <t>0,000000000000</t>
        </is>
      </c>
    </row>
    <row outlineLevel="0" r="282">
      <c r="A282" s="3452" t="inlineStr">
        <is>
          <t>000224000202012291000</t>
        </is>
      </c>
      <c r="B282" s="3452" t="inlineStr">
        <is>
          <t>291000</t>
        </is>
      </c>
      <c r="C282" s="3452" t="inlineStr">
        <is>
          <t>000224000</t>
        </is>
      </c>
      <c r="D282" s="3452" t="inlineStr">
        <is>
          <t>202012</t>
        </is>
      </c>
      <c r="E282" s="3452" t="inlineStr">
        <is>
          <t>0,000000000000</t>
        </is>
      </c>
    </row>
    <row outlineLevel="0" r="283">
      <c r="A283" s="3452" t="inlineStr">
        <is>
          <t>000224000202012291501</t>
        </is>
      </c>
      <c r="B283" s="3452" t="inlineStr">
        <is>
          <t>291501</t>
        </is>
      </c>
      <c r="C283" s="3452" t="inlineStr">
        <is>
          <t>000224000</t>
        </is>
      </c>
      <c r="D283" s="3452" t="inlineStr">
        <is>
          <t>202012</t>
        </is>
      </c>
      <c r="E283" s="3452" t="inlineStr">
        <is>
          <t>0,000000000000</t>
        </is>
      </c>
    </row>
    <row outlineLevel="0" r="284">
      <c r="A284" s="3452" t="inlineStr">
        <is>
          <t>000224000202012291991</t>
        </is>
      </c>
      <c r="B284" s="3452" t="inlineStr">
        <is>
          <t>291991</t>
        </is>
      </c>
      <c r="C284" s="3452" t="inlineStr">
        <is>
          <t>000224000</t>
        </is>
      </c>
      <c r="D284" s="3452" t="inlineStr">
        <is>
          <t>202012</t>
        </is>
      </c>
      <c r="E284" s="3452" t="inlineStr">
        <is>
          <t>0,000000000000</t>
        </is>
      </c>
    </row>
    <row outlineLevel="0" r="285">
      <c r="A285" s="3452" t="inlineStr">
        <is>
          <t>000224000202012292000</t>
        </is>
      </c>
      <c r="B285" s="3452" t="inlineStr">
        <is>
          <t>292000</t>
        </is>
      </c>
      <c r="C285" s="3452" t="inlineStr">
        <is>
          <t>000224000</t>
        </is>
      </c>
      <c r="D285" s="3452" t="inlineStr">
        <is>
          <t>202012</t>
        </is>
      </c>
      <c r="E285" s="3452" t="inlineStr">
        <is>
          <t>0,000000000000</t>
        </is>
      </c>
    </row>
    <row outlineLevel="0" r="286">
      <c r="A286" s="3452" t="inlineStr">
        <is>
          <t>000224000202012292001</t>
        </is>
      </c>
      <c r="B286" s="3452" t="inlineStr">
        <is>
          <t>292001</t>
        </is>
      </c>
      <c r="C286" s="3452" t="inlineStr">
        <is>
          <t>000224000</t>
        </is>
      </c>
      <c r="D286" s="3452" t="inlineStr">
        <is>
          <t>202012</t>
        </is>
      </c>
      <c r="E286" s="3452" t="inlineStr">
        <is>
          <t>0,000000000000</t>
        </is>
      </c>
    </row>
    <row outlineLevel="0" r="287">
      <c r="A287" s="3452" t="inlineStr">
        <is>
          <t>000224000202012293000</t>
        </is>
      </c>
      <c r="B287" s="3452" t="inlineStr">
        <is>
          <t>293000</t>
        </is>
      </c>
      <c r="C287" s="3452" t="inlineStr">
        <is>
          <t>000224000</t>
        </is>
      </c>
      <c r="D287" s="3452" t="inlineStr">
        <is>
          <t>202012</t>
        </is>
      </c>
      <c r="E287" s="3452" t="inlineStr">
        <is>
          <t>0,000000000000</t>
        </is>
      </c>
    </row>
    <row outlineLevel="0" r="288">
      <c r="A288" s="3452" t="inlineStr">
        <is>
          <t>000224000202012294000</t>
        </is>
      </c>
      <c r="B288" s="3452" t="inlineStr">
        <is>
          <t>294000</t>
        </is>
      </c>
      <c r="C288" s="3452" t="inlineStr">
        <is>
          <t>000224000</t>
        </is>
      </c>
      <c r="D288" s="3452" t="inlineStr">
        <is>
          <t>202012</t>
        </is>
      </c>
      <c r="E288" s="3452" t="inlineStr">
        <is>
          <t>0,000000000000</t>
        </is>
      </c>
    </row>
    <row outlineLevel="0" r="289">
      <c r="A289" s="3452" t="inlineStr">
        <is>
          <t>000224000202012299501</t>
        </is>
      </c>
      <c r="B289" s="3452" t="inlineStr">
        <is>
          <t>299501</t>
        </is>
      </c>
      <c r="C289" s="3452" t="inlineStr">
        <is>
          <t>000224000</t>
        </is>
      </c>
      <c r="D289" s="3452" t="inlineStr">
        <is>
          <t>202012</t>
        </is>
      </c>
      <c r="E289" s="3452" t="inlineStr">
        <is>
          <t>0,000000000000</t>
        </is>
      </c>
    </row>
    <row outlineLevel="0" r="290">
      <c r="A290" s="3452" t="inlineStr">
        <is>
          <t>000224000202012310500</t>
        </is>
      </c>
      <c r="B290" s="3452" t="inlineStr">
        <is>
          <t>310500</t>
        </is>
      </c>
      <c r="C290" s="3452" t="inlineStr">
        <is>
          <t>000224000</t>
        </is>
      </c>
      <c r="D290" s="3452" t="inlineStr">
        <is>
          <t>202012</t>
        </is>
      </c>
      <c r="E290" s="3452" t="inlineStr">
        <is>
          <t>0,000000000000</t>
        </is>
      </c>
    </row>
    <row outlineLevel="0" r="291">
      <c r="A291" s="3452" t="inlineStr">
        <is>
          <t>000224000202012311500</t>
        </is>
      </c>
      <c r="B291" s="3452" t="inlineStr">
        <is>
          <t>311500</t>
        </is>
      </c>
      <c r="C291" s="3452" t="inlineStr">
        <is>
          <t>000224000</t>
        </is>
      </c>
      <c r="D291" s="3452" t="inlineStr">
        <is>
          <t>202012</t>
        </is>
      </c>
      <c r="E291" s="3452" t="inlineStr">
        <is>
          <t>100000,000000000000</t>
        </is>
      </c>
    </row>
    <row outlineLevel="0" r="292">
      <c r="A292" s="3452" t="inlineStr">
        <is>
          <t>000224000202012312000</t>
        </is>
      </c>
      <c r="B292" s="3452" t="inlineStr">
        <is>
          <t>312000</t>
        </is>
      </c>
      <c r="C292" s="3452" t="inlineStr">
        <is>
          <t>000224000</t>
        </is>
      </c>
      <c r="D292" s="3452" t="inlineStr">
        <is>
          <t>202012</t>
        </is>
      </c>
      <c r="E292" s="3452" t="inlineStr">
        <is>
          <t>0,000000000000</t>
        </is>
      </c>
    </row>
    <row outlineLevel="0" r="293">
      <c r="A293" s="3452" t="inlineStr">
        <is>
          <t>000224000202012312500</t>
        </is>
      </c>
      <c r="B293" s="3452" t="inlineStr">
        <is>
          <t>312500</t>
        </is>
      </c>
      <c r="C293" s="3452" t="inlineStr">
        <is>
          <t>000224000</t>
        </is>
      </c>
      <c r="D293" s="3452" t="inlineStr">
        <is>
          <t>202012</t>
        </is>
      </c>
      <c r="E293" s="3452" t="inlineStr">
        <is>
          <t>0,000000000000</t>
        </is>
      </c>
    </row>
    <row outlineLevel="0" r="294">
      <c r="A294" s="3452" t="inlineStr">
        <is>
          <t>000224000202012313000</t>
        </is>
      </c>
      <c r="B294" s="3452" t="inlineStr">
        <is>
          <t>313000</t>
        </is>
      </c>
      <c r="C294" s="3452" t="inlineStr">
        <is>
          <t>000224000</t>
        </is>
      </c>
      <c r="D294" s="3452" t="inlineStr">
        <is>
          <t>202012</t>
        </is>
      </c>
      <c r="E294" s="3452" t="inlineStr">
        <is>
          <t>0,000000000000</t>
        </is>
      </c>
    </row>
    <row outlineLevel="0" r="295">
      <c r="A295" s="3452" t="inlineStr">
        <is>
          <t>000224000202012313500</t>
        </is>
      </c>
      <c r="B295" s="3452" t="inlineStr">
        <is>
          <t>313500</t>
        </is>
      </c>
      <c r="C295" s="3452" t="inlineStr">
        <is>
          <t>000224000</t>
        </is>
      </c>
      <c r="D295" s="3452" t="inlineStr">
        <is>
          <t>202012</t>
        </is>
      </c>
      <c r="E295" s="3452" t="inlineStr">
        <is>
          <t>0,000000000000</t>
        </is>
      </c>
    </row>
    <row outlineLevel="0" r="296">
      <c r="A296" s="3452" t="inlineStr">
        <is>
          <t>000224000202012314000</t>
        </is>
      </c>
      <c r="B296" s="3452" t="inlineStr">
        <is>
          <t>314000</t>
        </is>
      </c>
      <c r="C296" s="3452" t="inlineStr">
        <is>
          <t>000224000</t>
        </is>
      </c>
      <c r="D296" s="3452" t="inlineStr">
        <is>
          <t>202012</t>
        </is>
      </c>
      <c r="E296" s="3452" t="inlineStr">
        <is>
          <t>0,000000000000</t>
        </is>
      </c>
    </row>
    <row outlineLevel="0" r="297">
      <c r="A297" s="3452" t="inlineStr">
        <is>
          <t>000224000202012320500</t>
        </is>
      </c>
      <c r="B297" s="3452" t="inlineStr">
        <is>
          <t>320500</t>
        </is>
      </c>
      <c r="C297" s="3452" t="inlineStr">
        <is>
          <t>000224000</t>
        </is>
      </c>
      <c r="D297" s="3452" t="inlineStr">
        <is>
          <t>202012</t>
        </is>
      </c>
      <c r="E297" s="3452" t="inlineStr">
        <is>
          <t>0,000000000000</t>
        </is>
      </c>
    </row>
    <row outlineLevel="0" r="298">
      <c r="A298" s="3452" t="inlineStr">
        <is>
          <t>000224000202012321000</t>
        </is>
      </c>
      <c r="B298" s="3452" t="inlineStr">
        <is>
          <t>321000</t>
        </is>
      </c>
      <c r="C298" s="3452" t="inlineStr">
        <is>
          <t>000224000</t>
        </is>
      </c>
      <c r="D298" s="3452" t="inlineStr">
        <is>
          <t>202012</t>
        </is>
      </c>
      <c r="E298" s="3452" t="inlineStr">
        <is>
          <t>0,000000000000</t>
        </is>
      </c>
    </row>
    <row outlineLevel="0" r="299">
      <c r="A299" s="3452" t="inlineStr">
        <is>
          <t>000224000202012321500</t>
        </is>
      </c>
      <c r="B299" s="3452" t="inlineStr">
        <is>
          <t>321500</t>
        </is>
      </c>
      <c r="C299" s="3452" t="inlineStr">
        <is>
          <t>000224000</t>
        </is>
      </c>
      <c r="D299" s="3452" t="inlineStr">
        <is>
          <t>202012</t>
        </is>
      </c>
      <c r="E299" s="3452" t="inlineStr">
        <is>
          <t>0,000000000000</t>
        </is>
      </c>
    </row>
    <row outlineLevel="0" r="300">
      <c r="A300" s="3452" t="inlineStr">
        <is>
          <t>000224000202012322000</t>
        </is>
      </c>
      <c r="B300" s="3452" t="inlineStr">
        <is>
          <t>322000</t>
        </is>
      </c>
      <c r="C300" s="3452" t="inlineStr">
        <is>
          <t>000224000</t>
        </is>
      </c>
      <c r="D300" s="3452" t="inlineStr">
        <is>
          <t>202012</t>
        </is>
      </c>
      <c r="E300" s="3452" t="inlineStr">
        <is>
          <t>0,000000000000</t>
        </is>
      </c>
    </row>
    <row outlineLevel="0" r="301">
      <c r="A301" s="3452" t="inlineStr">
        <is>
          <t>000224000202012322500</t>
        </is>
      </c>
      <c r="B301" s="3452" t="inlineStr">
        <is>
          <t>322500</t>
        </is>
      </c>
      <c r="C301" s="3452" t="inlineStr">
        <is>
          <t>000224000</t>
        </is>
      </c>
      <c r="D301" s="3452" t="inlineStr">
        <is>
          <t>202012</t>
        </is>
      </c>
      <c r="E301" s="3452" t="inlineStr">
        <is>
          <t>0,000000000000</t>
        </is>
      </c>
    </row>
    <row outlineLevel="0" r="302">
      <c r="A302" s="3452" t="inlineStr">
        <is>
          <t>000224000202012330500</t>
        </is>
      </c>
      <c r="B302" s="3452" t="inlineStr">
        <is>
          <t>330500</t>
        </is>
      </c>
      <c r="C302" s="3452" t="inlineStr">
        <is>
          <t>000224000</t>
        </is>
      </c>
      <c r="D302" s="3452" t="inlineStr">
        <is>
          <t>202012</t>
        </is>
      </c>
      <c r="E302" s="3452" t="inlineStr">
        <is>
          <t>0,000000000000</t>
        </is>
      </c>
    </row>
    <row outlineLevel="0" r="303">
      <c r="A303" s="3452" t="inlineStr">
        <is>
          <t>000224000202012331000</t>
        </is>
      </c>
      <c r="B303" s="3452" t="inlineStr">
        <is>
          <t>331000</t>
        </is>
      </c>
      <c r="C303" s="3452" t="inlineStr">
        <is>
          <t>000224000</t>
        </is>
      </c>
      <c r="D303" s="3452" t="inlineStr">
        <is>
          <t>202012</t>
        </is>
      </c>
      <c r="E303" s="3452" t="inlineStr">
        <is>
          <t>0,000000000000</t>
        </is>
      </c>
    </row>
    <row outlineLevel="0" r="304">
      <c r="A304" s="3452" t="inlineStr">
        <is>
          <t>000224000202012331500</t>
        </is>
      </c>
      <c r="B304" s="3452" t="inlineStr">
        <is>
          <t>331500</t>
        </is>
      </c>
      <c r="C304" s="3452" t="inlineStr">
        <is>
          <t>000224000</t>
        </is>
      </c>
      <c r="D304" s="3452" t="inlineStr">
        <is>
          <t>202012</t>
        </is>
      </c>
      <c r="E304" s="3452" t="inlineStr">
        <is>
          <t>0,000000000000</t>
        </is>
      </c>
    </row>
    <row outlineLevel="0" r="305">
      <c r="A305" s="3452" t="inlineStr">
        <is>
          <t>000224000202012340505</t>
        </is>
      </c>
      <c r="B305" s="3452" t="inlineStr">
        <is>
          <t>340505</t>
        </is>
      </c>
      <c r="C305" s="3452" t="inlineStr">
        <is>
          <t>000224000</t>
        </is>
      </c>
      <c r="D305" s="3452" t="inlineStr">
        <is>
          <t>202012</t>
        </is>
      </c>
      <c r="E305" s="3452" t="inlineStr">
        <is>
          <t>0,000000000000</t>
        </is>
      </c>
    </row>
    <row outlineLevel="0" r="306">
      <c r="A306" s="3452" t="inlineStr">
        <is>
          <t>000224000202012340515</t>
        </is>
      </c>
      <c r="B306" s="3452" t="inlineStr">
        <is>
          <t>340515</t>
        </is>
      </c>
      <c r="C306" s="3452" t="inlineStr">
        <is>
          <t>000224000</t>
        </is>
      </c>
      <c r="D306" s="3452" t="inlineStr">
        <is>
          <t>202012</t>
        </is>
      </c>
      <c r="E306" s="3452" t="inlineStr">
        <is>
          <t>0,000000000000</t>
        </is>
      </c>
    </row>
    <row outlineLevel="0" r="307">
      <c r="A307" s="3452" t="inlineStr">
        <is>
          <t>000224000202012349500</t>
        </is>
      </c>
      <c r="B307" s="3452" t="inlineStr">
        <is>
          <t>349500</t>
        </is>
      </c>
      <c r="C307" s="3452" t="inlineStr">
        <is>
          <t>000224000</t>
        </is>
      </c>
      <c r="D307" s="3452" t="inlineStr">
        <is>
          <t>202012</t>
        </is>
      </c>
      <c r="E307" s="3452" t="inlineStr">
        <is>
          <t>0,000000000000</t>
        </is>
      </c>
    </row>
    <row outlineLevel="0" r="308">
      <c r="A308" s="3452" t="inlineStr">
        <is>
          <t>000224000202012410500</t>
        </is>
      </c>
      <c r="B308" s="3452" t="inlineStr">
        <is>
          <t>410500</t>
        </is>
      </c>
      <c r="C308" s="3452" t="inlineStr">
        <is>
          <t>000224000</t>
        </is>
      </c>
      <c r="D308" s="3452" t="inlineStr">
        <is>
          <t>202012</t>
        </is>
      </c>
      <c r="E308" s="3452" t="inlineStr">
        <is>
          <t>0,000000000000</t>
        </is>
      </c>
    </row>
    <row outlineLevel="0" r="309">
      <c r="A309" s="3452" t="inlineStr">
        <is>
          <t>000224000202012411000</t>
        </is>
      </c>
      <c r="B309" s="3452" t="inlineStr">
        <is>
          <t>411000</t>
        </is>
      </c>
      <c r="C309" s="3452" t="inlineStr">
        <is>
          <t>000224000</t>
        </is>
      </c>
      <c r="D309" s="3452" t="inlineStr">
        <is>
          <t>202012</t>
        </is>
      </c>
      <c r="E309" s="3452" t="inlineStr">
        <is>
          <t>0,000000000000</t>
        </is>
      </c>
    </row>
    <row outlineLevel="0" r="310">
      <c r="A310" s="3452" t="inlineStr">
        <is>
          <t>000224000202012420500</t>
        </is>
      </c>
      <c r="B310" s="3452" t="inlineStr">
        <is>
          <t>420500</t>
        </is>
      </c>
      <c r="C310" s="3452" t="inlineStr">
        <is>
          <t>000224000</t>
        </is>
      </c>
      <c r="D310" s="3452" t="inlineStr">
        <is>
          <t>202012</t>
        </is>
      </c>
      <c r="E310" s="3452" t="inlineStr">
        <is>
          <t>0,000000000000</t>
        </is>
      </c>
    </row>
    <row outlineLevel="0" r="311">
      <c r="A311" s="3452" t="inlineStr">
        <is>
          <t>000224000202012421000</t>
        </is>
      </c>
      <c r="B311" s="3452" t="inlineStr">
        <is>
          <t>421000</t>
        </is>
      </c>
      <c r="C311" s="3452" t="inlineStr">
        <is>
          <t>000224000</t>
        </is>
      </c>
      <c r="D311" s="3452" t="inlineStr">
        <is>
          <t>202012</t>
        </is>
      </c>
      <c r="E311" s="3452" t="inlineStr">
        <is>
          <t>0,000000000000</t>
        </is>
      </c>
    </row>
    <row outlineLevel="0" r="312">
      <c r="A312" s="3452" t="inlineStr">
        <is>
          <t>000224000202012421020</t>
        </is>
      </c>
      <c r="B312" s="3452" t="inlineStr">
        <is>
          <t>421020</t>
        </is>
      </c>
      <c r="C312" s="3452" t="inlineStr">
        <is>
          <t>000224000</t>
        </is>
      </c>
      <c r="D312" s="3452" t="inlineStr">
        <is>
          <t>202012</t>
        </is>
      </c>
      <c r="E312" s="3452" t="inlineStr">
        <is>
          <t>0,000000000000</t>
        </is>
      </c>
    </row>
    <row outlineLevel="0" r="313">
      <c r="A313" s="3452" t="inlineStr">
        <is>
          <t>000224000202012421040</t>
        </is>
      </c>
      <c r="B313" s="3452" t="inlineStr">
        <is>
          <t>421040</t>
        </is>
      </c>
      <c r="C313" s="3452" t="inlineStr">
        <is>
          <t>000224000</t>
        </is>
      </c>
      <c r="D313" s="3452" t="inlineStr">
        <is>
          <t>202012</t>
        </is>
      </c>
      <c r="E313" s="3452" t="inlineStr">
        <is>
          <t>0,000000000000</t>
        </is>
      </c>
    </row>
    <row outlineLevel="0" r="314">
      <c r="A314" s="3452" t="inlineStr">
        <is>
          <t>000224000202012421500</t>
        </is>
      </c>
      <c r="B314" s="3452" t="inlineStr">
        <is>
          <t>421500</t>
        </is>
      </c>
      <c r="C314" s="3452" t="inlineStr">
        <is>
          <t>000224000</t>
        </is>
      </c>
      <c r="D314" s="3452" t="inlineStr">
        <is>
          <t>202012</t>
        </is>
      </c>
      <c r="E314" s="3452" t="inlineStr">
        <is>
          <t>0,000000000000</t>
        </is>
      </c>
    </row>
    <row outlineLevel="0" r="315">
      <c r="A315" s="3452" t="inlineStr">
        <is>
          <t>000224000202012422000</t>
        </is>
      </c>
      <c r="B315" s="3452" t="inlineStr">
        <is>
          <t>422000</t>
        </is>
      </c>
      <c r="C315" s="3452" t="inlineStr">
        <is>
          <t>000224000</t>
        </is>
      </c>
      <c r="D315" s="3452" t="inlineStr">
        <is>
          <t>202012</t>
        </is>
      </c>
      <c r="E315" s="3452" t="inlineStr">
        <is>
          <t>0,000000000000</t>
        </is>
      </c>
    </row>
    <row outlineLevel="0" r="316">
      <c r="A316" s="3452" t="inlineStr">
        <is>
          <t>000224000202012422500</t>
        </is>
      </c>
      <c r="B316" s="3452" t="inlineStr">
        <is>
          <t>422500</t>
        </is>
      </c>
      <c r="C316" s="3452" t="inlineStr">
        <is>
          <t>000224000</t>
        </is>
      </c>
      <c r="D316" s="3452" t="inlineStr">
        <is>
          <t>202012</t>
        </is>
      </c>
      <c r="E316" s="3452" t="inlineStr">
        <is>
          <t>0,000000000000</t>
        </is>
      </c>
    </row>
    <row outlineLevel="0" r="317">
      <c r="A317" s="3452" t="inlineStr">
        <is>
          <t>000224000202012423500</t>
        </is>
      </c>
      <c r="B317" s="3452" t="inlineStr">
        <is>
          <t>423500</t>
        </is>
      </c>
      <c r="C317" s="3452" t="inlineStr">
        <is>
          <t>000224000</t>
        </is>
      </c>
      <c r="D317" s="3452" t="inlineStr">
        <is>
          <t>202012</t>
        </is>
      </c>
      <c r="E317" s="3452" t="inlineStr">
        <is>
          <t>0,000000000000</t>
        </is>
      </c>
    </row>
    <row outlineLevel="0" r="318">
      <c r="A318" s="3452" t="inlineStr">
        <is>
          <t>000224000202012424000</t>
        </is>
      </c>
      <c r="B318" s="3452" t="inlineStr">
        <is>
          <t>424000</t>
        </is>
      </c>
      <c r="C318" s="3452" t="inlineStr">
        <is>
          <t>000224000</t>
        </is>
      </c>
      <c r="D318" s="3452" t="inlineStr">
        <is>
          <t>202012</t>
        </is>
      </c>
      <c r="E318" s="3452" t="inlineStr">
        <is>
          <t>0,000000000000</t>
        </is>
      </c>
    </row>
    <row outlineLevel="0" r="319">
      <c r="A319" s="3452" t="inlineStr">
        <is>
          <t>000224000202012425000</t>
        </is>
      </c>
      <c r="B319" s="3452" t="inlineStr">
        <is>
          <t>425000</t>
        </is>
      </c>
      <c r="C319" s="3452" t="inlineStr">
        <is>
          <t>000224000</t>
        </is>
      </c>
      <c r="D319" s="3452" t="inlineStr">
        <is>
          <t>202012</t>
        </is>
      </c>
      <c r="E319" s="3452" t="inlineStr">
        <is>
          <t>0,000000000000</t>
        </is>
      </c>
    </row>
    <row outlineLevel="0" r="320">
      <c r="A320" s="3452" t="inlineStr">
        <is>
          <t>000224000202012426500</t>
        </is>
      </c>
      <c r="B320" s="3452" t="inlineStr">
        <is>
          <t>426500</t>
        </is>
      </c>
      <c r="C320" s="3452" t="inlineStr">
        <is>
          <t>000224000</t>
        </is>
      </c>
      <c r="D320" s="3452" t="inlineStr">
        <is>
          <t>202012</t>
        </is>
      </c>
      <c r="E320" s="3452" t="inlineStr">
        <is>
          <t>0,000000000000</t>
        </is>
      </c>
    </row>
    <row outlineLevel="0" r="321">
      <c r="A321" s="3452" t="inlineStr">
        <is>
          <t>000224000202012429500</t>
        </is>
      </c>
      <c r="B321" s="3452" t="inlineStr">
        <is>
          <t>429500</t>
        </is>
      </c>
      <c r="C321" s="3452" t="inlineStr">
        <is>
          <t>000224000</t>
        </is>
      </c>
      <c r="D321" s="3452" t="inlineStr">
        <is>
          <t>202012</t>
        </is>
      </c>
      <c r="E321" s="3452" t="inlineStr">
        <is>
          <t>0,000000000000</t>
        </is>
      </c>
    </row>
    <row outlineLevel="0" r="322">
      <c r="A322" s="3452" t="inlineStr">
        <is>
          <t>000224000202012510500</t>
        </is>
      </c>
      <c r="B322" s="3452" t="inlineStr">
        <is>
          <t>510500</t>
        </is>
      </c>
      <c r="C322" s="3452" t="inlineStr">
        <is>
          <t>000224000</t>
        </is>
      </c>
      <c r="D322" s="3452" t="inlineStr">
        <is>
          <t>202012</t>
        </is>
      </c>
      <c r="E322" s="3452" t="inlineStr">
        <is>
          <t>0,000000000000</t>
        </is>
      </c>
    </row>
    <row outlineLevel="0" r="323">
      <c r="A323" s="3452" t="inlineStr">
        <is>
          <t>000224000202012511000</t>
        </is>
      </c>
      <c r="B323" s="3452" t="inlineStr">
        <is>
          <t>511000</t>
        </is>
      </c>
      <c r="C323" s="3452" t="inlineStr">
        <is>
          <t>000224000</t>
        </is>
      </c>
      <c r="D323" s="3452" t="inlineStr">
        <is>
          <t>202012</t>
        </is>
      </c>
      <c r="E323" s="3452" t="inlineStr">
        <is>
          <t>0,000000000000</t>
        </is>
      </c>
    </row>
    <row outlineLevel="0" r="324">
      <c r="A324" s="3452" t="inlineStr">
        <is>
          <t>000224000202012511500</t>
        </is>
      </c>
      <c r="B324" s="3452" t="inlineStr">
        <is>
          <t>511500</t>
        </is>
      </c>
      <c r="C324" s="3452" t="inlineStr">
        <is>
          <t>000224000</t>
        </is>
      </c>
      <c r="D324" s="3452" t="inlineStr">
        <is>
          <t>202012</t>
        </is>
      </c>
      <c r="E324" s="3452" t="inlineStr">
        <is>
          <t>0,000000000000</t>
        </is>
      </c>
    </row>
    <row outlineLevel="0" r="325">
      <c r="A325" s="3452" t="inlineStr">
        <is>
          <t>000224000202012512000</t>
        </is>
      </c>
      <c r="B325" s="3452" t="inlineStr">
        <is>
          <t>512000</t>
        </is>
      </c>
      <c r="C325" s="3452" t="inlineStr">
        <is>
          <t>000224000</t>
        </is>
      </c>
      <c r="D325" s="3452" t="inlineStr">
        <is>
          <t>202012</t>
        </is>
      </c>
      <c r="E325" s="3452" t="inlineStr">
        <is>
          <t>0,000000000000</t>
        </is>
      </c>
    </row>
    <row outlineLevel="0" r="326">
      <c r="A326" s="3452" t="inlineStr">
        <is>
          <t>000224000202012512500</t>
        </is>
      </c>
      <c r="B326" s="3452" t="inlineStr">
        <is>
          <t>512500</t>
        </is>
      </c>
      <c r="C326" s="3452" t="inlineStr">
        <is>
          <t>000224000</t>
        </is>
      </c>
      <c r="D326" s="3452" t="inlineStr">
        <is>
          <t>202012</t>
        </is>
      </c>
      <c r="E326" s="3452" t="inlineStr">
        <is>
          <t>0,000000000000</t>
        </is>
      </c>
    </row>
    <row outlineLevel="0" r="327">
      <c r="A327" s="3452" t="inlineStr">
        <is>
          <t>000224000202012513000</t>
        </is>
      </c>
      <c r="B327" s="3452" t="inlineStr">
        <is>
          <t>513000</t>
        </is>
      </c>
      <c r="C327" s="3452" t="inlineStr">
        <is>
          <t>000224000</t>
        </is>
      </c>
      <c r="D327" s="3452" t="inlineStr">
        <is>
          <t>202012</t>
        </is>
      </c>
      <c r="E327" s="3452" t="inlineStr">
        <is>
          <t>0,000000000000</t>
        </is>
      </c>
    </row>
    <row outlineLevel="0" r="328">
      <c r="A328" s="3452" t="inlineStr">
        <is>
          <t>000224000202012513500</t>
        </is>
      </c>
      <c r="B328" s="3452" t="inlineStr">
        <is>
          <t>513500</t>
        </is>
      </c>
      <c r="C328" s="3452" t="inlineStr">
        <is>
          <t>000224000</t>
        </is>
      </c>
      <c r="D328" s="3452" t="inlineStr">
        <is>
          <t>202012</t>
        </is>
      </c>
      <c r="E328" s="3452" t="inlineStr">
        <is>
          <t>0,000000000000</t>
        </is>
      </c>
    </row>
    <row outlineLevel="0" r="329">
      <c r="A329" s="3452" t="inlineStr">
        <is>
          <t>000224000202012514000</t>
        </is>
      </c>
      <c r="B329" s="3452" t="inlineStr">
        <is>
          <t>514000</t>
        </is>
      </c>
      <c r="C329" s="3452" t="inlineStr">
        <is>
          <t>000224000</t>
        </is>
      </c>
      <c r="D329" s="3452" t="inlineStr">
        <is>
          <t>202012</t>
        </is>
      </c>
      <c r="E329" s="3452" t="inlineStr">
        <is>
          <t>0,000000000000</t>
        </is>
      </c>
    </row>
    <row outlineLevel="0" r="330">
      <c r="A330" s="3452" t="inlineStr">
        <is>
          <t>000224000202012514500</t>
        </is>
      </c>
      <c r="B330" s="3452" t="inlineStr">
        <is>
          <t>514500</t>
        </is>
      </c>
      <c r="C330" s="3452" t="inlineStr">
        <is>
          <t>000224000</t>
        </is>
      </c>
      <c r="D330" s="3452" t="inlineStr">
        <is>
          <t>202012</t>
        </is>
      </c>
      <c r="E330" s="3452" t="inlineStr">
        <is>
          <t>0,000000000000</t>
        </is>
      </c>
    </row>
    <row outlineLevel="0" r="331">
      <c r="A331" s="3452" t="inlineStr">
        <is>
          <t>000224000202012515000</t>
        </is>
      </c>
      <c r="B331" s="3452" t="inlineStr">
        <is>
          <t>515000</t>
        </is>
      </c>
      <c r="C331" s="3452" t="inlineStr">
        <is>
          <t>000224000</t>
        </is>
      </c>
      <c r="D331" s="3452" t="inlineStr">
        <is>
          <t>202012</t>
        </is>
      </c>
      <c r="E331" s="3452" t="inlineStr">
        <is>
          <t>0,000000000000</t>
        </is>
      </c>
    </row>
    <row outlineLevel="0" r="332">
      <c r="A332" s="3452" t="inlineStr">
        <is>
          <t>000224000202012515500</t>
        </is>
      </c>
      <c r="B332" s="3452" t="inlineStr">
        <is>
          <t>515500</t>
        </is>
      </c>
      <c r="C332" s="3452" t="inlineStr">
        <is>
          <t>000224000</t>
        </is>
      </c>
      <c r="D332" s="3452" t="inlineStr">
        <is>
          <t>202012</t>
        </is>
      </c>
      <c r="E332" s="3452" t="inlineStr">
        <is>
          <t>0,000000000000</t>
        </is>
      </c>
    </row>
    <row outlineLevel="0" r="333">
      <c r="A333" s="3452" t="inlineStr">
        <is>
          <t>000224000202012516000</t>
        </is>
      </c>
      <c r="B333" s="3452" t="inlineStr">
        <is>
          <t>516000</t>
        </is>
      </c>
      <c r="C333" s="3452" t="inlineStr">
        <is>
          <t>000224000</t>
        </is>
      </c>
      <c r="D333" s="3452" t="inlineStr">
        <is>
          <t>202012</t>
        </is>
      </c>
      <c r="E333" s="3452" t="inlineStr">
        <is>
          <t>0,000000000000</t>
        </is>
      </c>
    </row>
    <row outlineLevel="0" r="334">
      <c r="A334" s="3452" t="inlineStr">
        <is>
          <t>000224000202012516500</t>
        </is>
      </c>
      <c r="B334" s="3452" t="inlineStr">
        <is>
          <t>516500</t>
        </is>
      </c>
      <c r="C334" s="3452" t="inlineStr">
        <is>
          <t>000224000</t>
        </is>
      </c>
      <c r="D334" s="3452" t="inlineStr">
        <is>
          <t>202012</t>
        </is>
      </c>
      <c r="E334" s="3452" t="inlineStr">
        <is>
          <t>0,000000000000</t>
        </is>
      </c>
    </row>
    <row outlineLevel="0" r="335">
      <c r="A335" s="3452" t="inlineStr">
        <is>
          <t>000224000202012519500</t>
        </is>
      </c>
      <c r="B335" s="3452" t="inlineStr">
        <is>
          <t>519500</t>
        </is>
      </c>
      <c r="C335" s="3452" t="inlineStr">
        <is>
          <t>000224000</t>
        </is>
      </c>
      <c r="D335" s="3452" t="inlineStr">
        <is>
          <t>202012</t>
        </is>
      </c>
      <c r="E335" s="3452" t="inlineStr">
        <is>
          <t>0,000000000000</t>
        </is>
      </c>
    </row>
    <row outlineLevel="0" r="336">
      <c r="A336" s="3452" t="inlineStr">
        <is>
          <t>000224000202012519900</t>
        </is>
      </c>
      <c r="B336" s="3452" t="inlineStr">
        <is>
          <t>519900</t>
        </is>
      </c>
      <c r="C336" s="3452" t="inlineStr">
        <is>
          <t>000224000</t>
        </is>
      </c>
      <c r="D336" s="3452" t="inlineStr">
        <is>
          <t>202012</t>
        </is>
      </c>
      <c r="E336" s="3452" t="inlineStr">
        <is>
          <t>0,000000000000</t>
        </is>
      </c>
    </row>
    <row outlineLevel="0" r="337">
      <c r="A337" s="3452" t="inlineStr">
        <is>
          <t>000224000202012520500</t>
        </is>
      </c>
      <c r="B337" s="3452" t="inlineStr">
        <is>
          <t>520500</t>
        </is>
      </c>
      <c r="C337" s="3452" t="inlineStr">
        <is>
          <t>000224000</t>
        </is>
      </c>
      <c r="D337" s="3452" t="inlineStr">
        <is>
          <t>202012</t>
        </is>
      </c>
      <c r="E337" s="3452" t="inlineStr">
        <is>
          <t>0,000000000000</t>
        </is>
      </c>
    </row>
    <row outlineLevel="0" r="338">
      <c r="A338" s="3452" t="inlineStr">
        <is>
          <t>000224000202012521000</t>
        </is>
      </c>
      <c r="B338" s="3452" t="inlineStr">
        <is>
          <t>521000</t>
        </is>
      </c>
      <c r="C338" s="3452" t="inlineStr">
        <is>
          <t>000224000</t>
        </is>
      </c>
      <c r="D338" s="3452" t="inlineStr">
        <is>
          <t>202012</t>
        </is>
      </c>
      <c r="E338" s="3452" t="inlineStr">
        <is>
          <t>0,000000000000</t>
        </is>
      </c>
    </row>
    <row outlineLevel="0" r="339">
      <c r="A339" s="3452" t="inlineStr">
        <is>
          <t>000224000202012521500</t>
        </is>
      </c>
      <c r="B339" s="3452" t="inlineStr">
        <is>
          <t>521500</t>
        </is>
      </c>
      <c r="C339" s="3452" t="inlineStr">
        <is>
          <t>000224000</t>
        </is>
      </c>
      <c r="D339" s="3452" t="inlineStr">
        <is>
          <t>202012</t>
        </is>
      </c>
      <c r="E339" s="3452" t="inlineStr">
        <is>
          <t>0,000000000000</t>
        </is>
      </c>
    </row>
    <row outlineLevel="0" r="340">
      <c r="A340" s="3452" t="inlineStr">
        <is>
          <t>000224000202012522000</t>
        </is>
      </c>
      <c r="B340" s="3452" t="inlineStr">
        <is>
          <t>522000</t>
        </is>
      </c>
      <c r="C340" s="3452" t="inlineStr">
        <is>
          <t>000224000</t>
        </is>
      </c>
      <c r="D340" s="3452" t="inlineStr">
        <is>
          <t>202012</t>
        </is>
      </c>
      <c r="E340" s="3452" t="inlineStr">
        <is>
          <t>0,000000000000</t>
        </is>
      </c>
    </row>
    <row outlineLevel="0" r="341">
      <c r="A341" s="3452" t="inlineStr">
        <is>
          <t>000224000202012522500</t>
        </is>
      </c>
      <c r="B341" s="3452" t="inlineStr">
        <is>
          <t>522500</t>
        </is>
      </c>
      <c r="C341" s="3452" t="inlineStr">
        <is>
          <t>000224000</t>
        </is>
      </c>
      <c r="D341" s="3452" t="inlineStr">
        <is>
          <t>202012</t>
        </is>
      </c>
      <c r="E341" s="3452" t="inlineStr">
        <is>
          <t>0,000000000000</t>
        </is>
      </c>
    </row>
    <row outlineLevel="0" r="342">
      <c r="A342" s="3452" t="inlineStr">
        <is>
          <t>000224000202012523000</t>
        </is>
      </c>
      <c r="B342" s="3452" t="inlineStr">
        <is>
          <t>523000</t>
        </is>
      </c>
      <c r="C342" s="3452" t="inlineStr">
        <is>
          <t>000224000</t>
        </is>
      </c>
      <c r="D342" s="3452" t="inlineStr">
        <is>
          <t>202012</t>
        </is>
      </c>
      <c r="E342" s="3452" t="inlineStr">
        <is>
          <t>0,000000000000</t>
        </is>
      </c>
    </row>
    <row outlineLevel="0" r="343">
      <c r="A343" s="3452" t="inlineStr">
        <is>
          <t>000224000202012523500</t>
        </is>
      </c>
      <c r="B343" s="3452" t="inlineStr">
        <is>
          <t>523500</t>
        </is>
      </c>
      <c r="C343" s="3452" t="inlineStr">
        <is>
          <t>000224000</t>
        </is>
      </c>
      <c r="D343" s="3452" t="inlineStr">
        <is>
          <t>202012</t>
        </is>
      </c>
      <c r="E343" s="3452" t="inlineStr">
        <is>
          <t>0,000000000000</t>
        </is>
      </c>
    </row>
    <row outlineLevel="0" r="344">
      <c r="A344" s="3452" t="inlineStr">
        <is>
          <t>000224000202012524000</t>
        </is>
      </c>
      <c r="B344" s="3452" t="inlineStr">
        <is>
          <t>524000</t>
        </is>
      </c>
      <c r="C344" s="3452" t="inlineStr">
        <is>
          <t>000224000</t>
        </is>
      </c>
      <c r="D344" s="3452" t="inlineStr">
        <is>
          <t>202012</t>
        </is>
      </c>
      <c r="E344" s="3452" t="inlineStr">
        <is>
          <t>0,000000000000</t>
        </is>
      </c>
    </row>
    <row outlineLevel="0" r="345">
      <c r="A345" s="3452" t="inlineStr">
        <is>
          <t>000224000202012524500</t>
        </is>
      </c>
      <c r="B345" s="3452" t="inlineStr">
        <is>
          <t>524500</t>
        </is>
      </c>
      <c r="C345" s="3452" t="inlineStr">
        <is>
          <t>000224000</t>
        </is>
      </c>
      <c r="D345" s="3452" t="inlineStr">
        <is>
          <t>202012</t>
        </is>
      </c>
      <c r="E345" s="3452" t="inlineStr">
        <is>
          <t>0,000000000000</t>
        </is>
      </c>
    </row>
    <row outlineLevel="0" r="346">
      <c r="A346" s="3452" t="inlineStr">
        <is>
          <t>000224000202012525000</t>
        </is>
      </c>
      <c r="B346" s="3452" t="inlineStr">
        <is>
          <t>525000</t>
        </is>
      </c>
      <c r="C346" s="3452" t="inlineStr">
        <is>
          <t>000224000</t>
        </is>
      </c>
      <c r="D346" s="3452" t="inlineStr">
        <is>
          <t>202012</t>
        </is>
      </c>
      <c r="E346" s="3452" t="inlineStr">
        <is>
          <t>0,000000000000</t>
        </is>
      </c>
    </row>
    <row outlineLevel="0" r="347">
      <c r="A347" s="3452" t="inlineStr">
        <is>
          <t>000224000202012525500</t>
        </is>
      </c>
      <c r="B347" s="3452" t="inlineStr">
        <is>
          <t>525500</t>
        </is>
      </c>
      <c r="C347" s="3452" t="inlineStr">
        <is>
          <t>000224000</t>
        </is>
      </c>
      <c r="D347" s="3452" t="inlineStr">
        <is>
          <t>202012</t>
        </is>
      </c>
      <c r="E347" s="3452" t="inlineStr">
        <is>
          <t>0,000000000000</t>
        </is>
      </c>
    </row>
    <row outlineLevel="0" r="348">
      <c r="A348" s="3452" t="inlineStr">
        <is>
          <t>000224000202012526000</t>
        </is>
      </c>
      <c r="B348" s="3452" t="inlineStr">
        <is>
          <t>526000</t>
        </is>
      </c>
      <c r="C348" s="3452" t="inlineStr">
        <is>
          <t>000224000</t>
        </is>
      </c>
      <c r="D348" s="3452" t="inlineStr">
        <is>
          <t>202012</t>
        </is>
      </c>
      <c r="E348" s="3452" t="inlineStr">
        <is>
          <t>0,000000000000</t>
        </is>
      </c>
    </row>
    <row outlineLevel="0" r="349">
      <c r="A349" s="3452" t="inlineStr">
        <is>
          <t>000224000202012526500</t>
        </is>
      </c>
      <c r="B349" s="3452" t="inlineStr">
        <is>
          <t>526500</t>
        </is>
      </c>
      <c r="C349" s="3452" t="inlineStr">
        <is>
          <t>000224000</t>
        </is>
      </c>
      <c r="D349" s="3452" t="inlineStr">
        <is>
          <t>202012</t>
        </is>
      </c>
      <c r="E349" s="3452" t="inlineStr">
        <is>
          <t>0,000000000000</t>
        </is>
      </c>
    </row>
    <row outlineLevel="0" r="350">
      <c r="A350" s="3452" t="inlineStr">
        <is>
          <t>000224000202012529500</t>
        </is>
      </c>
      <c r="B350" s="3452" t="inlineStr">
        <is>
          <t>529500</t>
        </is>
      </c>
      <c r="C350" s="3452" t="inlineStr">
        <is>
          <t>000224000</t>
        </is>
      </c>
      <c r="D350" s="3452" t="inlineStr">
        <is>
          <t>202012</t>
        </is>
      </c>
      <c r="E350" s="3452" t="inlineStr">
        <is>
          <t>0,000000000000</t>
        </is>
      </c>
    </row>
    <row outlineLevel="0" r="351">
      <c r="A351" s="3452" t="inlineStr">
        <is>
          <t>000224000202012529900</t>
        </is>
      </c>
      <c r="B351" s="3452" t="inlineStr">
        <is>
          <t>529900</t>
        </is>
      </c>
      <c r="C351" s="3452" t="inlineStr">
        <is>
          <t>000224000</t>
        </is>
      </c>
      <c r="D351" s="3452" t="inlineStr">
        <is>
          <t>202012</t>
        </is>
      </c>
      <c r="E351" s="3452" t="inlineStr">
        <is>
          <t>0,000000000000</t>
        </is>
      </c>
    </row>
    <row outlineLevel="0" r="352">
      <c r="A352" s="3452" t="inlineStr">
        <is>
          <t>000224000202012530505</t>
        </is>
      </c>
      <c r="B352" s="3452" t="inlineStr">
        <is>
          <t>530505</t>
        </is>
      </c>
      <c r="C352" s="3452" t="inlineStr">
        <is>
          <t>000224000</t>
        </is>
      </c>
      <c r="D352" s="3452" t="inlineStr">
        <is>
          <t>202012</t>
        </is>
      </c>
      <c r="E352" s="3452" t="inlineStr">
        <is>
          <t>0,000000000000</t>
        </is>
      </c>
    </row>
    <row outlineLevel="0" r="353">
      <c r="A353" s="3452" t="inlineStr">
        <is>
          <t>000224000202012530515</t>
        </is>
      </c>
      <c r="B353" s="3452" t="inlineStr">
        <is>
          <t>530515</t>
        </is>
      </c>
      <c r="C353" s="3452" t="inlineStr">
        <is>
          <t>000224000</t>
        </is>
      </c>
      <c r="D353" s="3452" t="inlineStr">
        <is>
          <t>202012</t>
        </is>
      </c>
      <c r="E353" s="3452" t="inlineStr">
        <is>
          <t>0,000000000000</t>
        </is>
      </c>
    </row>
    <row outlineLevel="0" r="354">
      <c r="A354" s="3452" t="inlineStr">
        <is>
          <t>000224000202012530525</t>
        </is>
      </c>
      <c r="B354" s="3452" t="inlineStr">
        <is>
          <t>530525</t>
        </is>
      </c>
      <c r="C354" s="3452" t="inlineStr">
        <is>
          <t>000224000</t>
        </is>
      </c>
      <c r="D354" s="3452" t="inlineStr">
        <is>
          <t>202012</t>
        </is>
      </c>
      <c r="E354" s="3452" t="inlineStr">
        <is>
          <t>0,000000000000</t>
        </is>
      </c>
    </row>
    <row outlineLevel="0" r="355">
      <c r="A355" s="3452" t="inlineStr">
        <is>
          <t>000224000202012530535</t>
        </is>
      </c>
      <c r="B355" s="3452" t="inlineStr">
        <is>
          <t>530535</t>
        </is>
      </c>
      <c r="C355" s="3452" t="inlineStr">
        <is>
          <t>000224000</t>
        </is>
      </c>
      <c r="D355" s="3452" t="inlineStr">
        <is>
          <t>202012</t>
        </is>
      </c>
      <c r="E355" s="3452" t="inlineStr">
        <is>
          <t>0,000000000000</t>
        </is>
      </c>
    </row>
    <row outlineLevel="0" r="356">
      <c r="A356" s="3452" t="inlineStr">
        <is>
          <t>000224000202012531000</t>
        </is>
      </c>
      <c r="B356" s="3452" t="inlineStr">
        <is>
          <t>531000</t>
        </is>
      </c>
      <c r="C356" s="3452" t="inlineStr">
        <is>
          <t>000224000</t>
        </is>
      </c>
      <c r="D356" s="3452" t="inlineStr">
        <is>
          <t>202012</t>
        </is>
      </c>
      <c r="E356" s="3452" t="inlineStr">
        <is>
          <t>0,000000000000</t>
        </is>
      </c>
    </row>
    <row outlineLevel="0" r="357">
      <c r="A357" s="3452" t="inlineStr">
        <is>
          <t>000224000202012531300</t>
        </is>
      </c>
      <c r="B357" s="3452" t="inlineStr">
        <is>
          <t>531300</t>
        </is>
      </c>
      <c r="C357" s="3452" t="inlineStr">
        <is>
          <t>000224000</t>
        </is>
      </c>
      <c r="D357" s="3452" t="inlineStr">
        <is>
          <t>202012</t>
        </is>
      </c>
      <c r="E357" s="3452" t="inlineStr">
        <is>
          <t>0,000000000000</t>
        </is>
      </c>
    </row>
    <row outlineLevel="0" r="358">
      <c r="A358" s="3452" t="inlineStr">
        <is>
          <t>000224000202012531500</t>
        </is>
      </c>
      <c r="B358" s="3452" t="inlineStr">
        <is>
          <t>531500</t>
        </is>
      </c>
      <c r="C358" s="3452" t="inlineStr">
        <is>
          <t>000224000</t>
        </is>
      </c>
      <c r="D358" s="3452" t="inlineStr">
        <is>
          <t>202012</t>
        </is>
      </c>
      <c r="E358" s="3452" t="inlineStr">
        <is>
          <t>0,000000000000</t>
        </is>
      </c>
    </row>
    <row outlineLevel="0" r="359">
      <c r="A359" s="3452" t="inlineStr">
        <is>
          <t>000224000202012531515</t>
        </is>
      </c>
      <c r="B359" s="3452" t="inlineStr">
        <is>
          <t>531515</t>
        </is>
      </c>
      <c r="C359" s="3452" t="inlineStr">
        <is>
          <t>000224000</t>
        </is>
      </c>
      <c r="D359" s="3452" t="inlineStr">
        <is>
          <t>202012</t>
        </is>
      </c>
      <c r="E359" s="3452" t="inlineStr">
        <is>
          <t>0,000000000000</t>
        </is>
      </c>
    </row>
    <row outlineLevel="0" r="360">
      <c r="A360" s="3452" t="inlineStr">
        <is>
          <t>000224000202012531520</t>
        </is>
      </c>
      <c r="B360" s="3452" t="inlineStr">
        <is>
          <t>531520</t>
        </is>
      </c>
      <c r="C360" s="3452" t="inlineStr">
        <is>
          <t>000224000</t>
        </is>
      </c>
      <c r="D360" s="3452" t="inlineStr">
        <is>
          <t>202012</t>
        </is>
      </c>
      <c r="E360" s="3452" t="inlineStr">
        <is>
          <t>0,000000000000</t>
        </is>
      </c>
    </row>
    <row outlineLevel="0" r="361">
      <c r="A361" s="3452" t="inlineStr">
        <is>
          <t>000224000202012539525</t>
        </is>
      </c>
      <c r="B361" s="3452" t="inlineStr">
        <is>
          <t>539525</t>
        </is>
      </c>
      <c r="C361" s="3452" t="inlineStr">
        <is>
          <t>000224000</t>
        </is>
      </c>
      <c r="D361" s="3452" t="inlineStr">
        <is>
          <t>202012</t>
        </is>
      </c>
      <c r="E361" s="3452" t="inlineStr">
        <is>
          <t>0,000000000000</t>
        </is>
      </c>
    </row>
    <row outlineLevel="0" r="362">
      <c r="A362" s="3452" t="inlineStr">
        <is>
          <t>000224000202012539595</t>
        </is>
      </c>
      <c r="B362" s="3452" t="inlineStr">
        <is>
          <t>539595</t>
        </is>
      </c>
      <c r="C362" s="3452" t="inlineStr">
        <is>
          <t>000224000</t>
        </is>
      </c>
      <c r="D362" s="3452" t="inlineStr">
        <is>
          <t>202012</t>
        </is>
      </c>
      <c r="E362" s="3452" t="inlineStr">
        <is>
          <t>0,000000000000</t>
        </is>
      </c>
    </row>
    <row outlineLevel="0" r="363">
      <c r="A363" s="3452" t="inlineStr">
        <is>
          <t>000224000202012606000</t>
        </is>
      </c>
      <c r="B363" s="3452" t="inlineStr">
        <is>
          <t>606000</t>
        </is>
      </c>
      <c r="C363" s="3452" t="inlineStr">
        <is>
          <t>000224000</t>
        </is>
      </c>
      <c r="D363" s="3452" t="inlineStr">
        <is>
          <t>202012</t>
        </is>
      </c>
      <c r="E363" s="3452" t="inlineStr">
        <is>
          <t>0,000000000000</t>
        </is>
      </c>
    </row>
    <row outlineLevel="0" r="364">
      <c r="A364" s="3452" t="inlineStr">
        <is>
          <t>0002240002019120</t>
        </is>
      </c>
      <c r="B364" s="3452" t="inlineStr">
        <is>
          <t>0</t>
        </is>
      </c>
      <c r="C364" s="3452" t="inlineStr">
        <is>
          <t>000224000</t>
        </is>
      </c>
      <c r="D364" s="3452" t="inlineStr">
        <is>
          <t>201912</t>
        </is>
      </c>
      <c r="E364" s="3452" t="inlineStr">
        <is>
          <t>200000,000000000000</t>
        </is>
      </c>
    </row>
    <row outlineLevel="0" r="365">
      <c r="A365" s="3452" t="inlineStr">
        <is>
          <t>0002240002019121</t>
        </is>
      </c>
      <c r="B365" s="3452" t="inlineStr">
        <is>
          <t>1</t>
        </is>
      </c>
      <c r="C365" s="3452" t="inlineStr">
        <is>
          <t>000224000</t>
        </is>
      </c>
      <c r="D365" s="3452" t="inlineStr">
        <is>
          <t>201912</t>
        </is>
      </c>
      <c r="E365" s="3452" t="inlineStr">
        <is>
          <t>200000,000000000000</t>
        </is>
      </c>
    </row>
    <row outlineLevel="0" r="366">
      <c r="A366" s="3452" t="inlineStr">
        <is>
          <t>0002240002019122</t>
        </is>
      </c>
      <c r="B366" s="3452" t="inlineStr">
        <is>
          <t>2</t>
        </is>
      </c>
      <c r="C366" s="3452" t="inlineStr">
        <is>
          <t>000224000</t>
        </is>
      </c>
      <c r="D366" s="3452" t="inlineStr">
        <is>
          <t>201912</t>
        </is>
      </c>
      <c r="E366" s="3452" t="inlineStr">
        <is>
          <t>100000,000000000000</t>
        </is>
      </c>
    </row>
    <row outlineLevel="0" r="367">
      <c r="A367" s="3452" t="inlineStr">
        <is>
          <t>0002240002019123</t>
        </is>
      </c>
      <c r="B367" s="3452" t="inlineStr">
        <is>
          <t>3</t>
        </is>
      </c>
      <c r="C367" s="3452" t="inlineStr">
        <is>
          <t>000224000</t>
        </is>
      </c>
      <c r="D367" s="3452" t="inlineStr">
        <is>
          <t>201912</t>
        </is>
      </c>
      <c r="E367" s="3452" t="inlineStr">
        <is>
          <t>100000,000000000000</t>
        </is>
      </c>
    </row>
    <row outlineLevel="0" r="368">
      <c r="A368" s="3452" t="inlineStr">
        <is>
          <t>00022400020191211</t>
        </is>
      </c>
      <c r="B368" s="3452" t="inlineStr">
        <is>
          <t>11</t>
        </is>
      </c>
      <c r="C368" s="3452" t="inlineStr">
        <is>
          <t>000224000</t>
        </is>
      </c>
      <c r="D368" s="3452" t="inlineStr">
        <is>
          <t>201912</t>
        </is>
      </c>
      <c r="E368" s="3452" t="inlineStr">
        <is>
          <t>200000,000000000000</t>
        </is>
      </c>
    </row>
    <row outlineLevel="0" r="369">
      <c r="A369" s="3452" t="inlineStr">
        <is>
          <t>00022400020191212</t>
        </is>
      </c>
      <c r="B369" s="3452" t="inlineStr">
        <is>
          <t>12</t>
        </is>
      </c>
      <c r="C369" s="3452" t="inlineStr">
        <is>
          <t>000224000</t>
        </is>
      </c>
      <c r="D369" s="3452" t="inlineStr">
        <is>
          <t>201912</t>
        </is>
      </c>
      <c r="E369" s="3452" t="inlineStr">
        <is>
          <t>0,000000000000</t>
        </is>
      </c>
    </row>
    <row outlineLevel="0" r="370">
      <c r="A370" s="3452" t="inlineStr">
        <is>
          <t>00022400020191221</t>
        </is>
      </c>
      <c r="B370" s="3452" t="inlineStr">
        <is>
          <t>21</t>
        </is>
      </c>
      <c r="C370" s="3452" t="inlineStr">
        <is>
          <t>000224000</t>
        </is>
      </c>
      <c r="D370" s="3452" t="inlineStr">
        <is>
          <t>201912</t>
        </is>
      </c>
      <c r="E370" s="3452" t="inlineStr">
        <is>
          <t>100000,000000000000</t>
        </is>
      </c>
    </row>
    <row outlineLevel="0" r="371">
      <c r="A371" s="3452" t="inlineStr">
        <is>
          <t>00022400020191222</t>
        </is>
      </c>
      <c r="B371" s="3452" t="inlineStr">
        <is>
          <t>22</t>
        </is>
      </c>
      <c r="C371" s="3452" t="inlineStr">
        <is>
          <t>000224000</t>
        </is>
      </c>
      <c r="D371" s="3452" t="inlineStr">
        <is>
          <t>201912</t>
        </is>
      </c>
      <c r="E371" s="3452" t="inlineStr">
        <is>
          <t>0,000000000000</t>
        </is>
      </c>
    </row>
    <row outlineLevel="0" r="372">
      <c r="A372" s="3452" t="inlineStr">
        <is>
          <t>00022400020191231</t>
        </is>
      </c>
      <c r="B372" s="3452" t="inlineStr">
        <is>
          <t>31</t>
        </is>
      </c>
      <c r="C372" s="3452" t="inlineStr">
        <is>
          <t>000224000</t>
        </is>
      </c>
      <c r="D372" s="3452" t="inlineStr">
        <is>
          <t>201912</t>
        </is>
      </c>
      <c r="E372" s="3452" t="inlineStr">
        <is>
          <t>100000,000000000000</t>
        </is>
      </c>
    </row>
    <row outlineLevel="0" r="373">
      <c r="A373" s="3452" t="inlineStr">
        <is>
          <t>00022400020191232</t>
        </is>
      </c>
      <c r="B373" s="3452" t="inlineStr">
        <is>
          <t>32</t>
        </is>
      </c>
      <c r="C373" s="3452" t="inlineStr">
        <is>
          <t>000224000</t>
        </is>
      </c>
      <c r="D373" s="3452" t="inlineStr">
        <is>
          <t>201912</t>
        </is>
      </c>
      <c r="E373" s="3452" t="inlineStr">
        <is>
          <t>0,000000000000</t>
        </is>
      </c>
    </row>
    <row outlineLevel="0" r="374">
      <c r="A374" s="3452" t="inlineStr">
        <is>
          <t>00022400020191233</t>
        </is>
      </c>
      <c r="B374" s="3452" t="inlineStr">
        <is>
          <t>33</t>
        </is>
      </c>
      <c r="C374" s="3452" t="inlineStr">
        <is>
          <t>000224000</t>
        </is>
      </c>
      <c r="D374" s="3452" t="inlineStr">
        <is>
          <t>201912</t>
        </is>
      </c>
      <c r="E374" s="3452" t="inlineStr">
        <is>
          <t>0,000000000000</t>
        </is>
      </c>
    </row>
    <row outlineLevel="0" r="375">
      <c r="A375" s="3452" t="inlineStr">
        <is>
          <t>00022400020191234</t>
        </is>
      </c>
      <c r="B375" s="3452" t="inlineStr">
        <is>
          <t>34</t>
        </is>
      </c>
      <c r="C375" s="3452" t="inlineStr">
        <is>
          <t>000224000</t>
        </is>
      </c>
      <c r="D375" s="3452" t="inlineStr">
        <is>
          <t>201912</t>
        </is>
      </c>
      <c r="E375" s="3452" t="inlineStr">
        <is>
          <t>0,000000000000</t>
        </is>
      </c>
    </row>
    <row outlineLevel="0" r="376">
      <c r="A376" s="3452" t="inlineStr">
        <is>
          <t>00022400020191235</t>
        </is>
      </c>
      <c r="B376" s="3452" t="inlineStr">
        <is>
          <t>35</t>
        </is>
      </c>
      <c r="C376" s="3452" t="inlineStr">
        <is>
          <t>000224000</t>
        </is>
      </c>
      <c r="D376" s="3452" t="inlineStr">
        <is>
          <t>201912</t>
        </is>
      </c>
      <c r="E376" s="3452" t="inlineStr">
        <is>
          <t>0,000000000000</t>
        </is>
      </c>
    </row>
    <row outlineLevel="0" r="377">
      <c r="A377" s="3452" t="inlineStr">
        <is>
          <t>00022400020191236</t>
        </is>
      </c>
      <c r="B377" s="3452" t="inlineStr">
        <is>
          <t>36</t>
        </is>
      </c>
      <c r="C377" s="3452" t="inlineStr">
        <is>
          <t>000224000</t>
        </is>
      </c>
      <c r="D377" s="3452" t="inlineStr">
        <is>
          <t>201912</t>
        </is>
      </c>
      <c r="E377" s="3452" t="inlineStr">
        <is>
          <t>0,000000000000</t>
        </is>
      </c>
    </row>
    <row outlineLevel="0" r="378">
      <c r="A378" s="3452" t="inlineStr">
        <is>
          <t>00022400020191237</t>
        </is>
      </c>
      <c r="B378" s="3452" t="inlineStr">
        <is>
          <t>37</t>
        </is>
      </c>
      <c r="C378" s="3452" t="inlineStr">
        <is>
          <t>000224000</t>
        </is>
      </c>
      <c r="D378" s="3452" t="inlineStr">
        <is>
          <t>201912</t>
        </is>
      </c>
      <c r="E378" s="3452" t="inlineStr">
        <is>
          <t>0,000000000000</t>
        </is>
      </c>
    </row>
    <row outlineLevel="0" r="379">
      <c r="A379" s="3452" t="inlineStr">
        <is>
          <t>00022400020191238</t>
        </is>
      </c>
      <c r="B379" s="3452" t="inlineStr">
        <is>
          <t>38</t>
        </is>
      </c>
      <c r="C379" s="3452" t="inlineStr">
        <is>
          <t>000224000</t>
        </is>
      </c>
      <c r="D379" s="3452" t="inlineStr">
        <is>
          <t>201912</t>
        </is>
      </c>
      <c r="E379" s="3452" t="inlineStr">
        <is>
          <t>0,000000000000</t>
        </is>
      </c>
    </row>
    <row outlineLevel="0" r="380">
      <c r="A380" s="3452" t="inlineStr">
        <is>
          <t>00022400020191241</t>
        </is>
      </c>
      <c r="B380" s="3452" t="inlineStr">
        <is>
          <t>41</t>
        </is>
      </c>
      <c r="C380" s="3452" t="inlineStr">
        <is>
          <t>000224000</t>
        </is>
      </c>
      <c r="D380" s="3452" t="inlineStr">
        <is>
          <t>201912</t>
        </is>
      </c>
      <c r="E380" s="3452" t="inlineStr">
        <is>
          <t>0,000000000000</t>
        </is>
      </c>
    </row>
    <row outlineLevel="0" r="381">
      <c r="A381" s="3452" t="inlineStr">
        <is>
          <t>00022400020191242</t>
        </is>
      </c>
      <c r="B381" s="3452" t="inlineStr">
        <is>
          <t>42</t>
        </is>
      </c>
      <c r="C381" s="3452" t="inlineStr">
        <is>
          <t>000224000</t>
        </is>
      </c>
      <c r="D381" s="3452" t="inlineStr">
        <is>
          <t>201912</t>
        </is>
      </c>
      <c r="E381" s="3452" t="inlineStr">
        <is>
          <t>0,000000000000</t>
        </is>
      </c>
    </row>
    <row outlineLevel="0" r="382">
      <c r="A382" s="3452" t="inlineStr">
        <is>
          <t>00022400020191251</t>
        </is>
      </c>
      <c r="B382" s="3452" t="inlineStr">
        <is>
          <t>51</t>
        </is>
      </c>
      <c r="C382" s="3452" t="inlineStr">
        <is>
          <t>000224000</t>
        </is>
      </c>
      <c r="D382" s="3452" t="inlineStr">
        <is>
          <t>201912</t>
        </is>
      </c>
      <c r="E382" s="3452" t="inlineStr">
        <is>
          <t>0,000000000000</t>
        </is>
      </c>
    </row>
    <row outlineLevel="0" r="383">
      <c r="A383" s="3452" t="inlineStr">
        <is>
          <t>00022400020191252</t>
        </is>
      </c>
      <c r="B383" s="3452" t="inlineStr">
        <is>
          <t>52</t>
        </is>
      </c>
      <c r="C383" s="3452" t="inlineStr">
        <is>
          <t>000224000</t>
        </is>
      </c>
      <c r="D383" s="3452" t="inlineStr">
        <is>
          <t>201912</t>
        </is>
      </c>
      <c r="E383" s="3452" t="inlineStr">
        <is>
          <t>0,000000000000</t>
        </is>
      </c>
    </row>
    <row outlineLevel="0" r="384">
      <c r="A384" s="3452" t="inlineStr">
        <is>
          <t>00022400020191253</t>
        </is>
      </c>
      <c r="B384" s="3452" t="inlineStr">
        <is>
          <t>53</t>
        </is>
      </c>
      <c r="C384" s="3452" t="inlineStr">
        <is>
          <t>000224000</t>
        </is>
      </c>
      <c r="D384" s="3452" t="inlineStr">
        <is>
          <t>201912</t>
        </is>
      </c>
      <c r="E384" s="3452" t="inlineStr">
        <is>
          <t>0,000000000000</t>
        </is>
      </c>
    </row>
    <row outlineLevel="0" r="385">
      <c r="A385" s="3452" t="inlineStr">
        <is>
          <t>00022400020191254</t>
        </is>
      </c>
      <c r="B385" s="3452" t="inlineStr">
        <is>
          <t>54</t>
        </is>
      </c>
      <c r="C385" s="3452" t="inlineStr">
        <is>
          <t>000224000</t>
        </is>
      </c>
      <c r="D385" s="3452" t="inlineStr">
        <is>
          <t>201912</t>
        </is>
      </c>
      <c r="E385" s="3452" t="inlineStr">
        <is>
          <t>0,000000000000</t>
        </is>
      </c>
    </row>
    <row outlineLevel="0" r="386">
      <c r="A386" s="3452" t="inlineStr">
        <is>
          <t>00022400020191261</t>
        </is>
      </c>
      <c r="B386" s="3452" t="inlineStr">
        <is>
          <t>61</t>
        </is>
      </c>
      <c r="C386" s="3452" t="inlineStr">
        <is>
          <t>000224000</t>
        </is>
      </c>
      <c r="D386" s="3452" t="inlineStr">
        <is>
          <t>201912</t>
        </is>
      </c>
      <c r="E386" s="3452" t="inlineStr">
        <is>
          <t>0,000000000000</t>
        </is>
      </c>
    </row>
    <row outlineLevel="0" r="387">
      <c r="A387" s="3452" t="inlineStr">
        <is>
          <t>00022400020191295</t>
        </is>
      </c>
      <c r="B387" s="3452" t="inlineStr">
        <is>
          <t>95</t>
        </is>
      </c>
      <c r="C387" s="3452" t="inlineStr">
        <is>
          <t>000224000</t>
        </is>
      </c>
      <c r="D387" s="3452" t="inlineStr">
        <is>
          <t>201912</t>
        </is>
      </c>
      <c r="E387" s="3452" t="inlineStr">
        <is>
          <t>0,000000000000</t>
        </is>
      </c>
    </row>
    <row outlineLevel="0" r="388">
      <c r="A388" s="3452" t="inlineStr">
        <is>
          <t>00022400020191296</t>
        </is>
      </c>
      <c r="B388" s="3452" t="inlineStr">
        <is>
          <t>96</t>
        </is>
      </c>
      <c r="C388" s="3452" t="inlineStr">
        <is>
          <t>000224000</t>
        </is>
      </c>
      <c r="D388" s="3452" t="inlineStr">
        <is>
          <t>201912</t>
        </is>
      </c>
      <c r="E388" s="3452" t="inlineStr">
        <is>
          <t>0,000000000000</t>
        </is>
      </c>
    </row>
    <row outlineLevel="0" r="389">
      <c r="A389" s="3452" t="inlineStr">
        <is>
          <t>00022400020191297</t>
        </is>
      </c>
      <c r="B389" s="3452" t="inlineStr">
        <is>
          <t>97</t>
        </is>
      </c>
      <c r="C389" s="3452" t="inlineStr">
        <is>
          <t>000224000</t>
        </is>
      </c>
      <c r="D389" s="3452" t="inlineStr">
        <is>
          <t>201912</t>
        </is>
      </c>
      <c r="E389" s="3452" t="inlineStr">
        <is>
          <t>0,000000000000</t>
        </is>
      </c>
    </row>
    <row outlineLevel="0" r="390">
      <c r="A390" s="3452" t="inlineStr">
        <is>
          <t>00022400020191298</t>
        </is>
      </c>
      <c r="B390" s="3452" t="inlineStr">
        <is>
          <t>98</t>
        </is>
      </c>
      <c r="C390" s="3452" t="inlineStr">
        <is>
          <t>000224000</t>
        </is>
      </c>
      <c r="D390" s="3452" t="inlineStr">
        <is>
          <t>201912</t>
        </is>
      </c>
      <c r="E390" s="3452" t="inlineStr">
        <is>
          <t>0,000000000000</t>
        </is>
      </c>
    </row>
    <row outlineLevel="0" r="391">
      <c r="A391" s="3452" t="inlineStr">
        <is>
          <t>00022400020191299</t>
        </is>
      </c>
      <c r="B391" s="3452" t="inlineStr">
        <is>
          <t>99</t>
        </is>
      </c>
      <c r="C391" s="3452" t="inlineStr">
        <is>
          <t>000224000</t>
        </is>
      </c>
      <c r="D391" s="3452" t="inlineStr">
        <is>
          <t>201912</t>
        </is>
      </c>
      <c r="E391" s="3452" t="inlineStr">
        <is>
          <t>0,000000000000</t>
        </is>
      </c>
    </row>
    <row outlineLevel="0" r="392">
      <c r="A392" s="3452" t="inlineStr">
        <is>
          <t>0002240002019121101</t>
        </is>
      </c>
      <c r="B392" s="3452" t="inlineStr">
        <is>
          <t>1101</t>
        </is>
      </c>
      <c r="C392" s="3452" t="inlineStr">
        <is>
          <t>000224000</t>
        </is>
      </c>
      <c r="D392" s="3452" t="inlineStr">
        <is>
          <t>201912</t>
        </is>
      </c>
      <c r="E392" s="3452" t="inlineStr">
        <is>
          <t>200000,000000000000</t>
        </is>
      </c>
    </row>
    <row outlineLevel="0" r="393">
      <c r="A393" s="3452" t="inlineStr">
        <is>
          <t>0002240002019121102</t>
        </is>
      </c>
      <c r="B393" s="3452" t="inlineStr">
        <is>
          <t>1102</t>
        </is>
      </c>
      <c r="C393" s="3452" t="inlineStr">
        <is>
          <t>000224000</t>
        </is>
      </c>
      <c r="D393" s="3452" t="inlineStr">
        <is>
          <t>201912</t>
        </is>
      </c>
      <c r="E393" s="3452" t="inlineStr">
        <is>
          <t>0,000000000000</t>
        </is>
      </c>
    </row>
    <row outlineLevel="0" r="394">
      <c r="A394" s="3452" t="inlineStr">
        <is>
          <t>0002240002019121103</t>
        </is>
      </c>
      <c r="B394" s="3452" t="inlineStr">
        <is>
          <t>1103</t>
        </is>
      </c>
      <c r="C394" s="3452" t="inlineStr">
        <is>
          <t>000224000</t>
        </is>
      </c>
      <c r="D394" s="3452" t="inlineStr">
        <is>
          <t>201912</t>
        </is>
      </c>
      <c r="E394" s="3452" t="inlineStr">
        <is>
          <t>0,000000000000</t>
        </is>
      </c>
    </row>
    <row outlineLevel="0" r="395">
      <c r="A395" s="3452" t="inlineStr">
        <is>
          <t>0002240002019121104</t>
        </is>
      </c>
      <c r="B395" s="3452" t="inlineStr">
        <is>
          <t>1104</t>
        </is>
      </c>
      <c r="C395" s="3452" t="inlineStr">
        <is>
          <t>000224000</t>
        </is>
      </c>
      <c r="D395" s="3452" t="inlineStr">
        <is>
          <t>201912</t>
        </is>
      </c>
      <c r="E395" s="3452" t="inlineStr">
        <is>
          <t>0,000000000000</t>
        </is>
      </c>
    </row>
    <row outlineLevel="0" r="396">
      <c r="A396" s="3452" t="inlineStr">
        <is>
          <t>0002240002019121106</t>
        </is>
      </c>
      <c r="B396" s="3452" t="inlineStr">
        <is>
          <t>1106</t>
        </is>
      </c>
      <c r="C396" s="3452" t="inlineStr">
        <is>
          <t>000224000</t>
        </is>
      </c>
      <c r="D396" s="3452" t="inlineStr">
        <is>
          <t>201912</t>
        </is>
      </c>
      <c r="E396" s="3452" t="inlineStr">
        <is>
          <t>0,000000000000</t>
        </is>
      </c>
    </row>
    <row outlineLevel="0" r="397">
      <c r="A397" s="3452" t="inlineStr">
        <is>
          <t>0002240002019121107</t>
        </is>
      </c>
      <c r="B397" s="3452" t="inlineStr">
        <is>
          <t>1107</t>
        </is>
      </c>
      <c r="C397" s="3452" t="inlineStr">
        <is>
          <t>000224000</t>
        </is>
      </c>
      <c r="D397" s="3452" t="inlineStr">
        <is>
          <t>201912</t>
        </is>
      </c>
      <c r="E397" s="3452" t="inlineStr">
        <is>
          <t>0,000000000000</t>
        </is>
      </c>
    </row>
    <row outlineLevel="0" r="398">
      <c r="A398" s="3452" t="inlineStr">
        <is>
          <t>0002240002019121201</t>
        </is>
      </c>
      <c r="B398" s="3452" t="inlineStr">
        <is>
          <t>1201</t>
        </is>
      </c>
      <c r="C398" s="3452" t="inlineStr">
        <is>
          <t>000224000</t>
        </is>
      </c>
      <c r="D398" s="3452" t="inlineStr">
        <is>
          <t>201912</t>
        </is>
      </c>
      <c r="E398" s="3452" t="inlineStr">
        <is>
          <t>0,000000000000</t>
        </is>
      </c>
    </row>
    <row outlineLevel="0" r="399">
      <c r="A399" s="3452" t="inlineStr">
        <is>
          <t>0002240002019121202</t>
        </is>
      </c>
      <c r="B399" s="3452" t="inlineStr">
        <is>
          <t>1202</t>
        </is>
      </c>
      <c r="C399" s="3452" t="inlineStr">
        <is>
          <t>000224000</t>
        </is>
      </c>
      <c r="D399" s="3452" t="inlineStr">
        <is>
          <t>201912</t>
        </is>
      </c>
      <c r="E399" s="3452" t="inlineStr">
        <is>
          <t>0,000000000000</t>
        </is>
      </c>
    </row>
    <row outlineLevel="0" r="400">
      <c r="A400" s="3452" t="inlineStr">
        <is>
          <t>0002240002019121203</t>
        </is>
      </c>
      <c r="B400" s="3452" t="inlineStr">
        <is>
          <t>1203</t>
        </is>
      </c>
      <c r="C400" s="3452" t="inlineStr">
        <is>
          <t>000224000</t>
        </is>
      </c>
      <c r="D400" s="3452" t="inlineStr">
        <is>
          <t>201912</t>
        </is>
      </c>
      <c r="E400" s="3452" t="inlineStr">
        <is>
          <t>0,000000000000</t>
        </is>
      </c>
    </row>
    <row outlineLevel="0" r="401">
      <c r="A401" s="3452" t="inlineStr">
        <is>
          <t>0002240002019121205</t>
        </is>
      </c>
      <c r="B401" s="3452" t="inlineStr">
        <is>
          <t>1205</t>
        </is>
      </c>
      <c r="C401" s="3452" t="inlineStr">
        <is>
          <t>000224000</t>
        </is>
      </c>
      <c r="D401" s="3452" t="inlineStr">
        <is>
          <t>201912</t>
        </is>
      </c>
      <c r="E401" s="3452" t="inlineStr">
        <is>
          <t>0,000000000000</t>
        </is>
      </c>
    </row>
    <row outlineLevel="0" r="402">
      <c r="A402" s="3452" t="inlineStr">
        <is>
          <t>0002240002019121206</t>
        </is>
      </c>
      <c r="B402" s="3452" t="inlineStr">
        <is>
          <t>1206</t>
        </is>
      </c>
      <c r="C402" s="3452" t="inlineStr">
        <is>
          <t>000224000</t>
        </is>
      </c>
      <c r="D402" s="3452" t="inlineStr">
        <is>
          <t>201912</t>
        </is>
      </c>
      <c r="E402" s="3452" t="inlineStr">
        <is>
          <t>0,000000000000</t>
        </is>
      </c>
    </row>
    <row outlineLevel="0" r="403">
      <c r="A403" s="3452" t="inlineStr">
        <is>
          <t>0002240002019121207</t>
        </is>
      </c>
      <c r="B403" s="3452" t="inlineStr">
        <is>
          <t>1207</t>
        </is>
      </c>
      <c r="C403" s="3452" t="inlineStr">
        <is>
          <t>000224000</t>
        </is>
      </c>
      <c r="D403" s="3452" t="inlineStr">
        <is>
          <t>201912</t>
        </is>
      </c>
      <c r="E403" s="3452" t="inlineStr">
        <is>
          <t>0,000000000000</t>
        </is>
      </c>
    </row>
    <row outlineLevel="0" r="404">
      <c r="A404" s="3452" t="inlineStr">
        <is>
          <t>0002240002019121208</t>
        </is>
      </c>
      <c r="B404" s="3452" t="inlineStr">
        <is>
          <t>1208</t>
        </is>
      </c>
      <c r="C404" s="3452" t="inlineStr">
        <is>
          <t>000224000</t>
        </is>
      </c>
      <c r="D404" s="3452" t="inlineStr">
        <is>
          <t>201912</t>
        </is>
      </c>
      <c r="E404" s="3452" t="inlineStr">
        <is>
          <t>0,000000000000</t>
        </is>
      </c>
    </row>
    <row outlineLevel="0" r="405">
      <c r="A405" s="3452" t="inlineStr">
        <is>
          <t>0002240002019122101</t>
        </is>
      </c>
      <c r="B405" s="3452" t="inlineStr">
        <is>
          <t>2101</t>
        </is>
      </c>
      <c r="C405" s="3452" t="inlineStr">
        <is>
          <t>000224000</t>
        </is>
      </c>
      <c r="D405" s="3452" t="inlineStr">
        <is>
          <t>201912</t>
        </is>
      </c>
      <c r="E405" s="3452" t="inlineStr">
        <is>
          <t>100000,000000000000</t>
        </is>
      </c>
    </row>
    <row outlineLevel="0" r="406">
      <c r="A406" s="3452" t="inlineStr">
        <is>
          <t>0002240002019122102</t>
        </is>
      </c>
      <c r="B406" s="3452" t="inlineStr">
        <is>
          <t>2102</t>
        </is>
      </c>
      <c r="C406" s="3452" t="inlineStr">
        <is>
          <t>000224000</t>
        </is>
      </c>
      <c r="D406" s="3452" t="inlineStr">
        <is>
          <t>201912</t>
        </is>
      </c>
      <c r="E406" s="3452" t="inlineStr">
        <is>
          <t>0,000000000000</t>
        </is>
      </c>
    </row>
    <row outlineLevel="0" r="407">
      <c r="A407" s="3452" t="inlineStr">
        <is>
          <t>0002240002019122103</t>
        </is>
      </c>
      <c r="B407" s="3452" t="inlineStr">
        <is>
          <t>2103</t>
        </is>
      </c>
      <c r="C407" s="3452" t="inlineStr">
        <is>
          <t>000224000</t>
        </is>
      </c>
      <c r="D407" s="3452" t="inlineStr">
        <is>
          <t>201912</t>
        </is>
      </c>
      <c r="E407" s="3452" t="inlineStr">
        <is>
          <t>0,000000000000</t>
        </is>
      </c>
    </row>
    <row outlineLevel="0" r="408">
      <c r="A408" s="3452" t="inlineStr">
        <is>
          <t>0002240002019122104</t>
        </is>
      </c>
      <c r="B408" s="3452" t="inlineStr">
        <is>
          <t>2104</t>
        </is>
      </c>
      <c r="C408" s="3452" t="inlineStr">
        <is>
          <t>000224000</t>
        </is>
      </c>
      <c r="D408" s="3452" t="inlineStr">
        <is>
          <t>201912</t>
        </is>
      </c>
      <c r="E408" s="3452" t="inlineStr">
        <is>
          <t>0,000000000000</t>
        </is>
      </c>
    </row>
    <row outlineLevel="0" r="409">
      <c r="A409" s="3452" t="inlineStr">
        <is>
          <t>0002240002019122105</t>
        </is>
      </c>
      <c r="B409" s="3452" t="inlineStr">
        <is>
          <t>2105</t>
        </is>
      </c>
      <c r="C409" s="3452" t="inlineStr">
        <is>
          <t>000224000</t>
        </is>
      </c>
      <c r="D409" s="3452" t="inlineStr">
        <is>
          <t>201912</t>
        </is>
      </c>
      <c r="E409" s="3452" t="inlineStr">
        <is>
          <t>0,000000000000</t>
        </is>
      </c>
    </row>
    <row outlineLevel="0" r="410">
      <c r="A410" s="3452" t="inlineStr">
        <is>
          <t>0002240002019122106</t>
        </is>
      </c>
      <c r="B410" s="3452" t="inlineStr">
        <is>
          <t>2106</t>
        </is>
      </c>
      <c r="C410" s="3452" t="inlineStr">
        <is>
          <t>000224000</t>
        </is>
      </c>
      <c r="D410" s="3452" t="inlineStr">
        <is>
          <t>201912</t>
        </is>
      </c>
      <c r="E410" s="3452" t="inlineStr">
        <is>
          <t>0,000000000000</t>
        </is>
      </c>
    </row>
    <row outlineLevel="0" r="411">
      <c r="A411" s="3452" t="inlineStr">
        <is>
          <t>0002240002019122107</t>
        </is>
      </c>
      <c r="B411" s="3452" t="inlineStr">
        <is>
          <t>2107</t>
        </is>
      </c>
      <c r="C411" s="3452" t="inlineStr">
        <is>
          <t>000224000</t>
        </is>
      </c>
      <c r="D411" s="3452" t="inlineStr">
        <is>
          <t>201912</t>
        </is>
      </c>
      <c r="E411" s="3452" t="inlineStr">
        <is>
          <t>0,000000000000</t>
        </is>
      </c>
    </row>
    <row outlineLevel="0" r="412">
      <c r="A412" s="3452" t="inlineStr">
        <is>
          <t>0002240002019122109</t>
        </is>
      </c>
      <c r="B412" s="3452" t="inlineStr">
        <is>
          <t>2109</t>
        </is>
      </c>
      <c r="C412" s="3452" t="inlineStr">
        <is>
          <t>000224000</t>
        </is>
      </c>
      <c r="D412" s="3452" t="inlineStr">
        <is>
          <t>201912</t>
        </is>
      </c>
      <c r="E412" s="3452" t="inlineStr">
        <is>
          <t>0,000000000000</t>
        </is>
      </c>
    </row>
    <row outlineLevel="0" r="413">
      <c r="A413" s="3452" t="inlineStr">
        <is>
          <t>0002240002019122201</t>
        </is>
      </c>
      <c r="B413" s="3452" t="inlineStr">
        <is>
          <t>2201</t>
        </is>
      </c>
      <c r="C413" s="3452" t="inlineStr">
        <is>
          <t>000224000</t>
        </is>
      </c>
      <c r="D413" s="3452" t="inlineStr">
        <is>
          <t>201912</t>
        </is>
      </c>
      <c r="E413" s="3452" t="inlineStr">
        <is>
          <t>0,000000000000</t>
        </is>
      </c>
    </row>
    <row outlineLevel="0" r="414">
      <c r="A414" s="3452" t="inlineStr">
        <is>
          <t>0002240002019122203</t>
        </is>
      </c>
      <c r="B414" s="3452" t="inlineStr">
        <is>
          <t>2203</t>
        </is>
      </c>
      <c r="C414" s="3452" t="inlineStr">
        <is>
          <t>000224000</t>
        </is>
      </c>
      <c r="D414" s="3452" t="inlineStr">
        <is>
          <t>201912</t>
        </is>
      </c>
      <c r="E414" s="3452" t="inlineStr">
        <is>
          <t>0,000000000000</t>
        </is>
      </c>
    </row>
    <row outlineLevel="0" r="415">
      <c r="A415" s="3452" t="inlineStr">
        <is>
          <t>0002240002019122204</t>
        </is>
      </c>
      <c r="B415" s="3452" t="inlineStr">
        <is>
          <t>2204</t>
        </is>
      </c>
      <c r="C415" s="3452" t="inlineStr">
        <is>
          <t>000224000</t>
        </is>
      </c>
      <c r="D415" s="3452" t="inlineStr">
        <is>
          <t>201912</t>
        </is>
      </c>
      <c r="E415" s="3452" t="inlineStr">
        <is>
          <t>0,000000000000</t>
        </is>
      </c>
    </row>
    <row outlineLevel="0" r="416">
      <c r="A416" s="3452" t="inlineStr">
        <is>
          <t>0002240002019122206</t>
        </is>
      </c>
      <c r="B416" s="3452" t="inlineStr">
        <is>
          <t>2206</t>
        </is>
      </c>
      <c r="C416" s="3452" t="inlineStr">
        <is>
          <t>000224000</t>
        </is>
      </c>
      <c r="D416" s="3452" t="inlineStr">
        <is>
          <t>201912</t>
        </is>
      </c>
      <c r="E416" s="3452" t="inlineStr">
        <is>
          <t>0,000000000000</t>
        </is>
      </c>
    </row>
    <row outlineLevel="0" r="417">
      <c r="A417" s="3452" t="inlineStr">
        <is>
          <t>0002240002019122207</t>
        </is>
      </c>
      <c r="B417" s="3452" t="inlineStr">
        <is>
          <t>2207</t>
        </is>
      </c>
      <c r="C417" s="3452" t="inlineStr">
        <is>
          <t>000224000</t>
        </is>
      </c>
      <c r="D417" s="3452" t="inlineStr">
        <is>
          <t>201912</t>
        </is>
      </c>
      <c r="E417" s="3452" t="inlineStr">
        <is>
          <t>0,000000000000</t>
        </is>
      </c>
    </row>
    <row outlineLevel="0" r="418">
      <c r="A418" s="3452" t="inlineStr">
        <is>
          <t>0002240002019122209</t>
        </is>
      </c>
      <c r="B418" s="3452" t="inlineStr">
        <is>
          <t>2209</t>
        </is>
      </c>
      <c r="C418" s="3452" t="inlineStr">
        <is>
          <t>000224000</t>
        </is>
      </c>
      <c r="D418" s="3452" t="inlineStr">
        <is>
          <t>201912</t>
        </is>
      </c>
      <c r="E418" s="3452" t="inlineStr">
        <is>
          <t>0,000000000000</t>
        </is>
      </c>
    </row>
    <row outlineLevel="0" r="419">
      <c r="A419" s="3452" t="inlineStr">
        <is>
          <t>0002240002019125301</t>
        </is>
      </c>
      <c r="B419" s="3452" t="inlineStr">
        <is>
          <t>5301</t>
        </is>
      </c>
      <c r="C419" s="3452" t="inlineStr">
        <is>
          <t>000224000</t>
        </is>
      </c>
      <c r="D419" s="3452" t="inlineStr">
        <is>
          <t>201912</t>
        </is>
      </c>
      <c r="E419" s="3452" t="inlineStr">
        <is>
          <t>0,000000000000</t>
        </is>
      </c>
    </row>
    <row outlineLevel="0" r="420">
      <c r="A420" s="3452" t="inlineStr">
        <is>
          <t>000224000201912108000</t>
        </is>
      </c>
      <c r="B420" s="3452" t="inlineStr">
        <is>
          <t>108000</t>
        </is>
      </c>
      <c r="C420" s="3452" t="inlineStr">
        <is>
          <t>000224000</t>
        </is>
      </c>
      <c r="D420" s="3452" t="inlineStr">
        <is>
          <t>201912</t>
        </is>
      </c>
      <c r="E420" s="3452" t="inlineStr">
        <is>
          <t>0,000000000000</t>
        </is>
      </c>
    </row>
    <row outlineLevel="0" r="421">
      <c r="A421" s="3452" t="inlineStr">
        <is>
          <t>000224000201912108100</t>
        </is>
      </c>
      <c r="B421" s="3452" t="inlineStr">
        <is>
          <t>108100</t>
        </is>
      </c>
      <c r="C421" s="3452" t="inlineStr">
        <is>
          <t>000224000</t>
        </is>
      </c>
      <c r="D421" s="3452" t="inlineStr">
        <is>
          <t>201912</t>
        </is>
      </c>
      <c r="E421" s="3452" t="inlineStr">
        <is>
          <t>0,000000000000</t>
        </is>
      </c>
    </row>
    <row outlineLevel="0" r="422">
      <c r="A422" s="3452" t="inlineStr">
        <is>
          <t>000224000201912108200</t>
        </is>
      </c>
      <c r="B422" s="3452" t="inlineStr">
        <is>
          <t>108200</t>
        </is>
      </c>
      <c r="C422" s="3452" t="inlineStr">
        <is>
          <t>000224000</t>
        </is>
      </c>
      <c r="D422" s="3452" t="inlineStr">
        <is>
          <t>201912</t>
        </is>
      </c>
      <c r="E422" s="3452" t="inlineStr">
        <is>
          <t>0,000000000000</t>
        </is>
      </c>
    </row>
    <row outlineLevel="0" r="423">
      <c r="A423" s="3452" t="inlineStr">
        <is>
          <t>000224000201912108300</t>
        </is>
      </c>
      <c r="B423" s="3452" t="inlineStr">
        <is>
          <t>108300</t>
        </is>
      </c>
      <c r="C423" s="3452" t="inlineStr">
        <is>
          <t>000224000</t>
        </is>
      </c>
      <c r="D423" s="3452" t="inlineStr">
        <is>
          <t>201912</t>
        </is>
      </c>
      <c r="E423" s="3452" t="inlineStr">
        <is>
          <t>0,000000000000</t>
        </is>
      </c>
    </row>
    <row outlineLevel="0" r="424">
      <c r="A424" s="3452" t="inlineStr">
        <is>
          <t>000224000201912108400</t>
        </is>
      </c>
      <c r="B424" s="3452" t="inlineStr">
        <is>
          <t>108400</t>
        </is>
      </c>
      <c r="C424" s="3452" t="inlineStr">
        <is>
          <t>000224000</t>
        </is>
      </c>
      <c r="D424" s="3452" t="inlineStr">
        <is>
          <t>201912</t>
        </is>
      </c>
      <c r="E424" s="3452" t="inlineStr">
        <is>
          <t>0,000000000000</t>
        </is>
      </c>
    </row>
    <row outlineLevel="0" r="425">
      <c r="A425" s="3452" t="inlineStr">
        <is>
          <t>000224000201912109801</t>
        </is>
      </c>
      <c r="B425" s="3452" t="inlineStr">
        <is>
          <t>109801</t>
        </is>
      </c>
      <c r="C425" s="3452" t="inlineStr">
        <is>
          <t>000224000</t>
        </is>
      </c>
      <c r="D425" s="3452" t="inlineStr">
        <is>
          <t>201912</t>
        </is>
      </c>
      <c r="E425" s="3452" t="inlineStr">
        <is>
          <t>0,000000000000</t>
        </is>
      </c>
    </row>
    <row outlineLevel="0" r="426">
      <c r="A426" s="3452" t="inlineStr">
        <is>
          <t>000224000201912110105</t>
        </is>
      </c>
      <c r="B426" s="3452" t="inlineStr">
        <is>
          <t>110105</t>
        </is>
      </c>
      <c r="C426" s="3452" t="inlineStr">
        <is>
          <t>000224000</t>
        </is>
      </c>
      <c r="D426" s="3452" t="inlineStr">
        <is>
          <t>201912</t>
        </is>
      </c>
      <c r="E426" s="3452" t="inlineStr">
        <is>
          <t>0,000000000000</t>
        </is>
      </c>
    </row>
    <row outlineLevel="0" r="427">
      <c r="A427" s="3452" t="inlineStr">
        <is>
          <t>000224000201912110110</t>
        </is>
      </c>
      <c r="B427" s="3452" t="inlineStr">
        <is>
          <t>110110</t>
        </is>
      </c>
      <c r="C427" s="3452" t="inlineStr">
        <is>
          <t>000224000</t>
        </is>
      </c>
      <c r="D427" s="3452" t="inlineStr">
        <is>
          <t>201912</t>
        </is>
      </c>
      <c r="E427" s="3452" t="inlineStr">
        <is>
          <t>200000,000000000000</t>
        </is>
      </c>
    </row>
    <row outlineLevel="0" r="428">
      <c r="A428" s="3452" t="inlineStr">
        <is>
          <t>000224000201912110125</t>
        </is>
      </c>
      <c r="B428" s="3452" t="inlineStr">
        <is>
          <t>110125</t>
        </is>
      </c>
      <c r="C428" s="3452" t="inlineStr">
        <is>
          <t>000224000</t>
        </is>
      </c>
      <c r="D428" s="3452" t="inlineStr">
        <is>
          <t>201912</t>
        </is>
      </c>
      <c r="E428" s="3452" t="inlineStr">
        <is>
          <t>0,000000000000</t>
        </is>
      </c>
    </row>
    <row outlineLevel="0" r="429">
      <c r="A429" s="3452" t="inlineStr">
        <is>
          <t>000224000201912110130</t>
        </is>
      </c>
      <c r="B429" s="3452" t="inlineStr">
        <is>
          <t>110130</t>
        </is>
      </c>
      <c r="C429" s="3452" t="inlineStr">
        <is>
          <t>000224000</t>
        </is>
      </c>
      <c r="D429" s="3452" t="inlineStr">
        <is>
          <t>201912</t>
        </is>
      </c>
      <c r="E429" s="3452" t="inlineStr">
        <is>
          <t>0,000000000000</t>
        </is>
      </c>
    </row>
    <row outlineLevel="0" r="430">
      <c r="A430" s="3452" t="inlineStr">
        <is>
          <t>000224000201912110205</t>
        </is>
      </c>
      <c r="B430" s="3452" t="inlineStr">
        <is>
          <t>110205</t>
        </is>
      </c>
      <c r="C430" s="3452" t="inlineStr">
        <is>
          <t>000224000</t>
        </is>
      </c>
      <c r="D430" s="3452" t="inlineStr">
        <is>
          <t>201912</t>
        </is>
      </c>
      <c r="E430" s="3452" t="inlineStr">
        <is>
          <t>0,000000000000</t>
        </is>
      </c>
    </row>
    <row outlineLevel="0" r="431">
      <c r="A431" s="3452" t="inlineStr">
        <is>
          <t>000224000201912110210</t>
        </is>
      </c>
      <c r="B431" s="3452" t="inlineStr">
        <is>
          <t>110210</t>
        </is>
      </c>
      <c r="C431" s="3452" t="inlineStr">
        <is>
          <t>000224000</t>
        </is>
      </c>
      <c r="D431" s="3452" t="inlineStr">
        <is>
          <t>201912</t>
        </is>
      </c>
      <c r="E431" s="3452" t="inlineStr">
        <is>
          <t>0,000000000000</t>
        </is>
      </c>
    </row>
    <row outlineLevel="0" r="432">
      <c r="A432" s="3452" t="inlineStr">
        <is>
          <t>000224000201912110215</t>
        </is>
      </c>
      <c r="B432" s="3452" t="inlineStr">
        <is>
          <t>110215</t>
        </is>
      </c>
      <c r="C432" s="3452" t="inlineStr">
        <is>
          <t>000224000</t>
        </is>
      </c>
      <c r="D432" s="3452" t="inlineStr">
        <is>
          <t>201912</t>
        </is>
      </c>
      <c r="E432" s="3452" t="inlineStr">
        <is>
          <t>0,000000000000</t>
        </is>
      </c>
    </row>
    <row outlineLevel="0" r="433">
      <c r="A433" s="3452" t="inlineStr">
        <is>
          <t>000224000201912110225</t>
        </is>
      </c>
      <c r="B433" s="3452" t="inlineStr">
        <is>
          <t>110225</t>
        </is>
      </c>
      <c r="C433" s="3452" t="inlineStr">
        <is>
          <t>000224000</t>
        </is>
      </c>
      <c r="D433" s="3452" t="inlineStr">
        <is>
          <t>201912</t>
        </is>
      </c>
      <c r="E433" s="3452" t="inlineStr">
        <is>
          <t>0,000000000000</t>
        </is>
      </c>
    </row>
    <row outlineLevel="0" r="434">
      <c r="A434" s="3452" t="inlineStr">
        <is>
          <t>000224000201912110235</t>
        </is>
      </c>
      <c r="B434" s="3452" t="inlineStr">
        <is>
          <t>110235</t>
        </is>
      </c>
      <c r="C434" s="3452" t="inlineStr">
        <is>
          <t>000224000</t>
        </is>
      </c>
      <c r="D434" s="3452" t="inlineStr">
        <is>
          <t>201912</t>
        </is>
      </c>
      <c r="E434" s="3452" t="inlineStr">
        <is>
          <t>0,000000000000</t>
        </is>
      </c>
    </row>
    <row outlineLevel="0" r="435">
      <c r="A435" s="3452" t="inlineStr">
        <is>
          <t>000224000201912110255</t>
        </is>
      </c>
      <c r="B435" s="3452" t="inlineStr">
        <is>
          <t>110255</t>
        </is>
      </c>
      <c r="C435" s="3452" t="inlineStr">
        <is>
          <t>000224000</t>
        </is>
      </c>
      <c r="D435" s="3452" t="inlineStr">
        <is>
          <t>201912</t>
        </is>
      </c>
      <c r="E435" s="3452" t="inlineStr">
        <is>
          <t>0,000000000000</t>
        </is>
      </c>
    </row>
    <row outlineLevel="0" r="436">
      <c r="A436" s="3452" t="inlineStr">
        <is>
          <t>000224000201912110260</t>
        </is>
      </c>
      <c r="B436" s="3452" t="inlineStr">
        <is>
          <t>110260</t>
        </is>
      </c>
      <c r="C436" s="3452" t="inlineStr">
        <is>
          <t>000224000</t>
        </is>
      </c>
      <c r="D436" s="3452" t="inlineStr">
        <is>
          <t>201912</t>
        </is>
      </c>
      <c r="E436" s="3452" t="inlineStr">
        <is>
          <t>0,000000000000</t>
        </is>
      </c>
    </row>
    <row outlineLevel="0" r="437">
      <c r="A437" s="3452" t="inlineStr">
        <is>
          <t>000224000201912110305</t>
        </is>
      </c>
      <c r="B437" s="3452" t="inlineStr">
        <is>
          <t>110305</t>
        </is>
      </c>
      <c r="C437" s="3452" t="inlineStr">
        <is>
          <t>000224000</t>
        </is>
      </c>
      <c r="D437" s="3452" t="inlineStr">
        <is>
          <t>201912</t>
        </is>
      </c>
      <c r="E437" s="3452" t="inlineStr">
        <is>
          <t>0,000000000000</t>
        </is>
      </c>
    </row>
    <row outlineLevel="0" r="438">
      <c r="A438" s="3452" t="inlineStr">
        <is>
          <t>000224000201912110390</t>
        </is>
      </c>
      <c r="B438" s="3452" t="inlineStr">
        <is>
          <t>110390</t>
        </is>
      </c>
      <c r="C438" s="3452" t="inlineStr">
        <is>
          <t>000224000</t>
        </is>
      </c>
      <c r="D438" s="3452" t="inlineStr">
        <is>
          <t>201912</t>
        </is>
      </c>
      <c r="E438" s="3452" t="inlineStr">
        <is>
          <t>0,000000000000</t>
        </is>
      </c>
    </row>
    <row outlineLevel="0" r="439">
      <c r="A439" s="3452" t="inlineStr">
        <is>
          <t>000224000201912110395</t>
        </is>
      </c>
      <c r="B439" s="3452" t="inlineStr">
        <is>
          <t>110395</t>
        </is>
      </c>
      <c r="C439" s="3452" t="inlineStr">
        <is>
          <t>000224000</t>
        </is>
      </c>
      <c r="D439" s="3452" t="inlineStr">
        <is>
          <t>201912</t>
        </is>
      </c>
      <c r="E439" s="3452" t="inlineStr">
        <is>
          <t>0,000000000000</t>
        </is>
      </c>
    </row>
    <row outlineLevel="0" r="440">
      <c r="A440" s="3452" t="inlineStr">
        <is>
          <t>000224000201912110405</t>
        </is>
      </c>
      <c r="B440" s="3452" t="inlineStr">
        <is>
          <t>110405</t>
        </is>
      </c>
      <c r="C440" s="3452" t="inlineStr">
        <is>
          <t>000224000</t>
        </is>
      </c>
      <c r="D440" s="3452" t="inlineStr">
        <is>
          <t>201912</t>
        </is>
      </c>
      <c r="E440" s="3452" t="inlineStr">
        <is>
          <t>0,000000000000</t>
        </is>
      </c>
    </row>
    <row outlineLevel="0" r="441">
      <c r="A441" s="3452" t="inlineStr">
        <is>
          <t>000224000201912110410</t>
        </is>
      </c>
      <c r="B441" s="3452" t="inlineStr">
        <is>
          <t>110410</t>
        </is>
      </c>
      <c r="C441" s="3452" t="inlineStr">
        <is>
          <t>000224000</t>
        </is>
      </c>
      <c r="D441" s="3452" t="inlineStr">
        <is>
          <t>201912</t>
        </is>
      </c>
      <c r="E441" s="3452" t="inlineStr">
        <is>
          <t>0,000000000000</t>
        </is>
      </c>
    </row>
    <row outlineLevel="0" r="442">
      <c r="A442" s="3452" t="inlineStr">
        <is>
          <t>000224000201912110415</t>
        </is>
      </c>
      <c r="B442" s="3452" t="inlineStr">
        <is>
          <t>110415</t>
        </is>
      </c>
      <c r="C442" s="3452" t="inlineStr">
        <is>
          <t>000224000</t>
        </is>
      </c>
      <c r="D442" s="3452" t="inlineStr">
        <is>
          <t>201912</t>
        </is>
      </c>
      <c r="E442" s="3452" t="inlineStr">
        <is>
          <t>0,000000000000</t>
        </is>
      </c>
    </row>
    <row outlineLevel="0" r="443">
      <c r="A443" s="3452" t="inlineStr">
        <is>
          <t>000224000201912110420</t>
        </is>
      </c>
      <c r="B443" s="3452" t="inlineStr">
        <is>
          <t>110420</t>
        </is>
      </c>
      <c r="C443" s="3452" t="inlineStr">
        <is>
          <t>000224000</t>
        </is>
      </c>
      <c r="D443" s="3452" t="inlineStr">
        <is>
          <t>201912</t>
        </is>
      </c>
      <c r="E443" s="3452" t="inlineStr">
        <is>
          <t>0,000000000000</t>
        </is>
      </c>
    </row>
    <row outlineLevel="0" r="444">
      <c r="A444" s="3452" t="inlineStr">
        <is>
          <t>000224000201912110490</t>
        </is>
      </c>
      <c r="B444" s="3452" t="inlineStr">
        <is>
          <t>110490</t>
        </is>
      </c>
      <c r="C444" s="3452" t="inlineStr">
        <is>
          <t>000224000</t>
        </is>
      </c>
      <c r="D444" s="3452" t="inlineStr">
        <is>
          <t>201912</t>
        </is>
      </c>
      <c r="E444" s="3452" t="inlineStr">
        <is>
          <t>0,000000000000</t>
        </is>
      </c>
    </row>
    <row outlineLevel="0" r="445">
      <c r="A445" s="3452" t="inlineStr">
        <is>
          <t>000224000201912110491</t>
        </is>
      </c>
      <c r="B445" s="3452" t="inlineStr">
        <is>
          <t>110491</t>
        </is>
      </c>
      <c r="C445" s="3452" t="inlineStr">
        <is>
          <t>000224000</t>
        </is>
      </c>
      <c r="D445" s="3452" t="inlineStr">
        <is>
          <t>201912</t>
        </is>
      </c>
      <c r="E445" s="3452" t="inlineStr">
        <is>
          <t>0,000000000000</t>
        </is>
      </c>
    </row>
    <row outlineLevel="0" r="446">
      <c r="A446" s="3452" t="inlineStr">
        <is>
          <t>000224000201912110495</t>
        </is>
      </c>
      <c r="B446" s="3452" t="inlineStr">
        <is>
          <t>110495</t>
        </is>
      </c>
      <c r="C446" s="3452" t="inlineStr">
        <is>
          <t>000224000</t>
        </is>
      </c>
      <c r="D446" s="3452" t="inlineStr">
        <is>
          <t>201912</t>
        </is>
      </c>
      <c r="E446" s="3452" t="inlineStr">
        <is>
          <t>0,000000000000</t>
        </is>
      </c>
    </row>
    <row outlineLevel="0" r="447">
      <c r="A447" s="3452" t="inlineStr">
        <is>
          <t>000224000201912111010</t>
        </is>
      </c>
      <c r="B447" s="3452" t="inlineStr">
        <is>
          <t>111010</t>
        </is>
      </c>
      <c r="C447" s="3452" t="inlineStr">
        <is>
          <t>000224000</t>
        </is>
      </c>
      <c r="D447" s="3452" t="inlineStr">
        <is>
          <t>201912</t>
        </is>
      </c>
      <c r="E447" s="3452" t="inlineStr">
        <is>
          <t>0,000000000000</t>
        </is>
      </c>
    </row>
    <row outlineLevel="0" r="448">
      <c r="A448" s="3452" t="inlineStr">
        <is>
          <t>000224000201912120104</t>
        </is>
      </c>
      <c r="B448" s="3452" t="inlineStr">
        <is>
          <t>120104</t>
        </is>
      </c>
      <c r="C448" s="3452" t="inlineStr">
        <is>
          <t>000224000</t>
        </is>
      </c>
      <c r="D448" s="3452" t="inlineStr">
        <is>
          <t>201912</t>
        </is>
      </c>
      <c r="E448" s="3452" t="inlineStr">
        <is>
          <t>0,000000000000</t>
        </is>
      </c>
    </row>
    <row outlineLevel="0" r="449">
      <c r="A449" s="3452" t="inlineStr">
        <is>
          <t>000224000201912120108</t>
        </is>
      </c>
      <c r="B449" s="3452" t="inlineStr">
        <is>
          <t>120108</t>
        </is>
      </c>
      <c r="C449" s="3452" t="inlineStr">
        <is>
          <t>000224000</t>
        </is>
      </c>
      <c r="D449" s="3452" t="inlineStr">
        <is>
          <t>201912</t>
        </is>
      </c>
      <c r="E449" s="3452" t="inlineStr">
        <is>
          <t>0,000000000000</t>
        </is>
      </c>
    </row>
    <row outlineLevel="0" r="450">
      <c r="A450" s="3452" t="inlineStr">
        <is>
          <t>000224000201912120116</t>
        </is>
      </c>
      <c r="B450" s="3452" t="inlineStr">
        <is>
          <t>120116</t>
        </is>
      </c>
      <c r="C450" s="3452" t="inlineStr">
        <is>
          <t>000224000</t>
        </is>
      </c>
      <c r="D450" s="3452" t="inlineStr">
        <is>
          <t>201912</t>
        </is>
      </c>
      <c r="E450" s="3452" t="inlineStr">
        <is>
          <t>0,000000000000</t>
        </is>
      </c>
    </row>
    <row outlineLevel="0" r="451">
      <c r="A451" s="3452" t="inlineStr">
        <is>
          <t>000224000201912120120</t>
        </is>
      </c>
      <c r="B451" s="3452" t="inlineStr">
        <is>
          <t>120120</t>
        </is>
      </c>
      <c r="C451" s="3452" t="inlineStr">
        <is>
          <t>000224000</t>
        </is>
      </c>
      <c r="D451" s="3452" t="inlineStr">
        <is>
          <t>201912</t>
        </is>
      </c>
      <c r="E451" s="3452" t="inlineStr">
        <is>
          <t>0,000000000000</t>
        </is>
      </c>
    </row>
    <row outlineLevel="0" r="452">
      <c r="A452" s="3452" t="inlineStr">
        <is>
          <t>000224000201912120124</t>
        </is>
      </c>
      <c r="B452" s="3452" t="inlineStr">
        <is>
          <t>120124</t>
        </is>
      </c>
      <c r="C452" s="3452" t="inlineStr">
        <is>
          <t>000224000</t>
        </is>
      </c>
      <c r="D452" s="3452" t="inlineStr">
        <is>
          <t>201912</t>
        </is>
      </c>
      <c r="E452" s="3452" t="inlineStr">
        <is>
          <t>0,000000000000</t>
        </is>
      </c>
    </row>
    <row outlineLevel="0" r="453">
      <c r="A453" s="3452" t="inlineStr">
        <is>
          <t>000224000201912120128</t>
        </is>
      </c>
      <c r="B453" s="3452" t="inlineStr">
        <is>
          <t>120128</t>
        </is>
      </c>
      <c r="C453" s="3452" t="inlineStr">
        <is>
          <t>000224000</t>
        </is>
      </c>
      <c r="D453" s="3452" t="inlineStr">
        <is>
          <t>201912</t>
        </is>
      </c>
      <c r="E453" s="3452" t="inlineStr">
        <is>
          <t>0,000000000000</t>
        </is>
      </c>
    </row>
    <row outlineLevel="0" r="454">
      <c r="A454" s="3452" t="inlineStr">
        <is>
          <t>000224000201912120140</t>
        </is>
      </c>
      <c r="B454" s="3452" t="inlineStr">
        <is>
          <t>120140</t>
        </is>
      </c>
      <c r="C454" s="3452" t="inlineStr">
        <is>
          <t>000224000</t>
        </is>
      </c>
      <c r="D454" s="3452" t="inlineStr">
        <is>
          <t>201912</t>
        </is>
      </c>
      <c r="E454" s="3452" t="inlineStr">
        <is>
          <t>0,000000000000</t>
        </is>
      </c>
    </row>
    <row outlineLevel="0" r="455">
      <c r="A455" s="3452" t="inlineStr">
        <is>
          <t>000224000201912120145</t>
        </is>
      </c>
      <c r="B455" s="3452" t="inlineStr">
        <is>
          <t>120145</t>
        </is>
      </c>
      <c r="C455" s="3452" t="inlineStr">
        <is>
          <t>000224000</t>
        </is>
      </c>
      <c r="D455" s="3452" t="inlineStr">
        <is>
          <t>201912</t>
        </is>
      </c>
      <c r="E455" s="3452" t="inlineStr">
        <is>
          <t>0,000000000000</t>
        </is>
      </c>
    </row>
    <row outlineLevel="0" r="456">
      <c r="A456" s="3452" t="inlineStr">
        <is>
          <t>000224000201912120195</t>
        </is>
      </c>
      <c r="B456" s="3452" t="inlineStr">
        <is>
          <t>120195</t>
        </is>
      </c>
      <c r="C456" s="3452" t="inlineStr">
        <is>
          <t>000224000</t>
        </is>
      </c>
      <c r="D456" s="3452" t="inlineStr">
        <is>
          <t>201912</t>
        </is>
      </c>
      <c r="E456" s="3452" t="inlineStr">
        <is>
          <t>0,000000000000</t>
        </is>
      </c>
    </row>
    <row outlineLevel="0" r="457">
      <c r="A457" s="3452" t="inlineStr">
        <is>
          <t>000224000201912120501</t>
        </is>
      </c>
      <c r="B457" s="3452" t="inlineStr">
        <is>
          <t>120501</t>
        </is>
      </c>
      <c r="C457" s="3452" t="inlineStr">
        <is>
          <t>000224000</t>
        </is>
      </c>
      <c r="D457" s="3452" t="inlineStr">
        <is>
          <t>201912</t>
        </is>
      </c>
      <c r="E457" s="3452" t="inlineStr">
        <is>
          <t>0,000000000000</t>
        </is>
      </c>
    </row>
    <row outlineLevel="0" r="458">
      <c r="A458" s="3452" t="inlineStr">
        <is>
          <t>000224000201912120610</t>
        </is>
      </c>
      <c r="B458" s="3452" t="inlineStr">
        <is>
          <t>120610</t>
        </is>
      </c>
      <c r="C458" s="3452" t="inlineStr">
        <is>
          <t>000224000</t>
        </is>
      </c>
      <c r="D458" s="3452" t="inlineStr">
        <is>
          <t>201912</t>
        </is>
      </c>
      <c r="E458" s="3452" t="inlineStr">
        <is>
          <t>0,000000000000</t>
        </is>
      </c>
    </row>
    <row outlineLevel="0" r="459">
      <c r="A459" s="3452" t="inlineStr">
        <is>
          <t>000224000201912120615</t>
        </is>
      </c>
      <c r="B459" s="3452" t="inlineStr">
        <is>
          <t>120615</t>
        </is>
      </c>
      <c r="C459" s="3452" t="inlineStr">
        <is>
          <t>000224000</t>
        </is>
      </c>
      <c r="D459" s="3452" t="inlineStr">
        <is>
          <t>201912</t>
        </is>
      </c>
      <c r="E459" s="3452" t="inlineStr">
        <is>
          <t>0,000000000000</t>
        </is>
      </c>
    </row>
    <row outlineLevel="0" r="460">
      <c r="A460" s="3452" t="inlineStr">
        <is>
          <t>000224000201912120620</t>
        </is>
      </c>
      <c r="B460" s="3452" t="inlineStr">
        <is>
          <t>120620</t>
        </is>
      </c>
      <c r="C460" s="3452" t="inlineStr">
        <is>
          <t>000224000</t>
        </is>
      </c>
      <c r="D460" s="3452" t="inlineStr">
        <is>
          <t>201912</t>
        </is>
      </c>
      <c r="E460" s="3452" t="inlineStr">
        <is>
          <t>0,000000000000</t>
        </is>
      </c>
    </row>
    <row outlineLevel="0" r="461">
      <c r="A461" s="3452" t="inlineStr">
        <is>
          <t>000224000201912121001</t>
        </is>
      </c>
      <c r="B461" s="3452" t="inlineStr">
        <is>
          <t>121001</t>
        </is>
      </c>
      <c r="C461" s="3452" t="inlineStr">
        <is>
          <t>000224000</t>
        </is>
      </c>
      <c r="D461" s="3452" t="inlineStr">
        <is>
          <t>201912</t>
        </is>
      </c>
      <c r="E461" s="3452" t="inlineStr">
        <is>
          <t>0,000000000000</t>
        </is>
      </c>
    </row>
    <row outlineLevel="0" r="462">
      <c r="A462" s="3452" t="inlineStr">
        <is>
          <t>000224000201912121501</t>
        </is>
      </c>
      <c r="B462" s="3452" t="inlineStr">
        <is>
          <t>121501</t>
        </is>
      </c>
      <c r="C462" s="3452" t="inlineStr">
        <is>
          <t>000224000</t>
        </is>
      </c>
      <c r="D462" s="3452" t="inlineStr">
        <is>
          <t>201912</t>
        </is>
      </c>
      <c r="E462" s="3452" t="inlineStr">
        <is>
          <t>0,000000000000</t>
        </is>
      </c>
    </row>
    <row outlineLevel="0" r="463">
      <c r="A463" s="3452" t="inlineStr">
        <is>
          <t>000224000201912123501</t>
        </is>
      </c>
      <c r="B463" s="3452" t="inlineStr">
        <is>
          <t>123501</t>
        </is>
      </c>
      <c r="C463" s="3452" t="inlineStr">
        <is>
          <t>000224000</t>
        </is>
      </c>
      <c r="D463" s="3452" t="inlineStr">
        <is>
          <t>201912</t>
        </is>
      </c>
      <c r="E463" s="3452" t="inlineStr">
        <is>
          <t>0,000000000000</t>
        </is>
      </c>
    </row>
    <row outlineLevel="0" r="464">
      <c r="A464" s="3452" t="inlineStr">
        <is>
          <t>000224000201912125501</t>
        </is>
      </c>
      <c r="B464" s="3452" t="inlineStr">
        <is>
          <t>125501</t>
        </is>
      </c>
      <c r="C464" s="3452" t="inlineStr">
        <is>
          <t>000224000</t>
        </is>
      </c>
      <c r="D464" s="3452" t="inlineStr">
        <is>
          <t>201912</t>
        </is>
      </c>
      <c r="E464" s="3452" t="inlineStr">
        <is>
          <t>0,000000000000</t>
        </is>
      </c>
    </row>
    <row outlineLevel="0" r="465">
      <c r="A465" s="3452" t="inlineStr">
        <is>
          <t>000224000201912126001</t>
        </is>
      </c>
      <c r="B465" s="3452" t="inlineStr">
        <is>
          <t>126001</t>
        </is>
      </c>
      <c r="C465" s="3452" t="inlineStr">
        <is>
          <t>000224000</t>
        </is>
      </c>
      <c r="D465" s="3452" t="inlineStr">
        <is>
          <t>201912</t>
        </is>
      </c>
      <c r="E465" s="3452" t="inlineStr">
        <is>
          <t>0,000000000000</t>
        </is>
      </c>
    </row>
    <row outlineLevel="0" r="466">
      <c r="A466" s="3452" t="inlineStr">
        <is>
          <t>000224000201912129501</t>
        </is>
      </c>
      <c r="B466" s="3452" t="inlineStr">
        <is>
          <t>129501</t>
        </is>
      </c>
      <c r="C466" s="3452" t="inlineStr">
        <is>
          <t>000224000</t>
        </is>
      </c>
      <c r="D466" s="3452" t="inlineStr">
        <is>
          <t>201912</t>
        </is>
      </c>
      <c r="E466" s="3452" t="inlineStr">
        <is>
          <t>0,000000000000</t>
        </is>
      </c>
    </row>
    <row outlineLevel="0" r="467">
      <c r="A467" s="3452" t="inlineStr">
        <is>
          <t>000224000201912129700</t>
        </is>
      </c>
      <c r="B467" s="3452" t="inlineStr">
        <is>
          <t>129700</t>
        </is>
      </c>
      <c r="C467" s="3452" t="inlineStr">
        <is>
          <t>000224000</t>
        </is>
      </c>
      <c r="D467" s="3452" t="inlineStr">
        <is>
          <t>201912</t>
        </is>
      </c>
      <c r="E467" s="3452" t="inlineStr">
        <is>
          <t>0,000000000000</t>
        </is>
      </c>
    </row>
    <row outlineLevel="0" r="468">
      <c r="A468" s="3452" t="inlineStr">
        <is>
          <t>000224000201912129701</t>
        </is>
      </c>
      <c r="B468" s="3452" t="inlineStr">
        <is>
          <t>129701</t>
        </is>
      </c>
      <c r="C468" s="3452" t="inlineStr">
        <is>
          <t>000224000</t>
        </is>
      </c>
      <c r="D468" s="3452" t="inlineStr">
        <is>
          <t>201912</t>
        </is>
      </c>
      <c r="E468" s="3452" t="inlineStr">
        <is>
          <t>0,000000000000</t>
        </is>
      </c>
    </row>
    <row outlineLevel="0" r="469">
      <c r="A469" s="3452" t="inlineStr">
        <is>
          <t>000224000201912129901</t>
        </is>
      </c>
      <c r="B469" s="3452" t="inlineStr">
        <is>
          <t>129901</t>
        </is>
      </c>
      <c r="C469" s="3452" t="inlineStr">
        <is>
          <t>000224000</t>
        </is>
      </c>
      <c r="D469" s="3452" t="inlineStr">
        <is>
          <t>201912</t>
        </is>
      </c>
      <c r="E469" s="3452" t="inlineStr">
        <is>
          <t>0,000000000000</t>
        </is>
      </c>
    </row>
    <row outlineLevel="0" r="470">
      <c r="A470" s="3452" t="inlineStr">
        <is>
          <t>000224000201912130506</t>
        </is>
      </c>
      <c r="B470" s="3452" t="inlineStr">
        <is>
          <t>130506</t>
        </is>
      </c>
      <c r="C470" s="3452" t="inlineStr">
        <is>
          <t>000224000</t>
        </is>
      </c>
      <c r="D470" s="3452" t="inlineStr">
        <is>
          <t>201912</t>
        </is>
      </c>
      <c r="E470" s="3452" t="inlineStr">
        <is>
          <t>0,000000000000</t>
        </is>
      </c>
    </row>
    <row outlineLevel="0" r="471">
      <c r="A471" s="3452" t="inlineStr">
        <is>
          <t>000224000201912130510</t>
        </is>
      </c>
      <c r="B471" s="3452" t="inlineStr">
        <is>
          <t>130510</t>
        </is>
      </c>
      <c r="C471" s="3452" t="inlineStr">
        <is>
          <t>000224000</t>
        </is>
      </c>
      <c r="D471" s="3452" t="inlineStr">
        <is>
          <t>201912</t>
        </is>
      </c>
      <c r="E471" s="3452" t="inlineStr">
        <is>
          <t>0,000000000000</t>
        </is>
      </c>
    </row>
    <row outlineLevel="0" r="472">
      <c r="A472" s="3452" t="inlineStr">
        <is>
          <t>000224000201912130511</t>
        </is>
      </c>
      <c r="B472" s="3452" t="inlineStr">
        <is>
          <t>130511</t>
        </is>
      </c>
      <c r="C472" s="3452" t="inlineStr">
        <is>
          <t>000224000</t>
        </is>
      </c>
      <c r="D472" s="3452" t="inlineStr">
        <is>
          <t>201912</t>
        </is>
      </c>
      <c r="E472" s="3452" t="inlineStr">
        <is>
          <t>0,000000000000</t>
        </is>
      </c>
    </row>
    <row outlineLevel="0" r="473">
      <c r="A473" s="3452" t="inlineStr">
        <is>
          <t>000224000201912131000</t>
        </is>
      </c>
      <c r="B473" s="3452" t="inlineStr">
        <is>
          <t>131000</t>
        </is>
      </c>
      <c r="C473" s="3452" t="inlineStr">
        <is>
          <t>000224000</t>
        </is>
      </c>
      <c r="D473" s="3452" t="inlineStr">
        <is>
          <t>201912</t>
        </is>
      </c>
      <c r="E473" s="3452" t="inlineStr">
        <is>
          <t>0,000000000000</t>
        </is>
      </c>
    </row>
    <row outlineLevel="0" r="474">
      <c r="A474" s="3452" t="inlineStr">
        <is>
          <t>000224000201912131001</t>
        </is>
      </c>
      <c r="B474" s="3452" t="inlineStr">
        <is>
          <t>131001</t>
        </is>
      </c>
      <c r="C474" s="3452" t="inlineStr">
        <is>
          <t>000224000</t>
        </is>
      </c>
      <c r="D474" s="3452" t="inlineStr">
        <is>
          <t>201912</t>
        </is>
      </c>
      <c r="E474" s="3452" t="inlineStr">
        <is>
          <t>0,000000000000</t>
        </is>
      </c>
    </row>
    <row outlineLevel="0" r="475">
      <c r="A475" s="3452" t="inlineStr">
        <is>
          <t>000224000201912131501</t>
        </is>
      </c>
      <c r="B475" s="3452" t="inlineStr">
        <is>
          <t>131501</t>
        </is>
      </c>
      <c r="C475" s="3452" t="inlineStr">
        <is>
          <t>000224000</t>
        </is>
      </c>
      <c r="D475" s="3452" t="inlineStr">
        <is>
          <t>201912</t>
        </is>
      </c>
      <c r="E475" s="3452" t="inlineStr">
        <is>
          <t>0,000000000000</t>
        </is>
      </c>
    </row>
    <row outlineLevel="0" r="476">
      <c r="A476" s="3452" t="inlineStr">
        <is>
          <t>000224000201912132000</t>
        </is>
      </c>
      <c r="B476" s="3452" t="inlineStr">
        <is>
          <t>132000</t>
        </is>
      </c>
      <c r="C476" s="3452" t="inlineStr">
        <is>
          <t>000224000</t>
        </is>
      </c>
      <c r="D476" s="3452" t="inlineStr">
        <is>
          <t>201912</t>
        </is>
      </c>
      <c r="E476" s="3452" t="inlineStr">
        <is>
          <t>0,000000000000</t>
        </is>
      </c>
    </row>
    <row outlineLevel="0" r="477">
      <c r="A477" s="3452" t="inlineStr">
        <is>
          <t>000224000201912132001</t>
        </is>
      </c>
      <c r="B477" s="3452" t="inlineStr">
        <is>
          <t>132001</t>
        </is>
      </c>
      <c r="C477" s="3452" t="inlineStr">
        <is>
          <t>000224000</t>
        </is>
      </c>
      <c r="D477" s="3452" t="inlineStr">
        <is>
          <t>201912</t>
        </is>
      </c>
      <c r="E477" s="3452" t="inlineStr">
        <is>
          <t>0,000000000000</t>
        </is>
      </c>
    </row>
    <row outlineLevel="0" r="478">
      <c r="A478" s="3452" t="inlineStr">
        <is>
          <t>000224000201912132500</t>
        </is>
      </c>
      <c r="B478" s="3452" t="inlineStr">
        <is>
          <t>132500</t>
        </is>
      </c>
      <c r="C478" s="3452" t="inlineStr">
        <is>
          <t>000224000</t>
        </is>
      </c>
      <c r="D478" s="3452" t="inlineStr">
        <is>
          <t>201912</t>
        </is>
      </c>
      <c r="E478" s="3452" t="inlineStr">
        <is>
          <t>0,000000000000</t>
        </is>
      </c>
    </row>
    <row outlineLevel="0" r="479">
      <c r="A479" s="3452" t="inlineStr">
        <is>
          <t>000224000201912132501</t>
        </is>
      </c>
      <c r="B479" s="3452" t="inlineStr">
        <is>
          <t>132501</t>
        </is>
      </c>
      <c r="C479" s="3452" t="inlineStr">
        <is>
          <t>000224000</t>
        </is>
      </c>
      <c r="D479" s="3452" t="inlineStr">
        <is>
          <t>201912</t>
        </is>
      </c>
      <c r="E479" s="3452" t="inlineStr">
        <is>
          <t>0,000000000000</t>
        </is>
      </c>
    </row>
    <row outlineLevel="0" r="480">
      <c r="A480" s="3452" t="inlineStr">
        <is>
          <t>000224000201912133000</t>
        </is>
      </c>
      <c r="B480" s="3452" t="inlineStr">
        <is>
          <t>133000</t>
        </is>
      </c>
      <c r="C480" s="3452" t="inlineStr">
        <is>
          <t>000224000</t>
        </is>
      </c>
      <c r="D480" s="3452" t="inlineStr">
        <is>
          <t>201912</t>
        </is>
      </c>
      <c r="E480" s="3452" t="inlineStr">
        <is>
          <t>0,000000000000</t>
        </is>
      </c>
    </row>
    <row outlineLevel="0" r="481">
      <c r="A481" s="3452" t="inlineStr">
        <is>
          <t>000224000201912133001</t>
        </is>
      </c>
      <c r="B481" s="3452" t="inlineStr">
        <is>
          <t>133001</t>
        </is>
      </c>
      <c r="C481" s="3452" t="inlineStr">
        <is>
          <t>000224000</t>
        </is>
      </c>
      <c r="D481" s="3452" t="inlineStr">
        <is>
          <t>201912</t>
        </is>
      </c>
      <c r="E481" s="3452" t="inlineStr">
        <is>
          <t>0,000000000000</t>
        </is>
      </c>
    </row>
    <row outlineLevel="0" r="482">
      <c r="A482" s="3452" t="inlineStr">
        <is>
          <t>000224000201912133500</t>
        </is>
      </c>
      <c r="B482" s="3452" t="inlineStr">
        <is>
          <t>133500</t>
        </is>
      </c>
      <c r="C482" s="3452" t="inlineStr">
        <is>
          <t>000224000</t>
        </is>
      </c>
      <c r="D482" s="3452" t="inlineStr">
        <is>
          <t>201912</t>
        </is>
      </c>
      <c r="E482" s="3452" t="inlineStr">
        <is>
          <t>0,000000000000</t>
        </is>
      </c>
    </row>
    <row outlineLevel="0" r="483">
      <c r="A483" s="3452" t="inlineStr">
        <is>
          <t>000224000201912133501</t>
        </is>
      </c>
      <c r="B483" s="3452" t="inlineStr">
        <is>
          <t>133501</t>
        </is>
      </c>
      <c r="C483" s="3452" t="inlineStr">
        <is>
          <t>000224000</t>
        </is>
      </c>
      <c r="D483" s="3452" t="inlineStr">
        <is>
          <t>201912</t>
        </is>
      </c>
      <c r="E483" s="3452" t="inlineStr">
        <is>
          <t>0,000000000000</t>
        </is>
      </c>
    </row>
    <row outlineLevel="0" r="484">
      <c r="A484" s="3452" t="inlineStr">
        <is>
          <t>000224000201912134000</t>
        </is>
      </c>
      <c r="B484" s="3452" t="inlineStr">
        <is>
          <t>134000</t>
        </is>
      </c>
      <c r="C484" s="3452" t="inlineStr">
        <is>
          <t>000224000</t>
        </is>
      </c>
      <c r="D484" s="3452" t="inlineStr">
        <is>
          <t>201912</t>
        </is>
      </c>
      <c r="E484" s="3452" t="inlineStr">
        <is>
          <t>0,000000000000</t>
        </is>
      </c>
    </row>
    <row outlineLevel="0" r="485">
      <c r="A485" s="3452" t="inlineStr">
        <is>
          <t>000224000201912134001</t>
        </is>
      </c>
      <c r="B485" s="3452" t="inlineStr">
        <is>
          <t>134001</t>
        </is>
      </c>
      <c r="C485" s="3452" t="inlineStr">
        <is>
          <t>000224000</t>
        </is>
      </c>
      <c r="D485" s="3452" t="inlineStr">
        <is>
          <t>201912</t>
        </is>
      </c>
      <c r="E485" s="3452" t="inlineStr">
        <is>
          <t>0,000000000000</t>
        </is>
      </c>
    </row>
    <row outlineLevel="0" r="486">
      <c r="A486" s="3452" t="inlineStr">
        <is>
          <t>000224000201912134500</t>
        </is>
      </c>
      <c r="B486" s="3452" t="inlineStr">
        <is>
          <t>134500</t>
        </is>
      </c>
      <c r="C486" s="3452" t="inlineStr">
        <is>
          <t>000224000</t>
        </is>
      </c>
      <c r="D486" s="3452" t="inlineStr">
        <is>
          <t>201912</t>
        </is>
      </c>
      <c r="E486" s="3452" t="inlineStr">
        <is>
          <t>0,000000000000</t>
        </is>
      </c>
    </row>
    <row outlineLevel="0" r="487">
      <c r="A487" s="3452" t="inlineStr">
        <is>
          <t>000224000201912134501</t>
        </is>
      </c>
      <c r="B487" s="3452" t="inlineStr">
        <is>
          <t>134501</t>
        </is>
      </c>
      <c r="C487" s="3452" t="inlineStr">
        <is>
          <t>000224000</t>
        </is>
      </c>
      <c r="D487" s="3452" t="inlineStr">
        <is>
          <t>201912</t>
        </is>
      </c>
      <c r="E487" s="3452" t="inlineStr">
        <is>
          <t>0,000000000000</t>
        </is>
      </c>
    </row>
    <row outlineLevel="0" r="488">
      <c r="A488" s="3452" t="inlineStr">
        <is>
          <t>000224000201912135000</t>
        </is>
      </c>
      <c r="B488" s="3452" t="inlineStr">
        <is>
          <t>135000</t>
        </is>
      </c>
      <c r="C488" s="3452" t="inlineStr">
        <is>
          <t>000224000</t>
        </is>
      </c>
      <c r="D488" s="3452" t="inlineStr">
        <is>
          <t>201912</t>
        </is>
      </c>
      <c r="E488" s="3452" t="inlineStr">
        <is>
          <t>0,000000000000</t>
        </is>
      </c>
    </row>
    <row outlineLevel="0" r="489">
      <c r="A489" s="3452" t="inlineStr">
        <is>
          <t>000224000201912135001</t>
        </is>
      </c>
      <c r="B489" s="3452" t="inlineStr">
        <is>
          <t>135001</t>
        </is>
      </c>
      <c r="C489" s="3452" t="inlineStr">
        <is>
          <t>000224000</t>
        </is>
      </c>
      <c r="D489" s="3452" t="inlineStr">
        <is>
          <t>201912</t>
        </is>
      </c>
      <c r="E489" s="3452" t="inlineStr">
        <is>
          <t>0,000000000000</t>
        </is>
      </c>
    </row>
    <row outlineLevel="0" r="490">
      <c r="A490" s="3452" t="inlineStr">
        <is>
          <t>000224000201912135500</t>
        </is>
      </c>
      <c r="B490" s="3452" t="inlineStr">
        <is>
          <t>135500</t>
        </is>
      </c>
      <c r="C490" s="3452" t="inlineStr">
        <is>
          <t>000224000</t>
        </is>
      </c>
      <c r="D490" s="3452" t="inlineStr">
        <is>
          <t>201912</t>
        </is>
      </c>
      <c r="E490" s="3452" t="inlineStr">
        <is>
          <t>0,000000000000</t>
        </is>
      </c>
    </row>
    <row outlineLevel="0" r="491">
      <c r="A491" s="3452" t="inlineStr">
        <is>
          <t>000224000201912135501</t>
        </is>
      </c>
      <c r="B491" s="3452" t="inlineStr">
        <is>
          <t>135501</t>
        </is>
      </c>
      <c r="C491" s="3452" t="inlineStr">
        <is>
          <t>000224000</t>
        </is>
      </c>
      <c r="D491" s="3452" t="inlineStr">
        <is>
          <t>201912</t>
        </is>
      </c>
      <c r="E491" s="3452" t="inlineStr">
        <is>
          <t>0,000000000000</t>
        </is>
      </c>
    </row>
    <row outlineLevel="0" r="492">
      <c r="A492" s="3452" t="inlineStr">
        <is>
          <t>000224000201912136000</t>
        </is>
      </c>
      <c r="B492" s="3452" t="inlineStr">
        <is>
          <t>136000</t>
        </is>
      </c>
      <c r="C492" s="3452" t="inlineStr">
        <is>
          <t>000224000</t>
        </is>
      </c>
      <c r="D492" s="3452" t="inlineStr">
        <is>
          <t>201912</t>
        </is>
      </c>
      <c r="E492" s="3452" t="inlineStr">
        <is>
          <t>0,000000000000</t>
        </is>
      </c>
    </row>
    <row outlineLevel="0" r="493">
      <c r="A493" s="3452" t="inlineStr">
        <is>
          <t>000224000201912136001</t>
        </is>
      </c>
      <c r="B493" s="3452" t="inlineStr">
        <is>
          <t>136001</t>
        </is>
      </c>
      <c r="C493" s="3452" t="inlineStr">
        <is>
          <t>000224000</t>
        </is>
      </c>
      <c r="D493" s="3452" t="inlineStr">
        <is>
          <t>201912</t>
        </is>
      </c>
      <c r="E493" s="3452" t="inlineStr">
        <is>
          <t>0,000000000000</t>
        </is>
      </c>
    </row>
    <row outlineLevel="0" r="494">
      <c r="A494" s="3452" t="inlineStr">
        <is>
          <t>000224000201912136500</t>
        </is>
      </c>
      <c r="B494" s="3452" t="inlineStr">
        <is>
          <t>136500</t>
        </is>
      </c>
      <c r="C494" s="3452" t="inlineStr">
        <is>
          <t>000224000</t>
        </is>
      </c>
      <c r="D494" s="3452" t="inlineStr">
        <is>
          <t>201912</t>
        </is>
      </c>
      <c r="E494" s="3452" t="inlineStr">
        <is>
          <t>0,000000000000</t>
        </is>
      </c>
    </row>
    <row outlineLevel="0" r="495">
      <c r="A495" s="3452" t="inlineStr">
        <is>
          <t>000224000201912136501</t>
        </is>
      </c>
      <c r="B495" s="3452" t="inlineStr">
        <is>
          <t>136501</t>
        </is>
      </c>
      <c r="C495" s="3452" t="inlineStr">
        <is>
          <t>000224000</t>
        </is>
      </c>
      <c r="D495" s="3452" t="inlineStr">
        <is>
          <t>201912</t>
        </is>
      </c>
      <c r="E495" s="3452" t="inlineStr">
        <is>
          <t>0,000000000000</t>
        </is>
      </c>
    </row>
    <row outlineLevel="0" r="496">
      <c r="A496" s="3452" t="inlineStr">
        <is>
          <t>000224000201912137000</t>
        </is>
      </c>
      <c r="B496" s="3452" t="inlineStr">
        <is>
          <t>137000</t>
        </is>
      </c>
      <c r="C496" s="3452" t="inlineStr">
        <is>
          <t>000224000</t>
        </is>
      </c>
      <c r="D496" s="3452" t="inlineStr">
        <is>
          <t>201912</t>
        </is>
      </c>
      <c r="E496" s="3452" t="inlineStr">
        <is>
          <t>0,000000000000</t>
        </is>
      </c>
    </row>
    <row outlineLevel="0" r="497">
      <c r="A497" s="3452" t="inlineStr">
        <is>
          <t>000224000201912137001</t>
        </is>
      </c>
      <c r="B497" s="3452" t="inlineStr">
        <is>
          <t>137001</t>
        </is>
      </c>
      <c r="C497" s="3452" t="inlineStr">
        <is>
          <t>000224000</t>
        </is>
      </c>
      <c r="D497" s="3452" t="inlineStr">
        <is>
          <t>201912</t>
        </is>
      </c>
      <c r="E497" s="3452" t="inlineStr">
        <is>
          <t>0,000000000000</t>
        </is>
      </c>
    </row>
    <row outlineLevel="0" r="498">
      <c r="A498" s="3452" t="inlineStr">
        <is>
          <t>000224000201912138001</t>
        </is>
      </c>
      <c r="B498" s="3452" t="inlineStr">
        <is>
          <t>138001</t>
        </is>
      </c>
      <c r="C498" s="3452" t="inlineStr">
        <is>
          <t>000224000</t>
        </is>
      </c>
      <c r="D498" s="3452" t="inlineStr">
        <is>
          <t>201912</t>
        </is>
      </c>
      <c r="E498" s="3452" t="inlineStr">
        <is>
          <t>0,000000000000</t>
        </is>
      </c>
    </row>
    <row outlineLevel="0" r="499">
      <c r="A499" s="3452" t="inlineStr">
        <is>
          <t>000224000201912138501</t>
        </is>
      </c>
      <c r="B499" s="3452" t="inlineStr">
        <is>
          <t>138501</t>
        </is>
      </c>
      <c r="C499" s="3452" t="inlineStr">
        <is>
          <t>000224000</t>
        </is>
      </c>
      <c r="D499" s="3452" t="inlineStr">
        <is>
          <t>201912</t>
        </is>
      </c>
      <c r="E499" s="3452" t="inlineStr">
        <is>
          <t>0,000000000000</t>
        </is>
      </c>
    </row>
    <row outlineLevel="0" r="500">
      <c r="A500" s="3452" t="inlineStr">
        <is>
          <t>000224000201912139000</t>
        </is>
      </c>
      <c r="B500" s="3452" t="inlineStr">
        <is>
          <t>139000</t>
        </is>
      </c>
      <c r="C500" s="3452" t="inlineStr">
        <is>
          <t>000224000</t>
        </is>
      </c>
      <c r="D500" s="3452" t="inlineStr">
        <is>
          <t>201912</t>
        </is>
      </c>
      <c r="E500" s="3452" t="inlineStr">
        <is>
          <t>0,000000000000</t>
        </is>
      </c>
    </row>
    <row outlineLevel="0" r="501">
      <c r="A501" s="3452" t="inlineStr">
        <is>
          <t>000224000201912139001</t>
        </is>
      </c>
      <c r="B501" s="3452" t="inlineStr">
        <is>
          <t>139001</t>
        </is>
      </c>
      <c r="C501" s="3452" t="inlineStr">
        <is>
          <t>000224000</t>
        </is>
      </c>
      <c r="D501" s="3452" t="inlineStr">
        <is>
          <t>201912</t>
        </is>
      </c>
      <c r="E501" s="3452" t="inlineStr">
        <is>
          <t>0,000000000000</t>
        </is>
      </c>
    </row>
    <row outlineLevel="0" r="502">
      <c r="A502" s="3452" t="inlineStr">
        <is>
          <t>000224000201912139500</t>
        </is>
      </c>
      <c r="B502" s="3452" t="inlineStr">
        <is>
          <t>139500</t>
        </is>
      </c>
      <c r="C502" s="3452" t="inlineStr">
        <is>
          <t>000224000</t>
        </is>
      </c>
      <c r="D502" s="3452" t="inlineStr">
        <is>
          <t>201912</t>
        </is>
      </c>
      <c r="E502" s="3452" t="inlineStr">
        <is>
          <t>0,000000000000</t>
        </is>
      </c>
    </row>
    <row outlineLevel="0" r="503">
      <c r="A503" s="3452" t="inlineStr">
        <is>
          <t>000224000201912139901</t>
        </is>
      </c>
      <c r="B503" s="3452" t="inlineStr">
        <is>
          <t>139901</t>
        </is>
      </c>
      <c r="C503" s="3452" t="inlineStr">
        <is>
          <t>000224000</t>
        </is>
      </c>
      <c r="D503" s="3452" t="inlineStr">
        <is>
          <t>201912</t>
        </is>
      </c>
      <c r="E503" s="3452" t="inlineStr">
        <is>
          <t>0,000000000000</t>
        </is>
      </c>
    </row>
    <row outlineLevel="0" r="504">
      <c r="A504" s="3452" t="inlineStr">
        <is>
          <t>000224000201912139905</t>
        </is>
      </c>
      <c r="B504" s="3452" t="inlineStr">
        <is>
          <t>139905</t>
        </is>
      </c>
      <c r="C504" s="3452" t="inlineStr">
        <is>
          <t>000224000</t>
        </is>
      </c>
      <c r="D504" s="3452" t="inlineStr">
        <is>
          <t>201912</t>
        </is>
      </c>
      <c r="E504" s="3452" t="inlineStr">
        <is>
          <t>0,000000000000</t>
        </is>
      </c>
    </row>
    <row outlineLevel="0" r="505">
      <c r="A505" s="3452" t="inlineStr">
        <is>
          <t>000224000201912140005</t>
        </is>
      </c>
      <c r="B505" s="3452" t="inlineStr">
        <is>
          <t>140005</t>
        </is>
      </c>
      <c r="C505" s="3452" t="inlineStr">
        <is>
          <t>000224000</t>
        </is>
      </c>
      <c r="D505" s="3452" t="inlineStr">
        <is>
          <t>201912</t>
        </is>
      </c>
      <c r="E505" s="3452" t="inlineStr">
        <is>
          <t>0,000000000000</t>
        </is>
      </c>
    </row>
    <row outlineLevel="0" r="506">
      <c r="A506" s="3452" t="inlineStr">
        <is>
          <t>000224000201912140010</t>
        </is>
      </c>
      <c r="B506" s="3452" t="inlineStr">
        <is>
          <t>140010</t>
        </is>
      </c>
      <c r="C506" s="3452" t="inlineStr">
        <is>
          <t>000224000</t>
        </is>
      </c>
      <c r="D506" s="3452" t="inlineStr">
        <is>
          <t>201912</t>
        </is>
      </c>
      <c r="E506" s="3452" t="inlineStr">
        <is>
          <t>0,000000000000</t>
        </is>
      </c>
    </row>
    <row outlineLevel="0" r="507">
      <c r="A507" s="3452" t="inlineStr">
        <is>
          <t>000224000201912142500</t>
        </is>
      </c>
      <c r="B507" s="3452" t="inlineStr">
        <is>
          <t>142500</t>
        </is>
      </c>
      <c r="C507" s="3452" t="inlineStr">
        <is>
          <t>000224000</t>
        </is>
      </c>
      <c r="D507" s="3452" t="inlineStr">
        <is>
          <t>201912</t>
        </is>
      </c>
      <c r="E507" s="3452" t="inlineStr">
        <is>
          <t>0,000000000000</t>
        </is>
      </c>
    </row>
    <row outlineLevel="0" r="508">
      <c r="A508" s="3452" t="inlineStr">
        <is>
          <t>000224000201912143500</t>
        </is>
      </c>
      <c r="B508" s="3452" t="inlineStr">
        <is>
          <t>143500</t>
        </is>
      </c>
      <c r="C508" s="3452" t="inlineStr">
        <is>
          <t>000224000</t>
        </is>
      </c>
      <c r="D508" s="3452" t="inlineStr">
        <is>
          <t>201912</t>
        </is>
      </c>
      <c r="E508" s="3452" t="inlineStr">
        <is>
          <t>0,000000000000</t>
        </is>
      </c>
    </row>
    <row outlineLevel="0" r="509">
      <c r="A509" s="3452" t="inlineStr">
        <is>
          <t>000224000201912145500</t>
        </is>
      </c>
      <c r="B509" s="3452" t="inlineStr">
        <is>
          <t>145500</t>
        </is>
      </c>
      <c r="C509" s="3452" t="inlineStr">
        <is>
          <t>000224000</t>
        </is>
      </c>
      <c r="D509" s="3452" t="inlineStr">
        <is>
          <t>201912</t>
        </is>
      </c>
      <c r="E509" s="3452" t="inlineStr">
        <is>
          <t>0,000000000000</t>
        </is>
      </c>
    </row>
    <row outlineLevel="0" r="510">
      <c r="A510" s="3452" t="inlineStr">
        <is>
          <t>000224000201912146000</t>
        </is>
      </c>
      <c r="B510" s="3452" t="inlineStr">
        <is>
          <t>146000</t>
        </is>
      </c>
      <c r="C510" s="3452" t="inlineStr">
        <is>
          <t>000224000</t>
        </is>
      </c>
      <c r="D510" s="3452" t="inlineStr">
        <is>
          <t>201912</t>
        </is>
      </c>
      <c r="E510" s="3452" t="inlineStr">
        <is>
          <t>0,000000000000</t>
        </is>
      </c>
    </row>
    <row outlineLevel="0" r="511">
      <c r="A511" s="3452" t="inlineStr">
        <is>
          <t>000224000201912149510</t>
        </is>
      </c>
      <c r="B511" s="3452" t="inlineStr">
        <is>
          <t>149510</t>
        </is>
      </c>
      <c r="C511" s="3452" t="inlineStr">
        <is>
          <t>000224000</t>
        </is>
      </c>
      <c r="D511" s="3452" t="inlineStr">
        <is>
          <t>201912</t>
        </is>
      </c>
      <c r="E511" s="3452" t="inlineStr">
        <is>
          <t>0,000000000000</t>
        </is>
      </c>
    </row>
    <row outlineLevel="0" r="512">
      <c r="A512" s="3452" t="inlineStr">
        <is>
          <t>000224000201912149900</t>
        </is>
      </c>
      <c r="B512" s="3452" t="inlineStr">
        <is>
          <t>149900</t>
        </is>
      </c>
      <c r="C512" s="3452" t="inlineStr">
        <is>
          <t>000224000</t>
        </is>
      </c>
      <c r="D512" s="3452" t="inlineStr">
        <is>
          <t>201912</t>
        </is>
      </c>
      <c r="E512" s="3452" t="inlineStr">
        <is>
          <t>0,000000000000</t>
        </is>
      </c>
    </row>
    <row outlineLevel="0" r="513">
      <c r="A513" s="3452" t="inlineStr">
        <is>
          <t>000224000201912149901</t>
        </is>
      </c>
      <c r="B513" s="3452" t="inlineStr">
        <is>
          <t>149901</t>
        </is>
      </c>
      <c r="C513" s="3452" t="inlineStr">
        <is>
          <t>000224000</t>
        </is>
      </c>
      <c r="D513" s="3452" t="inlineStr">
        <is>
          <t>201912</t>
        </is>
      </c>
      <c r="E513" s="3452" t="inlineStr">
        <is>
          <t>0,000000000000</t>
        </is>
      </c>
    </row>
    <row outlineLevel="0" r="514">
      <c r="A514" s="3452" t="inlineStr">
        <is>
          <t>000224000201912149902</t>
        </is>
      </c>
      <c r="B514" s="3452" t="inlineStr">
        <is>
          <t>149902</t>
        </is>
      </c>
      <c r="C514" s="3452" t="inlineStr">
        <is>
          <t>000224000</t>
        </is>
      </c>
      <c r="D514" s="3452" t="inlineStr">
        <is>
          <t>201912</t>
        </is>
      </c>
      <c r="E514" s="3452" t="inlineStr">
        <is>
          <t>0,000000000000</t>
        </is>
      </c>
    </row>
    <row outlineLevel="0" r="515">
      <c r="A515" s="3452" t="inlineStr">
        <is>
          <t>000224000201912149910</t>
        </is>
      </c>
      <c r="B515" s="3452" t="inlineStr">
        <is>
          <t>149910</t>
        </is>
      </c>
      <c r="C515" s="3452" t="inlineStr">
        <is>
          <t>000224000</t>
        </is>
      </c>
      <c r="D515" s="3452" t="inlineStr">
        <is>
          <t>201912</t>
        </is>
      </c>
      <c r="E515" s="3452" t="inlineStr">
        <is>
          <t>0,000000000000</t>
        </is>
      </c>
    </row>
    <row outlineLevel="0" r="516">
      <c r="A516" s="3452" t="inlineStr">
        <is>
          <t>000224000201912151201</t>
        </is>
      </c>
      <c r="B516" s="3452" t="inlineStr">
        <is>
          <t>151201</t>
        </is>
      </c>
      <c r="C516" s="3452" t="inlineStr">
        <is>
          <t>000224000</t>
        </is>
      </c>
      <c r="D516" s="3452" t="inlineStr">
        <is>
          <t>201912</t>
        </is>
      </c>
      <c r="E516" s="3452" t="inlineStr">
        <is>
          <t>0,000000000000</t>
        </is>
      </c>
    </row>
    <row outlineLevel="0" r="517">
      <c r="A517" s="3452" t="inlineStr">
        <is>
          <t>000224000201912155601</t>
        </is>
      </c>
      <c r="B517" s="3452" t="inlineStr">
        <is>
          <t>155601</t>
        </is>
      </c>
      <c r="C517" s="3452" t="inlineStr">
        <is>
          <t>000224000</t>
        </is>
      </c>
      <c r="D517" s="3452" t="inlineStr">
        <is>
          <t>201912</t>
        </is>
      </c>
      <c r="E517" s="3452" t="inlineStr">
        <is>
          <t>0,000000000000</t>
        </is>
      </c>
    </row>
    <row outlineLevel="0" r="518">
      <c r="A518" s="3452" t="inlineStr">
        <is>
          <t>000224000201912156001</t>
        </is>
      </c>
      <c r="B518" s="3452" t="inlineStr">
        <is>
          <t>156001</t>
        </is>
      </c>
      <c r="C518" s="3452" t="inlineStr">
        <is>
          <t>000224000</t>
        </is>
      </c>
      <c r="D518" s="3452" t="inlineStr">
        <is>
          <t>201912</t>
        </is>
      </c>
      <c r="E518" s="3452" t="inlineStr">
        <is>
          <t>0,000000000000</t>
        </is>
      </c>
    </row>
    <row outlineLevel="0" r="519">
      <c r="A519" s="3452" t="inlineStr">
        <is>
          <t>000224000201912156401</t>
        </is>
      </c>
      <c r="B519" s="3452" t="inlineStr">
        <is>
          <t>156401</t>
        </is>
      </c>
      <c r="C519" s="3452" t="inlineStr">
        <is>
          <t>000224000</t>
        </is>
      </c>
      <c r="D519" s="3452" t="inlineStr">
        <is>
          <t>201912</t>
        </is>
      </c>
      <c r="E519" s="3452" t="inlineStr">
        <is>
          <t>0,000000000000</t>
        </is>
      </c>
    </row>
    <row outlineLevel="0" r="520">
      <c r="A520" s="3452" t="inlineStr">
        <is>
          <t>000224000201912157201</t>
        </is>
      </c>
      <c r="B520" s="3452" t="inlineStr">
        <is>
          <t>157201</t>
        </is>
      </c>
      <c r="C520" s="3452" t="inlineStr">
        <is>
          <t>000224000</t>
        </is>
      </c>
      <c r="D520" s="3452" t="inlineStr">
        <is>
          <t>201912</t>
        </is>
      </c>
      <c r="E520" s="3452" t="inlineStr">
        <is>
          <t>0,000000000000</t>
        </is>
      </c>
    </row>
    <row outlineLevel="0" r="521">
      <c r="A521" s="3452" t="inlineStr">
        <is>
          <t>000224000201912157601</t>
        </is>
      </c>
      <c r="B521" s="3452" t="inlineStr">
        <is>
          <t>157601</t>
        </is>
      </c>
      <c r="C521" s="3452" t="inlineStr">
        <is>
          <t>000224000</t>
        </is>
      </c>
      <c r="D521" s="3452" t="inlineStr">
        <is>
          <t>201912</t>
        </is>
      </c>
      <c r="E521" s="3452" t="inlineStr">
        <is>
          <t>0,000000000000</t>
        </is>
      </c>
    </row>
    <row outlineLevel="0" r="522">
      <c r="A522" s="3452" t="inlineStr">
        <is>
          <t>000224000201912158401</t>
        </is>
      </c>
      <c r="B522" s="3452" t="inlineStr">
        <is>
          <t>158401</t>
        </is>
      </c>
      <c r="C522" s="3452" t="inlineStr">
        <is>
          <t>000224000</t>
        </is>
      </c>
      <c r="D522" s="3452" t="inlineStr">
        <is>
          <t>201912</t>
        </is>
      </c>
      <c r="E522" s="3452" t="inlineStr">
        <is>
          <t>0,000000000000</t>
        </is>
      </c>
    </row>
    <row outlineLevel="0" r="523">
      <c r="A523" s="3452" t="inlineStr">
        <is>
          <t>000224000201912158801</t>
        </is>
      </c>
      <c r="B523" s="3452" t="inlineStr">
        <is>
          <t>158801</t>
        </is>
      </c>
      <c r="C523" s="3452" t="inlineStr">
        <is>
          <t>000224000</t>
        </is>
      </c>
      <c r="D523" s="3452" t="inlineStr">
        <is>
          <t>201912</t>
        </is>
      </c>
      <c r="E523" s="3452" t="inlineStr">
        <is>
          <t>0,000000000000</t>
        </is>
      </c>
    </row>
    <row outlineLevel="0" r="524">
      <c r="A524" s="3452" t="inlineStr">
        <is>
          <t>000224000201912159701</t>
        </is>
      </c>
      <c r="B524" s="3452" t="inlineStr">
        <is>
          <t>159701</t>
        </is>
      </c>
      <c r="C524" s="3452" t="inlineStr">
        <is>
          <t>000224000</t>
        </is>
      </c>
      <c r="D524" s="3452" t="inlineStr">
        <is>
          <t>201912</t>
        </is>
      </c>
      <c r="E524" s="3452" t="inlineStr">
        <is>
          <t>0,000000000000</t>
        </is>
      </c>
    </row>
    <row outlineLevel="0" r="525">
      <c r="A525" s="3452" t="inlineStr">
        <is>
          <t>000224000201912159899</t>
        </is>
      </c>
      <c r="B525" s="3452" t="inlineStr">
        <is>
          <t>159899</t>
        </is>
      </c>
      <c r="C525" s="3452" t="inlineStr">
        <is>
          <t>000224000</t>
        </is>
      </c>
      <c r="D525" s="3452" t="inlineStr">
        <is>
          <t>201912</t>
        </is>
      </c>
      <c r="E525" s="3452" t="inlineStr">
        <is>
          <t>0,000000000000</t>
        </is>
      </c>
    </row>
    <row outlineLevel="0" r="526">
      <c r="A526" s="3452" t="inlineStr">
        <is>
          <t>000224000201912159901</t>
        </is>
      </c>
      <c r="B526" s="3452" t="inlineStr">
        <is>
          <t>159901</t>
        </is>
      </c>
      <c r="C526" s="3452" t="inlineStr">
        <is>
          <t>000224000</t>
        </is>
      </c>
      <c r="D526" s="3452" t="inlineStr">
        <is>
          <t>201912</t>
        </is>
      </c>
      <c r="E526" s="3452" t="inlineStr">
        <is>
          <t>0,000000000000</t>
        </is>
      </c>
    </row>
    <row outlineLevel="0" r="527">
      <c r="A527" s="3452" t="inlineStr">
        <is>
          <t>000224000201912160501</t>
        </is>
      </c>
      <c r="B527" s="3452" t="inlineStr">
        <is>
          <t>160501</t>
        </is>
      </c>
      <c r="C527" s="3452" t="inlineStr">
        <is>
          <t>000224000</t>
        </is>
      </c>
      <c r="D527" s="3452" t="inlineStr">
        <is>
          <t>201912</t>
        </is>
      </c>
      <c r="E527" s="3452" t="inlineStr">
        <is>
          <t>0,000000000000</t>
        </is>
      </c>
    </row>
    <row outlineLevel="0" r="528">
      <c r="A528" s="3452" t="inlineStr">
        <is>
          <t>000224000201912161001</t>
        </is>
      </c>
      <c r="B528" s="3452" t="inlineStr">
        <is>
          <t>161001</t>
        </is>
      </c>
      <c r="C528" s="3452" t="inlineStr">
        <is>
          <t>000224000</t>
        </is>
      </c>
      <c r="D528" s="3452" t="inlineStr">
        <is>
          <t>201912</t>
        </is>
      </c>
      <c r="E528" s="3452" t="inlineStr">
        <is>
          <t>0,000000000000</t>
        </is>
      </c>
    </row>
    <row outlineLevel="0" r="529">
      <c r="A529" s="3452" t="inlineStr">
        <is>
          <t>000224000201912163001</t>
        </is>
      </c>
      <c r="B529" s="3452" t="inlineStr">
        <is>
          <t>163001</t>
        </is>
      </c>
      <c r="C529" s="3452" t="inlineStr">
        <is>
          <t>000224000</t>
        </is>
      </c>
      <c r="D529" s="3452" t="inlineStr">
        <is>
          <t>201912</t>
        </is>
      </c>
      <c r="E529" s="3452" t="inlineStr">
        <is>
          <t>0,000000000000</t>
        </is>
      </c>
    </row>
    <row outlineLevel="0" r="530">
      <c r="A530" s="3452" t="inlineStr">
        <is>
          <t>000224000201912164001</t>
        </is>
      </c>
      <c r="B530" s="3452" t="inlineStr">
        <is>
          <t>164001</t>
        </is>
      </c>
      <c r="C530" s="3452" t="inlineStr">
        <is>
          <t>000224000</t>
        </is>
      </c>
      <c r="D530" s="3452" t="inlineStr">
        <is>
          <t>201912</t>
        </is>
      </c>
      <c r="E530" s="3452" t="inlineStr">
        <is>
          <t>0,000000000000</t>
        </is>
      </c>
    </row>
    <row outlineLevel="0" r="531">
      <c r="A531" s="3452" t="inlineStr">
        <is>
          <t>000224000201912169899</t>
        </is>
      </c>
      <c r="B531" s="3452" t="inlineStr">
        <is>
          <t>169899</t>
        </is>
      </c>
      <c r="C531" s="3452" t="inlineStr">
        <is>
          <t>000224000</t>
        </is>
      </c>
      <c r="D531" s="3452" t="inlineStr">
        <is>
          <t>201912</t>
        </is>
      </c>
      <c r="E531" s="3452" t="inlineStr">
        <is>
          <t>0,000000000000</t>
        </is>
      </c>
    </row>
    <row outlineLevel="0" r="532">
      <c r="A532" s="3452" t="inlineStr">
        <is>
          <t>000224000201912169901</t>
        </is>
      </c>
      <c r="B532" s="3452" t="inlineStr">
        <is>
          <t>169901</t>
        </is>
      </c>
      <c r="C532" s="3452" t="inlineStr">
        <is>
          <t>000224000</t>
        </is>
      </c>
      <c r="D532" s="3452" t="inlineStr">
        <is>
          <t>201912</t>
        </is>
      </c>
      <c r="E532" s="3452" t="inlineStr">
        <is>
          <t>0,000000000000</t>
        </is>
      </c>
    </row>
    <row outlineLevel="0" r="533">
      <c r="A533" s="3452" t="inlineStr">
        <is>
          <t>000224000201912170500</t>
        </is>
      </c>
      <c r="B533" s="3452" t="inlineStr">
        <is>
          <t>170500</t>
        </is>
      </c>
      <c r="C533" s="3452" t="inlineStr">
        <is>
          <t>000224000</t>
        </is>
      </c>
      <c r="D533" s="3452" t="inlineStr">
        <is>
          <t>201912</t>
        </is>
      </c>
      <c r="E533" s="3452" t="inlineStr">
        <is>
          <t>0,000000000000</t>
        </is>
      </c>
    </row>
    <row outlineLevel="0" r="534">
      <c r="A534" s="3452" t="inlineStr">
        <is>
          <t>000224000201912171000</t>
        </is>
      </c>
      <c r="B534" s="3452" t="inlineStr">
        <is>
          <t>171000</t>
        </is>
      </c>
      <c r="C534" s="3452" t="inlineStr">
        <is>
          <t>000224000</t>
        </is>
      </c>
      <c r="D534" s="3452" t="inlineStr">
        <is>
          <t>201912</t>
        </is>
      </c>
      <c r="E534" s="3452" t="inlineStr">
        <is>
          <t>0,000000000000</t>
        </is>
      </c>
    </row>
    <row outlineLevel="0" r="535">
      <c r="A535" s="3452" t="inlineStr">
        <is>
          <t>000224000201912173000</t>
        </is>
      </c>
      <c r="B535" s="3452" t="inlineStr">
        <is>
          <t>173000</t>
        </is>
      </c>
      <c r="C535" s="3452" t="inlineStr">
        <is>
          <t>000224000</t>
        </is>
      </c>
      <c r="D535" s="3452" t="inlineStr">
        <is>
          <t>201912</t>
        </is>
      </c>
      <c r="E535" s="3452" t="inlineStr">
        <is>
          <t>0,000000000000</t>
        </is>
      </c>
    </row>
    <row outlineLevel="0" r="536">
      <c r="A536" s="3452" t="inlineStr">
        <is>
          <t>000224000201912173001</t>
        </is>
      </c>
      <c r="B536" s="3452" t="inlineStr">
        <is>
          <t>173001</t>
        </is>
      </c>
      <c r="C536" s="3452" t="inlineStr">
        <is>
          <t>000224000</t>
        </is>
      </c>
      <c r="D536" s="3452" t="inlineStr">
        <is>
          <t>201912</t>
        </is>
      </c>
      <c r="E536" s="3452" t="inlineStr">
        <is>
          <t>0,000000000000</t>
        </is>
      </c>
    </row>
    <row outlineLevel="0" r="537">
      <c r="A537" s="3452" t="inlineStr">
        <is>
          <t>000224000201912179500</t>
        </is>
      </c>
      <c r="B537" s="3452" t="inlineStr">
        <is>
          <t>179500</t>
        </is>
      </c>
      <c r="C537" s="3452" t="inlineStr">
        <is>
          <t>000224000</t>
        </is>
      </c>
      <c r="D537" s="3452" t="inlineStr">
        <is>
          <t>201912</t>
        </is>
      </c>
      <c r="E537" s="3452" t="inlineStr">
        <is>
          <t>0,000000000000</t>
        </is>
      </c>
    </row>
    <row outlineLevel="0" r="538">
      <c r="A538" s="3452" t="inlineStr">
        <is>
          <t>000224000201912179700</t>
        </is>
      </c>
      <c r="B538" s="3452" t="inlineStr">
        <is>
          <t>179700</t>
        </is>
      </c>
      <c r="C538" s="3452" t="inlineStr">
        <is>
          <t>000224000</t>
        </is>
      </c>
      <c r="D538" s="3452" t="inlineStr">
        <is>
          <t>201912</t>
        </is>
      </c>
      <c r="E538" s="3452" t="inlineStr">
        <is>
          <t>0,000000000000</t>
        </is>
      </c>
    </row>
    <row outlineLevel="0" r="539">
      <c r="A539" s="3452" t="inlineStr">
        <is>
          <t>000224000201912179701</t>
        </is>
      </c>
      <c r="B539" s="3452" t="inlineStr">
        <is>
          <t>179701</t>
        </is>
      </c>
      <c r="C539" s="3452" t="inlineStr">
        <is>
          <t>000224000</t>
        </is>
      </c>
      <c r="D539" s="3452" t="inlineStr">
        <is>
          <t>201912</t>
        </is>
      </c>
      <c r="E539" s="3452" t="inlineStr">
        <is>
          <t>0,000000000000</t>
        </is>
      </c>
    </row>
    <row outlineLevel="0" r="540">
      <c r="A540" s="3452" t="inlineStr">
        <is>
          <t>000224000201912179801</t>
        </is>
      </c>
      <c r="B540" s="3452" t="inlineStr">
        <is>
          <t>179801</t>
        </is>
      </c>
      <c r="C540" s="3452" t="inlineStr">
        <is>
          <t>000224000</t>
        </is>
      </c>
      <c r="D540" s="3452" t="inlineStr">
        <is>
          <t>201912</t>
        </is>
      </c>
      <c r="E540" s="3452" t="inlineStr">
        <is>
          <t>0,000000000000</t>
        </is>
      </c>
    </row>
    <row outlineLevel="0" r="541">
      <c r="A541" s="3452" t="inlineStr">
        <is>
          <t>000224000201912180000</t>
        </is>
      </c>
      <c r="B541" s="3452" t="inlineStr">
        <is>
          <t>180000</t>
        </is>
      </c>
      <c r="C541" s="3452" t="inlineStr">
        <is>
          <t>000224000</t>
        </is>
      </c>
      <c r="D541" s="3452" t="inlineStr">
        <is>
          <t>201912</t>
        </is>
      </c>
      <c r="E541" s="3452" t="inlineStr">
        <is>
          <t>0,000000000000</t>
        </is>
      </c>
    </row>
    <row outlineLevel="0" r="542">
      <c r="A542" s="3452" t="inlineStr">
        <is>
          <t>000224000201912180501</t>
        </is>
      </c>
      <c r="B542" s="3452" t="inlineStr">
        <is>
          <t>180501</t>
        </is>
      </c>
      <c r="C542" s="3452" t="inlineStr">
        <is>
          <t>000224000</t>
        </is>
      </c>
      <c r="D542" s="3452" t="inlineStr">
        <is>
          <t>201912</t>
        </is>
      </c>
      <c r="E542" s="3452" t="inlineStr">
        <is>
          <t>0,000000000000</t>
        </is>
      </c>
    </row>
    <row outlineLevel="0" r="543">
      <c r="A543" s="3452" t="inlineStr">
        <is>
          <t>000224000201912181000</t>
        </is>
      </c>
      <c r="B543" s="3452" t="inlineStr">
        <is>
          <t>181000</t>
        </is>
      </c>
      <c r="C543" s="3452" t="inlineStr">
        <is>
          <t>000224000</t>
        </is>
      </c>
      <c r="D543" s="3452" t="inlineStr">
        <is>
          <t>201912</t>
        </is>
      </c>
      <c r="E543" s="3452" t="inlineStr">
        <is>
          <t>0,000000000000</t>
        </is>
      </c>
    </row>
    <row outlineLevel="0" r="544">
      <c r="A544" s="3452" t="inlineStr">
        <is>
          <t>000224000201912189500</t>
        </is>
      </c>
      <c r="B544" s="3452" t="inlineStr">
        <is>
          <t>189500</t>
        </is>
      </c>
      <c r="C544" s="3452" t="inlineStr">
        <is>
          <t>000224000</t>
        </is>
      </c>
      <c r="D544" s="3452" t="inlineStr">
        <is>
          <t>201912</t>
        </is>
      </c>
      <c r="E544" s="3452" t="inlineStr">
        <is>
          <t>0,000000000000</t>
        </is>
      </c>
    </row>
    <row outlineLevel="0" r="545">
      <c r="A545" s="3452" t="inlineStr">
        <is>
          <t>000224000201912189501</t>
        </is>
      </c>
      <c r="B545" s="3452" t="inlineStr">
        <is>
          <t>189501</t>
        </is>
      </c>
      <c r="C545" s="3452" t="inlineStr">
        <is>
          <t>000224000</t>
        </is>
      </c>
      <c r="D545" s="3452" t="inlineStr">
        <is>
          <t>201912</t>
        </is>
      </c>
      <c r="E545" s="3452" t="inlineStr">
        <is>
          <t>0,000000000000</t>
        </is>
      </c>
    </row>
    <row outlineLevel="0" r="546">
      <c r="A546" s="3452" t="inlineStr">
        <is>
          <t>000224000201912189520</t>
        </is>
      </c>
      <c r="B546" s="3452" t="inlineStr">
        <is>
          <t>189520</t>
        </is>
      </c>
      <c r="C546" s="3452" t="inlineStr">
        <is>
          <t>000224000</t>
        </is>
      </c>
      <c r="D546" s="3452" t="inlineStr">
        <is>
          <t>201912</t>
        </is>
      </c>
      <c r="E546" s="3452" t="inlineStr">
        <is>
          <t>0,000000000000</t>
        </is>
      </c>
    </row>
    <row outlineLevel="0" r="547">
      <c r="A547" s="3452" t="inlineStr">
        <is>
          <t>000224000201912189701</t>
        </is>
      </c>
      <c r="B547" s="3452" t="inlineStr">
        <is>
          <t>189701</t>
        </is>
      </c>
      <c r="C547" s="3452" t="inlineStr">
        <is>
          <t>000224000</t>
        </is>
      </c>
      <c r="D547" s="3452" t="inlineStr">
        <is>
          <t>201912</t>
        </is>
      </c>
      <c r="E547" s="3452" t="inlineStr">
        <is>
          <t>0,000000000000</t>
        </is>
      </c>
    </row>
    <row outlineLevel="0" r="548">
      <c r="A548" s="3452" t="inlineStr">
        <is>
          <t>000224000201912189901</t>
        </is>
      </c>
      <c r="B548" s="3452" t="inlineStr">
        <is>
          <t>189901</t>
        </is>
      </c>
      <c r="C548" s="3452" t="inlineStr">
        <is>
          <t>000224000</t>
        </is>
      </c>
      <c r="D548" s="3452" t="inlineStr">
        <is>
          <t>201912</t>
        </is>
      </c>
      <c r="E548" s="3452" t="inlineStr">
        <is>
          <t>0,000000000000</t>
        </is>
      </c>
    </row>
    <row outlineLevel="0" r="549">
      <c r="A549" s="3452" t="inlineStr">
        <is>
          <t>000224000201912190000</t>
        </is>
      </c>
      <c r="B549" s="3452" t="inlineStr">
        <is>
          <t>190000</t>
        </is>
      </c>
      <c r="C549" s="3452" t="inlineStr">
        <is>
          <t>000224000</t>
        </is>
      </c>
      <c r="D549" s="3452" t="inlineStr">
        <is>
          <t>201912</t>
        </is>
      </c>
      <c r="E549" s="3452" t="inlineStr">
        <is>
          <t>0,000000000000</t>
        </is>
      </c>
    </row>
    <row outlineLevel="0" r="550">
      <c r="A550" s="3452" t="inlineStr">
        <is>
          <t>000224000201912190501</t>
        </is>
      </c>
      <c r="B550" s="3452" t="inlineStr">
        <is>
          <t>190501</t>
        </is>
      </c>
      <c r="C550" s="3452" t="inlineStr">
        <is>
          <t>000224000</t>
        </is>
      </c>
      <c r="D550" s="3452" t="inlineStr">
        <is>
          <t>201912</t>
        </is>
      </c>
      <c r="E550" s="3452" t="inlineStr">
        <is>
          <t>0,000000000000</t>
        </is>
      </c>
    </row>
    <row outlineLevel="0" r="551">
      <c r="A551" s="3452" t="inlineStr">
        <is>
          <t>000224000201912191001</t>
        </is>
      </c>
      <c r="B551" s="3452" t="inlineStr">
        <is>
          <t>191001</t>
        </is>
      </c>
      <c r="C551" s="3452" t="inlineStr">
        <is>
          <t>000224000</t>
        </is>
      </c>
      <c r="D551" s="3452" t="inlineStr">
        <is>
          <t>201912</t>
        </is>
      </c>
      <c r="E551" s="3452" t="inlineStr">
        <is>
          <t>0,000000000000</t>
        </is>
      </c>
    </row>
    <row outlineLevel="0" r="552">
      <c r="A552" s="3452" t="inlineStr">
        <is>
          <t>000224000201912199501</t>
        </is>
      </c>
      <c r="B552" s="3452" t="inlineStr">
        <is>
          <t>199501</t>
        </is>
      </c>
      <c r="C552" s="3452" t="inlineStr">
        <is>
          <t>000224000</t>
        </is>
      </c>
      <c r="D552" s="3452" t="inlineStr">
        <is>
          <t>201912</t>
        </is>
      </c>
      <c r="E552" s="3452" t="inlineStr">
        <is>
          <t>0,000000000000</t>
        </is>
      </c>
    </row>
    <row outlineLevel="0" r="553">
      <c r="A553" s="3452" t="inlineStr">
        <is>
          <t>000224000201912210500</t>
        </is>
      </c>
      <c r="B553" s="3452" t="inlineStr">
        <is>
          <t>210500</t>
        </is>
      </c>
      <c r="C553" s="3452" t="inlineStr">
        <is>
          <t>000224000</t>
        </is>
      </c>
      <c r="D553" s="3452" t="inlineStr">
        <is>
          <t>201912</t>
        </is>
      </c>
      <c r="E553" s="3452" t="inlineStr">
        <is>
          <t>100000,000000000000</t>
        </is>
      </c>
    </row>
    <row outlineLevel="0" r="554">
      <c r="A554" s="3452" t="inlineStr">
        <is>
          <t>000224000201912210501</t>
        </is>
      </c>
      <c r="B554" s="3452" t="inlineStr">
        <is>
          <t>210501</t>
        </is>
      </c>
      <c r="C554" s="3452" t="inlineStr">
        <is>
          <t>000224000</t>
        </is>
      </c>
      <c r="D554" s="3452" t="inlineStr">
        <is>
          <t>201912</t>
        </is>
      </c>
      <c r="E554" s="3452" t="inlineStr">
        <is>
          <t>0,000000000000</t>
        </is>
      </c>
    </row>
    <row outlineLevel="0" r="555">
      <c r="A555" s="3452" t="inlineStr">
        <is>
          <t>000224000201912211001</t>
        </is>
      </c>
      <c r="B555" s="3452" t="inlineStr">
        <is>
          <t>211001</t>
        </is>
      </c>
      <c r="C555" s="3452" t="inlineStr">
        <is>
          <t>000224000</t>
        </is>
      </c>
      <c r="D555" s="3452" t="inlineStr">
        <is>
          <t>201912</t>
        </is>
      </c>
      <c r="E555" s="3452" t="inlineStr">
        <is>
          <t>0,000000000000</t>
        </is>
      </c>
    </row>
    <row outlineLevel="0" r="556">
      <c r="A556" s="3452" t="inlineStr">
        <is>
          <t>000224000201912211500</t>
        </is>
      </c>
      <c r="B556" s="3452" t="inlineStr">
        <is>
          <t>211500</t>
        </is>
      </c>
      <c r="C556" s="3452" t="inlineStr">
        <is>
          <t>000224000</t>
        </is>
      </c>
      <c r="D556" s="3452" t="inlineStr">
        <is>
          <t>201912</t>
        </is>
      </c>
      <c r="E556" s="3452" t="inlineStr">
        <is>
          <t>0,000000000000</t>
        </is>
      </c>
    </row>
    <row outlineLevel="0" r="557">
      <c r="A557" s="3452" t="inlineStr">
        <is>
          <t>000224000201912219500</t>
        </is>
      </c>
      <c r="B557" s="3452" t="inlineStr">
        <is>
          <t>219500</t>
        </is>
      </c>
      <c r="C557" s="3452" t="inlineStr">
        <is>
          <t>000224000</t>
        </is>
      </c>
      <c r="D557" s="3452" t="inlineStr">
        <is>
          <t>201912</t>
        </is>
      </c>
      <c r="E557" s="3452" t="inlineStr">
        <is>
          <t>0,000000000000</t>
        </is>
      </c>
    </row>
    <row outlineLevel="0" r="558">
      <c r="A558" s="3452" t="inlineStr">
        <is>
          <t>000224000201912220500</t>
        </is>
      </c>
      <c r="B558" s="3452" t="inlineStr">
        <is>
          <t>220500</t>
        </is>
      </c>
      <c r="C558" s="3452" t="inlineStr">
        <is>
          <t>000224000</t>
        </is>
      </c>
      <c r="D558" s="3452" t="inlineStr">
        <is>
          <t>201912</t>
        </is>
      </c>
      <c r="E558" s="3452" t="inlineStr">
        <is>
          <t>0,000000000000</t>
        </is>
      </c>
    </row>
    <row outlineLevel="0" r="559">
      <c r="A559" s="3452" t="inlineStr">
        <is>
          <t>000224000201912220501</t>
        </is>
      </c>
      <c r="B559" s="3452" t="inlineStr">
        <is>
          <t>220501</t>
        </is>
      </c>
      <c r="C559" s="3452" t="inlineStr">
        <is>
          <t>000224000</t>
        </is>
      </c>
      <c r="D559" s="3452" t="inlineStr">
        <is>
          <t>201912</t>
        </is>
      </c>
      <c r="E559" s="3452" t="inlineStr">
        <is>
          <t>0,000000000000</t>
        </is>
      </c>
    </row>
    <row outlineLevel="0" r="560">
      <c r="A560" s="3452" t="inlineStr">
        <is>
          <t>000224000201912221000</t>
        </is>
      </c>
      <c r="B560" s="3452" t="inlineStr">
        <is>
          <t>221000</t>
        </is>
      </c>
      <c r="C560" s="3452" t="inlineStr">
        <is>
          <t>000224000</t>
        </is>
      </c>
      <c r="D560" s="3452" t="inlineStr">
        <is>
          <t>201912</t>
        </is>
      </c>
      <c r="E560" s="3452" t="inlineStr">
        <is>
          <t>0,000000000000</t>
        </is>
      </c>
    </row>
    <row outlineLevel="0" r="561">
      <c r="A561" s="3452" t="inlineStr">
        <is>
          <t>000224000201912221001</t>
        </is>
      </c>
      <c r="B561" s="3452" t="inlineStr">
        <is>
          <t>221001</t>
        </is>
      </c>
      <c r="C561" s="3452" t="inlineStr">
        <is>
          <t>000224000</t>
        </is>
      </c>
      <c r="D561" s="3452" t="inlineStr">
        <is>
          <t>201912</t>
        </is>
      </c>
      <c r="E561" s="3452" t="inlineStr">
        <is>
          <t>0,000000000000</t>
        </is>
      </c>
    </row>
    <row outlineLevel="0" r="562">
      <c r="A562" s="3452" t="inlineStr">
        <is>
          <t>000224000201912221500</t>
        </is>
      </c>
      <c r="B562" s="3452" t="inlineStr">
        <is>
          <t>221500</t>
        </is>
      </c>
      <c r="C562" s="3452" t="inlineStr">
        <is>
          <t>000224000</t>
        </is>
      </c>
      <c r="D562" s="3452" t="inlineStr">
        <is>
          <t>201912</t>
        </is>
      </c>
      <c r="E562" s="3452" t="inlineStr">
        <is>
          <t>0,000000000000</t>
        </is>
      </c>
    </row>
    <row outlineLevel="0" r="563">
      <c r="A563" s="3452" t="inlineStr">
        <is>
          <t>000224000201912230500</t>
        </is>
      </c>
      <c r="B563" s="3452" t="inlineStr">
        <is>
          <t>230500</t>
        </is>
      </c>
      <c r="C563" s="3452" t="inlineStr">
        <is>
          <t>000224000</t>
        </is>
      </c>
      <c r="D563" s="3452" t="inlineStr">
        <is>
          <t>201912</t>
        </is>
      </c>
      <c r="E563" s="3452" t="inlineStr">
        <is>
          <t>0,000000000000</t>
        </is>
      </c>
    </row>
    <row outlineLevel="0" r="564">
      <c r="A564" s="3452" t="inlineStr">
        <is>
          <t>000224000201912230501</t>
        </is>
      </c>
      <c r="B564" s="3452" t="inlineStr">
        <is>
          <t>230501</t>
        </is>
      </c>
      <c r="C564" s="3452" t="inlineStr">
        <is>
          <t>000224000</t>
        </is>
      </c>
      <c r="D564" s="3452" t="inlineStr">
        <is>
          <t>201912</t>
        </is>
      </c>
      <c r="E564" s="3452" t="inlineStr">
        <is>
          <t>0,000000000000</t>
        </is>
      </c>
    </row>
    <row outlineLevel="0" r="565">
      <c r="A565" s="3452" t="inlineStr">
        <is>
          <t>000224000201912231000</t>
        </is>
      </c>
      <c r="B565" s="3452" t="inlineStr">
        <is>
          <t>231000</t>
        </is>
      </c>
      <c r="C565" s="3452" t="inlineStr">
        <is>
          <t>000224000</t>
        </is>
      </c>
      <c r="D565" s="3452" t="inlineStr">
        <is>
          <t>201912</t>
        </is>
      </c>
      <c r="E565" s="3452" t="inlineStr">
        <is>
          <t>0,000000000000</t>
        </is>
      </c>
    </row>
    <row outlineLevel="0" r="566">
      <c r="A566" s="3452" t="inlineStr">
        <is>
          <t>000224000201912231001</t>
        </is>
      </c>
      <c r="B566" s="3452" t="inlineStr">
        <is>
          <t>231001</t>
        </is>
      </c>
      <c r="C566" s="3452" t="inlineStr">
        <is>
          <t>000224000</t>
        </is>
      </c>
      <c r="D566" s="3452" t="inlineStr">
        <is>
          <t>201912</t>
        </is>
      </c>
      <c r="E566" s="3452" t="inlineStr">
        <is>
          <t>0,000000000000</t>
        </is>
      </c>
    </row>
    <row outlineLevel="0" r="567">
      <c r="A567" s="3452" t="inlineStr">
        <is>
          <t>000224000201912231500</t>
        </is>
      </c>
      <c r="B567" s="3452" t="inlineStr">
        <is>
          <t>231500</t>
        </is>
      </c>
      <c r="C567" s="3452" t="inlineStr">
        <is>
          <t>000224000</t>
        </is>
      </c>
      <c r="D567" s="3452" t="inlineStr">
        <is>
          <t>201912</t>
        </is>
      </c>
      <c r="E567" s="3452" t="inlineStr">
        <is>
          <t>0,000000000000</t>
        </is>
      </c>
    </row>
    <row outlineLevel="0" r="568">
      <c r="A568" s="3452" t="inlineStr">
        <is>
          <t>000224000201912231501</t>
        </is>
      </c>
      <c r="B568" s="3452" t="inlineStr">
        <is>
          <t>231501</t>
        </is>
      </c>
      <c r="C568" s="3452" t="inlineStr">
        <is>
          <t>000224000</t>
        </is>
      </c>
      <c r="D568" s="3452" t="inlineStr">
        <is>
          <t>201912</t>
        </is>
      </c>
      <c r="E568" s="3452" t="inlineStr">
        <is>
          <t>0,000000000000</t>
        </is>
      </c>
    </row>
    <row outlineLevel="0" r="569">
      <c r="A569" s="3452" t="inlineStr">
        <is>
          <t>000224000201912232000</t>
        </is>
      </c>
      <c r="B569" s="3452" t="inlineStr">
        <is>
          <t>232000</t>
        </is>
      </c>
      <c r="C569" s="3452" t="inlineStr">
        <is>
          <t>000224000</t>
        </is>
      </c>
      <c r="D569" s="3452" t="inlineStr">
        <is>
          <t>201912</t>
        </is>
      </c>
      <c r="E569" s="3452" t="inlineStr">
        <is>
          <t>0,000000000000</t>
        </is>
      </c>
    </row>
    <row outlineLevel="0" r="570">
      <c r="A570" s="3452" t="inlineStr">
        <is>
          <t>000224000201912232001</t>
        </is>
      </c>
      <c r="B570" s="3452" t="inlineStr">
        <is>
          <t>232001</t>
        </is>
      </c>
      <c r="C570" s="3452" t="inlineStr">
        <is>
          <t>000224000</t>
        </is>
      </c>
      <c r="D570" s="3452" t="inlineStr">
        <is>
          <t>201912</t>
        </is>
      </c>
      <c r="E570" s="3452" t="inlineStr">
        <is>
          <t>0,000000000000</t>
        </is>
      </c>
    </row>
    <row outlineLevel="0" r="571">
      <c r="A571" s="3452" t="inlineStr">
        <is>
          <t>000224000201912233500</t>
        </is>
      </c>
      <c r="B571" s="3452" t="inlineStr">
        <is>
          <t>233500</t>
        </is>
      </c>
      <c r="C571" s="3452" t="inlineStr">
        <is>
          <t>000224000</t>
        </is>
      </c>
      <c r="D571" s="3452" t="inlineStr">
        <is>
          <t>201912</t>
        </is>
      </c>
      <c r="E571" s="3452" t="inlineStr">
        <is>
          <t>0,000000000000</t>
        </is>
      </c>
    </row>
    <row outlineLevel="0" r="572">
      <c r="A572" s="3452" t="inlineStr">
        <is>
          <t>000224000201912233501</t>
        </is>
      </c>
      <c r="B572" s="3452" t="inlineStr">
        <is>
          <t>233501</t>
        </is>
      </c>
      <c r="C572" s="3452" t="inlineStr">
        <is>
          <t>000224000</t>
        </is>
      </c>
      <c r="D572" s="3452" t="inlineStr">
        <is>
          <t>201912</t>
        </is>
      </c>
      <c r="E572" s="3452" t="inlineStr">
        <is>
          <t>0,000000000000</t>
        </is>
      </c>
    </row>
    <row outlineLevel="0" r="573">
      <c r="A573" s="3452" t="inlineStr">
        <is>
          <t>000224000201912234500</t>
        </is>
      </c>
      <c r="B573" s="3452" t="inlineStr">
        <is>
          <t>234500</t>
        </is>
      </c>
      <c r="C573" s="3452" t="inlineStr">
        <is>
          <t>000224000</t>
        </is>
      </c>
      <c r="D573" s="3452" t="inlineStr">
        <is>
          <t>201912</t>
        </is>
      </c>
      <c r="E573" s="3452" t="inlineStr">
        <is>
          <t>0,000000000000</t>
        </is>
      </c>
    </row>
    <row outlineLevel="0" r="574">
      <c r="A574" s="3452" t="inlineStr">
        <is>
          <t>000224000201912234501</t>
        </is>
      </c>
      <c r="B574" s="3452" t="inlineStr">
        <is>
          <t>234501</t>
        </is>
      </c>
      <c r="C574" s="3452" t="inlineStr">
        <is>
          <t>000224000</t>
        </is>
      </c>
      <c r="D574" s="3452" t="inlineStr">
        <is>
          <t>201912</t>
        </is>
      </c>
      <c r="E574" s="3452" t="inlineStr">
        <is>
          <t>0,000000000000</t>
        </is>
      </c>
    </row>
    <row outlineLevel="0" r="575">
      <c r="A575" s="3452" t="inlineStr">
        <is>
          <t>000224000201912235000</t>
        </is>
      </c>
      <c r="B575" s="3452" t="inlineStr">
        <is>
          <t>235000</t>
        </is>
      </c>
      <c r="C575" s="3452" t="inlineStr">
        <is>
          <t>000224000</t>
        </is>
      </c>
      <c r="D575" s="3452" t="inlineStr">
        <is>
          <t>201912</t>
        </is>
      </c>
      <c r="E575" s="3452" t="inlineStr">
        <is>
          <t>0,000000000000</t>
        </is>
      </c>
    </row>
    <row outlineLevel="0" r="576">
      <c r="A576" s="3452" t="inlineStr">
        <is>
          <t>000224000201912235001</t>
        </is>
      </c>
      <c r="B576" s="3452" t="inlineStr">
        <is>
          <t>235001</t>
        </is>
      </c>
      <c r="C576" s="3452" t="inlineStr">
        <is>
          <t>000224000</t>
        </is>
      </c>
      <c r="D576" s="3452" t="inlineStr">
        <is>
          <t>201912</t>
        </is>
      </c>
      <c r="E576" s="3452" t="inlineStr">
        <is>
          <t>0,000000000000</t>
        </is>
      </c>
    </row>
    <row outlineLevel="0" r="577">
      <c r="A577" s="3452" t="inlineStr">
        <is>
          <t>000224000201912235500</t>
        </is>
      </c>
      <c r="B577" s="3452" t="inlineStr">
        <is>
          <t>235500</t>
        </is>
      </c>
      <c r="C577" s="3452" t="inlineStr">
        <is>
          <t>000224000</t>
        </is>
      </c>
      <c r="D577" s="3452" t="inlineStr">
        <is>
          <t>201912</t>
        </is>
      </c>
      <c r="E577" s="3452" t="inlineStr">
        <is>
          <t>0,000000000000</t>
        </is>
      </c>
    </row>
    <row outlineLevel="0" r="578">
      <c r="A578" s="3452" t="inlineStr">
        <is>
          <t>000224000201912235501</t>
        </is>
      </c>
      <c r="B578" s="3452" t="inlineStr">
        <is>
          <t>235501</t>
        </is>
      </c>
      <c r="C578" s="3452" t="inlineStr">
        <is>
          <t>000224000</t>
        </is>
      </c>
      <c r="D578" s="3452" t="inlineStr">
        <is>
          <t>201912</t>
        </is>
      </c>
      <c r="E578" s="3452" t="inlineStr">
        <is>
          <t>0,000000000000</t>
        </is>
      </c>
    </row>
    <row outlineLevel="0" r="579">
      <c r="A579" s="3452" t="inlineStr">
        <is>
          <t>000224000201912236000</t>
        </is>
      </c>
      <c r="B579" s="3452" t="inlineStr">
        <is>
          <t>236000</t>
        </is>
      </c>
      <c r="C579" s="3452" t="inlineStr">
        <is>
          <t>000224000</t>
        </is>
      </c>
      <c r="D579" s="3452" t="inlineStr">
        <is>
          <t>201912</t>
        </is>
      </c>
      <c r="E579" s="3452" t="inlineStr">
        <is>
          <t>0,000000000000</t>
        </is>
      </c>
    </row>
    <row outlineLevel="0" r="580">
      <c r="A580" s="3452" t="inlineStr">
        <is>
          <t>000224000201912236001</t>
        </is>
      </c>
      <c r="B580" s="3452" t="inlineStr">
        <is>
          <t>236001</t>
        </is>
      </c>
      <c r="C580" s="3452" t="inlineStr">
        <is>
          <t>000224000</t>
        </is>
      </c>
      <c r="D580" s="3452" t="inlineStr">
        <is>
          <t>201912</t>
        </is>
      </c>
      <c r="E580" s="3452" t="inlineStr">
        <is>
          <t>0,000000000000</t>
        </is>
      </c>
    </row>
    <row outlineLevel="0" r="581">
      <c r="A581" s="3452" t="inlineStr">
        <is>
          <t>000224000201912236500</t>
        </is>
      </c>
      <c r="B581" s="3452" t="inlineStr">
        <is>
          <t>236500</t>
        </is>
      </c>
      <c r="C581" s="3452" t="inlineStr">
        <is>
          <t>000224000</t>
        </is>
      </c>
      <c r="D581" s="3452" t="inlineStr">
        <is>
          <t>201912</t>
        </is>
      </c>
      <c r="E581" s="3452" t="inlineStr">
        <is>
          <t>0,000000000000</t>
        </is>
      </c>
    </row>
    <row outlineLevel="0" r="582">
      <c r="A582" s="3452" t="inlineStr">
        <is>
          <t>000224000201912236501</t>
        </is>
      </c>
      <c r="B582" s="3452" t="inlineStr">
        <is>
          <t>236501</t>
        </is>
      </c>
      <c r="C582" s="3452" t="inlineStr">
        <is>
          <t>000224000</t>
        </is>
      </c>
      <c r="D582" s="3452" t="inlineStr">
        <is>
          <t>201912</t>
        </is>
      </c>
      <c r="E582" s="3452" t="inlineStr">
        <is>
          <t>0,000000000000</t>
        </is>
      </c>
    </row>
    <row outlineLevel="0" r="583">
      <c r="A583" s="3452" t="inlineStr">
        <is>
          <t>000224000201912236700</t>
        </is>
      </c>
      <c r="B583" s="3452" t="inlineStr">
        <is>
          <t>236700</t>
        </is>
      </c>
      <c r="C583" s="3452" t="inlineStr">
        <is>
          <t>000224000</t>
        </is>
      </c>
      <c r="D583" s="3452" t="inlineStr">
        <is>
          <t>201912</t>
        </is>
      </c>
      <c r="E583" s="3452" t="inlineStr">
        <is>
          <t>0,000000000000</t>
        </is>
      </c>
    </row>
    <row outlineLevel="0" r="584">
      <c r="A584" s="3452" t="inlineStr">
        <is>
          <t>000224000201912236701</t>
        </is>
      </c>
      <c r="B584" s="3452" t="inlineStr">
        <is>
          <t>236701</t>
        </is>
      </c>
      <c r="C584" s="3452" t="inlineStr">
        <is>
          <t>000224000</t>
        </is>
      </c>
      <c r="D584" s="3452" t="inlineStr">
        <is>
          <t>201912</t>
        </is>
      </c>
      <c r="E584" s="3452" t="inlineStr">
        <is>
          <t>0,000000000000</t>
        </is>
      </c>
    </row>
    <row outlineLevel="0" r="585">
      <c r="A585" s="3452" t="inlineStr">
        <is>
          <t>000224000201912236800</t>
        </is>
      </c>
      <c r="B585" s="3452" t="inlineStr">
        <is>
          <t>236800</t>
        </is>
      </c>
      <c r="C585" s="3452" t="inlineStr">
        <is>
          <t>000224000</t>
        </is>
      </c>
      <c r="D585" s="3452" t="inlineStr">
        <is>
          <t>201912</t>
        </is>
      </c>
      <c r="E585" s="3452" t="inlineStr">
        <is>
          <t>0,000000000000</t>
        </is>
      </c>
    </row>
    <row outlineLevel="0" r="586">
      <c r="A586" s="3452" t="inlineStr">
        <is>
          <t>000224000201912237000</t>
        </is>
      </c>
      <c r="B586" s="3452" t="inlineStr">
        <is>
          <t>237000</t>
        </is>
      </c>
      <c r="C586" s="3452" t="inlineStr">
        <is>
          <t>000224000</t>
        </is>
      </c>
      <c r="D586" s="3452" t="inlineStr">
        <is>
          <t>201912</t>
        </is>
      </c>
      <c r="E586" s="3452" t="inlineStr">
        <is>
          <t>0,000000000000</t>
        </is>
      </c>
    </row>
    <row outlineLevel="0" r="587">
      <c r="A587" s="3452" t="inlineStr">
        <is>
          <t>000224000201912237001</t>
        </is>
      </c>
      <c r="B587" s="3452" t="inlineStr">
        <is>
          <t>237001</t>
        </is>
      </c>
      <c r="C587" s="3452" t="inlineStr">
        <is>
          <t>000224000</t>
        </is>
      </c>
      <c r="D587" s="3452" t="inlineStr">
        <is>
          <t>201912</t>
        </is>
      </c>
      <c r="E587" s="3452" t="inlineStr">
        <is>
          <t>0,000000000000</t>
        </is>
      </c>
    </row>
    <row outlineLevel="0" r="588">
      <c r="A588" s="3452" t="inlineStr">
        <is>
          <t>000224000201912238000</t>
        </is>
      </c>
      <c r="B588" s="3452" t="inlineStr">
        <is>
          <t>238000</t>
        </is>
      </c>
      <c r="C588" s="3452" t="inlineStr">
        <is>
          <t>000224000</t>
        </is>
      </c>
      <c r="D588" s="3452" t="inlineStr">
        <is>
          <t>201912</t>
        </is>
      </c>
      <c r="E588" s="3452" t="inlineStr">
        <is>
          <t>0,000000000000</t>
        </is>
      </c>
    </row>
    <row outlineLevel="0" r="589">
      <c r="A589" s="3452" t="inlineStr">
        <is>
          <t>000224000201912238001</t>
        </is>
      </c>
      <c r="B589" s="3452" t="inlineStr">
        <is>
          <t>238001</t>
        </is>
      </c>
      <c r="C589" s="3452" t="inlineStr">
        <is>
          <t>000224000</t>
        </is>
      </c>
      <c r="D589" s="3452" t="inlineStr">
        <is>
          <t>201912</t>
        </is>
      </c>
      <c r="E589" s="3452" t="inlineStr">
        <is>
          <t>0,000000000000</t>
        </is>
      </c>
    </row>
    <row outlineLevel="0" r="590">
      <c r="A590" s="3452" t="inlineStr">
        <is>
          <t>000224000201912240001</t>
        </is>
      </c>
      <c r="B590" s="3452" t="inlineStr">
        <is>
          <t>240001</t>
        </is>
      </c>
      <c r="C590" s="3452" t="inlineStr">
        <is>
          <t>000224000</t>
        </is>
      </c>
      <c r="D590" s="3452" t="inlineStr">
        <is>
          <t>201912</t>
        </is>
      </c>
      <c r="E590" s="3452" t="inlineStr">
        <is>
          <t>0,000000000000</t>
        </is>
      </c>
    </row>
    <row outlineLevel="0" r="591">
      <c r="A591" s="3452" t="inlineStr">
        <is>
          <t>000224000201912240400</t>
        </is>
      </c>
      <c r="B591" s="3452" t="inlineStr">
        <is>
          <t>240400</t>
        </is>
      </c>
      <c r="C591" s="3452" t="inlineStr">
        <is>
          <t>000224000</t>
        </is>
      </c>
      <c r="D591" s="3452" t="inlineStr">
        <is>
          <t>201912</t>
        </is>
      </c>
      <c r="E591" s="3452" t="inlineStr">
        <is>
          <t>0,000000000000</t>
        </is>
      </c>
    </row>
    <row outlineLevel="0" r="592">
      <c r="A592" s="3452" t="inlineStr">
        <is>
          <t>000224000201912240401</t>
        </is>
      </c>
      <c r="B592" s="3452" t="inlineStr">
        <is>
          <t>240401</t>
        </is>
      </c>
      <c r="C592" s="3452" t="inlineStr">
        <is>
          <t>000224000</t>
        </is>
      </c>
      <c r="D592" s="3452" t="inlineStr">
        <is>
          <t>201912</t>
        </is>
      </c>
      <c r="E592" s="3452" t="inlineStr">
        <is>
          <t>0,000000000000</t>
        </is>
      </c>
    </row>
    <row outlineLevel="0" r="593">
      <c r="A593" s="3452" t="inlineStr">
        <is>
          <t>000224000201912240800</t>
        </is>
      </c>
      <c r="B593" s="3452" t="inlineStr">
        <is>
          <t>240800</t>
        </is>
      </c>
      <c r="C593" s="3452" t="inlineStr">
        <is>
          <t>000224000</t>
        </is>
      </c>
      <c r="D593" s="3452" t="inlineStr">
        <is>
          <t>201912</t>
        </is>
      </c>
      <c r="E593" s="3452" t="inlineStr">
        <is>
          <t>0,000000000000</t>
        </is>
      </c>
    </row>
    <row outlineLevel="0" r="594">
      <c r="A594" s="3452" t="inlineStr">
        <is>
          <t>000224000201912240801</t>
        </is>
      </c>
      <c r="B594" s="3452" t="inlineStr">
        <is>
          <t>240801</t>
        </is>
      </c>
      <c r="C594" s="3452" t="inlineStr">
        <is>
          <t>000224000</t>
        </is>
      </c>
      <c r="D594" s="3452" t="inlineStr">
        <is>
          <t>201912</t>
        </is>
      </c>
      <c r="E594" s="3452" t="inlineStr">
        <is>
          <t>0,000000000000</t>
        </is>
      </c>
    </row>
    <row outlineLevel="0" r="595">
      <c r="A595" s="3452" t="inlineStr">
        <is>
          <t>000224000201912241200</t>
        </is>
      </c>
      <c r="B595" s="3452" t="inlineStr">
        <is>
          <t>241200</t>
        </is>
      </c>
      <c r="C595" s="3452" t="inlineStr">
        <is>
          <t>000224000</t>
        </is>
      </c>
      <c r="D595" s="3452" t="inlineStr">
        <is>
          <t>201912</t>
        </is>
      </c>
      <c r="E595" s="3452" t="inlineStr">
        <is>
          <t>0,000000000000</t>
        </is>
      </c>
    </row>
    <row outlineLevel="0" r="596">
      <c r="A596" s="3452" t="inlineStr">
        <is>
          <t>000224000201912241201</t>
        </is>
      </c>
      <c r="B596" s="3452" t="inlineStr">
        <is>
          <t>241201</t>
        </is>
      </c>
      <c r="C596" s="3452" t="inlineStr">
        <is>
          <t>000224000</t>
        </is>
      </c>
      <c r="D596" s="3452" t="inlineStr">
        <is>
          <t>201912</t>
        </is>
      </c>
      <c r="E596" s="3452" t="inlineStr">
        <is>
          <t>0,000000000000</t>
        </is>
      </c>
    </row>
    <row outlineLevel="0" r="597">
      <c r="A597" s="3452" t="inlineStr">
        <is>
          <t>000224000201912249500</t>
        </is>
      </c>
      <c r="B597" s="3452" t="inlineStr">
        <is>
          <t>249500</t>
        </is>
      </c>
      <c r="C597" s="3452" t="inlineStr">
        <is>
          <t>000224000</t>
        </is>
      </c>
      <c r="D597" s="3452" t="inlineStr">
        <is>
          <t>201912</t>
        </is>
      </c>
      <c r="E597" s="3452" t="inlineStr">
        <is>
          <t>0,000000000000</t>
        </is>
      </c>
    </row>
    <row outlineLevel="0" r="598">
      <c r="A598" s="3452" t="inlineStr">
        <is>
          <t>000224000201912249501</t>
        </is>
      </c>
      <c r="B598" s="3452" t="inlineStr">
        <is>
          <t>249501</t>
        </is>
      </c>
      <c r="C598" s="3452" t="inlineStr">
        <is>
          <t>000224000</t>
        </is>
      </c>
      <c r="D598" s="3452" t="inlineStr">
        <is>
          <t>201912</t>
        </is>
      </c>
      <c r="E598" s="3452" t="inlineStr">
        <is>
          <t>0,000000000000</t>
        </is>
      </c>
    </row>
    <row outlineLevel="0" r="599">
      <c r="A599" s="3452" t="inlineStr">
        <is>
          <t>000224000201912250500</t>
        </is>
      </c>
      <c r="B599" s="3452" t="inlineStr">
        <is>
          <t>250500</t>
        </is>
      </c>
      <c r="C599" s="3452" t="inlineStr">
        <is>
          <t>000224000</t>
        </is>
      </c>
      <c r="D599" s="3452" t="inlineStr">
        <is>
          <t>201912</t>
        </is>
      </c>
      <c r="E599" s="3452" t="inlineStr">
        <is>
          <t>0,000000000000</t>
        </is>
      </c>
    </row>
    <row outlineLevel="0" r="600">
      <c r="A600" s="3452" t="inlineStr">
        <is>
          <t>000224000201912250501</t>
        </is>
      </c>
      <c r="B600" s="3452" t="inlineStr">
        <is>
          <t>250501</t>
        </is>
      </c>
      <c r="C600" s="3452" t="inlineStr">
        <is>
          <t>000224000</t>
        </is>
      </c>
      <c r="D600" s="3452" t="inlineStr">
        <is>
          <t>201912</t>
        </is>
      </c>
      <c r="E600" s="3452" t="inlineStr">
        <is>
          <t>0,000000000000</t>
        </is>
      </c>
    </row>
    <row outlineLevel="0" r="601">
      <c r="A601" s="3452" t="inlineStr">
        <is>
          <t>000224000201912251000</t>
        </is>
      </c>
      <c r="B601" s="3452" t="inlineStr">
        <is>
          <t>251000</t>
        </is>
      </c>
      <c r="C601" s="3452" t="inlineStr">
        <is>
          <t>000224000</t>
        </is>
      </c>
      <c r="D601" s="3452" t="inlineStr">
        <is>
          <t>201912</t>
        </is>
      </c>
      <c r="E601" s="3452" t="inlineStr">
        <is>
          <t>0,000000000000</t>
        </is>
      </c>
    </row>
    <row outlineLevel="0" r="602">
      <c r="A602" s="3452" t="inlineStr">
        <is>
          <t>000224000201912251001</t>
        </is>
      </c>
      <c r="B602" s="3452" t="inlineStr">
        <is>
          <t>251001</t>
        </is>
      </c>
      <c r="C602" s="3452" t="inlineStr">
        <is>
          <t>000224000</t>
        </is>
      </c>
      <c r="D602" s="3452" t="inlineStr">
        <is>
          <t>201912</t>
        </is>
      </c>
      <c r="E602" s="3452" t="inlineStr">
        <is>
          <t>0,000000000000</t>
        </is>
      </c>
    </row>
    <row outlineLevel="0" r="603">
      <c r="A603" s="3452" t="inlineStr">
        <is>
          <t>000224000201912251500</t>
        </is>
      </c>
      <c r="B603" s="3452" t="inlineStr">
        <is>
          <t>251500</t>
        </is>
      </c>
      <c r="C603" s="3452" t="inlineStr">
        <is>
          <t>000224000</t>
        </is>
      </c>
      <c r="D603" s="3452" t="inlineStr">
        <is>
          <t>201912</t>
        </is>
      </c>
      <c r="E603" s="3452" t="inlineStr">
        <is>
          <t>0,000000000000</t>
        </is>
      </c>
    </row>
    <row outlineLevel="0" r="604">
      <c r="A604" s="3452" t="inlineStr">
        <is>
          <t>000224000201912251501</t>
        </is>
      </c>
      <c r="B604" s="3452" t="inlineStr">
        <is>
          <t>251501</t>
        </is>
      </c>
      <c r="C604" s="3452" t="inlineStr">
        <is>
          <t>000224000</t>
        </is>
      </c>
      <c r="D604" s="3452" t="inlineStr">
        <is>
          <t>201912</t>
        </is>
      </c>
      <c r="E604" s="3452" t="inlineStr">
        <is>
          <t>0,000000000000</t>
        </is>
      </c>
    </row>
    <row outlineLevel="0" r="605">
      <c r="A605" s="3452" t="inlineStr">
        <is>
          <t>000224000201912252500</t>
        </is>
      </c>
      <c r="B605" s="3452" t="inlineStr">
        <is>
          <t>252500</t>
        </is>
      </c>
      <c r="C605" s="3452" t="inlineStr">
        <is>
          <t>000224000</t>
        </is>
      </c>
      <c r="D605" s="3452" t="inlineStr">
        <is>
          <t>201912</t>
        </is>
      </c>
      <c r="E605" s="3452" t="inlineStr">
        <is>
          <t>0,000000000000</t>
        </is>
      </c>
    </row>
    <row outlineLevel="0" r="606">
      <c r="A606" s="3452" t="inlineStr">
        <is>
          <t>000224000201912252501</t>
        </is>
      </c>
      <c r="B606" s="3452" t="inlineStr">
        <is>
          <t>252501</t>
        </is>
      </c>
      <c r="C606" s="3452" t="inlineStr">
        <is>
          <t>000224000</t>
        </is>
      </c>
      <c r="D606" s="3452" t="inlineStr">
        <is>
          <t>201912</t>
        </is>
      </c>
      <c r="E606" s="3452" t="inlineStr">
        <is>
          <t>0,000000000000</t>
        </is>
      </c>
    </row>
    <row outlineLevel="0" r="607">
      <c r="A607" s="3452" t="inlineStr">
        <is>
          <t>000224000201912253000</t>
        </is>
      </c>
      <c r="B607" s="3452" t="inlineStr">
        <is>
          <t>253000</t>
        </is>
      </c>
      <c r="C607" s="3452" t="inlineStr">
        <is>
          <t>000224000</t>
        </is>
      </c>
      <c r="D607" s="3452" t="inlineStr">
        <is>
          <t>201912</t>
        </is>
      </c>
      <c r="E607" s="3452" t="inlineStr">
        <is>
          <t>0,000000000000</t>
        </is>
      </c>
    </row>
    <row outlineLevel="0" r="608">
      <c r="A608" s="3452" t="inlineStr">
        <is>
          <t>000224000201912253001</t>
        </is>
      </c>
      <c r="B608" s="3452" t="inlineStr">
        <is>
          <t>253001</t>
        </is>
      </c>
      <c r="C608" s="3452" t="inlineStr">
        <is>
          <t>000224000</t>
        </is>
      </c>
      <c r="D608" s="3452" t="inlineStr">
        <is>
          <t>201912</t>
        </is>
      </c>
      <c r="E608" s="3452" t="inlineStr">
        <is>
          <t>0,000000000000</t>
        </is>
      </c>
    </row>
    <row outlineLevel="0" r="609">
      <c r="A609" s="3452" t="inlineStr">
        <is>
          <t>000224000201912259500</t>
        </is>
      </c>
      <c r="B609" s="3452" t="inlineStr">
        <is>
          <t>259500</t>
        </is>
      </c>
      <c r="C609" s="3452" t="inlineStr">
        <is>
          <t>000224000</t>
        </is>
      </c>
      <c r="D609" s="3452" t="inlineStr">
        <is>
          <t>201912</t>
        </is>
      </c>
      <c r="E609" s="3452" t="inlineStr">
        <is>
          <t>0,000000000000</t>
        </is>
      </c>
    </row>
    <row outlineLevel="0" r="610">
      <c r="A610" s="3452" t="inlineStr">
        <is>
          <t>000224000201912259501</t>
        </is>
      </c>
      <c r="B610" s="3452" t="inlineStr">
        <is>
          <t>259501</t>
        </is>
      </c>
      <c r="C610" s="3452" t="inlineStr">
        <is>
          <t>000224000</t>
        </is>
      </c>
      <c r="D610" s="3452" t="inlineStr">
        <is>
          <t>201912</t>
        </is>
      </c>
      <c r="E610" s="3452" t="inlineStr">
        <is>
          <t>0,000000000000</t>
        </is>
      </c>
    </row>
    <row outlineLevel="0" r="611">
      <c r="A611" s="3452" t="inlineStr">
        <is>
          <t>000224000201912260500</t>
        </is>
      </c>
      <c r="B611" s="3452" t="inlineStr">
        <is>
          <t>260500</t>
        </is>
      </c>
      <c r="C611" s="3452" t="inlineStr">
        <is>
          <t>000224000</t>
        </is>
      </c>
      <c r="D611" s="3452" t="inlineStr">
        <is>
          <t>201912</t>
        </is>
      </c>
      <c r="E611" s="3452" t="inlineStr">
        <is>
          <t>0,000000000000</t>
        </is>
      </c>
    </row>
    <row outlineLevel="0" r="612">
      <c r="A612" s="3452" t="inlineStr">
        <is>
          <t>000224000201912260501</t>
        </is>
      </c>
      <c r="B612" s="3452" t="inlineStr">
        <is>
          <t>260501</t>
        </is>
      </c>
      <c r="C612" s="3452" t="inlineStr">
        <is>
          <t>000224000</t>
        </is>
      </c>
      <c r="D612" s="3452" t="inlineStr">
        <is>
          <t>201912</t>
        </is>
      </c>
      <c r="E612" s="3452" t="inlineStr">
        <is>
          <t>0,000000000000</t>
        </is>
      </c>
    </row>
    <row outlineLevel="0" r="613">
      <c r="A613" s="3452" t="inlineStr">
        <is>
          <t>000224000201912261000</t>
        </is>
      </c>
      <c r="B613" s="3452" t="inlineStr">
        <is>
          <t>261000</t>
        </is>
      </c>
      <c r="C613" s="3452" t="inlineStr">
        <is>
          <t>000224000</t>
        </is>
      </c>
      <c r="D613" s="3452" t="inlineStr">
        <is>
          <t>201912</t>
        </is>
      </c>
      <c r="E613" s="3452" t="inlineStr">
        <is>
          <t>0,000000000000</t>
        </is>
      </c>
    </row>
    <row outlineLevel="0" r="614">
      <c r="A614" s="3452" t="inlineStr">
        <is>
          <t>000224000201912261001</t>
        </is>
      </c>
      <c r="B614" s="3452" t="inlineStr">
        <is>
          <t>261001</t>
        </is>
      </c>
      <c r="C614" s="3452" t="inlineStr">
        <is>
          <t>000224000</t>
        </is>
      </c>
      <c r="D614" s="3452" t="inlineStr">
        <is>
          <t>201912</t>
        </is>
      </c>
      <c r="E614" s="3452" t="inlineStr">
        <is>
          <t>0,000000000000</t>
        </is>
      </c>
    </row>
    <row outlineLevel="0" r="615">
      <c r="A615" s="3452" t="inlineStr">
        <is>
          <t>000224000201912261500</t>
        </is>
      </c>
      <c r="B615" s="3452" t="inlineStr">
        <is>
          <t>261500</t>
        </is>
      </c>
      <c r="C615" s="3452" t="inlineStr">
        <is>
          <t>000224000</t>
        </is>
      </c>
      <c r="D615" s="3452" t="inlineStr">
        <is>
          <t>201912</t>
        </is>
      </c>
      <c r="E615" s="3452" t="inlineStr">
        <is>
          <t>0,000000000000</t>
        </is>
      </c>
    </row>
    <row outlineLevel="0" r="616">
      <c r="A616" s="3452" t="inlineStr">
        <is>
          <t>000224000201912261501</t>
        </is>
      </c>
      <c r="B616" s="3452" t="inlineStr">
        <is>
          <t>261501</t>
        </is>
      </c>
      <c r="C616" s="3452" t="inlineStr">
        <is>
          <t>000224000</t>
        </is>
      </c>
      <c r="D616" s="3452" t="inlineStr">
        <is>
          <t>201912</t>
        </is>
      </c>
      <c r="E616" s="3452" t="inlineStr">
        <is>
          <t>0,000000000000</t>
        </is>
      </c>
    </row>
    <row outlineLevel="0" r="617">
      <c r="A617" s="3452" t="inlineStr">
        <is>
          <t>000224000201912262000</t>
        </is>
      </c>
      <c r="B617" s="3452" t="inlineStr">
        <is>
          <t>262000</t>
        </is>
      </c>
      <c r="C617" s="3452" t="inlineStr">
        <is>
          <t>000224000</t>
        </is>
      </c>
      <c r="D617" s="3452" t="inlineStr">
        <is>
          <t>201912</t>
        </is>
      </c>
      <c r="E617" s="3452" t="inlineStr">
        <is>
          <t>0,000000000000</t>
        </is>
      </c>
    </row>
    <row outlineLevel="0" r="618">
      <c r="A618" s="3452" t="inlineStr">
        <is>
          <t>000224000201912262001</t>
        </is>
      </c>
      <c r="B618" s="3452" t="inlineStr">
        <is>
          <t>262001</t>
        </is>
      </c>
      <c r="C618" s="3452" t="inlineStr">
        <is>
          <t>000224000</t>
        </is>
      </c>
      <c r="D618" s="3452" t="inlineStr">
        <is>
          <t>201912</t>
        </is>
      </c>
      <c r="E618" s="3452" t="inlineStr">
        <is>
          <t>0,000000000000</t>
        </is>
      </c>
    </row>
    <row outlineLevel="0" r="619">
      <c r="A619" s="3452" t="inlineStr">
        <is>
          <t>000224000201912262500</t>
        </is>
      </c>
      <c r="B619" s="3452" t="inlineStr">
        <is>
          <t>262500</t>
        </is>
      </c>
      <c r="C619" s="3452" t="inlineStr">
        <is>
          <t>000224000</t>
        </is>
      </c>
      <c r="D619" s="3452" t="inlineStr">
        <is>
          <t>201912</t>
        </is>
      </c>
      <c r="E619" s="3452" t="inlineStr">
        <is>
          <t>0,000000000000</t>
        </is>
      </c>
    </row>
    <row outlineLevel="0" r="620">
      <c r="A620" s="3452" t="inlineStr">
        <is>
          <t>000224000201912262501</t>
        </is>
      </c>
      <c r="B620" s="3452" t="inlineStr">
        <is>
          <t>262501</t>
        </is>
      </c>
      <c r="C620" s="3452" t="inlineStr">
        <is>
          <t>000224000</t>
        </is>
      </c>
      <c r="D620" s="3452" t="inlineStr">
        <is>
          <t>201912</t>
        </is>
      </c>
      <c r="E620" s="3452" t="inlineStr">
        <is>
          <t>0,000000000000</t>
        </is>
      </c>
    </row>
    <row outlineLevel="0" r="621">
      <c r="A621" s="3452" t="inlineStr">
        <is>
          <t>000224000201912263000</t>
        </is>
      </c>
      <c r="B621" s="3452" t="inlineStr">
        <is>
          <t>263000</t>
        </is>
      </c>
      <c r="C621" s="3452" t="inlineStr">
        <is>
          <t>000224000</t>
        </is>
      </c>
      <c r="D621" s="3452" t="inlineStr">
        <is>
          <t>201912</t>
        </is>
      </c>
      <c r="E621" s="3452" t="inlineStr">
        <is>
          <t>0,000000000000</t>
        </is>
      </c>
    </row>
    <row outlineLevel="0" r="622">
      <c r="A622" s="3452" t="inlineStr">
        <is>
          <t>000224000201912263001</t>
        </is>
      </c>
      <c r="B622" s="3452" t="inlineStr">
        <is>
          <t>263001</t>
        </is>
      </c>
      <c r="C622" s="3452" t="inlineStr">
        <is>
          <t>000224000</t>
        </is>
      </c>
      <c r="D622" s="3452" t="inlineStr">
        <is>
          <t>201912</t>
        </is>
      </c>
      <c r="E622" s="3452" t="inlineStr">
        <is>
          <t>0,000000000000</t>
        </is>
      </c>
    </row>
    <row outlineLevel="0" r="623">
      <c r="A623" s="3452" t="inlineStr">
        <is>
          <t>000224000201912263500</t>
        </is>
      </c>
      <c r="B623" s="3452" t="inlineStr">
        <is>
          <t>263500</t>
        </is>
      </c>
      <c r="C623" s="3452" t="inlineStr">
        <is>
          <t>000224000</t>
        </is>
      </c>
      <c r="D623" s="3452" t="inlineStr">
        <is>
          <t>201912</t>
        </is>
      </c>
      <c r="E623" s="3452" t="inlineStr">
        <is>
          <t>0,000000000000</t>
        </is>
      </c>
    </row>
    <row outlineLevel="0" r="624">
      <c r="A624" s="3452" t="inlineStr">
        <is>
          <t>000224000201912263501</t>
        </is>
      </c>
      <c r="B624" s="3452" t="inlineStr">
        <is>
          <t>263501</t>
        </is>
      </c>
      <c r="C624" s="3452" t="inlineStr">
        <is>
          <t>000224000</t>
        </is>
      </c>
      <c r="D624" s="3452" t="inlineStr">
        <is>
          <t>201912</t>
        </is>
      </c>
      <c r="E624" s="3452" t="inlineStr">
        <is>
          <t>0,000000000000</t>
        </is>
      </c>
    </row>
    <row outlineLevel="0" r="625">
      <c r="A625" s="3452" t="inlineStr">
        <is>
          <t>000224000201912264000</t>
        </is>
      </c>
      <c r="B625" s="3452" t="inlineStr">
        <is>
          <t>264000</t>
        </is>
      </c>
      <c r="C625" s="3452" t="inlineStr">
        <is>
          <t>000224000</t>
        </is>
      </c>
      <c r="D625" s="3452" t="inlineStr">
        <is>
          <t>201912</t>
        </is>
      </c>
      <c r="E625" s="3452" t="inlineStr">
        <is>
          <t>0,000000000000</t>
        </is>
      </c>
    </row>
    <row outlineLevel="0" r="626">
      <c r="A626" s="3452" t="inlineStr">
        <is>
          <t>000224000201912264001</t>
        </is>
      </c>
      <c r="B626" s="3452" t="inlineStr">
        <is>
          <t>264001</t>
        </is>
      </c>
      <c r="C626" s="3452" t="inlineStr">
        <is>
          <t>000224000</t>
        </is>
      </c>
      <c r="D626" s="3452" t="inlineStr">
        <is>
          <t>201912</t>
        </is>
      </c>
      <c r="E626" s="3452" t="inlineStr">
        <is>
          <t>0,000000000000</t>
        </is>
      </c>
    </row>
    <row outlineLevel="0" r="627">
      <c r="A627" s="3452" t="inlineStr">
        <is>
          <t>000224000201912269500</t>
        </is>
      </c>
      <c r="B627" s="3452" t="inlineStr">
        <is>
          <t>269500</t>
        </is>
      </c>
      <c r="C627" s="3452" t="inlineStr">
        <is>
          <t>000224000</t>
        </is>
      </c>
      <c r="D627" s="3452" t="inlineStr">
        <is>
          <t>201912</t>
        </is>
      </c>
      <c r="E627" s="3452" t="inlineStr">
        <is>
          <t>0,000000000000</t>
        </is>
      </c>
    </row>
    <row outlineLevel="0" r="628">
      <c r="A628" s="3452" t="inlineStr">
        <is>
          <t>000224000201912269501</t>
        </is>
      </c>
      <c r="B628" s="3452" t="inlineStr">
        <is>
          <t>269501</t>
        </is>
      </c>
      <c r="C628" s="3452" t="inlineStr">
        <is>
          <t>000224000</t>
        </is>
      </c>
      <c r="D628" s="3452" t="inlineStr">
        <is>
          <t>201912</t>
        </is>
      </c>
      <c r="E628" s="3452" t="inlineStr">
        <is>
          <t>0,000000000000</t>
        </is>
      </c>
    </row>
    <row outlineLevel="0" r="629">
      <c r="A629" s="3452" t="inlineStr">
        <is>
          <t>000224000201912270500</t>
        </is>
      </c>
      <c r="B629" s="3452" t="inlineStr">
        <is>
          <t>270500</t>
        </is>
      </c>
      <c r="C629" s="3452" t="inlineStr">
        <is>
          <t>000224000</t>
        </is>
      </c>
      <c r="D629" s="3452" t="inlineStr">
        <is>
          <t>201912</t>
        </is>
      </c>
      <c r="E629" s="3452" t="inlineStr">
        <is>
          <t>0,000000000000</t>
        </is>
      </c>
    </row>
    <row outlineLevel="0" r="630">
      <c r="A630" s="3452" t="inlineStr">
        <is>
          <t>000224000201912270501</t>
        </is>
      </c>
      <c r="B630" s="3452" t="inlineStr">
        <is>
          <t>270501</t>
        </is>
      </c>
      <c r="C630" s="3452" t="inlineStr">
        <is>
          <t>000224000</t>
        </is>
      </c>
      <c r="D630" s="3452" t="inlineStr">
        <is>
          <t>201912</t>
        </is>
      </c>
      <c r="E630" s="3452" t="inlineStr">
        <is>
          <t>0,000000000000</t>
        </is>
      </c>
    </row>
    <row outlineLevel="0" r="631">
      <c r="A631" s="3452" t="inlineStr">
        <is>
          <t>000224000201912271000</t>
        </is>
      </c>
      <c r="B631" s="3452" t="inlineStr">
        <is>
          <t>271000</t>
        </is>
      </c>
      <c r="C631" s="3452" t="inlineStr">
        <is>
          <t>000224000</t>
        </is>
      </c>
      <c r="D631" s="3452" t="inlineStr">
        <is>
          <t>201912</t>
        </is>
      </c>
      <c r="E631" s="3452" t="inlineStr">
        <is>
          <t>0,000000000000</t>
        </is>
      </c>
    </row>
    <row outlineLevel="0" r="632">
      <c r="A632" s="3452" t="inlineStr">
        <is>
          <t>000224000201912271001</t>
        </is>
      </c>
      <c r="B632" s="3452" t="inlineStr">
        <is>
          <t>271001</t>
        </is>
      </c>
      <c r="C632" s="3452" t="inlineStr">
        <is>
          <t>000224000</t>
        </is>
      </c>
      <c r="D632" s="3452" t="inlineStr">
        <is>
          <t>201912</t>
        </is>
      </c>
      <c r="E632" s="3452" t="inlineStr">
        <is>
          <t>0,000000000000</t>
        </is>
      </c>
    </row>
    <row outlineLevel="0" r="633">
      <c r="A633" s="3452" t="inlineStr">
        <is>
          <t>000224000201912272001</t>
        </is>
      </c>
      <c r="B633" s="3452" t="inlineStr">
        <is>
          <t>272001</t>
        </is>
      </c>
      <c r="C633" s="3452" t="inlineStr">
        <is>
          <t>000224000</t>
        </is>
      </c>
      <c r="D633" s="3452" t="inlineStr">
        <is>
          <t>201912</t>
        </is>
      </c>
      <c r="E633" s="3452" t="inlineStr">
        <is>
          <t>0,000000000000</t>
        </is>
      </c>
    </row>
    <row outlineLevel="0" r="634">
      <c r="A634" s="3452" t="inlineStr">
        <is>
          <t>000224000201912272500</t>
        </is>
      </c>
      <c r="B634" s="3452" t="inlineStr">
        <is>
          <t>272500</t>
        </is>
      </c>
      <c r="C634" s="3452" t="inlineStr">
        <is>
          <t>000224000</t>
        </is>
      </c>
      <c r="D634" s="3452" t="inlineStr">
        <is>
          <t>201912</t>
        </is>
      </c>
      <c r="E634" s="3452" t="inlineStr">
        <is>
          <t>0,000000000000</t>
        </is>
      </c>
    </row>
    <row outlineLevel="0" r="635">
      <c r="A635" s="3452" t="inlineStr">
        <is>
          <t>000224000201912272501</t>
        </is>
      </c>
      <c r="B635" s="3452" t="inlineStr">
        <is>
          <t>272501</t>
        </is>
      </c>
      <c r="C635" s="3452" t="inlineStr">
        <is>
          <t>000224000</t>
        </is>
      </c>
      <c r="D635" s="3452" t="inlineStr">
        <is>
          <t>201912</t>
        </is>
      </c>
      <c r="E635" s="3452" t="inlineStr">
        <is>
          <t>0,000000000000</t>
        </is>
      </c>
    </row>
    <row outlineLevel="0" r="636">
      <c r="A636" s="3452" t="inlineStr">
        <is>
          <t>000224000201912279500</t>
        </is>
      </c>
      <c r="B636" s="3452" t="inlineStr">
        <is>
          <t>279500</t>
        </is>
      </c>
      <c r="C636" s="3452" t="inlineStr">
        <is>
          <t>000224000</t>
        </is>
      </c>
      <c r="D636" s="3452" t="inlineStr">
        <is>
          <t>201912</t>
        </is>
      </c>
      <c r="E636" s="3452" t="inlineStr">
        <is>
          <t>0,000000000000</t>
        </is>
      </c>
    </row>
    <row outlineLevel="0" r="637">
      <c r="A637" s="3452" t="inlineStr">
        <is>
          <t>000224000201912279501</t>
        </is>
      </c>
      <c r="B637" s="3452" t="inlineStr">
        <is>
          <t>279501</t>
        </is>
      </c>
      <c r="C637" s="3452" t="inlineStr">
        <is>
          <t>000224000</t>
        </is>
      </c>
      <c r="D637" s="3452" t="inlineStr">
        <is>
          <t>201912</t>
        </is>
      </c>
      <c r="E637" s="3452" t="inlineStr">
        <is>
          <t>0,000000000000</t>
        </is>
      </c>
    </row>
    <row outlineLevel="0" r="638">
      <c r="A638" s="3452" t="inlineStr">
        <is>
          <t>000224000201912281000</t>
        </is>
      </c>
      <c r="B638" s="3452" t="inlineStr">
        <is>
          <t>281000</t>
        </is>
      </c>
      <c r="C638" s="3452" t="inlineStr">
        <is>
          <t>000224000</t>
        </is>
      </c>
      <c r="D638" s="3452" t="inlineStr">
        <is>
          <t>201912</t>
        </is>
      </c>
      <c r="E638" s="3452" t="inlineStr">
        <is>
          <t>0,000000000000</t>
        </is>
      </c>
    </row>
    <row outlineLevel="0" r="639">
      <c r="A639" s="3452" t="inlineStr">
        <is>
          <t>000224000201912282000</t>
        </is>
      </c>
      <c r="B639" s="3452" t="inlineStr">
        <is>
          <t>282000</t>
        </is>
      </c>
      <c r="C639" s="3452" t="inlineStr">
        <is>
          <t>000224000</t>
        </is>
      </c>
      <c r="D639" s="3452" t="inlineStr">
        <is>
          <t>201912</t>
        </is>
      </c>
      <c r="E639" s="3452" t="inlineStr">
        <is>
          <t>0,000000000000</t>
        </is>
      </c>
    </row>
    <row outlineLevel="0" r="640">
      <c r="A640" s="3452" t="inlineStr">
        <is>
          <t>000224000201912282500</t>
        </is>
      </c>
      <c r="B640" s="3452" t="inlineStr">
        <is>
          <t>282500</t>
        </is>
      </c>
      <c r="C640" s="3452" t="inlineStr">
        <is>
          <t>000224000</t>
        </is>
      </c>
      <c r="D640" s="3452" t="inlineStr">
        <is>
          <t>201912</t>
        </is>
      </c>
      <c r="E640" s="3452" t="inlineStr">
        <is>
          <t>0,000000000000</t>
        </is>
      </c>
    </row>
    <row outlineLevel="0" r="641">
      <c r="A641" s="3452" t="inlineStr">
        <is>
          <t>000224000201912284000</t>
        </is>
      </c>
      <c r="B641" s="3452" t="inlineStr">
        <is>
          <t>284000</t>
        </is>
      </c>
      <c r="C641" s="3452" t="inlineStr">
        <is>
          <t>000224000</t>
        </is>
      </c>
      <c r="D641" s="3452" t="inlineStr">
        <is>
          <t>201912</t>
        </is>
      </c>
      <c r="E641" s="3452" t="inlineStr">
        <is>
          <t>0,000000000000</t>
        </is>
      </c>
    </row>
    <row outlineLevel="0" r="642">
      <c r="A642" s="3452" t="inlineStr">
        <is>
          <t>000224000201912289500</t>
        </is>
      </c>
      <c r="B642" s="3452" t="inlineStr">
        <is>
          <t>289500</t>
        </is>
      </c>
      <c r="C642" s="3452" t="inlineStr">
        <is>
          <t>000224000</t>
        </is>
      </c>
      <c r="D642" s="3452" t="inlineStr">
        <is>
          <t>201912</t>
        </is>
      </c>
      <c r="E642" s="3452" t="inlineStr">
        <is>
          <t>0,000000000000</t>
        </is>
      </c>
    </row>
    <row outlineLevel="0" r="643">
      <c r="A643" s="3452" t="inlineStr">
        <is>
          <t>000224000201912290501</t>
        </is>
      </c>
      <c r="B643" s="3452" t="inlineStr">
        <is>
          <t>290501</t>
        </is>
      </c>
      <c r="C643" s="3452" t="inlineStr">
        <is>
          <t>000224000</t>
        </is>
      </c>
      <c r="D643" s="3452" t="inlineStr">
        <is>
          <t>201912</t>
        </is>
      </c>
      <c r="E643" s="3452" t="inlineStr">
        <is>
          <t>0,000000000000</t>
        </is>
      </c>
    </row>
    <row outlineLevel="0" r="644">
      <c r="A644" s="3452" t="inlineStr">
        <is>
          <t>000224000201912291000</t>
        </is>
      </c>
      <c r="B644" s="3452" t="inlineStr">
        <is>
          <t>291000</t>
        </is>
      </c>
      <c r="C644" s="3452" t="inlineStr">
        <is>
          <t>000224000</t>
        </is>
      </c>
      <c r="D644" s="3452" t="inlineStr">
        <is>
          <t>201912</t>
        </is>
      </c>
      <c r="E644" s="3452" t="inlineStr">
        <is>
          <t>0,000000000000</t>
        </is>
      </c>
    </row>
    <row outlineLevel="0" r="645">
      <c r="A645" s="3452" t="inlineStr">
        <is>
          <t>000224000201912291501</t>
        </is>
      </c>
      <c r="B645" s="3452" t="inlineStr">
        <is>
          <t>291501</t>
        </is>
      </c>
      <c r="C645" s="3452" t="inlineStr">
        <is>
          <t>000224000</t>
        </is>
      </c>
      <c r="D645" s="3452" t="inlineStr">
        <is>
          <t>201912</t>
        </is>
      </c>
      <c r="E645" s="3452" t="inlineStr">
        <is>
          <t>0,000000000000</t>
        </is>
      </c>
    </row>
    <row outlineLevel="0" r="646">
      <c r="A646" s="3452" t="inlineStr">
        <is>
          <t>000224000201912291991</t>
        </is>
      </c>
      <c r="B646" s="3452" t="inlineStr">
        <is>
          <t>291991</t>
        </is>
      </c>
      <c r="C646" s="3452" t="inlineStr">
        <is>
          <t>000224000</t>
        </is>
      </c>
      <c r="D646" s="3452" t="inlineStr">
        <is>
          <t>201912</t>
        </is>
      </c>
      <c r="E646" s="3452" t="inlineStr">
        <is>
          <t>0,000000000000</t>
        </is>
      </c>
    </row>
    <row outlineLevel="0" r="647">
      <c r="A647" s="3452" t="inlineStr">
        <is>
          <t>000224000201912292000</t>
        </is>
      </c>
      <c r="B647" s="3452" t="inlineStr">
        <is>
          <t>292000</t>
        </is>
      </c>
      <c r="C647" s="3452" t="inlineStr">
        <is>
          <t>000224000</t>
        </is>
      </c>
      <c r="D647" s="3452" t="inlineStr">
        <is>
          <t>201912</t>
        </is>
      </c>
      <c r="E647" s="3452" t="inlineStr">
        <is>
          <t>0,000000000000</t>
        </is>
      </c>
    </row>
    <row outlineLevel="0" r="648">
      <c r="A648" s="3452" t="inlineStr">
        <is>
          <t>000224000201912292001</t>
        </is>
      </c>
      <c r="B648" s="3452" t="inlineStr">
        <is>
          <t>292001</t>
        </is>
      </c>
      <c r="C648" s="3452" t="inlineStr">
        <is>
          <t>000224000</t>
        </is>
      </c>
      <c r="D648" s="3452" t="inlineStr">
        <is>
          <t>201912</t>
        </is>
      </c>
      <c r="E648" s="3452" t="inlineStr">
        <is>
          <t>0,000000000000</t>
        </is>
      </c>
    </row>
    <row outlineLevel="0" r="649">
      <c r="A649" s="3452" t="inlineStr">
        <is>
          <t>000224000201912293000</t>
        </is>
      </c>
      <c r="B649" s="3452" t="inlineStr">
        <is>
          <t>293000</t>
        </is>
      </c>
      <c r="C649" s="3452" t="inlineStr">
        <is>
          <t>000224000</t>
        </is>
      </c>
      <c r="D649" s="3452" t="inlineStr">
        <is>
          <t>201912</t>
        </is>
      </c>
      <c r="E649" s="3452" t="inlineStr">
        <is>
          <t>0,000000000000</t>
        </is>
      </c>
    </row>
    <row outlineLevel="0" r="650">
      <c r="A650" s="3452" t="inlineStr">
        <is>
          <t>000224000201912294000</t>
        </is>
      </c>
      <c r="B650" s="3452" t="inlineStr">
        <is>
          <t>294000</t>
        </is>
      </c>
      <c r="C650" s="3452" t="inlineStr">
        <is>
          <t>000224000</t>
        </is>
      </c>
      <c r="D650" s="3452" t="inlineStr">
        <is>
          <t>201912</t>
        </is>
      </c>
      <c r="E650" s="3452" t="inlineStr">
        <is>
          <t>0,000000000000</t>
        </is>
      </c>
    </row>
    <row outlineLevel="0" r="651">
      <c r="A651" s="3452" t="inlineStr">
        <is>
          <t>000224000201912299501</t>
        </is>
      </c>
      <c r="B651" s="3452" t="inlineStr">
        <is>
          <t>299501</t>
        </is>
      </c>
      <c r="C651" s="3452" t="inlineStr">
        <is>
          <t>000224000</t>
        </is>
      </c>
      <c r="D651" s="3452" t="inlineStr">
        <is>
          <t>201912</t>
        </is>
      </c>
      <c r="E651" s="3452" t="inlineStr">
        <is>
          <t>0,000000000000</t>
        </is>
      </c>
    </row>
    <row outlineLevel="0" r="652">
      <c r="A652" s="3452" t="inlineStr">
        <is>
          <t>000224000201912310500</t>
        </is>
      </c>
      <c r="B652" s="3452" t="inlineStr">
        <is>
          <t>310500</t>
        </is>
      </c>
      <c r="C652" s="3452" t="inlineStr">
        <is>
          <t>000224000</t>
        </is>
      </c>
      <c r="D652" s="3452" t="inlineStr">
        <is>
          <t>201912</t>
        </is>
      </c>
      <c r="E652" s="3452" t="inlineStr">
        <is>
          <t>0,000000000000</t>
        </is>
      </c>
    </row>
    <row outlineLevel="0" r="653">
      <c r="A653" s="3452" t="inlineStr">
        <is>
          <t>000224000201912311500</t>
        </is>
      </c>
      <c r="B653" s="3452" t="inlineStr">
        <is>
          <t>311500</t>
        </is>
      </c>
      <c r="C653" s="3452" t="inlineStr">
        <is>
          <t>000224000</t>
        </is>
      </c>
      <c r="D653" s="3452" t="inlineStr">
        <is>
          <t>201912</t>
        </is>
      </c>
      <c r="E653" s="3452" t="inlineStr">
        <is>
          <t>100000,000000000000</t>
        </is>
      </c>
    </row>
    <row outlineLevel="0" r="654">
      <c r="A654" s="3452" t="inlineStr">
        <is>
          <t>000224000201912312000</t>
        </is>
      </c>
      <c r="B654" s="3452" t="inlineStr">
        <is>
          <t>312000</t>
        </is>
      </c>
      <c r="C654" s="3452" t="inlineStr">
        <is>
          <t>000224000</t>
        </is>
      </c>
      <c r="D654" s="3452" t="inlineStr">
        <is>
          <t>201912</t>
        </is>
      </c>
      <c r="E654" s="3452" t="inlineStr">
        <is>
          <t>0,000000000000</t>
        </is>
      </c>
    </row>
    <row outlineLevel="0" r="655">
      <c r="A655" s="3452" t="inlineStr">
        <is>
          <t>000224000201912312500</t>
        </is>
      </c>
      <c r="B655" s="3452" t="inlineStr">
        <is>
          <t>312500</t>
        </is>
      </c>
      <c r="C655" s="3452" t="inlineStr">
        <is>
          <t>000224000</t>
        </is>
      </c>
      <c r="D655" s="3452" t="inlineStr">
        <is>
          <t>201912</t>
        </is>
      </c>
      <c r="E655" s="3452" t="inlineStr">
        <is>
          <t>0,000000000000</t>
        </is>
      </c>
    </row>
    <row outlineLevel="0" r="656">
      <c r="A656" s="3452" t="inlineStr">
        <is>
          <t>000224000201912313000</t>
        </is>
      </c>
      <c r="B656" s="3452" t="inlineStr">
        <is>
          <t>313000</t>
        </is>
      </c>
      <c r="C656" s="3452" t="inlineStr">
        <is>
          <t>000224000</t>
        </is>
      </c>
      <c r="D656" s="3452" t="inlineStr">
        <is>
          <t>201912</t>
        </is>
      </c>
      <c r="E656" s="3452" t="inlineStr">
        <is>
          <t>0,000000000000</t>
        </is>
      </c>
    </row>
    <row outlineLevel="0" r="657">
      <c r="A657" s="3452" t="inlineStr">
        <is>
          <t>000224000201912313500</t>
        </is>
      </c>
      <c r="B657" s="3452" t="inlineStr">
        <is>
          <t>313500</t>
        </is>
      </c>
      <c r="C657" s="3452" t="inlineStr">
        <is>
          <t>000224000</t>
        </is>
      </c>
      <c r="D657" s="3452" t="inlineStr">
        <is>
          <t>201912</t>
        </is>
      </c>
      <c r="E657" s="3452" t="inlineStr">
        <is>
          <t>0,000000000000</t>
        </is>
      </c>
    </row>
    <row outlineLevel="0" r="658">
      <c r="A658" s="3452" t="inlineStr">
        <is>
          <t>000224000201912314000</t>
        </is>
      </c>
      <c r="B658" s="3452" t="inlineStr">
        <is>
          <t>314000</t>
        </is>
      </c>
      <c r="C658" s="3452" t="inlineStr">
        <is>
          <t>000224000</t>
        </is>
      </c>
      <c r="D658" s="3452" t="inlineStr">
        <is>
          <t>201912</t>
        </is>
      </c>
      <c r="E658" s="3452" t="inlineStr">
        <is>
          <t>0,000000000000</t>
        </is>
      </c>
    </row>
    <row outlineLevel="0" r="659">
      <c r="A659" s="3452" t="inlineStr">
        <is>
          <t>000224000201912320500</t>
        </is>
      </c>
      <c r="B659" s="3452" t="inlineStr">
        <is>
          <t>320500</t>
        </is>
      </c>
      <c r="C659" s="3452" t="inlineStr">
        <is>
          <t>000224000</t>
        </is>
      </c>
      <c r="D659" s="3452" t="inlineStr">
        <is>
          <t>201912</t>
        </is>
      </c>
      <c r="E659" s="3452" t="inlineStr">
        <is>
          <t>0,000000000000</t>
        </is>
      </c>
    </row>
    <row outlineLevel="0" r="660">
      <c r="A660" s="3452" t="inlineStr">
        <is>
          <t>000224000201912321000</t>
        </is>
      </c>
      <c r="B660" s="3452" t="inlineStr">
        <is>
          <t>321000</t>
        </is>
      </c>
      <c r="C660" s="3452" t="inlineStr">
        <is>
          <t>000224000</t>
        </is>
      </c>
      <c r="D660" s="3452" t="inlineStr">
        <is>
          <t>201912</t>
        </is>
      </c>
      <c r="E660" s="3452" t="inlineStr">
        <is>
          <t>0,000000000000</t>
        </is>
      </c>
    </row>
    <row outlineLevel="0" r="661">
      <c r="A661" s="3452" t="inlineStr">
        <is>
          <t>000224000201912321500</t>
        </is>
      </c>
      <c r="B661" s="3452" t="inlineStr">
        <is>
          <t>321500</t>
        </is>
      </c>
      <c r="C661" s="3452" t="inlineStr">
        <is>
          <t>000224000</t>
        </is>
      </c>
      <c r="D661" s="3452" t="inlineStr">
        <is>
          <t>201912</t>
        </is>
      </c>
      <c r="E661" s="3452" t="inlineStr">
        <is>
          <t>0,000000000000</t>
        </is>
      </c>
    </row>
    <row outlineLevel="0" r="662">
      <c r="A662" s="3452" t="inlineStr">
        <is>
          <t>000224000201912322000</t>
        </is>
      </c>
      <c r="B662" s="3452" t="inlineStr">
        <is>
          <t>322000</t>
        </is>
      </c>
      <c r="C662" s="3452" t="inlineStr">
        <is>
          <t>000224000</t>
        </is>
      </c>
      <c r="D662" s="3452" t="inlineStr">
        <is>
          <t>201912</t>
        </is>
      </c>
      <c r="E662" s="3452" t="inlineStr">
        <is>
          <t>0,000000000000</t>
        </is>
      </c>
    </row>
    <row outlineLevel="0" r="663">
      <c r="A663" s="3452" t="inlineStr">
        <is>
          <t>000224000201912322500</t>
        </is>
      </c>
      <c r="B663" s="3452" t="inlineStr">
        <is>
          <t>322500</t>
        </is>
      </c>
      <c r="C663" s="3452" t="inlineStr">
        <is>
          <t>000224000</t>
        </is>
      </c>
      <c r="D663" s="3452" t="inlineStr">
        <is>
          <t>201912</t>
        </is>
      </c>
      <c r="E663" s="3452" t="inlineStr">
        <is>
          <t>0,000000000000</t>
        </is>
      </c>
    </row>
    <row outlineLevel="0" r="664">
      <c r="A664" s="3452" t="inlineStr">
        <is>
          <t>000224000201912330500</t>
        </is>
      </c>
      <c r="B664" s="3452" t="inlineStr">
        <is>
          <t>330500</t>
        </is>
      </c>
      <c r="C664" s="3452" t="inlineStr">
        <is>
          <t>000224000</t>
        </is>
      </c>
      <c r="D664" s="3452" t="inlineStr">
        <is>
          <t>201912</t>
        </is>
      </c>
      <c r="E664" s="3452" t="inlineStr">
        <is>
          <t>0,000000000000</t>
        </is>
      </c>
    </row>
    <row outlineLevel="0" r="665">
      <c r="A665" s="3452" t="inlineStr">
        <is>
          <t>000224000201912331000</t>
        </is>
      </c>
      <c r="B665" s="3452" t="inlineStr">
        <is>
          <t>331000</t>
        </is>
      </c>
      <c r="C665" s="3452" t="inlineStr">
        <is>
          <t>000224000</t>
        </is>
      </c>
      <c r="D665" s="3452" t="inlineStr">
        <is>
          <t>201912</t>
        </is>
      </c>
      <c r="E665" s="3452" t="inlineStr">
        <is>
          <t>0,000000000000</t>
        </is>
      </c>
    </row>
    <row outlineLevel="0" r="666">
      <c r="A666" s="3452" t="inlineStr">
        <is>
          <t>000224000201912331500</t>
        </is>
      </c>
      <c r="B666" s="3452" t="inlineStr">
        <is>
          <t>331500</t>
        </is>
      </c>
      <c r="C666" s="3452" t="inlineStr">
        <is>
          <t>000224000</t>
        </is>
      </c>
      <c r="D666" s="3452" t="inlineStr">
        <is>
          <t>201912</t>
        </is>
      </c>
      <c r="E666" s="3452" t="inlineStr">
        <is>
          <t>0,000000000000</t>
        </is>
      </c>
    </row>
    <row outlineLevel="0" r="667">
      <c r="A667" s="3452" t="inlineStr">
        <is>
          <t>000224000201912340505</t>
        </is>
      </c>
      <c r="B667" s="3452" t="inlineStr">
        <is>
          <t>340505</t>
        </is>
      </c>
      <c r="C667" s="3452" t="inlineStr">
        <is>
          <t>000224000</t>
        </is>
      </c>
      <c r="D667" s="3452" t="inlineStr">
        <is>
          <t>201912</t>
        </is>
      </c>
      <c r="E667" s="3452" t="inlineStr">
        <is>
          <t>0,000000000000</t>
        </is>
      </c>
    </row>
    <row outlineLevel="0" r="668">
      <c r="A668" s="3452" t="inlineStr">
        <is>
          <t>000224000201912340515</t>
        </is>
      </c>
      <c r="B668" s="3452" t="inlineStr">
        <is>
          <t>340515</t>
        </is>
      </c>
      <c r="C668" s="3452" t="inlineStr">
        <is>
          <t>000224000</t>
        </is>
      </c>
      <c r="D668" s="3452" t="inlineStr">
        <is>
          <t>201912</t>
        </is>
      </c>
      <c r="E668" s="3452" t="inlineStr">
        <is>
          <t>0,000000000000</t>
        </is>
      </c>
    </row>
    <row outlineLevel="0" r="669">
      <c r="A669" s="3452" t="inlineStr">
        <is>
          <t>000224000201912349500</t>
        </is>
      </c>
      <c r="B669" s="3452" t="inlineStr">
        <is>
          <t>349500</t>
        </is>
      </c>
      <c r="C669" s="3452" t="inlineStr">
        <is>
          <t>000224000</t>
        </is>
      </c>
      <c r="D669" s="3452" t="inlineStr">
        <is>
          <t>201912</t>
        </is>
      </c>
      <c r="E669" s="3452" t="inlineStr">
        <is>
          <t>0,000000000000</t>
        </is>
      </c>
    </row>
    <row outlineLevel="0" r="670">
      <c r="A670" s="3452" t="inlineStr">
        <is>
          <t>000224000201912410500</t>
        </is>
      </c>
      <c r="B670" s="3452" t="inlineStr">
        <is>
          <t>410500</t>
        </is>
      </c>
      <c r="C670" s="3452" t="inlineStr">
        <is>
          <t>000224000</t>
        </is>
      </c>
      <c r="D670" s="3452" t="inlineStr">
        <is>
          <t>201912</t>
        </is>
      </c>
      <c r="E670" s="3452" t="inlineStr">
        <is>
          <t>0,000000000000</t>
        </is>
      </c>
    </row>
    <row outlineLevel="0" r="671">
      <c r="A671" s="3452" t="inlineStr">
        <is>
          <t>000224000201912411000</t>
        </is>
      </c>
      <c r="B671" s="3452" t="inlineStr">
        <is>
          <t>411000</t>
        </is>
      </c>
      <c r="C671" s="3452" t="inlineStr">
        <is>
          <t>000224000</t>
        </is>
      </c>
      <c r="D671" s="3452" t="inlineStr">
        <is>
          <t>201912</t>
        </is>
      </c>
      <c r="E671" s="3452" t="inlineStr">
        <is>
          <t>0,000000000000</t>
        </is>
      </c>
    </row>
    <row outlineLevel="0" r="672">
      <c r="A672" s="3452" t="inlineStr">
        <is>
          <t>000224000201912420500</t>
        </is>
      </c>
      <c r="B672" s="3452" t="inlineStr">
        <is>
          <t>420500</t>
        </is>
      </c>
      <c r="C672" s="3452" t="inlineStr">
        <is>
          <t>000224000</t>
        </is>
      </c>
      <c r="D672" s="3452" t="inlineStr">
        <is>
          <t>201912</t>
        </is>
      </c>
      <c r="E672" s="3452" t="inlineStr">
        <is>
          <t>0,000000000000</t>
        </is>
      </c>
    </row>
    <row outlineLevel="0" r="673">
      <c r="A673" s="3452" t="inlineStr">
        <is>
          <t>000224000201912421000</t>
        </is>
      </c>
      <c r="B673" s="3452" t="inlineStr">
        <is>
          <t>421000</t>
        </is>
      </c>
      <c r="C673" s="3452" t="inlineStr">
        <is>
          <t>000224000</t>
        </is>
      </c>
      <c r="D673" s="3452" t="inlineStr">
        <is>
          <t>201912</t>
        </is>
      </c>
      <c r="E673" s="3452" t="inlineStr">
        <is>
          <t>0,000000000000</t>
        </is>
      </c>
    </row>
    <row outlineLevel="0" r="674">
      <c r="A674" s="3452" t="inlineStr">
        <is>
          <t>000224000201912421020</t>
        </is>
      </c>
      <c r="B674" s="3452" t="inlineStr">
        <is>
          <t>421020</t>
        </is>
      </c>
      <c r="C674" s="3452" t="inlineStr">
        <is>
          <t>000224000</t>
        </is>
      </c>
      <c r="D674" s="3452" t="inlineStr">
        <is>
          <t>201912</t>
        </is>
      </c>
      <c r="E674" s="3452" t="inlineStr">
        <is>
          <t>0,000000000000</t>
        </is>
      </c>
    </row>
    <row outlineLevel="0" r="675">
      <c r="A675" s="3452" t="inlineStr">
        <is>
          <t>000224000201912421040</t>
        </is>
      </c>
      <c r="B675" s="3452" t="inlineStr">
        <is>
          <t>421040</t>
        </is>
      </c>
      <c r="C675" s="3452" t="inlineStr">
        <is>
          <t>000224000</t>
        </is>
      </c>
      <c r="D675" s="3452" t="inlineStr">
        <is>
          <t>201912</t>
        </is>
      </c>
      <c r="E675" s="3452" t="inlineStr">
        <is>
          <t>0,000000000000</t>
        </is>
      </c>
    </row>
    <row outlineLevel="0" r="676">
      <c r="A676" s="3452" t="inlineStr">
        <is>
          <t>000224000201912421500</t>
        </is>
      </c>
      <c r="B676" s="3452" t="inlineStr">
        <is>
          <t>421500</t>
        </is>
      </c>
      <c r="C676" s="3452" t="inlineStr">
        <is>
          <t>000224000</t>
        </is>
      </c>
      <c r="D676" s="3452" t="inlineStr">
        <is>
          <t>201912</t>
        </is>
      </c>
      <c r="E676" s="3452" t="inlineStr">
        <is>
          <t>0,000000000000</t>
        </is>
      </c>
    </row>
    <row outlineLevel="0" r="677">
      <c r="A677" s="3452" t="inlineStr">
        <is>
          <t>000224000201912422000</t>
        </is>
      </c>
      <c r="B677" s="3452" t="inlineStr">
        <is>
          <t>422000</t>
        </is>
      </c>
      <c r="C677" s="3452" t="inlineStr">
        <is>
          <t>000224000</t>
        </is>
      </c>
      <c r="D677" s="3452" t="inlineStr">
        <is>
          <t>201912</t>
        </is>
      </c>
      <c r="E677" s="3452" t="inlineStr">
        <is>
          <t>0,000000000000</t>
        </is>
      </c>
    </row>
    <row outlineLevel="0" r="678">
      <c r="A678" s="3452" t="inlineStr">
        <is>
          <t>000224000201912422500</t>
        </is>
      </c>
      <c r="B678" s="3452" t="inlineStr">
        <is>
          <t>422500</t>
        </is>
      </c>
      <c r="C678" s="3452" t="inlineStr">
        <is>
          <t>000224000</t>
        </is>
      </c>
      <c r="D678" s="3452" t="inlineStr">
        <is>
          <t>201912</t>
        </is>
      </c>
      <c r="E678" s="3452" t="inlineStr">
        <is>
          <t>0,000000000000</t>
        </is>
      </c>
    </row>
    <row outlineLevel="0" r="679">
      <c r="A679" s="3452" t="inlineStr">
        <is>
          <t>000224000201912423500</t>
        </is>
      </c>
      <c r="B679" s="3452" t="inlineStr">
        <is>
          <t>423500</t>
        </is>
      </c>
      <c r="C679" s="3452" t="inlineStr">
        <is>
          <t>000224000</t>
        </is>
      </c>
      <c r="D679" s="3452" t="inlineStr">
        <is>
          <t>201912</t>
        </is>
      </c>
      <c r="E679" s="3452" t="inlineStr">
        <is>
          <t>0,000000000000</t>
        </is>
      </c>
    </row>
    <row outlineLevel="0" r="680">
      <c r="A680" s="3452" t="inlineStr">
        <is>
          <t>000224000201912424000</t>
        </is>
      </c>
      <c r="B680" s="3452" t="inlineStr">
        <is>
          <t>424000</t>
        </is>
      </c>
      <c r="C680" s="3452" t="inlineStr">
        <is>
          <t>000224000</t>
        </is>
      </c>
      <c r="D680" s="3452" t="inlineStr">
        <is>
          <t>201912</t>
        </is>
      </c>
      <c r="E680" s="3452" t="inlineStr">
        <is>
          <t>0,000000000000</t>
        </is>
      </c>
    </row>
    <row outlineLevel="0" r="681">
      <c r="A681" s="3452" t="inlineStr">
        <is>
          <t>000224000201912425000</t>
        </is>
      </c>
      <c r="B681" s="3452" t="inlineStr">
        <is>
          <t>425000</t>
        </is>
      </c>
      <c r="C681" s="3452" t="inlineStr">
        <is>
          <t>000224000</t>
        </is>
      </c>
      <c r="D681" s="3452" t="inlineStr">
        <is>
          <t>201912</t>
        </is>
      </c>
      <c r="E681" s="3452" t="inlineStr">
        <is>
          <t>0,000000000000</t>
        </is>
      </c>
    </row>
    <row outlineLevel="0" r="682">
      <c r="A682" s="3452" t="inlineStr">
        <is>
          <t>000224000201912426500</t>
        </is>
      </c>
      <c r="B682" s="3452" t="inlineStr">
        <is>
          <t>426500</t>
        </is>
      </c>
      <c r="C682" s="3452" t="inlineStr">
        <is>
          <t>000224000</t>
        </is>
      </c>
      <c r="D682" s="3452" t="inlineStr">
        <is>
          <t>201912</t>
        </is>
      </c>
      <c r="E682" s="3452" t="inlineStr">
        <is>
          <t>0,000000000000</t>
        </is>
      </c>
    </row>
    <row outlineLevel="0" r="683">
      <c r="A683" s="3452" t="inlineStr">
        <is>
          <t>000224000201912429500</t>
        </is>
      </c>
      <c r="B683" s="3452" t="inlineStr">
        <is>
          <t>429500</t>
        </is>
      </c>
      <c r="C683" s="3452" t="inlineStr">
        <is>
          <t>000224000</t>
        </is>
      </c>
      <c r="D683" s="3452" t="inlineStr">
        <is>
          <t>201912</t>
        </is>
      </c>
      <c r="E683" s="3452" t="inlineStr">
        <is>
          <t>0,000000000000</t>
        </is>
      </c>
    </row>
    <row outlineLevel="0" r="684">
      <c r="A684" s="3452" t="inlineStr">
        <is>
          <t>000224000201912510500</t>
        </is>
      </c>
      <c r="B684" s="3452" t="inlineStr">
        <is>
          <t>510500</t>
        </is>
      </c>
      <c r="C684" s="3452" t="inlineStr">
        <is>
          <t>000224000</t>
        </is>
      </c>
      <c r="D684" s="3452" t="inlineStr">
        <is>
          <t>201912</t>
        </is>
      </c>
      <c r="E684" s="3452" t="inlineStr">
        <is>
          <t>0,000000000000</t>
        </is>
      </c>
    </row>
    <row outlineLevel="0" r="685">
      <c r="A685" s="3452" t="inlineStr">
        <is>
          <t>000224000201912511000</t>
        </is>
      </c>
      <c r="B685" s="3452" t="inlineStr">
        <is>
          <t>511000</t>
        </is>
      </c>
      <c r="C685" s="3452" t="inlineStr">
        <is>
          <t>000224000</t>
        </is>
      </c>
      <c r="D685" s="3452" t="inlineStr">
        <is>
          <t>201912</t>
        </is>
      </c>
      <c r="E685" s="3452" t="inlineStr">
        <is>
          <t>0,000000000000</t>
        </is>
      </c>
    </row>
    <row outlineLevel="0" r="686">
      <c r="A686" s="3452" t="inlineStr">
        <is>
          <t>000224000201912511500</t>
        </is>
      </c>
      <c r="B686" s="3452" t="inlineStr">
        <is>
          <t>511500</t>
        </is>
      </c>
      <c r="C686" s="3452" t="inlineStr">
        <is>
          <t>000224000</t>
        </is>
      </c>
      <c r="D686" s="3452" t="inlineStr">
        <is>
          <t>201912</t>
        </is>
      </c>
      <c r="E686" s="3452" t="inlineStr">
        <is>
          <t>0,000000000000</t>
        </is>
      </c>
    </row>
    <row outlineLevel="0" r="687">
      <c r="A687" s="3452" t="inlineStr">
        <is>
          <t>000224000201912512000</t>
        </is>
      </c>
      <c r="B687" s="3452" t="inlineStr">
        <is>
          <t>512000</t>
        </is>
      </c>
      <c r="C687" s="3452" t="inlineStr">
        <is>
          <t>000224000</t>
        </is>
      </c>
      <c r="D687" s="3452" t="inlineStr">
        <is>
          <t>201912</t>
        </is>
      </c>
      <c r="E687" s="3452" t="inlineStr">
        <is>
          <t>0,000000000000</t>
        </is>
      </c>
    </row>
    <row outlineLevel="0" r="688">
      <c r="A688" s="3452" t="inlineStr">
        <is>
          <t>000224000201912512500</t>
        </is>
      </c>
      <c r="B688" s="3452" t="inlineStr">
        <is>
          <t>512500</t>
        </is>
      </c>
      <c r="C688" s="3452" t="inlineStr">
        <is>
          <t>000224000</t>
        </is>
      </c>
      <c r="D688" s="3452" t="inlineStr">
        <is>
          <t>201912</t>
        </is>
      </c>
      <c r="E688" s="3452" t="inlineStr">
        <is>
          <t>0,000000000000</t>
        </is>
      </c>
    </row>
    <row outlineLevel="0" r="689">
      <c r="A689" s="3452" t="inlineStr">
        <is>
          <t>000224000201912513000</t>
        </is>
      </c>
      <c r="B689" s="3452" t="inlineStr">
        <is>
          <t>513000</t>
        </is>
      </c>
      <c r="C689" s="3452" t="inlineStr">
        <is>
          <t>000224000</t>
        </is>
      </c>
      <c r="D689" s="3452" t="inlineStr">
        <is>
          <t>201912</t>
        </is>
      </c>
      <c r="E689" s="3452" t="inlineStr">
        <is>
          <t>0,000000000000</t>
        </is>
      </c>
    </row>
    <row outlineLevel="0" r="690">
      <c r="A690" s="3452" t="inlineStr">
        <is>
          <t>000224000201912513500</t>
        </is>
      </c>
      <c r="B690" s="3452" t="inlineStr">
        <is>
          <t>513500</t>
        </is>
      </c>
      <c r="C690" s="3452" t="inlineStr">
        <is>
          <t>000224000</t>
        </is>
      </c>
      <c r="D690" s="3452" t="inlineStr">
        <is>
          <t>201912</t>
        </is>
      </c>
      <c r="E690" s="3452" t="inlineStr">
        <is>
          <t>0,000000000000</t>
        </is>
      </c>
    </row>
    <row outlineLevel="0" r="691">
      <c r="A691" s="3452" t="inlineStr">
        <is>
          <t>000224000201912514000</t>
        </is>
      </c>
      <c r="B691" s="3452" t="inlineStr">
        <is>
          <t>514000</t>
        </is>
      </c>
      <c r="C691" s="3452" t="inlineStr">
        <is>
          <t>000224000</t>
        </is>
      </c>
      <c r="D691" s="3452" t="inlineStr">
        <is>
          <t>201912</t>
        </is>
      </c>
      <c r="E691" s="3452" t="inlineStr">
        <is>
          <t>0,000000000000</t>
        </is>
      </c>
    </row>
    <row outlineLevel="0" r="692">
      <c r="A692" s="3452" t="inlineStr">
        <is>
          <t>000224000201912514500</t>
        </is>
      </c>
      <c r="B692" s="3452" t="inlineStr">
        <is>
          <t>514500</t>
        </is>
      </c>
      <c r="C692" s="3452" t="inlineStr">
        <is>
          <t>000224000</t>
        </is>
      </c>
      <c r="D692" s="3452" t="inlineStr">
        <is>
          <t>201912</t>
        </is>
      </c>
      <c r="E692" s="3452" t="inlineStr">
        <is>
          <t>0,000000000000</t>
        </is>
      </c>
    </row>
    <row outlineLevel="0" r="693">
      <c r="A693" s="3452" t="inlineStr">
        <is>
          <t>000224000201912515000</t>
        </is>
      </c>
      <c r="B693" s="3452" t="inlineStr">
        <is>
          <t>515000</t>
        </is>
      </c>
      <c r="C693" s="3452" t="inlineStr">
        <is>
          <t>000224000</t>
        </is>
      </c>
      <c r="D693" s="3452" t="inlineStr">
        <is>
          <t>201912</t>
        </is>
      </c>
      <c r="E693" s="3452" t="inlineStr">
        <is>
          <t>0,000000000000</t>
        </is>
      </c>
    </row>
    <row outlineLevel="0" r="694">
      <c r="A694" s="3452" t="inlineStr">
        <is>
          <t>000224000201912515500</t>
        </is>
      </c>
      <c r="B694" s="3452" t="inlineStr">
        <is>
          <t>515500</t>
        </is>
      </c>
      <c r="C694" s="3452" t="inlineStr">
        <is>
          <t>000224000</t>
        </is>
      </c>
      <c r="D694" s="3452" t="inlineStr">
        <is>
          <t>201912</t>
        </is>
      </c>
      <c r="E694" s="3452" t="inlineStr">
        <is>
          <t>0,000000000000</t>
        </is>
      </c>
    </row>
    <row outlineLevel="0" r="695">
      <c r="A695" s="3452" t="inlineStr">
        <is>
          <t>000224000201912516000</t>
        </is>
      </c>
      <c r="B695" s="3452" t="inlineStr">
        <is>
          <t>516000</t>
        </is>
      </c>
      <c r="C695" s="3452" t="inlineStr">
        <is>
          <t>000224000</t>
        </is>
      </c>
      <c r="D695" s="3452" t="inlineStr">
        <is>
          <t>201912</t>
        </is>
      </c>
      <c r="E695" s="3452" t="inlineStr">
        <is>
          <t>0,000000000000</t>
        </is>
      </c>
    </row>
    <row outlineLevel="0" r="696">
      <c r="A696" s="3452" t="inlineStr">
        <is>
          <t>000224000201912516500</t>
        </is>
      </c>
      <c r="B696" s="3452" t="inlineStr">
        <is>
          <t>516500</t>
        </is>
      </c>
      <c r="C696" s="3452" t="inlineStr">
        <is>
          <t>000224000</t>
        </is>
      </c>
      <c r="D696" s="3452" t="inlineStr">
        <is>
          <t>201912</t>
        </is>
      </c>
      <c r="E696" s="3452" t="inlineStr">
        <is>
          <t>0,000000000000</t>
        </is>
      </c>
    </row>
    <row outlineLevel="0" r="697">
      <c r="A697" s="3452" t="inlineStr">
        <is>
          <t>000224000201912519500</t>
        </is>
      </c>
      <c r="B697" s="3452" t="inlineStr">
        <is>
          <t>519500</t>
        </is>
      </c>
      <c r="C697" s="3452" t="inlineStr">
        <is>
          <t>000224000</t>
        </is>
      </c>
      <c r="D697" s="3452" t="inlineStr">
        <is>
          <t>201912</t>
        </is>
      </c>
      <c r="E697" s="3452" t="inlineStr">
        <is>
          <t>0,000000000000</t>
        </is>
      </c>
    </row>
    <row outlineLevel="0" r="698">
      <c r="A698" s="3452" t="inlineStr">
        <is>
          <t>000224000201912519900</t>
        </is>
      </c>
      <c r="B698" s="3452" t="inlineStr">
        <is>
          <t>519900</t>
        </is>
      </c>
      <c r="C698" s="3452" t="inlineStr">
        <is>
          <t>000224000</t>
        </is>
      </c>
      <c r="D698" s="3452" t="inlineStr">
        <is>
          <t>201912</t>
        </is>
      </c>
      <c r="E698" s="3452" t="inlineStr">
        <is>
          <t>0,000000000000</t>
        </is>
      </c>
    </row>
    <row outlineLevel="0" r="699">
      <c r="A699" s="3452" t="inlineStr">
        <is>
          <t>000224000201912520500</t>
        </is>
      </c>
      <c r="B699" s="3452" t="inlineStr">
        <is>
          <t>520500</t>
        </is>
      </c>
      <c r="C699" s="3452" t="inlineStr">
        <is>
          <t>000224000</t>
        </is>
      </c>
      <c r="D699" s="3452" t="inlineStr">
        <is>
          <t>201912</t>
        </is>
      </c>
      <c r="E699" s="3452" t="inlineStr">
        <is>
          <t>0,000000000000</t>
        </is>
      </c>
    </row>
    <row outlineLevel="0" r="700">
      <c r="A700" s="3452" t="inlineStr">
        <is>
          <t>000224000201912521000</t>
        </is>
      </c>
      <c r="B700" s="3452" t="inlineStr">
        <is>
          <t>521000</t>
        </is>
      </c>
      <c r="C700" s="3452" t="inlineStr">
        <is>
          <t>000224000</t>
        </is>
      </c>
      <c r="D700" s="3452" t="inlineStr">
        <is>
          <t>201912</t>
        </is>
      </c>
      <c r="E700" s="3452" t="inlineStr">
        <is>
          <t>0,000000000000</t>
        </is>
      </c>
    </row>
    <row outlineLevel="0" r="701">
      <c r="A701" s="3452" t="inlineStr">
        <is>
          <t>000224000201912521500</t>
        </is>
      </c>
      <c r="B701" s="3452" t="inlineStr">
        <is>
          <t>521500</t>
        </is>
      </c>
      <c r="C701" s="3452" t="inlineStr">
        <is>
          <t>000224000</t>
        </is>
      </c>
      <c r="D701" s="3452" t="inlineStr">
        <is>
          <t>201912</t>
        </is>
      </c>
      <c r="E701" s="3452" t="inlineStr">
        <is>
          <t>0,000000000000</t>
        </is>
      </c>
    </row>
    <row outlineLevel="0" r="702">
      <c r="A702" s="3452" t="inlineStr">
        <is>
          <t>000224000201912522000</t>
        </is>
      </c>
      <c r="B702" s="3452" t="inlineStr">
        <is>
          <t>522000</t>
        </is>
      </c>
      <c r="C702" s="3452" t="inlineStr">
        <is>
          <t>000224000</t>
        </is>
      </c>
      <c r="D702" s="3452" t="inlineStr">
        <is>
          <t>201912</t>
        </is>
      </c>
      <c r="E702" s="3452" t="inlineStr">
        <is>
          <t>0,000000000000</t>
        </is>
      </c>
    </row>
    <row outlineLevel="0" r="703">
      <c r="A703" s="3452" t="inlineStr">
        <is>
          <t>000224000201912522500</t>
        </is>
      </c>
      <c r="B703" s="3452" t="inlineStr">
        <is>
          <t>522500</t>
        </is>
      </c>
      <c r="C703" s="3452" t="inlineStr">
        <is>
          <t>000224000</t>
        </is>
      </c>
      <c r="D703" s="3452" t="inlineStr">
        <is>
          <t>201912</t>
        </is>
      </c>
      <c r="E703" s="3452" t="inlineStr">
        <is>
          <t>0,000000000000</t>
        </is>
      </c>
    </row>
    <row outlineLevel="0" r="704">
      <c r="A704" s="3452" t="inlineStr">
        <is>
          <t>000224000201912523000</t>
        </is>
      </c>
      <c r="B704" s="3452" t="inlineStr">
        <is>
          <t>523000</t>
        </is>
      </c>
      <c r="C704" s="3452" t="inlineStr">
        <is>
          <t>000224000</t>
        </is>
      </c>
      <c r="D704" s="3452" t="inlineStr">
        <is>
          <t>201912</t>
        </is>
      </c>
      <c r="E704" s="3452" t="inlineStr">
        <is>
          <t>0,000000000000</t>
        </is>
      </c>
    </row>
    <row outlineLevel="0" r="705">
      <c r="A705" s="3452" t="inlineStr">
        <is>
          <t>000224000201912523500</t>
        </is>
      </c>
      <c r="B705" s="3452" t="inlineStr">
        <is>
          <t>523500</t>
        </is>
      </c>
      <c r="C705" s="3452" t="inlineStr">
        <is>
          <t>000224000</t>
        </is>
      </c>
      <c r="D705" s="3452" t="inlineStr">
        <is>
          <t>201912</t>
        </is>
      </c>
      <c r="E705" s="3452" t="inlineStr">
        <is>
          <t>0,000000000000</t>
        </is>
      </c>
    </row>
    <row outlineLevel="0" r="706">
      <c r="A706" s="3452" t="inlineStr">
        <is>
          <t>000224000201912524000</t>
        </is>
      </c>
      <c r="B706" s="3452" t="inlineStr">
        <is>
          <t>524000</t>
        </is>
      </c>
      <c r="C706" s="3452" t="inlineStr">
        <is>
          <t>000224000</t>
        </is>
      </c>
      <c r="D706" s="3452" t="inlineStr">
        <is>
          <t>201912</t>
        </is>
      </c>
      <c r="E706" s="3452" t="inlineStr">
        <is>
          <t>0,000000000000</t>
        </is>
      </c>
    </row>
    <row outlineLevel="0" r="707">
      <c r="A707" s="3452" t="inlineStr">
        <is>
          <t>000224000201912524500</t>
        </is>
      </c>
      <c r="B707" s="3452" t="inlineStr">
        <is>
          <t>524500</t>
        </is>
      </c>
      <c r="C707" s="3452" t="inlineStr">
        <is>
          <t>000224000</t>
        </is>
      </c>
      <c r="D707" s="3452" t="inlineStr">
        <is>
          <t>201912</t>
        </is>
      </c>
      <c r="E707" s="3452" t="inlineStr">
        <is>
          <t>0,000000000000</t>
        </is>
      </c>
    </row>
    <row outlineLevel="0" r="708">
      <c r="A708" s="3452" t="inlineStr">
        <is>
          <t>000224000201912525000</t>
        </is>
      </c>
      <c r="B708" s="3452" t="inlineStr">
        <is>
          <t>525000</t>
        </is>
      </c>
      <c r="C708" s="3452" t="inlineStr">
        <is>
          <t>000224000</t>
        </is>
      </c>
      <c r="D708" s="3452" t="inlineStr">
        <is>
          <t>201912</t>
        </is>
      </c>
      <c r="E708" s="3452" t="inlineStr">
        <is>
          <t>0,000000000000</t>
        </is>
      </c>
    </row>
    <row outlineLevel="0" r="709">
      <c r="A709" s="3452" t="inlineStr">
        <is>
          <t>000224000201912525500</t>
        </is>
      </c>
      <c r="B709" s="3452" t="inlineStr">
        <is>
          <t>525500</t>
        </is>
      </c>
      <c r="C709" s="3452" t="inlineStr">
        <is>
          <t>000224000</t>
        </is>
      </c>
      <c r="D709" s="3452" t="inlineStr">
        <is>
          <t>201912</t>
        </is>
      </c>
      <c r="E709" s="3452" t="inlineStr">
        <is>
          <t>0,000000000000</t>
        </is>
      </c>
    </row>
    <row outlineLevel="0" r="710">
      <c r="A710" s="3452" t="inlineStr">
        <is>
          <t>000224000201912526000</t>
        </is>
      </c>
      <c r="B710" s="3452" t="inlineStr">
        <is>
          <t>526000</t>
        </is>
      </c>
      <c r="C710" s="3452" t="inlineStr">
        <is>
          <t>000224000</t>
        </is>
      </c>
      <c r="D710" s="3452" t="inlineStr">
        <is>
          <t>201912</t>
        </is>
      </c>
      <c r="E710" s="3452" t="inlineStr">
        <is>
          <t>0,000000000000</t>
        </is>
      </c>
    </row>
    <row outlineLevel="0" r="711">
      <c r="A711" s="3452" t="inlineStr">
        <is>
          <t>000224000201912526500</t>
        </is>
      </c>
      <c r="B711" s="3452" t="inlineStr">
        <is>
          <t>526500</t>
        </is>
      </c>
      <c r="C711" s="3452" t="inlineStr">
        <is>
          <t>000224000</t>
        </is>
      </c>
      <c r="D711" s="3452" t="inlineStr">
        <is>
          <t>201912</t>
        </is>
      </c>
      <c r="E711" s="3452" t="inlineStr">
        <is>
          <t>0,000000000000</t>
        </is>
      </c>
    </row>
    <row outlineLevel="0" r="712">
      <c r="A712" s="3452" t="inlineStr">
        <is>
          <t>000224000201912529500</t>
        </is>
      </c>
      <c r="B712" s="3452" t="inlineStr">
        <is>
          <t>529500</t>
        </is>
      </c>
      <c r="C712" s="3452" t="inlineStr">
        <is>
          <t>000224000</t>
        </is>
      </c>
      <c r="D712" s="3452" t="inlineStr">
        <is>
          <t>201912</t>
        </is>
      </c>
      <c r="E712" s="3452" t="inlineStr">
        <is>
          <t>0,000000000000</t>
        </is>
      </c>
    </row>
    <row outlineLevel="0" r="713">
      <c r="A713" s="3452" t="inlineStr">
        <is>
          <t>000224000201912529900</t>
        </is>
      </c>
      <c r="B713" s="3452" t="inlineStr">
        <is>
          <t>529900</t>
        </is>
      </c>
      <c r="C713" s="3452" t="inlineStr">
        <is>
          <t>000224000</t>
        </is>
      </c>
      <c r="D713" s="3452" t="inlineStr">
        <is>
          <t>201912</t>
        </is>
      </c>
      <c r="E713" s="3452" t="inlineStr">
        <is>
          <t>0,000000000000</t>
        </is>
      </c>
    </row>
    <row outlineLevel="0" r="714">
      <c r="A714" s="3452" t="inlineStr">
        <is>
          <t>000224000201912530505</t>
        </is>
      </c>
      <c r="B714" s="3452" t="inlineStr">
        <is>
          <t>530505</t>
        </is>
      </c>
      <c r="C714" s="3452" t="inlineStr">
        <is>
          <t>000224000</t>
        </is>
      </c>
      <c r="D714" s="3452" t="inlineStr">
        <is>
          <t>201912</t>
        </is>
      </c>
      <c r="E714" s="3452" t="inlineStr">
        <is>
          <t>0,000000000000</t>
        </is>
      </c>
    </row>
    <row outlineLevel="0" r="715">
      <c r="A715" s="3452" t="inlineStr">
        <is>
          <t>000224000201912530515</t>
        </is>
      </c>
      <c r="B715" s="3452" t="inlineStr">
        <is>
          <t>530515</t>
        </is>
      </c>
      <c r="C715" s="3452" t="inlineStr">
        <is>
          <t>000224000</t>
        </is>
      </c>
      <c r="D715" s="3452" t="inlineStr">
        <is>
          <t>201912</t>
        </is>
      </c>
      <c r="E715" s="3452" t="inlineStr">
        <is>
          <t>0,000000000000</t>
        </is>
      </c>
    </row>
    <row outlineLevel="0" r="716">
      <c r="A716" s="3452" t="inlineStr">
        <is>
          <t>000224000201912530525</t>
        </is>
      </c>
      <c r="B716" s="3452" t="inlineStr">
        <is>
          <t>530525</t>
        </is>
      </c>
      <c r="C716" s="3452" t="inlineStr">
        <is>
          <t>000224000</t>
        </is>
      </c>
      <c r="D716" s="3452" t="inlineStr">
        <is>
          <t>201912</t>
        </is>
      </c>
      <c r="E716" s="3452" t="inlineStr">
        <is>
          <t>0,000000000000</t>
        </is>
      </c>
    </row>
    <row outlineLevel="0" r="717">
      <c r="A717" s="3452" t="inlineStr">
        <is>
          <t>000224000201912530535</t>
        </is>
      </c>
      <c r="B717" s="3452" t="inlineStr">
        <is>
          <t>530535</t>
        </is>
      </c>
      <c r="C717" s="3452" t="inlineStr">
        <is>
          <t>000224000</t>
        </is>
      </c>
      <c r="D717" s="3452" t="inlineStr">
        <is>
          <t>201912</t>
        </is>
      </c>
      <c r="E717" s="3452" t="inlineStr">
        <is>
          <t>0,000000000000</t>
        </is>
      </c>
    </row>
    <row outlineLevel="0" r="718">
      <c r="A718" s="3452" t="inlineStr">
        <is>
          <t>000224000201912531000</t>
        </is>
      </c>
      <c r="B718" s="3452" t="inlineStr">
        <is>
          <t>531000</t>
        </is>
      </c>
      <c r="C718" s="3452" t="inlineStr">
        <is>
          <t>000224000</t>
        </is>
      </c>
      <c r="D718" s="3452" t="inlineStr">
        <is>
          <t>201912</t>
        </is>
      </c>
      <c r="E718" s="3452" t="inlineStr">
        <is>
          <t>0,000000000000</t>
        </is>
      </c>
    </row>
    <row outlineLevel="0" r="719">
      <c r="A719" s="3452" t="inlineStr">
        <is>
          <t>000224000201912531300</t>
        </is>
      </c>
      <c r="B719" s="3452" t="inlineStr">
        <is>
          <t>531300</t>
        </is>
      </c>
      <c r="C719" s="3452" t="inlineStr">
        <is>
          <t>000224000</t>
        </is>
      </c>
      <c r="D719" s="3452" t="inlineStr">
        <is>
          <t>201912</t>
        </is>
      </c>
      <c r="E719" s="3452" t="inlineStr">
        <is>
          <t>0,000000000000</t>
        </is>
      </c>
    </row>
    <row outlineLevel="0" r="720">
      <c r="A720" s="3452" t="inlineStr">
        <is>
          <t>000224000201912531500</t>
        </is>
      </c>
      <c r="B720" s="3452" t="inlineStr">
        <is>
          <t>531500</t>
        </is>
      </c>
      <c r="C720" s="3452" t="inlineStr">
        <is>
          <t>000224000</t>
        </is>
      </c>
      <c r="D720" s="3452" t="inlineStr">
        <is>
          <t>201912</t>
        </is>
      </c>
      <c r="E720" s="3452" t="inlineStr">
        <is>
          <t>0,000000000000</t>
        </is>
      </c>
    </row>
    <row outlineLevel="0" r="721">
      <c r="A721" s="3452" t="inlineStr">
        <is>
          <t>000224000201912531515</t>
        </is>
      </c>
      <c r="B721" s="3452" t="inlineStr">
        <is>
          <t>531515</t>
        </is>
      </c>
      <c r="C721" s="3452" t="inlineStr">
        <is>
          <t>000224000</t>
        </is>
      </c>
      <c r="D721" s="3452" t="inlineStr">
        <is>
          <t>201912</t>
        </is>
      </c>
      <c r="E721" s="3452" t="inlineStr">
        <is>
          <t>0,000000000000</t>
        </is>
      </c>
    </row>
    <row outlineLevel="0" r="722">
      <c r="A722" s="3452" t="inlineStr">
        <is>
          <t>000224000201912531520</t>
        </is>
      </c>
      <c r="B722" s="3452" t="inlineStr">
        <is>
          <t>531520</t>
        </is>
      </c>
      <c r="C722" s="3452" t="inlineStr">
        <is>
          <t>000224000</t>
        </is>
      </c>
      <c r="D722" s="3452" t="inlineStr">
        <is>
          <t>201912</t>
        </is>
      </c>
      <c r="E722" s="3452" t="inlineStr">
        <is>
          <t>0,000000000000</t>
        </is>
      </c>
    </row>
    <row outlineLevel="0" r="723">
      <c r="A723" s="3452" t="inlineStr">
        <is>
          <t>000224000201912539525</t>
        </is>
      </c>
      <c r="B723" s="3452" t="inlineStr">
        <is>
          <t>539525</t>
        </is>
      </c>
      <c r="C723" s="3452" t="inlineStr">
        <is>
          <t>000224000</t>
        </is>
      </c>
      <c r="D723" s="3452" t="inlineStr">
        <is>
          <t>201912</t>
        </is>
      </c>
      <c r="E723" s="3452" t="inlineStr">
        <is>
          <t>0,000000000000</t>
        </is>
      </c>
    </row>
    <row outlineLevel="0" r="724">
      <c r="A724" s="3452" t="inlineStr">
        <is>
          <t>000224000201912539595</t>
        </is>
      </c>
      <c r="B724" s="3452" t="inlineStr">
        <is>
          <t>539595</t>
        </is>
      </c>
      <c r="C724" s="3452" t="inlineStr">
        <is>
          <t>000224000</t>
        </is>
      </c>
      <c r="D724" s="3452" t="inlineStr">
        <is>
          <t>201912</t>
        </is>
      </c>
      <c r="E724" s="3452" t="inlineStr">
        <is>
          <t>0,000000000000</t>
        </is>
      </c>
    </row>
    <row outlineLevel="0" r="725">
      <c r="A725" s="3452" t="inlineStr">
        <is>
          <t>000224000201912606000</t>
        </is>
      </c>
      <c r="B725" s="3452" t="inlineStr">
        <is>
          <t>606000</t>
        </is>
      </c>
      <c r="C725" s="3452" t="inlineStr">
        <is>
          <t>000224000</t>
        </is>
      </c>
      <c r="D725" s="3452" t="inlineStr">
        <is>
          <t>201912</t>
        </is>
      </c>
      <c r="E725" s="3452" t="inlineStr">
        <is>
          <t>0,000000000000</t>
        </is>
      </c>
    </row>
    <row outlineLevel="0" r="726">
      <c r="A726" s="3452" t="inlineStr">
        <is>
          <t>0002240002018120</t>
        </is>
      </c>
      <c r="B726" s="3452" t="inlineStr">
        <is>
          <t>0</t>
        </is>
      </c>
      <c r="C726" s="3452" t="inlineStr">
        <is>
          <t>000224000</t>
        </is>
      </c>
      <c r="D726" s="3452" t="inlineStr">
        <is>
          <t>201812</t>
        </is>
      </c>
      <c r="E726" s="3452" t="inlineStr">
        <is>
          <t>100000,000000000000</t>
        </is>
      </c>
    </row>
    <row outlineLevel="0" r="727">
      <c r="A727" s="3452" t="inlineStr">
        <is>
          <t>0002240002018121</t>
        </is>
      </c>
      <c r="B727" s="3452" t="inlineStr">
        <is>
          <t>1</t>
        </is>
      </c>
      <c r="C727" s="3452" t="inlineStr">
        <is>
          <t>000224000</t>
        </is>
      </c>
      <c r="D727" s="3452" t="inlineStr">
        <is>
          <t>201812</t>
        </is>
      </c>
      <c r="E727" s="3452" t="inlineStr">
        <is>
          <t>100000,000000000000</t>
        </is>
      </c>
    </row>
    <row outlineLevel="0" r="728">
      <c r="A728" s="3452" t="inlineStr">
        <is>
          <t>0002240002018122</t>
        </is>
      </c>
      <c r="B728" s="3452" t="inlineStr">
        <is>
          <t>2</t>
        </is>
      </c>
      <c r="C728" s="3452" t="inlineStr">
        <is>
          <t>000224000</t>
        </is>
      </c>
      <c r="D728" s="3452" t="inlineStr">
        <is>
          <t>201812</t>
        </is>
      </c>
      <c r="E728" s="3452" t="inlineStr">
        <is>
          <t>50000,000000000000</t>
        </is>
      </c>
    </row>
    <row outlineLevel="0" r="729">
      <c r="A729" s="3452" t="inlineStr">
        <is>
          <t>0002240002018123</t>
        </is>
      </c>
      <c r="B729" s="3452" t="inlineStr">
        <is>
          <t>3</t>
        </is>
      </c>
      <c r="C729" s="3452" t="inlineStr">
        <is>
          <t>000224000</t>
        </is>
      </c>
      <c r="D729" s="3452" t="inlineStr">
        <is>
          <t>201812</t>
        </is>
      </c>
      <c r="E729" s="3452" t="inlineStr">
        <is>
          <t>50000,000000000000</t>
        </is>
      </c>
    </row>
    <row outlineLevel="0" r="730">
      <c r="A730" s="3452" t="inlineStr">
        <is>
          <t>00022400020181211</t>
        </is>
      </c>
      <c r="B730" s="3452" t="inlineStr">
        <is>
          <t>11</t>
        </is>
      </c>
      <c r="C730" s="3452" t="inlineStr">
        <is>
          <t>000224000</t>
        </is>
      </c>
      <c r="D730" s="3452" t="inlineStr">
        <is>
          <t>201812</t>
        </is>
      </c>
      <c r="E730" s="3452" t="inlineStr">
        <is>
          <t>100000,000000000000</t>
        </is>
      </c>
    </row>
    <row outlineLevel="0" r="731">
      <c r="A731" s="3452" t="inlineStr">
        <is>
          <t>00022400020181212</t>
        </is>
      </c>
      <c r="B731" s="3452" t="inlineStr">
        <is>
          <t>12</t>
        </is>
      </c>
      <c r="C731" s="3452" t="inlineStr">
        <is>
          <t>000224000</t>
        </is>
      </c>
      <c r="D731" s="3452" t="inlineStr">
        <is>
          <t>201812</t>
        </is>
      </c>
      <c r="E731" s="3452" t="inlineStr">
        <is>
          <t>0,000000000000</t>
        </is>
      </c>
    </row>
    <row outlineLevel="0" r="732">
      <c r="A732" s="3452" t="inlineStr">
        <is>
          <t>00022400020181221</t>
        </is>
      </c>
      <c r="B732" s="3452" t="inlineStr">
        <is>
          <t>21</t>
        </is>
      </c>
      <c r="C732" s="3452" t="inlineStr">
        <is>
          <t>000224000</t>
        </is>
      </c>
      <c r="D732" s="3452" t="inlineStr">
        <is>
          <t>201812</t>
        </is>
      </c>
      <c r="E732" s="3452" t="inlineStr">
        <is>
          <t>50000,000000000000</t>
        </is>
      </c>
    </row>
    <row outlineLevel="0" r="733">
      <c r="A733" s="3452" t="inlineStr">
        <is>
          <t>00022400020181222</t>
        </is>
      </c>
      <c r="B733" s="3452" t="inlineStr">
        <is>
          <t>22</t>
        </is>
      </c>
      <c r="C733" s="3452" t="inlineStr">
        <is>
          <t>000224000</t>
        </is>
      </c>
      <c r="D733" s="3452" t="inlineStr">
        <is>
          <t>201812</t>
        </is>
      </c>
      <c r="E733" s="3452" t="inlineStr">
        <is>
          <t>0,000000000000</t>
        </is>
      </c>
    </row>
    <row outlineLevel="0" r="734">
      <c r="A734" s="3452" t="inlineStr">
        <is>
          <t>00022400020181231</t>
        </is>
      </c>
      <c r="B734" s="3452" t="inlineStr">
        <is>
          <t>31</t>
        </is>
      </c>
      <c r="C734" s="3452" t="inlineStr">
        <is>
          <t>000224000</t>
        </is>
      </c>
      <c r="D734" s="3452" t="inlineStr">
        <is>
          <t>201812</t>
        </is>
      </c>
      <c r="E734" s="3452" t="inlineStr">
        <is>
          <t>50000,000000000000</t>
        </is>
      </c>
    </row>
    <row outlineLevel="0" r="735">
      <c r="A735" s="3452" t="inlineStr">
        <is>
          <t>00022400020181232</t>
        </is>
      </c>
      <c r="B735" s="3452" t="inlineStr">
        <is>
          <t>32</t>
        </is>
      </c>
      <c r="C735" s="3452" t="inlineStr">
        <is>
          <t>000224000</t>
        </is>
      </c>
      <c r="D735" s="3452" t="inlineStr">
        <is>
          <t>201812</t>
        </is>
      </c>
      <c r="E735" s="3452" t="inlineStr">
        <is>
          <t>0,000000000000</t>
        </is>
      </c>
    </row>
    <row outlineLevel="0" r="736">
      <c r="A736" s="3452" t="inlineStr">
        <is>
          <t>00022400020181233</t>
        </is>
      </c>
      <c r="B736" s="3452" t="inlineStr">
        <is>
          <t>33</t>
        </is>
      </c>
      <c r="C736" s="3452" t="inlineStr">
        <is>
          <t>000224000</t>
        </is>
      </c>
      <c r="D736" s="3452" t="inlineStr">
        <is>
          <t>201812</t>
        </is>
      </c>
      <c r="E736" s="3452" t="inlineStr">
        <is>
          <t>0,000000000000</t>
        </is>
      </c>
    </row>
    <row outlineLevel="0" r="737">
      <c r="A737" s="3452" t="inlineStr">
        <is>
          <t>00022400020181234</t>
        </is>
      </c>
      <c r="B737" s="3452" t="inlineStr">
        <is>
          <t>34</t>
        </is>
      </c>
      <c r="C737" s="3452" t="inlineStr">
        <is>
          <t>000224000</t>
        </is>
      </c>
      <c r="D737" s="3452" t="inlineStr">
        <is>
          <t>201812</t>
        </is>
      </c>
      <c r="E737" s="3452" t="inlineStr">
        <is>
          <t>0,000000000000</t>
        </is>
      </c>
    </row>
    <row outlineLevel="0" r="738">
      <c r="A738" s="3452" t="inlineStr">
        <is>
          <t>00022400020181235</t>
        </is>
      </c>
      <c r="B738" s="3452" t="inlineStr">
        <is>
          <t>35</t>
        </is>
      </c>
      <c r="C738" s="3452" t="inlineStr">
        <is>
          <t>000224000</t>
        </is>
      </c>
      <c r="D738" s="3452" t="inlineStr">
        <is>
          <t>201812</t>
        </is>
      </c>
      <c r="E738" s="3452" t="inlineStr">
        <is>
          <t>0,000000000000</t>
        </is>
      </c>
    </row>
    <row outlineLevel="0" r="739">
      <c r="A739" s="3452" t="inlineStr">
        <is>
          <t>00022400020181236</t>
        </is>
      </c>
      <c r="B739" s="3452" t="inlineStr">
        <is>
          <t>36</t>
        </is>
      </c>
      <c r="C739" s="3452" t="inlineStr">
        <is>
          <t>000224000</t>
        </is>
      </c>
      <c r="D739" s="3452" t="inlineStr">
        <is>
          <t>201812</t>
        </is>
      </c>
      <c r="E739" s="3452" t="inlineStr">
        <is>
          <t>0,000000000000</t>
        </is>
      </c>
    </row>
    <row outlineLevel="0" r="740">
      <c r="A740" s="3452" t="inlineStr">
        <is>
          <t>00022400020181237</t>
        </is>
      </c>
      <c r="B740" s="3452" t="inlineStr">
        <is>
          <t>37</t>
        </is>
      </c>
      <c r="C740" s="3452" t="inlineStr">
        <is>
          <t>000224000</t>
        </is>
      </c>
      <c r="D740" s="3452" t="inlineStr">
        <is>
          <t>201812</t>
        </is>
      </c>
      <c r="E740" s="3452" t="inlineStr">
        <is>
          <t>0,000000000000</t>
        </is>
      </c>
    </row>
    <row outlineLevel="0" r="741">
      <c r="A741" s="3452" t="inlineStr">
        <is>
          <t>00022400020181238</t>
        </is>
      </c>
      <c r="B741" s="3452" t="inlineStr">
        <is>
          <t>38</t>
        </is>
      </c>
      <c r="C741" s="3452" t="inlineStr">
        <is>
          <t>000224000</t>
        </is>
      </c>
      <c r="D741" s="3452" t="inlineStr">
        <is>
          <t>201812</t>
        </is>
      </c>
      <c r="E741" s="3452" t="inlineStr">
        <is>
          <t>0,000000000000</t>
        </is>
      </c>
    </row>
    <row outlineLevel="0" r="742">
      <c r="A742" s="3452" t="inlineStr">
        <is>
          <t>00022400020181241</t>
        </is>
      </c>
      <c r="B742" s="3452" t="inlineStr">
        <is>
          <t>41</t>
        </is>
      </c>
      <c r="C742" s="3452" t="inlineStr">
        <is>
          <t>000224000</t>
        </is>
      </c>
      <c r="D742" s="3452" t="inlineStr">
        <is>
          <t>201812</t>
        </is>
      </c>
      <c r="E742" s="3452" t="inlineStr">
        <is>
          <t>0,000000000000</t>
        </is>
      </c>
    </row>
    <row outlineLevel="0" r="743">
      <c r="A743" s="3452" t="inlineStr">
        <is>
          <t>00022400020181242</t>
        </is>
      </c>
      <c r="B743" s="3452" t="inlineStr">
        <is>
          <t>42</t>
        </is>
      </c>
      <c r="C743" s="3452" t="inlineStr">
        <is>
          <t>000224000</t>
        </is>
      </c>
      <c r="D743" s="3452" t="inlineStr">
        <is>
          <t>201812</t>
        </is>
      </c>
      <c r="E743" s="3452" t="inlineStr">
        <is>
          <t>0,000000000000</t>
        </is>
      </c>
    </row>
    <row outlineLevel="0" r="744">
      <c r="A744" s="3452" t="inlineStr">
        <is>
          <t>00022400020181251</t>
        </is>
      </c>
      <c r="B744" s="3452" t="inlineStr">
        <is>
          <t>51</t>
        </is>
      </c>
      <c r="C744" s="3452" t="inlineStr">
        <is>
          <t>000224000</t>
        </is>
      </c>
      <c r="D744" s="3452" t="inlineStr">
        <is>
          <t>201812</t>
        </is>
      </c>
      <c r="E744" s="3452" t="inlineStr">
        <is>
          <t>0,000000000000</t>
        </is>
      </c>
    </row>
    <row outlineLevel="0" r="745">
      <c r="A745" s="3452" t="inlineStr">
        <is>
          <t>00022400020181252</t>
        </is>
      </c>
      <c r="B745" s="3452" t="inlineStr">
        <is>
          <t>52</t>
        </is>
      </c>
      <c r="C745" s="3452" t="inlineStr">
        <is>
          <t>000224000</t>
        </is>
      </c>
      <c r="D745" s="3452" t="inlineStr">
        <is>
          <t>201812</t>
        </is>
      </c>
      <c r="E745" s="3452" t="inlineStr">
        <is>
          <t>0,000000000000</t>
        </is>
      </c>
    </row>
    <row outlineLevel="0" r="746">
      <c r="A746" s="3452" t="inlineStr">
        <is>
          <t>00022400020181253</t>
        </is>
      </c>
      <c r="B746" s="3452" t="inlineStr">
        <is>
          <t>53</t>
        </is>
      </c>
      <c r="C746" s="3452" t="inlineStr">
        <is>
          <t>000224000</t>
        </is>
      </c>
      <c r="D746" s="3452" t="inlineStr">
        <is>
          <t>201812</t>
        </is>
      </c>
      <c r="E746" s="3452" t="inlineStr">
        <is>
          <t>0,000000000000</t>
        </is>
      </c>
    </row>
    <row outlineLevel="0" r="747">
      <c r="A747" s="3452" t="inlineStr">
        <is>
          <t>00022400020181254</t>
        </is>
      </c>
      <c r="B747" s="3452" t="inlineStr">
        <is>
          <t>54</t>
        </is>
      </c>
      <c r="C747" s="3452" t="inlineStr">
        <is>
          <t>000224000</t>
        </is>
      </c>
      <c r="D747" s="3452" t="inlineStr">
        <is>
          <t>201812</t>
        </is>
      </c>
      <c r="E747" s="3452" t="inlineStr">
        <is>
          <t>0,000000000000</t>
        </is>
      </c>
    </row>
    <row outlineLevel="0" r="748">
      <c r="A748" s="3452" t="inlineStr">
        <is>
          <t>00022400020181261</t>
        </is>
      </c>
      <c r="B748" s="3452" t="inlineStr">
        <is>
          <t>61</t>
        </is>
      </c>
      <c r="C748" s="3452" t="inlineStr">
        <is>
          <t>000224000</t>
        </is>
      </c>
      <c r="D748" s="3452" t="inlineStr">
        <is>
          <t>201812</t>
        </is>
      </c>
      <c r="E748" s="3452" t="inlineStr">
        <is>
          <t>0,000000000000</t>
        </is>
      </c>
    </row>
    <row outlineLevel="0" r="749">
      <c r="A749" s="3452" t="inlineStr">
        <is>
          <t>00022400020181295</t>
        </is>
      </c>
      <c r="B749" s="3452" t="inlineStr">
        <is>
          <t>95</t>
        </is>
      </c>
      <c r="C749" s="3452" t="inlineStr">
        <is>
          <t>000224000</t>
        </is>
      </c>
      <c r="D749" s="3452" t="inlineStr">
        <is>
          <t>201812</t>
        </is>
      </c>
      <c r="E749" s="3452" t="inlineStr">
        <is>
          <t>0,000000000000</t>
        </is>
      </c>
    </row>
    <row outlineLevel="0" r="750">
      <c r="A750" s="3452" t="inlineStr">
        <is>
          <t>00022400020181296</t>
        </is>
      </c>
      <c r="B750" s="3452" t="inlineStr">
        <is>
          <t>96</t>
        </is>
      </c>
      <c r="C750" s="3452" t="inlineStr">
        <is>
          <t>000224000</t>
        </is>
      </c>
      <c r="D750" s="3452" t="inlineStr">
        <is>
          <t>201812</t>
        </is>
      </c>
      <c r="E750" s="3452" t="inlineStr">
        <is>
          <t>0,000000000000</t>
        </is>
      </c>
    </row>
    <row outlineLevel="0" r="751">
      <c r="A751" s="3452" t="inlineStr">
        <is>
          <t>00022400020181297</t>
        </is>
      </c>
      <c r="B751" s="3452" t="inlineStr">
        <is>
          <t>97</t>
        </is>
      </c>
      <c r="C751" s="3452" t="inlineStr">
        <is>
          <t>000224000</t>
        </is>
      </c>
      <c r="D751" s="3452" t="inlineStr">
        <is>
          <t>201812</t>
        </is>
      </c>
      <c r="E751" s="3452" t="inlineStr">
        <is>
          <t>0,000000000000</t>
        </is>
      </c>
    </row>
    <row outlineLevel="0" r="752">
      <c r="A752" s="3452" t="inlineStr">
        <is>
          <t>00022400020181298</t>
        </is>
      </c>
      <c r="B752" s="3452" t="inlineStr">
        <is>
          <t>98</t>
        </is>
      </c>
      <c r="C752" s="3452" t="inlineStr">
        <is>
          <t>000224000</t>
        </is>
      </c>
      <c r="D752" s="3452" t="inlineStr">
        <is>
          <t>201812</t>
        </is>
      </c>
      <c r="E752" s="3452" t="inlineStr">
        <is>
          <t>0,000000000000</t>
        </is>
      </c>
    </row>
    <row outlineLevel="0" r="753">
      <c r="A753" s="3452" t="inlineStr">
        <is>
          <t>00022400020181299</t>
        </is>
      </c>
      <c r="B753" s="3452" t="inlineStr">
        <is>
          <t>99</t>
        </is>
      </c>
      <c r="C753" s="3452" t="inlineStr">
        <is>
          <t>000224000</t>
        </is>
      </c>
      <c r="D753" s="3452" t="inlineStr">
        <is>
          <t>201812</t>
        </is>
      </c>
      <c r="E753" s="3452" t="inlineStr">
        <is>
          <t>0,000000000000</t>
        </is>
      </c>
    </row>
    <row outlineLevel="0" r="754">
      <c r="A754" s="3452" t="inlineStr">
        <is>
          <t>0002240002018121101</t>
        </is>
      </c>
      <c r="B754" s="3452" t="inlineStr">
        <is>
          <t>1101</t>
        </is>
      </c>
      <c r="C754" s="3452" t="inlineStr">
        <is>
          <t>000224000</t>
        </is>
      </c>
      <c r="D754" s="3452" t="inlineStr">
        <is>
          <t>201812</t>
        </is>
      </c>
      <c r="E754" s="3452" t="inlineStr">
        <is>
          <t>100000,000000000000</t>
        </is>
      </c>
    </row>
    <row outlineLevel="0" r="755">
      <c r="A755" s="3452" t="inlineStr">
        <is>
          <t>0002240002018121102</t>
        </is>
      </c>
      <c r="B755" s="3452" t="inlineStr">
        <is>
          <t>1102</t>
        </is>
      </c>
      <c r="C755" s="3452" t="inlineStr">
        <is>
          <t>000224000</t>
        </is>
      </c>
      <c r="D755" s="3452" t="inlineStr">
        <is>
          <t>201812</t>
        </is>
      </c>
      <c r="E755" s="3452" t="inlineStr">
        <is>
          <t>0,000000000000</t>
        </is>
      </c>
    </row>
    <row outlineLevel="0" r="756">
      <c r="A756" s="3452" t="inlineStr">
        <is>
          <t>0002240002018121103</t>
        </is>
      </c>
      <c r="B756" s="3452" t="inlineStr">
        <is>
          <t>1103</t>
        </is>
      </c>
      <c r="C756" s="3452" t="inlineStr">
        <is>
          <t>000224000</t>
        </is>
      </c>
      <c r="D756" s="3452" t="inlineStr">
        <is>
          <t>201812</t>
        </is>
      </c>
      <c r="E756" s="3452" t="inlineStr">
        <is>
          <t>0,000000000000</t>
        </is>
      </c>
    </row>
    <row outlineLevel="0" r="757">
      <c r="A757" s="3452" t="inlineStr">
        <is>
          <t>0002240002018121104</t>
        </is>
      </c>
      <c r="B757" s="3452" t="inlineStr">
        <is>
          <t>1104</t>
        </is>
      </c>
      <c r="C757" s="3452" t="inlineStr">
        <is>
          <t>000224000</t>
        </is>
      </c>
      <c r="D757" s="3452" t="inlineStr">
        <is>
          <t>201812</t>
        </is>
      </c>
      <c r="E757" s="3452" t="inlineStr">
        <is>
          <t>0,000000000000</t>
        </is>
      </c>
    </row>
    <row outlineLevel="0" r="758">
      <c r="A758" s="3452" t="inlineStr">
        <is>
          <t>0002240002018121106</t>
        </is>
      </c>
      <c r="B758" s="3452" t="inlineStr">
        <is>
          <t>1106</t>
        </is>
      </c>
      <c r="C758" s="3452" t="inlineStr">
        <is>
          <t>000224000</t>
        </is>
      </c>
      <c r="D758" s="3452" t="inlineStr">
        <is>
          <t>201812</t>
        </is>
      </c>
      <c r="E758" s="3452" t="inlineStr">
        <is>
          <t>0,000000000000</t>
        </is>
      </c>
    </row>
    <row outlineLevel="0" r="759">
      <c r="A759" s="3452" t="inlineStr">
        <is>
          <t>0002240002018121107</t>
        </is>
      </c>
      <c r="B759" s="3452" t="inlineStr">
        <is>
          <t>1107</t>
        </is>
      </c>
      <c r="C759" s="3452" t="inlineStr">
        <is>
          <t>000224000</t>
        </is>
      </c>
      <c r="D759" s="3452" t="inlineStr">
        <is>
          <t>201812</t>
        </is>
      </c>
      <c r="E759" s="3452" t="inlineStr">
        <is>
          <t>0,000000000000</t>
        </is>
      </c>
    </row>
    <row outlineLevel="0" r="760">
      <c r="A760" s="3452" t="inlineStr">
        <is>
          <t>0002240002018121201</t>
        </is>
      </c>
      <c r="B760" s="3452" t="inlineStr">
        <is>
          <t>1201</t>
        </is>
      </c>
      <c r="C760" s="3452" t="inlineStr">
        <is>
          <t>000224000</t>
        </is>
      </c>
      <c r="D760" s="3452" t="inlineStr">
        <is>
          <t>201812</t>
        </is>
      </c>
      <c r="E760" s="3452" t="inlineStr">
        <is>
          <t>0,000000000000</t>
        </is>
      </c>
    </row>
    <row outlineLevel="0" r="761">
      <c r="A761" s="3452" t="inlineStr">
        <is>
          <t>0002240002018121202</t>
        </is>
      </c>
      <c r="B761" s="3452" t="inlineStr">
        <is>
          <t>1202</t>
        </is>
      </c>
      <c r="C761" s="3452" t="inlineStr">
        <is>
          <t>000224000</t>
        </is>
      </c>
      <c r="D761" s="3452" t="inlineStr">
        <is>
          <t>201812</t>
        </is>
      </c>
      <c r="E761" s="3452" t="inlineStr">
        <is>
          <t>0,000000000000</t>
        </is>
      </c>
    </row>
    <row outlineLevel="0" r="762">
      <c r="A762" s="3452" t="inlineStr">
        <is>
          <t>0002240002018121203</t>
        </is>
      </c>
      <c r="B762" s="3452" t="inlineStr">
        <is>
          <t>1203</t>
        </is>
      </c>
      <c r="C762" s="3452" t="inlineStr">
        <is>
          <t>000224000</t>
        </is>
      </c>
      <c r="D762" s="3452" t="inlineStr">
        <is>
          <t>201812</t>
        </is>
      </c>
      <c r="E762" s="3452" t="inlineStr">
        <is>
          <t>0,000000000000</t>
        </is>
      </c>
    </row>
    <row outlineLevel="0" r="763">
      <c r="A763" s="3452" t="inlineStr">
        <is>
          <t>0002240002018121205</t>
        </is>
      </c>
      <c r="B763" s="3452" t="inlineStr">
        <is>
          <t>1205</t>
        </is>
      </c>
      <c r="C763" s="3452" t="inlineStr">
        <is>
          <t>000224000</t>
        </is>
      </c>
      <c r="D763" s="3452" t="inlineStr">
        <is>
          <t>201812</t>
        </is>
      </c>
      <c r="E763" s="3452" t="inlineStr">
        <is>
          <t>0,000000000000</t>
        </is>
      </c>
    </row>
    <row outlineLevel="0" r="764">
      <c r="A764" s="3452" t="inlineStr">
        <is>
          <t>0002240002018121206</t>
        </is>
      </c>
      <c r="B764" s="3452" t="inlineStr">
        <is>
          <t>1206</t>
        </is>
      </c>
      <c r="C764" s="3452" t="inlineStr">
        <is>
          <t>000224000</t>
        </is>
      </c>
      <c r="D764" s="3452" t="inlineStr">
        <is>
          <t>201812</t>
        </is>
      </c>
      <c r="E764" s="3452" t="inlineStr">
        <is>
          <t>0,000000000000</t>
        </is>
      </c>
    </row>
    <row outlineLevel="0" r="765">
      <c r="A765" s="3452" t="inlineStr">
        <is>
          <t>0002240002018121207</t>
        </is>
      </c>
      <c r="B765" s="3452" t="inlineStr">
        <is>
          <t>1207</t>
        </is>
      </c>
      <c r="C765" s="3452" t="inlineStr">
        <is>
          <t>000224000</t>
        </is>
      </c>
      <c r="D765" s="3452" t="inlineStr">
        <is>
          <t>201812</t>
        </is>
      </c>
      <c r="E765" s="3452" t="inlineStr">
        <is>
          <t>0,000000000000</t>
        </is>
      </c>
    </row>
    <row outlineLevel="0" r="766">
      <c r="A766" s="3452" t="inlineStr">
        <is>
          <t>0002240002018121208</t>
        </is>
      </c>
      <c r="B766" s="3452" t="inlineStr">
        <is>
          <t>1208</t>
        </is>
      </c>
      <c r="C766" s="3452" t="inlineStr">
        <is>
          <t>000224000</t>
        </is>
      </c>
      <c r="D766" s="3452" t="inlineStr">
        <is>
          <t>201812</t>
        </is>
      </c>
      <c r="E766" s="3452" t="inlineStr">
        <is>
          <t>0,000000000000</t>
        </is>
      </c>
    </row>
    <row outlineLevel="0" r="767">
      <c r="A767" s="3452" t="inlineStr">
        <is>
          <t>0002240002018122101</t>
        </is>
      </c>
      <c r="B767" s="3452" t="inlineStr">
        <is>
          <t>2101</t>
        </is>
      </c>
      <c r="C767" s="3452" t="inlineStr">
        <is>
          <t>000224000</t>
        </is>
      </c>
      <c r="D767" s="3452" t="inlineStr">
        <is>
          <t>201812</t>
        </is>
      </c>
      <c r="E767" s="3452" t="inlineStr">
        <is>
          <t>50000,000000000000</t>
        </is>
      </c>
    </row>
    <row outlineLevel="0" r="768">
      <c r="A768" s="3452" t="inlineStr">
        <is>
          <t>0002240002018122102</t>
        </is>
      </c>
      <c r="B768" s="3452" t="inlineStr">
        <is>
          <t>2102</t>
        </is>
      </c>
      <c r="C768" s="3452" t="inlineStr">
        <is>
          <t>000224000</t>
        </is>
      </c>
      <c r="D768" s="3452" t="inlineStr">
        <is>
          <t>201812</t>
        </is>
      </c>
      <c r="E768" s="3452" t="inlineStr">
        <is>
          <t>0,000000000000</t>
        </is>
      </c>
    </row>
    <row outlineLevel="0" r="769">
      <c r="A769" s="3452" t="inlineStr">
        <is>
          <t>0002240002018122103</t>
        </is>
      </c>
      <c r="B769" s="3452" t="inlineStr">
        <is>
          <t>2103</t>
        </is>
      </c>
      <c r="C769" s="3452" t="inlineStr">
        <is>
          <t>000224000</t>
        </is>
      </c>
      <c r="D769" s="3452" t="inlineStr">
        <is>
          <t>201812</t>
        </is>
      </c>
      <c r="E769" s="3452" t="inlineStr">
        <is>
          <t>0,000000000000</t>
        </is>
      </c>
    </row>
    <row outlineLevel="0" r="770">
      <c r="A770" s="3452" t="inlineStr">
        <is>
          <t>0002240002018122104</t>
        </is>
      </c>
      <c r="B770" s="3452" t="inlineStr">
        <is>
          <t>2104</t>
        </is>
      </c>
      <c r="C770" s="3452" t="inlineStr">
        <is>
          <t>000224000</t>
        </is>
      </c>
      <c r="D770" s="3452" t="inlineStr">
        <is>
          <t>201812</t>
        </is>
      </c>
      <c r="E770" s="3452" t="inlineStr">
        <is>
          <t>0,000000000000</t>
        </is>
      </c>
    </row>
    <row outlineLevel="0" r="771">
      <c r="A771" s="3452" t="inlineStr">
        <is>
          <t>0002240002018122105</t>
        </is>
      </c>
      <c r="B771" s="3452" t="inlineStr">
        <is>
          <t>2105</t>
        </is>
      </c>
      <c r="C771" s="3452" t="inlineStr">
        <is>
          <t>000224000</t>
        </is>
      </c>
      <c r="D771" s="3452" t="inlineStr">
        <is>
          <t>201812</t>
        </is>
      </c>
      <c r="E771" s="3452" t="inlineStr">
        <is>
          <t>0,000000000000</t>
        </is>
      </c>
    </row>
    <row outlineLevel="0" r="772">
      <c r="A772" s="3452" t="inlineStr">
        <is>
          <t>0002240002018122106</t>
        </is>
      </c>
      <c r="B772" s="3452" t="inlineStr">
        <is>
          <t>2106</t>
        </is>
      </c>
      <c r="C772" s="3452" t="inlineStr">
        <is>
          <t>000224000</t>
        </is>
      </c>
      <c r="D772" s="3452" t="inlineStr">
        <is>
          <t>201812</t>
        </is>
      </c>
      <c r="E772" s="3452" t="inlineStr">
        <is>
          <t>0,000000000000</t>
        </is>
      </c>
    </row>
    <row outlineLevel="0" r="773">
      <c r="A773" s="3452" t="inlineStr">
        <is>
          <t>0002240002018122107</t>
        </is>
      </c>
      <c r="B773" s="3452" t="inlineStr">
        <is>
          <t>2107</t>
        </is>
      </c>
      <c r="C773" s="3452" t="inlineStr">
        <is>
          <t>000224000</t>
        </is>
      </c>
      <c r="D773" s="3452" t="inlineStr">
        <is>
          <t>201812</t>
        </is>
      </c>
      <c r="E773" s="3452" t="inlineStr">
        <is>
          <t>0,000000000000</t>
        </is>
      </c>
    </row>
    <row outlineLevel="0" r="774">
      <c r="A774" s="3452" t="inlineStr">
        <is>
          <t>0002240002018122109</t>
        </is>
      </c>
      <c r="B774" s="3452" t="inlineStr">
        <is>
          <t>2109</t>
        </is>
      </c>
      <c r="C774" s="3452" t="inlineStr">
        <is>
          <t>000224000</t>
        </is>
      </c>
      <c r="D774" s="3452" t="inlineStr">
        <is>
          <t>201812</t>
        </is>
      </c>
      <c r="E774" s="3452" t="inlineStr">
        <is>
          <t>0,000000000000</t>
        </is>
      </c>
    </row>
    <row outlineLevel="0" r="775">
      <c r="A775" s="3452" t="inlineStr">
        <is>
          <t>0002240002018122201</t>
        </is>
      </c>
      <c r="B775" s="3452" t="inlineStr">
        <is>
          <t>2201</t>
        </is>
      </c>
      <c r="C775" s="3452" t="inlineStr">
        <is>
          <t>000224000</t>
        </is>
      </c>
      <c r="D775" s="3452" t="inlineStr">
        <is>
          <t>201812</t>
        </is>
      </c>
      <c r="E775" s="3452" t="inlineStr">
        <is>
          <t>0,000000000000</t>
        </is>
      </c>
    </row>
    <row outlineLevel="0" r="776">
      <c r="A776" s="3452" t="inlineStr">
        <is>
          <t>0002240002018122203</t>
        </is>
      </c>
      <c r="B776" s="3452" t="inlineStr">
        <is>
          <t>2203</t>
        </is>
      </c>
      <c r="C776" s="3452" t="inlineStr">
        <is>
          <t>000224000</t>
        </is>
      </c>
      <c r="D776" s="3452" t="inlineStr">
        <is>
          <t>201812</t>
        </is>
      </c>
      <c r="E776" s="3452" t="inlineStr">
        <is>
          <t>0,000000000000</t>
        </is>
      </c>
    </row>
    <row outlineLevel="0" r="777">
      <c r="A777" s="3452" t="inlineStr">
        <is>
          <t>0002240002018122204</t>
        </is>
      </c>
      <c r="B777" s="3452" t="inlineStr">
        <is>
          <t>2204</t>
        </is>
      </c>
      <c r="C777" s="3452" t="inlineStr">
        <is>
          <t>000224000</t>
        </is>
      </c>
      <c r="D777" s="3452" t="inlineStr">
        <is>
          <t>201812</t>
        </is>
      </c>
      <c r="E777" s="3452" t="inlineStr">
        <is>
          <t>0,000000000000</t>
        </is>
      </c>
    </row>
    <row outlineLevel="0" r="778">
      <c r="A778" s="3452" t="inlineStr">
        <is>
          <t>0002240002018122206</t>
        </is>
      </c>
      <c r="B778" s="3452" t="inlineStr">
        <is>
          <t>2206</t>
        </is>
      </c>
      <c r="C778" s="3452" t="inlineStr">
        <is>
          <t>000224000</t>
        </is>
      </c>
      <c r="D778" s="3452" t="inlineStr">
        <is>
          <t>201812</t>
        </is>
      </c>
      <c r="E778" s="3452" t="inlineStr">
        <is>
          <t>0,000000000000</t>
        </is>
      </c>
    </row>
    <row outlineLevel="0" r="779">
      <c r="A779" s="3452" t="inlineStr">
        <is>
          <t>0002240002018122207</t>
        </is>
      </c>
      <c r="B779" s="3452" t="inlineStr">
        <is>
          <t>2207</t>
        </is>
      </c>
      <c r="C779" s="3452" t="inlineStr">
        <is>
          <t>000224000</t>
        </is>
      </c>
      <c r="D779" s="3452" t="inlineStr">
        <is>
          <t>201812</t>
        </is>
      </c>
      <c r="E779" s="3452" t="inlineStr">
        <is>
          <t>0,000000000000</t>
        </is>
      </c>
    </row>
    <row outlineLevel="0" r="780">
      <c r="A780" s="3452" t="inlineStr">
        <is>
          <t>0002240002018122209</t>
        </is>
      </c>
      <c r="B780" s="3452" t="inlineStr">
        <is>
          <t>2209</t>
        </is>
      </c>
      <c r="C780" s="3452" t="inlineStr">
        <is>
          <t>000224000</t>
        </is>
      </c>
      <c r="D780" s="3452" t="inlineStr">
        <is>
          <t>201812</t>
        </is>
      </c>
      <c r="E780" s="3452" t="inlineStr">
        <is>
          <t>0,000000000000</t>
        </is>
      </c>
    </row>
    <row outlineLevel="0" r="781">
      <c r="A781" s="3452" t="inlineStr">
        <is>
          <t>0002240002018125301</t>
        </is>
      </c>
      <c r="B781" s="3452" t="inlineStr">
        <is>
          <t>5301</t>
        </is>
      </c>
      <c r="C781" s="3452" t="inlineStr">
        <is>
          <t>000224000</t>
        </is>
      </c>
      <c r="D781" s="3452" t="inlineStr">
        <is>
          <t>201812</t>
        </is>
      </c>
      <c r="E781" s="3452" t="inlineStr">
        <is>
          <t>0,000000000000</t>
        </is>
      </c>
    </row>
    <row outlineLevel="0" r="782">
      <c r="A782" s="3452" t="inlineStr">
        <is>
          <t>000224000201812108000</t>
        </is>
      </c>
      <c r="B782" s="3452" t="inlineStr">
        <is>
          <t>108000</t>
        </is>
      </c>
      <c r="C782" s="3452" t="inlineStr">
        <is>
          <t>000224000</t>
        </is>
      </c>
      <c r="D782" s="3452" t="inlineStr">
        <is>
          <t>201812</t>
        </is>
      </c>
      <c r="E782" s="3452" t="inlineStr">
        <is>
          <t>0,000000000000</t>
        </is>
      </c>
    </row>
    <row outlineLevel="0" r="783">
      <c r="A783" s="3452" t="inlineStr">
        <is>
          <t>000224000201812108100</t>
        </is>
      </c>
      <c r="B783" s="3452" t="inlineStr">
        <is>
          <t>108100</t>
        </is>
      </c>
      <c r="C783" s="3452" t="inlineStr">
        <is>
          <t>000224000</t>
        </is>
      </c>
      <c r="D783" s="3452" t="inlineStr">
        <is>
          <t>201812</t>
        </is>
      </c>
      <c r="E783" s="3452" t="inlineStr">
        <is>
          <t>0,000000000000</t>
        </is>
      </c>
    </row>
    <row outlineLevel="0" r="784">
      <c r="A784" s="3452" t="inlineStr">
        <is>
          <t>000224000201812108200</t>
        </is>
      </c>
      <c r="B784" s="3452" t="inlineStr">
        <is>
          <t>108200</t>
        </is>
      </c>
      <c r="C784" s="3452" t="inlineStr">
        <is>
          <t>000224000</t>
        </is>
      </c>
      <c r="D784" s="3452" t="inlineStr">
        <is>
          <t>201812</t>
        </is>
      </c>
      <c r="E784" s="3452" t="inlineStr">
        <is>
          <t>0,000000000000</t>
        </is>
      </c>
    </row>
    <row outlineLevel="0" r="785">
      <c r="A785" s="3452" t="inlineStr">
        <is>
          <t>000224000201812108300</t>
        </is>
      </c>
      <c r="B785" s="3452" t="inlineStr">
        <is>
          <t>108300</t>
        </is>
      </c>
      <c r="C785" s="3452" t="inlineStr">
        <is>
          <t>000224000</t>
        </is>
      </c>
      <c r="D785" s="3452" t="inlineStr">
        <is>
          <t>201812</t>
        </is>
      </c>
      <c r="E785" s="3452" t="inlineStr">
        <is>
          <t>0,000000000000</t>
        </is>
      </c>
    </row>
    <row outlineLevel="0" r="786">
      <c r="A786" s="3452" t="inlineStr">
        <is>
          <t>000224000201812108400</t>
        </is>
      </c>
      <c r="B786" s="3452" t="inlineStr">
        <is>
          <t>108400</t>
        </is>
      </c>
      <c r="C786" s="3452" t="inlineStr">
        <is>
          <t>000224000</t>
        </is>
      </c>
      <c r="D786" s="3452" t="inlineStr">
        <is>
          <t>201812</t>
        </is>
      </c>
      <c r="E786" s="3452" t="inlineStr">
        <is>
          <t>0,000000000000</t>
        </is>
      </c>
    </row>
    <row outlineLevel="0" r="787">
      <c r="A787" s="3452" t="inlineStr">
        <is>
          <t>000224000201812109801</t>
        </is>
      </c>
      <c r="B787" s="3452" t="inlineStr">
        <is>
          <t>109801</t>
        </is>
      </c>
      <c r="C787" s="3452" t="inlineStr">
        <is>
          <t>000224000</t>
        </is>
      </c>
      <c r="D787" s="3452" t="inlineStr">
        <is>
          <t>201812</t>
        </is>
      </c>
      <c r="E787" s="3452" t="inlineStr">
        <is>
          <t>0,000000000000</t>
        </is>
      </c>
    </row>
    <row outlineLevel="0" r="788">
      <c r="A788" s="3452" t="inlineStr">
        <is>
          <t>000224000201812110105</t>
        </is>
      </c>
      <c r="B788" s="3452" t="inlineStr">
        <is>
          <t>110105</t>
        </is>
      </c>
      <c r="C788" s="3452" t="inlineStr">
        <is>
          <t>000224000</t>
        </is>
      </c>
      <c r="D788" s="3452" t="inlineStr">
        <is>
          <t>201812</t>
        </is>
      </c>
      <c r="E788" s="3452" t="inlineStr">
        <is>
          <t>0,000000000000</t>
        </is>
      </c>
    </row>
    <row outlineLevel="0" r="789">
      <c r="A789" s="3452" t="inlineStr">
        <is>
          <t>000224000201812110110</t>
        </is>
      </c>
      <c r="B789" s="3452" t="inlineStr">
        <is>
          <t>110110</t>
        </is>
      </c>
      <c r="C789" s="3452" t="inlineStr">
        <is>
          <t>000224000</t>
        </is>
      </c>
      <c r="D789" s="3452" t="inlineStr">
        <is>
          <t>201812</t>
        </is>
      </c>
      <c r="E789" s="3452" t="inlineStr">
        <is>
          <t>100000,000000000000</t>
        </is>
      </c>
    </row>
    <row outlineLevel="0" r="790">
      <c r="A790" s="3452" t="inlineStr">
        <is>
          <t>000224000201812110125</t>
        </is>
      </c>
      <c r="B790" s="3452" t="inlineStr">
        <is>
          <t>110125</t>
        </is>
      </c>
      <c r="C790" s="3452" t="inlineStr">
        <is>
          <t>000224000</t>
        </is>
      </c>
      <c r="D790" s="3452" t="inlineStr">
        <is>
          <t>201812</t>
        </is>
      </c>
      <c r="E790" s="3452" t="inlineStr">
        <is>
          <t>0,000000000000</t>
        </is>
      </c>
    </row>
    <row outlineLevel="0" r="791">
      <c r="A791" s="3452" t="inlineStr">
        <is>
          <t>000224000201812110130</t>
        </is>
      </c>
      <c r="B791" s="3452" t="inlineStr">
        <is>
          <t>110130</t>
        </is>
      </c>
      <c r="C791" s="3452" t="inlineStr">
        <is>
          <t>000224000</t>
        </is>
      </c>
      <c r="D791" s="3452" t="inlineStr">
        <is>
          <t>201812</t>
        </is>
      </c>
      <c r="E791" s="3452" t="inlineStr">
        <is>
          <t>0,000000000000</t>
        </is>
      </c>
    </row>
    <row outlineLevel="0" r="792">
      <c r="A792" s="3452" t="inlineStr">
        <is>
          <t>000224000201812110205</t>
        </is>
      </c>
      <c r="B792" s="3452" t="inlineStr">
        <is>
          <t>110205</t>
        </is>
      </c>
      <c r="C792" s="3452" t="inlineStr">
        <is>
          <t>000224000</t>
        </is>
      </c>
      <c r="D792" s="3452" t="inlineStr">
        <is>
          <t>201812</t>
        </is>
      </c>
      <c r="E792" s="3452" t="inlineStr">
        <is>
          <t>0,000000000000</t>
        </is>
      </c>
    </row>
    <row outlineLevel="0" r="793">
      <c r="A793" s="3452" t="inlineStr">
        <is>
          <t>000224000201812110210</t>
        </is>
      </c>
      <c r="B793" s="3452" t="inlineStr">
        <is>
          <t>110210</t>
        </is>
      </c>
      <c r="C793" s="3452" t="inlineStr">
        <is>
          <t>000224000</t>
        </is>
      </c>
      <c r="D793" s="3452" t="inlineStr">
        <is>
          <t>201812</t>
        </is>
      </c>
      <c r="E793" s="3452" t="inlineStr">
        <is>
          <t>0,000000000000</t>
        </is>
      </c>
    </row>
    <row outlineLevel="0" r="794">
      <c r="A794" s="3452" t="inlineStr">
        <is>
          <t>000224000201812110215</t>
        </is>
      </c>
      <c r="B794" s="3452" t="inlineStr">
        <is>
          <t>110215</t>
        </is>
      </c>
      <c r="C794" s="3452" t="inlineStr">
        <is>
          <t>000224000</t>
        </is>
      </c>
      <c r="D794" s="3452" t="inlineStr">
        <is>
          <t>201812</t>
        </is>
      </c>
      <c r="E794" s="3452" t="inlineStr">
        <is>
          <t>0,000000000000</t>
        </is>
      </c>
    </row>
    <row outlineLevel="0" r="795">
      <c r="A795" s="3452" t="inlineStr">
        <is>
          <t>000224000201812110225</t>
        </is>
      </c>
      <c r="B795" s="3452" t="inlineStr">
        <is>
          <t>110225</t>
        </is>
      </c>
      <c r="C795" s="3452" t="inlineStr">
        <is>
          <t>000224000</t>
        </is>
      </c>
      <c r="D795" s="3452" t="inlineStr">
        <is>
          <t>201812</t>
        </is>
      </c>
      <c r="E795" s="3452" t="inlineStr">
        <is>
          <t>0,000000000000</t>
        </is>
      </c>
    </row>
    <row outlineLevel="0" r="796">
      <c r="A796" s="3452" t="inlineStr">
        <is>
          <t>000224000201812110235</t>
        </is>
      </c>
      <c r="B796" s="3452" t="inlineStr">
        <is>
          <t>110235</t>
        </is>
      </c>
      <c r="C796" s="3452" t="inlineStr">
        <is>
          <t>000224000</t>
        </is>
      </c>
      <c r="D796" s="3452" t="inlineStr">
        <is>
          <t>201812</t>
        </is>
      </c>
      <c r="E796" s="3452" t="inlineStr">
        <is>
          <t>0,000000000000</t>
        </is>
      </c>
    </row>
    <row outlineLevel="0" r="797">
      <c r="A797" s="3452" t="inlineStr">
        <is>
          <t>000224000201812110255</t>
        </is>
      </c>
      <c r="B797" s="3452" t="inlineStr">
        <is>
          <t>110255</t>
        </is>
      </c>
      <c r="C797" s="3452" t="inlineStr">
        <is>
          <t>000224000</t>
        </is>
      </c>
      <c r="D797" s="3452" t="inlineStr">
        <is>
          <t>201812</t>
        </is>
      </c>
      <c r="E797" s="3452" t="inlineStr">
        <is>
          <t>0,000000000000</t>
        </is>
      </c>
    </row>
    <row outlineLevel="0" r="798">
      <c r="A798" s="3452" t="inlineStr">
        <is>
          <t>000224000201812110260</t>
        </is>
      </c>
      <c r="B798" s="3452" t="inlineStr">
        <is>
          <t>110260</t>
        </is>
      </c>
      <c r="C798" s="3452" t="inlineStr">
        <is>
          <t>000224000</t>
        </is>
      </c>
      <c r="D798" s="3452" t="inlineStr">
        <is>
          <t>201812</t>
        </is>
      </c>
      <c r="E798" s="3452" t="inlineStr">
        <is>
          <t>0,000000000000</t>
        </is>
      </c>
    </row>
    <row outlineLevel="0" r="799">
      <c r="A799" s="3452" t="inlineStr">
        <is>
          <t>000224000201812110305</t>
        </is>
      </c>
      <c r="B799" s="3452" t="inlineStr">
        <is>
          <t>110305</t>
        </is>
      </c>
      <c r="C799" s="3452" t="inlineStr">
        <is>
          <t>000224000</t>
        </is>
      </c>
      <c r="D799" s="3452" t="inlineStr">
        <is>
          <t>201812</t>
        </is>
      </c>
      <c r="E799" s="3452" t="inlineStr">
        <is>
          <t>0,000000000000</t>
        </is>
      </c>
    </row>
    <row outlineLevel="0" r="800">
      <c r="A800" s="3452" t="inlineStr">
        <is>
          <t>000224000201812110390</t>
        </is>
      </c>
      <c r="B800" s="3452" t="inlineStr">
        <is>
          <t>110390</t>
        </is>
      </c>
      <c r="C800" s="3452" t="inlineStr">
        <is>
          <t>000224000</t>
        </is>
      </c>
      <c r="D800" s="3452" t="inlineStr">
        <is>
          <t>201812</t>
        </is>
      </c>
      <c r="E800" s="3452" t="inlineStr">
        <is>
          <t>0,000000000000</t>
        </is>
      </c>
    </row>
    <row outlineLevel="0" r="801">
      <c r="A801" s="3452" t="inlineStr">
        <is>
          <t>000224000201812110395</t>
        </is>
      </c>
      <c r="B801" s="3452" t="inlineStr">
        <is>
          <t>110395</t>
        </is>
      </c>
      <c r="C801" s="3452" t="inlineStr">
        <is>
          <t>000224000</t>
        </is>
      </c>
      <c r="D801" s="3452" t="inlineStr">
        <is>
          <t>201812</t>
        </is>
      </c>
      <c r="E801" s="3452" t="inlineStr">
        <is>
          <t>0,000000000000</t>
        </is>
      </c>
    </row>
    <row outlineLevel="0" r="802">
      <c r="A802" s="3452" t="inlineStr">
        <is>
          <t>000224000201812110405</t>
        </is>
      </c>
      <c r="B802" s="3452" t="inlineStr">
        <is>
          <t>110405</t>
        </is>
      </c>
      <c r="C802" s="3452" t="inlineStr">
        <is>
          <t>000224000</t>
        </is>
      </c>
      <c r="D802" s="3452" t="inlineStr">
        <is>
          <t>201812</t>
        </is>
      </c>
      <c r="E802" s="3452" t="inlineStr">
        <is>
          <t>0,000000000000</t>
        </is>
      </c>
    </row>
    <row outlineLevel="0" r="803">
      <c r="A803" s="3452" t="inlineStr">
        <is>
          <t>000224000201812110410</t>
        </is>
      </c>
      <c r="B803" s="3452" t="inlineStr">
        <is>
          <t>110410</t>
        </is>
      </c>
      <c r="C803" s="3452" t="inlineStr">
        <is>
          <t>000224000</t>
        </is>
      </c>
      <c r="D803" s="3452" t="inlineStr">
        <is>
          <t>201812</t>
        </is>
      </c>
      <c r="E803" s="3452" t="inlineStr">
        <is>
          <t>0,000000000000</t>
        </is>
      </c>
    </row>
    <row outlineLevel="0" r="804">
      <c r="A804" s="3452" t="inlineStr">
        <is>
          <t>000224000201812110415</t>
        </is>
      </c>
      <c r="B804" s="3452" t="inlineStr">
        <is>
          <t>110415</t>
        </is>
      </c>
      <c r="C804" s="3452" t="inlineStr">
        <is>
          <t>000224000</t>
        </is>
      </c>
      <c r="D804" s="3452" t="inlineStr">
        <is>
          <t>201812</t>
        </is>
      </c>
      <c r="E804" s="3452" t="inlineStr">
        <is>
          <t>0,000000000000</t>
        </is>
      </c>
    </row>
    <row outlineLevel="0" r="805">
      <c r="A805" s="3452" t="inlineStr">
        <is>
          <t>000224000201812110420</t>
        </is>
      </c>
      <c r="B805" s="3452" t="inlineStr">
        <is>
          <t>110420</t>
        </is>
      </c>
      <c r="C805" s="3452" t="inlineStr">
        <is>
          <t>000224000</t>
        </is>
      </c>
      <c r="D805" s="3452" t="inlineStr">
        <is>
          <t>201812</t>
        </is>
      </c>
      <c r="E805" s="3452" t="inlineStr">
        <is>
          <t>0,000000000000</t>
        </is>
      </c>
    </row>
    <row outlineLevel="0" r="806">
      <c r="A806" s="3452" t="inlineStr">
        <is>
          <t>000224000201812110490</t>
        </is>
      </c>
      <c r="B806" s="3452" t="inlineStr">
        <is>
          <t>110490</t>
        </is>
      </c>
      <c r="C806" s="3452" t="inlineStr">
        <is>
          <t>000224000</t>
        </is>
      </c>
      <c r="D806" s="3452" t="inlineStr">
        <is>
          <t>201812</t>
        </is>
      </c>
      <c r="E806" s="3452" t="inlineStr">
        <is>
          <t>0,000000000000</t>
        </is>
      </c>
    </row>
    <row outlineLevel="0" r="807">
      <c r="A807" s="3452" t="inlineStr">
        <is>
          <t>000224000201812110491</t>
        </is>
      </c>
      <c r="B807" s="3452" t="inlineStr">
        <is>
          <t>110491</t>
        </is>
      </c>
      <c r="C807" s="3452" t="inlineStr">
        <is>
          <t>000224000</t>
        </is>
      </c>
      <c r="D807" s="3452" t="inlineStr">
        <is>
          <t>201812</t>
        </is>
      </c>
      <c r="E807" s="3452" t="inlineStr">
        <is>
          <t>0,000000000000</t>
        </is>
      </c>
    </row>
    <row outlineLevel="0" r="808">
      <c r="A808" s="3452" t="inlineStr">
        <is>
          <t>000224000201812110495</t>
        </is>
      </c>
      <c r="B808" s="3452" t="inlineStr">
        <is>
          <t>110495</t>
        </is>
      </c>
      <c r="C808" s="3452" t="inlineStr">
        <is>
          <t>000224000</t>
        </is>
      </c>
      <c r="D808" s="3452" t="inlineStr">
        <is>
          <t>201812</t>
        </is>
      </c>
      <c r="E808" s="3452" t="inlineStr">
        <is>
          <t>0,000000000000</t>
        </is>
      </c>
    </row>
    <row outlineLevel="0" r="809">
      <c r="A809" s="3452" t="inlineStr">
        <is>
          <t>000224000201812111010</t>
        </is>
      </c>
      <c r="B809" s="3452" t="inlineStr">
        <is>
          <t>111010</t>
        </is>
      </c>
      <c r="C809" s="3452" t="inlineStr">
        <is>
          <t>000224000</t>
        </is>
      </c>
      <c r="D809" s="3452" t="inlineStr">
        <is>
          <t>201812</t>
        </is>
      </c>
      <c r="E809" s="3452" t="inlineStr">
        <is>
          <t>0,000000000000</t>
        </is>
      </c>
    </row>
    <row outlineLevel="0" r="810">
      <c r="A810" s="3452" t="inlineStr">
        <is>
          <t>000224000201812120104</t>
        </is>
      </c>
      <c r="B810" s="3452" t="inlineStr">
        <is>
          <t>120104</t>
        </is>
      </c>
      <c r="C810" s="3452" t="inlineStr">
        <is>
          <t>000224000</t>
        </is>
      </c>
      <c r="D810" s="3452" t="inlineStr">
        <is>
          <t>201812</t>
        </is>
      </c>
      <c r="E810" s="3452" t="inlineStr">
        <is>
          <t>0,000000000000</t>
        </is>
      </c>
    </row>
    <row outlineLevel="0" r="811">
      <c r="A811" s="3452" t="inlineStr">
        <is>
          <t>000224000201812120108</t>
        </is>
      </c>
      <c r="B811" s="3452" t="inlineStr">
        <is>
          <t>120108</t>
        </is>
      </c>
      <c r="C811" s="3452" t="inlineStr">
        <is>
          <t>000224000</t>
        </is>
      </c>
      <c r="D811" s="3452" t="inlineStr">
        <is>
          <t>201812</t>
        </is>
      </c>
      <c r="E811" s="3452" t="inlineStr">
        <is>
          <t>0,000000000000</t>
        </is>
      </c>
    </row>
    <row outlineLevel="0" r="812">
      <c r="A812" s="3452" t="inlineStr">
        <is>
          <t>000224000201812120116</t>
        </is>
      </c>
      <c r="B812" s="3452" t="inlineStr">
        <is>
          <t>120116</t>
        </is>
      </c>
      <c r="C812" s="3452" t="inlineStr">
        <is>
          <t>000224000</t>
        </is>
      </c>
      <c r="D812" s="3452" t="inlineStr">
        <is>
          <t>201812</t>
        </is>
      </c>
      <c r="E812" s="3452" t="inlineStr">
        <is>
          <t>0,000000000000</t>
        </is>
      </c>
    </row>
    <row outlineLevel="0" r="813">
      <c r="A813" s="3452" t="inlineStr">
        <is>
          <t>000224000201812120120</t>
        </is>
      </c>
      <c r="B813" s="3452" t="inlineStr">
        <is>
          <t>120120</t>
        </is>
      </c>
      <c r="C813" s="3452" t="inlineStr">
        <is>
          <t>000224000</t>
        </is>
      </c>
      <c r="D813" s="3452" t="inlineStr">
        <is>
          <t>201812</t>
        </is>
      </c>
      <c r="E813" s="3452" t="inlineStr">
        <is>
          <t>0,000000000000</t>
        </is>
      </c>
    </row>
    <row outlineLevel="0" r="814">
      <c r="A814" s="3452" t="inlineStr">
        <is>
          <t>000224000201812120124</t>
        </is>
      </c>
      <c r="B814" s="3452" t="inlineStr">
        <is>
          <t>120124</t>
        </is>
      </c>
      <c r="C814" s="3452" t="inlineStr">
        <is>
          <t>000224000</t>
        </is>
      </c>
      <c r="D814" s="3452" t="inlineStr">
        <is>
          <t>201812</t>
        </is>
      </c>
      <c r="E814" s="3452" t="inlineStr">
        <is>
          <t>0,000000000000</t>
        </is>
      </c>
    </row>
    <row outlineLevel="0" r="815">
      <c r="A815" s="3452" t="inlineStr">
        <is>
          <t>000224000201812120128</t>
        </is>
      </c>
      <c r="B815" s="3452" t="inlineStr">
        <is>
          <t>120128</t>
        </is>
      </c>
      <c r="C815" s="3452" t="inlineStr">
        <is>
          <t>000224000</t>
        </is>
      </c>
      <c r="D815" s="3452" t="inlineStr">
        <is>
          <t>201812</t>
        </is>
      </c>
      <c r="E815" s="3452" t="inlineStr">
        <is>
          <t>0,000000000000</t>
        </is>
      </c>
    </row>
    <row outlineLevel="0" r="816">
      <c r="A816" s="3452" t="inlineStr">
        <is>
          <t>000224000201812120140</t>
        </is>
      </c>
      <c r="B816" s="3452" t="inlineStr">
        <is>
          <t>120140</t>
        </is>
      </c>
      <c r="C816" s="3452" t="inlineStr">
        <is>
          <t>000224000</t>
        </is>
      </c>
      <c r="D816" s="3452" t="inlineStr">
        <is>
          <t>201812</t>
        </is>
      </c>
      <c r="E816" s="3452" t="inlineStr">
        <is>
          <t>0,000000000000</t>
        </is>
      </c>
    </row>
    <row outlineLevel="0" r="817">
      <c r="A817" s="3452" t="inlineStr">
        <is>
          <t>000224000201812120145</t>
        </is>
      </c>
      <c r="B817" s="3452" t="inlineStr">
        <is>
          <t>120145</t>
        </is>
      </c>
      <c r="C817" s="3452" t="inlineStr">
        <is>
          <t>000224000</t>
        </is>
      </c>
      <c r="D817" s="3452" t="inlineStr">
        <is>
          <t>201812</t>
        </is>
      </c>
      <c r="E817" s="3452" t="inlineStr">
        <is>
          <t>0,000000000000</t>
        </is>
      </c>
    </row>
    <row outlineLevel="0" r="818">
      <c r="A818" s="3452" t="inlineStr">
        <is>
          <t>000224000201812120195</t>
        </is>
      </c>
      <c r="B818" s="3452" t="inlineStr">
        <is>
          <t>120195</t>
        </is>
      </c>
      <c r="C818" s="3452" t="inlineStr">
        <is>
          <t>000224000</t>
        </is>
      </c>
      <c r="D818" s="3452" t="inlineStr">
        <is>
          <t>201812</t>
        </is>
      </c>
      <c r="E818" s="3452" t="inlineStr">
        <is>
          <t>0,000000000000</t>
        </is>
      </c>
    </row>
    <row outlineLevel="0" r="819">
      <c r="A819" s="3452" t="inlineStr">
        <is>
          <t>000224000201812120501</t>
        </is>
      </c>
      <c r="B819" s="3452" t="inlineStr">
        <is>
          <t>120501</t>
        </is>
      </c>
      <c r="C819" s="3452" t="inlineStr">
        <is>
          <t>000224000</t>
        </is>
      </c>
      <c r="D819" s="3452" t="inlineStr">
        <is>
          <t>201812</t>
        </is>
      </c>
      <c r="E819" s="3452" t="inlineStr">
        <is>
          <t>0,000000000000</t>
        </is>
      </c>
    </row>
    <row outlineLevel="0" r="820">
      <c r="A820" s="3452" t="inlineStr">
        <is>
          <t>000224000201812120610</t>
        </is>
      </c>
      <c r="B820" s="3452" t="inlineStr">
        <is>
          <t>120610</t>
        </is>
      </c>
      <c r="C820" s="3452" t="inlineStr">
        <is>
          <t>000224000</t>
        </is>
      </c>
      <c r="D820" s="3452" t="inlineStr">
        <is>
          <t>201812</t>
        </is>
      </c>
      <c r="E820" s="3452" t="inlineStr">
        <is>
          <t>0,000000000000</t>
        </is>
      </c>
    </row>
    <row outlineLevel="0" r="821">
      <c r="A821" s="3452" t="inlineStr">
        <is>
          <t>000224000201812120615</t>
        </is>
      </c>
      <c r="B821" s="3452" t="inlineStr">
        <is>
          <t>120615</t>
        </is>
      </c>
      <c r="C821" s="3452" t="inlineStr">
        <is>
          <t>000224000</t>
        </is>
      </c>
      <c r="D821" s="3452" t="inlineStr">
        <is>
          <t>201812</t>
        </is>
      </c>
      <c r="E821" s="3452" t="inlineStr">
        <is>
          <t>0,000000000000</t>
        </is>
      </c>
    </row>
    <row outlineLevel="0" r="822">
      <c r="A822" s="3452" t="inlineStr">
        <is>
          <t>000224000201812120620</t>
        </is>
      </c>
      <c r="B822" s="3452" t="inlineStr">
        <is>
          <t>120620</t>
        </is>
      </c>
      <c r="C822" s="3452" t="inlineStr">
        <is>
          <t>000224000</t>
        </is>
      </c>
      <c r="D822" s="3452" t="inlineStr">
        <is>
          <t>201812</t>
        </is>
      </c>
      <c r="E822" s="3452" t="inlineStr">
        <is>
          <t>0,000000000000</t>
        </is>
      </c>
    </row>
    <row outlineLevel="0" r="823">
      <c r="A823" s="3452" t="inlineStr">
        <is>
          <t>000224000201812121001</t>
        </is>
      </c>
      <c r="B823" s="3452" t="inlineStr">
        <is>
          <t>121001</t>
        </is>
      </c>
      <c r="C823" s="3452" t="inlineStr">
        <is>
          <t>000224000</t>
        </is>
      </c>
      <c r="D823" s="3452" t="inlineStr">
        <is>
          <t>201812</t>
        </is>
      </c>
      <c r="E823" s="3452" t="inlineStr">
        <is>
          <t>0,000000000000</t>
        </is>
      </c>
    </row>
    <row outlineLevel="0" r="824">
      <c r="A824" s="3452" t="inlineStr">
        <is>
          <t>000224000201812121501</t>
        </is>
      </c>
      <c r="B824" s="3452" t="inlineStr">
        <is>
          <t>121501</t>
        </is>
      </c>
      <c r="C824" s="3452" t="inlineStr">
        <is>
          <t>000224000</t>
        </is>
      </c>
      <c r="D824" s="3452" t="inlineStr">
        <is>
          <t>201812</t>
        </is>
      </c>
      <c r="E824" s="3452" t="inlineStr">
        <is>
          <t>0,000000000000</t>
        </is>
      </c>
    </row>
    <row outlineLevel="0" r="825">
      <c r="A825" s="3452" t="inlineStr">
        <is>
          <t>000224000201812123501</t>
        </is>
      </c>
      <c r="B825" s="3452" t="inlineStr">
        <is>
          <t>123501</t>
        </is>
      </c>
      <c r="C825" s="3452" t="inlineStr">
        <is>
          <t>000224000</t>
        </is>
      </c>
      <c r="D825" s="3452" t="inlineStr">
        <is>
          <t>201812</t>
        </is>
      </c>
      <c r="E825" s="3452" t="inlineStr">
        <is>
          <t>0,000000000000</t>
        </is>
      </c>
    </row>
    <row outlineLevel="0" r="826">
      <c r="A826" s="3452" t="inlineStr">
        <is>
          <t>000224000201812125501</t>
        </is>
      </c>
      <c r="B826" s="3452" t="inlineStr">
        <is>
          <t>125501</t>
        </is>
      </c>
      <c r="C826" s="3452" t="inlineStr">
        <is>
          <t>000224000</t>
        </is>
      </c>
      <c r="D826" s="3452" t="inlineStr">
        <is>
          <t>201812</t>
        </is>
      </c>
      <c r="E826" s="3452" t="inlineStr">
        <is>
          <t>0,000000000000</t>
        </is>
      </c>
    </row>
    <row outlineLevel="0" r="827">
      <c r="A827" s="3452" t="inlineStr">
        <is>
          <t>000224000201812126001</t>
        </is>
      </c>
      <c r="B827" s="3452" t="inlineStr">
        <is>
          <t>126001</t>
        </is>
      </c>
      <c r="C827" s="3452" t="inlineStr">
        <is>
          <t>000224000</t>
        </is>
      </c>
      <c r="D827" s="3452" t="inlineStr">
        <is>
          <t>201812</t>
        </is>
      </c>
      <c r="E827" s="3452" t="inlineStr">
        <is>
          <t>0,000000000000</t>
        </is>
      </c>
    </row>
    <row outlineLevel="0" r="828">
      <c r="A828" s="3452" t="inlineStr">
        <is>
          <t>000224000201812129501</t>
        </is>
      </c>
      <c r="B828" s="3452" t="inlineStr">
        <is>
          <t>129501</t>
        </is>
      </c>
      <c r="C828" s="3452" t="inlineStr">
        <is>
          <t>000224000</t>
        </is>
      </c>
      <c r="D828" s="3452" t="inlineStr">
        <is>
          <t>201812</t>
        </is>
      </c>
      <c r="E828" s="3452" t="inlineStr">
        <is>
          <t>0,000000000000</t>
        </is>
      </c>
    </row>
    <row outlineLevel="0" r="829">
      <c r="A829" s="3452" t="inlineStr">
        <is>
          <t>000224000201812129700</t>
        </is>
      </c>
      <c r="B829" s="3452" t="inlineStr">
        <is>
          <t>129700</t>
        </is>
      </c>
      <c r="C829" s="3452" t="inlineStr">
        <is>
          <t>000224000</t>
        </is>
      </c>
      <c r="D829" s="3452" t="inlineStr">
        <is>
          <t>201812</t>
        </is>
      </c>
      <c r="E829" s="3452" t="inlineStr">
        <is>
          <t>0,000000000000</t>
        </is>
      </c>
    </row>
    <row outlineLevel="0" r="830">
      <c r="A830" s="3452" t="inlineStr">
        <is>
          <t>000224000201812129701</t>
        </is>
      </c>
      <c r="B830" s="3452" t="inlineStr">
        <is>
          <t>129701</t>
        </is>
      </c>
      <c r="C830" s="3452" t="inlineStr">
        <is>
          <t>000224000</t>
        </is>
      </c>
      <c r="D830" s="3452" t="inlineStr">
        <is>
          <t>201812</t>
        </is>
      </c>
      <c r="E830" s="3452" t="inlineStr">
        <is>
          <t>0,000000000000</t>
        </is>
      </c>
    </row>
    <row outlineLevel="0" r="831">
      <c r="A831" s="3452" t="inlineStr">
        <is>
          <t>000224000201812129901</t>
        </is>
      </c>
      <c r="B831" s="3452" t="inlineStr">
        <is>
          <t>129901</t>
        </is>
      </c>
      <c r="C831" s="3452" t="inlineStr">
        <is>
          <t>000224000</t>
        </is>
      </c>
      <c r="D831" s="3452" t="inlineStr">
        <is>
          <t>201812</t>
        </is>
      </c>
      <c r="E831" s="3452" t="inlineStr">
        <is>
          <t>0,000000000000</t>
        </is>
      </c>
    </row>
    <row outlineLevel="0" r="832">
      <c r="A832" s="3452" t="inlineStr">
        <is>
          <t>000224000201812130506</t>
        </is>
      </c>
      <c r="B832" s="3452" t="inlineStr">
        <is>
          <t>130506</t>
        </is>
      </c>
      <c r="C832" s="3452" t="inlineStr">
        <is>
          <t>000224000</t>
        </is>
      </c>
      <c r="D832" s="3452" t="inlineStr">
        <is>
          <t>201812</t>
        </is>
      </c>
      <c r="E832" s="3452" t="inlineStr">
        <is>
          <t>0,000000000000</t>
        </is>
      </c>
    </row>
    <row outlineLevel="0" r="833">
      <c r="A833" s="3452" t="inlineStr">
        <is>
          <t>000224000201812130510</t>
        </is>
      </c>
      <c r="B833" s="3452" t="inlineStr">
        <is>
          <t>130510</t>
        </is>
      </c>
      <c r="C833" s="3452" t="inlineStr">
        <is>
          <t>000224000</t>
        </is>
      </c>
      <c r="D833" s="3452" t="inlineStr">
        <is>
          <t>201812</t>
        </is>
      </c>
      <c r="E833" s="3452" t="inlineStr">
        <is>
          <t>0,000000000000</t>
        </is>
      </c>
    </row>
    <row outlineLevel="0" r="834">
      <c r="A834" s="3452" t="inlineStr">
        <is>
          <t>000224000201812130511</t>
        </is>
      </c>
      <c r="B834" s="3452" t="inlineStr">
        <is>
          <t>130511</t>
        </is>
      </c>
      <c r="C834" s="3452" t="inlineStr">
        <is>
          <t>000224000</t>
        </is>
      </c>
      <c r="D834" s="3452" t="inlineStr">
        <is>
          <t>201812</t>
        </is>
      </c>
      <c r="E834" s="3452" t="inlineStr">
        <is>
          <t>0,000000000000</t>
        </is>
      </c>
    </row>
    <row outlineLevel="0" r="835">
      <c r="A835" s="3452" t="inlineStr">
        <is>
          <t>000224000201812131000</t>
        </is>
      </c>
      <c r="B835" s="3452" t="inlineStr">
        <is>
          <t>131000</t>
        </is>
      </c>
      <c r="C835" s="3452" t="inlineStr">
        <is>
          <t>000224000</t>
        </is>
      </c>
      <c r="D835" s="3452" t="inlineStr">
        <is>
          <t>201812</t>
        </is>
      </c>
      <c r="E835" s="3452" t="inlineStr">
        <is>
          <t>0,000000000000</t>
        </is>
      </c>
    </row>
    <row outlineLevel="0" r="836">
      <c r="A836" s="3452" t="inlineStr">
        <is>
          <t>000224000201812131001</t>
        </is>
      </c>
      <c r="B836" s="3452" t="inlineStr">
        <is>
          <t>131001</t>
        </is>
      </c>
      <c r="C836" s="3452" t="inlineStr">
        <is>
          <t>000224000</t>
        </is>
      </c>
      <c r="D836" s="3452" t="inlineStr">
        <is>
          <t>201812</t>
        </is>
      </c>
      <c r="E836" s="3452" t="inlineStr">
        <is>
          <t>0,000000000000</t>
        </is>
      </c>
    </row>
    <row outlineLevel="0" r="837">
      <c r="A837" s="3452" t="inlineStr">
        <is>
          <t>000224000201812131501</t>
        </is>
      </c>
      <c r="B837" s="3452" t="inlineStr">
        <is>
          <t>131501</t>
        </is>
      </c>
      <c r="C837" s="3452" t="inlineStr">
        <is>
          <t>000224000</t>
        </is>
      </c>
      <c r="D837" s="3452" t="inlineStr">
        <is>
          <t>201812</t>
        </is>
      </c>
      <c r="E837" s="3452" t="inlineStr">
        <is>
          <t>0,000000000000</t>
        </is>
      </c>
    </row>
    <row outlineLevel="0" r="838">
      <c r="A838" s="3452" t="inlineStr">
        <is>
          <t>000224000201812132000</t>
        </is>
      </c>
      <c r="B838" s="3452" t="inlineStr">
        <is>
          <t>132000</t>
        </is>
      </c>
      <c r="C838" s="3452" t="inlineStr">
        <is>
          <t>000224000</t>
        </is>
      </c>
      <c r="D838" s="3452" t="inlineStr">
        <is>
          <t>201812</t>
        </is>
      </c>
      <c r="E838" s="3452" t="inlineStr">
        <is>
          <t>0,000000000000</t>
        </is>
      </c>
    </row>
    <row outlineLevel="0" r="839">
      <c r="A839" s="3452" t="inlineStr">
        <is>
          <t>000224000201812132001</t>
        </is>
      </c>
      <c r="B839" s="3452" t="inlineStr">
        <is>
          <t>132001</t>
        </is>
      </c>
      <c r="C839" s="3452" t="inlineStr">
        <is>
          <t>000224000</t>
        </is>
      </c>
      <c r="D839" s="3452" t="inlineStr">
        <is>
          <t>201812</t>
        </is>
      </c>
      <c r="E839" s="3452" t="inlineStr">
        <is>
          <t>0,000000000000</t>
        </is>
      </c>
    </row>
    <row outlineLevel="0" r="840">
      <c r="A840" s="3452" t="inlineStr">
        <is>
          <t>000224000201812132500</t>
        </is>
      </c>
      <c r="B840" s="3452" t="inlineStr">
        <is>
          <t>132500</t>
        </is>
      </c>
      <c r="C840" s="3452" t="inlineStr">
        <is>
          <t>000224000</t>
        </is>
      </c>
      <c r="D840" s="3452" t="inlineStr">
        <is>
          <t>201812</t>
        </is>
      </c>
      <c r="E840" s="3452" t="inlineStr">
        <is>
          <t>0,000000000000</t>
        </is>
      </c>
    </row>
    <row outlineLevel="0" r="841">
      <c r="A841" s="3452" t="inlineStr">
        <is>
          <t>000224000201812132501</t>
        </is>
      </c>
      <c r="B841" s="3452" t="inlineStr">
        <is>
          <t>132501</t>
        </is>
      </c>
      <c r="C841" s="3452" t="inlineStr">
        <is>
          <t>000224000</t>
        </is>
      </c>
      <c r="D841" s="3452" t="inlineStr">
        <is>
          <t>201812</t>
        </is>
      </c>
      <c r="E841" s="3452" t="inlineStr">
        <is>
          <t>0,000000000000</t>
        </is>
      </c>
    </row>
    <row outlineLevel="0" r="842">
      <c r="A842" s="3452" t="inlineStr">
        <is>
          <t>000224000201812133000</t>
        </is>
      </c>
      <c r="B842" s="3452" t="inlineStr">
        <is>
          <t>133000</t>
        </is>
      </c>
      <c r="C842" s="3452" t="inlineStr">
        <is>
          <t>000224000</t>
        </is>
      </c>
      <c r="D842" s="3452" t="inlineStr">
        <is>
          <t>201812</t>
        </is>
      </c>
      <c r="E842" s="3452" t="inlineStr">
        <is>
          <t>0,000000000000</t>
        </is>
      </c>
    </row>
    <row outlineLevel="0" r="843">
      <c r="A843" s="3452" t="inlineStr">
        <is>
          <t>000224000201812133001</t>
        </is>
      </c>
      <c r="B843" s="3452" t="inlineStr">
        <is>
          <t>133001</t>
        </is>
      </c>
      <c r="C843" s="3452" t="inlineStr">
        <is>
          <t>000224000</t>
        </is>
      </c>
      <c r="D843" s="3452" t="inlineStr">
        <is>
          <t>201812</t>
        </is>
      </c>
      <c r="E843" s="3452" t="inlineStr">
        <is>
          <t>0,000000000000</t>
        </is>
      </c>
    </row>
    <row outlineLevel="0" r="844">
      <c r="A844" s="3452" t="inlineStr">
        <is>
          <t>000224000201812133500</t>
        </is>
      </c>
      <c r="B844" s="3452" t="inlineStr">
        <is>
          <t>133500</t>
        </is>
      </c>
      <c r="C844" s="3452" t="inlineStr">
        <is>
          <t>000224000</t>
        </is>
      </c>
      <c r="D844" s="3452" t="inlineStr">
        <is>
          <t>201812</t>
        </is>
      </c>
      <c r="E844" s="3452" t="inlineStr">
        <is>
          <t>0,000000000000</t>
        </is>
      </c>
    </row>
    <row outlineLevel="0" r="845">
      <c r="A845" s="3452" t="inlineStr">
        <is>
          <t>000224000201812133501</t>
        </is>
      </c>
      <c r="B845" s="3452" t="inlineStr">
        <is>
          <t>133501</t>
        </is>
      </c>
      <c r="C845" s="3452" t="inlineStr">
        <is>
          <t>000224000</t>
        </is>
      </c>
      <c r="D845" s="3452" t="inlineStr">
        <is>
          <t>201812</t>
        </is>
      </c>
      <c r="E845" s="3452" t="inlineStr">
        <is>
          <t>0,000000000000</t>
        </is>
      </c>
    </row>
    <row outlineLevel="0" r="846">
      <c r="A846" s="3452" t="inlineStr">
        <is>
          <t>000224000201812134000</t>
        </is>
      </c>
      <c r="B846" s="3452" t="inlineStr">
        <is>
          <t>134000</t>
        </is>
      </c>
      <c r="C846" s="3452" t="inlineStr">
        <is>
          <t>000224000</t>
        </is>
      </c>
      <c r="D846" s="3452" t="inlineStr">
        <is>
          <t>201812</t>
        </is>
      </c>
      <c r="E846" s="3452" t="inlineStr">
        <is>
          <t>0,000000000000</t>
        </is>
      </c>
    </row>
    <row outlineLevel="0" r="847">
      <c r="A847" s="3452" t="inlineStr">
        <is>
          <t>000224000201812134001</t>
        </is>
      </c>
      <c r="B847" s="3452" t="inlineStr">
        <is>
          <t>134001</t>
        </is>
      </c>
      <c r="C847" s="3452" t="inlineStr">
        <is>
          <t>000224000</t>
        </is>
      </c>
      <c r="D847" s="3452" t="inlineStr">
        <is>
          <t>201812</t>
        </is>
      </c>
      <c r="E847" s="3452" t="inlineStr">
        <is>
          <t>0,000000000000</t>
        </is>
      </c>
    </row>
    <row outlineLevel="0" r="848">
      <c r="A848" s="3452" t="inlineStr">
        <is>
          <t>000224000201812134500</t>
        </is>
      </c>
      <c r="B848" s="3452" t="inlineStr">
        <is>
          <t>134500</t>
        </is>
      </c>
      <c r="C848" s="3452" t="inlineStr">
        <is>
          <t>000224000</t>
        </is>
      </c>
      <c r="D848" s="3452" t="inlineStr">
        <is>
          <t>201812</t>
        </is>
      </c>
      <c r="E848" s="3452" t="inlineStr">
        <is>
          <t>0,000000000000</t>
        </is>
      </c>
    </row>
    <row outlineLevel="0" r="849">
      <c r="A849" s="3452" t="inlineStr">
        <is>
          <t>000224000201812134501</t>
        </is>
      </c>
      <c r="B849" s="3452" t="inlineStr">
        <is>
          <t>134501</t>
        </is>
      </c>
      <c r="C849" s="3452" t="inlineStr">
        <is>
          <t>000224000</t>
        </is>
      </c>
      <c r="D849" s="3452" t="inlineStr">
        <is>
          <t>201812</t>
        </is>
      </c>
      <c r="E849" s="3452" t="inlineStr">
        <is>
          <t>0,000000000000</t>
        </is>
      </c>
    </row>
    <row outlineLevel="0" r="850">
      <c r="A850" s="3452" t="inlineStr">
        <is>
          <t>000224000201812135000</t>
        </is>
      </c>
      <c r="B850" s="3452" t="inlineStr">
        <is>
          <t>135000</t>
        </is>
      </c>
      <c r="C850" s="3452" t="inlineStr">
        <is>
          <t>000224000</t>
        </is>
      </c>
      <c r="D850" s="3452" t="inlineStr">
        <is>
          <t>201812</t>
        </is>
      </c>
      <c r="E850" s="3452" t="inlineStr">
        <is>
          <t>0,000000000000</t>
        </is>
      </c>
    </row>
    <row outlineLevel="0" r="851">
      <c r="A851" s="3452" t="inlineStr">
        <is>
          <t>000224000201812135001</t>
        </is>
      </c>
      <c r="B851" s="3452" t="inlineStr">
        <is>
          <t>135001</t>
        </is>
      </c>
      <c r="C851" s="3452" t="inlineStr">
        <is>
          <t>000224000</t>
        </is>
      </c>
      <c r="D851" s="3452" t="inlineStr">
        <is>
          <t>201812</t>
        </is>
      </c>
      <c r="E851" s="3452" t="inlineStr">
        <is>
          <t>0,000000000000</t>
        </is>
      </c>
    </row>
    <row outlineLevel="0" r="852">
      <c r="A852" s="3452" t="inlineStr">
        <is>
          <t>000224000201812135500</t>
        </is>
      </c>
      <c r="B852" s="3452" t="inlineStr">
        <is>
          <t>135500</t>
        </is>
      </c>
      <c r="C852" s="3452" t="inlineStr">
        <is>
          <t>000224000</t>
        </is>
      </c>
      <c r="D852" s="3452" t="inlineStr">
        <is>
          <t>201812</t>
        </is>
      </c>
      <c r="E852" s="3452" t="inlineStr">
        <is>
          <t>0,000000000000</t>
        </is>
      </c>
    </row>
    <row outlineLevel="0" r="853">
      <c r="A853" s="3452" t="inlineStr">
        <is>
          <t>000224000201812135501</t>
        </is>
      </c>
      <c r="B853" s="3452" t="inlineStr">
        <is>
          <t>135501</t>
        </is>
      </c>
      <c r="C853" s="3452" t="inlineStr">
        <is>
          <t>000224000</t>
        </is>
      </c>
      <c r="D853" s="3452" t="inlineStr">
        <is>
          <t>201812</t>
        </is>
      </c>
      <c r="E853" s="3452" t="inlineStr">
        <is>
          <t>0,000000000000</t>
        </is>
      </c>
    </row>
    <row outlineLevel="0" r="854">
      <c r="A854" s="3452" t="inlineStr">
        <is>
          <t>000224000201812136000</t>
        </is>
      </c>
      <c r="B854" s="3452" t="inlineStr">
        <is>
          <t>136000</t>
        </is>
      </c>
      <c r="C854" s="3452" t="inlineStr">
        <is>
          <t>000224000</t>
        </is>
      </c>
      <c r="D854" s="3452" t="inlineStr">
        <is>
          <t>201812</t>
        </is>
      </c>
      <c r="E854" s="3452" t="inlineStr">
        <is>
          <t>0,000000000000</t>
        </is>
      </c>
    </row>
    <row outlineLevel="0" r="855">
      <c r="A855" s="3452" t="inlineStr">
        <is>
          <t>000224000201812136001</t>
        </is>
      </c>
      <c r="B855" s="3452" t="inlineStr">
        <is>
          <t>136001</t>
        </is>
      </c>
      <c r="C855" s="3452" t="inlineStr">
        <is>
          <t>000224000</t>
        </is>
      </c>
      <c r="D855" s="3452" t="inlineStr">
        <is>
          <t>201812</t>
        </is>
      </c>
      <c r="E855" s="3452" t="inlineStr">
        <is>
          <t>0,000000000000</t>
        </is>
      </c>
    </row>
    <row outlineLevel="0" r="856">
      <c r="A856" s="3452" t="inlineStr">
        <is>
          <t>000224000201812136500</t>
        </is>
      </c>
      <c r="B856" s="3452" t="inlineStr">
        <is>
          <t>136500</t>
        </is>
      </c>
      <c r="C856" s="3452" t="inlineStr">
        <is>
          <t>000224000</t>
        </is>
      </c>
      <c r="D856" s="3452" t="inlineStr">
        <is>
          <t>201812</t>
        </is>
      </c>
      <c r="E856" s="3452" t="inlineStr">
        <is>
          <t>0,000000000000</t>
        </is>
      </c>
    </row>
    <row outlineLevel="0" r="857">
      <c r="A857" s="3452" t="inlineStr">
        <is>
          <t>000224000201812136501</t>
        </is>
      </c>
      <c r="B857" s="3452" t="inlineStr">
        <is>
          <t>136501</t>
        </is>
      </c>
      <c r="C857" s="3452" t="inlineStr">
        <is>
          <t>000224000</t>
        </is>
      </c>
      <c r="D857" s="3452" t="inlineStr">
        <is>
          <t>201812</t>
        </is>
      </c>
      <c r="E857" s="3452" t="inlineStr">
        <is>
          <t>0,000000000000</t>
        </is>
      </c>
    </row>
    <row outlineLevel="0" r="858">
      <c r="A858" s="3452" t="inlineStr">
        <is>
          <t>000224000201812137000</t>
        </is>
      </c>
      <c r="B858" s="3452" t="inlineStr">
        <is>
          <t>137000</t>
        </is>
      </c>
      <c r="C858" s="3452" t="inlineStr">
        <is>
          <t>000224000</t>
        </is>
      </c>
      <c r="D858" s="3452" t="inlineStr">
        <is>
          <t>201812</t>
        </is>
      </c>
      <c r="E858" s="3452" t="inlineStr">
        <is>
          <t>0,000000000000</t>
        </is>
      </c>
    </row>
    <row outlineLevel="0" r="859">
      <c r="A859" s="3452" t="inlineStr">
        <is>
          <t>000224000201812137001</t>
        </is>
      </c>
      <c r="B859" s="3452" t="inlineStr">
        <is>
          <t>137001</t>
        </is>
      </c>
      <c r="C859" s="3452" t="inlineStr">
        <is>
          <t>000224000</t>
        </is>
      </c>
      <c r="D859" s="3452" t="inlineStr">
        <is>
          <t>201812</t>
        </is>
      </c>
      <c r="E859" s="3452" t="inlineStr">
        <is>
          <t>0,000000000000</t>
        </is>
      </c>
    </row>
    <row outlineLevel="0" r="860">
      <c r="A860" s="3452" t="inlineStr">
        <is>
          <t>000224000201812138001</t>
        </is>
      </c>
      <c r="B860" s="3452" t="inlineStr">
        <is>
          <t>138001</t>
        </is>
      </c>
      <c r="C860" s="3452" t="inlineStr">
        <is>
          <t>000224000</t>
        </is>
      </c>
      <c r="D860" s="3452" t="inlineStr">
        <is>
          <t>201812</t>
        </is>
      </c>
      <c r="E860" s="3452" t="inlineStr">
        <is>
          <t>0,000000000000</t>
        </is>
      </c>
    </row>
    <row outlineLevel="0" r="861">
      <c r="A861" s="3452" t="inlineStr">
        <is>
          <t>000224000201812138501</t>
        </is>
      </c>
      <c r="B861" s="3452" t="inlineStr">
        <is>
          <t>138501</t>
        </is>
      </c>
      <c r="C861" s="3452" t="inlineStr">
        <is>
          <t>000224000</t>
        </is>
      </c>
      <c r="D861" s="3452" t="inlineStr">
        <is>
          <t>201812</t>
        </is>
      </c>
      <c r="E861" s="3452" t="inlineStr">
        <is>
          <t>0,000000000000</t>
        </is>
      </c>
    </row>
    <row outlineLevel="0" r="862">
      <c r="A862" s="3452" t="inlineStr">
        <is>
          <t>000224000201812139000</t>
        </is>
      </c>
      <c r="B862" s="3452" t="inlineStr">
        <is>
          <t>139000</t>
        </is>
      </c>
      <c r="C862" s="3452" t="inlineStr">
        <is>
          <t>000224000</t>
        </is>
      </c>
      <c r="D862" s="3452" t="inlineStr">
        <is>
          <t>201812</t>
        </is>
      </c>
      <c r="E862" s="3452" t="inlineStr">
        <is>
          <t>0,000000000000</t>
        </is>
      </c>
    </row>
    <row outlineLevel="0" r="863">
      <c r="A863" s="3452" t="inlineStr">
        <is>
          <t>000224000201812139001</t>
        </is>
      </c>
      <c r="B863" s="3452" t="inlineStr">
        <is>
          <t>139001</t>
        </is>
      </c>
      <c r="C863" s="3452" t="inlineStr">
        <is>
          <t>000224000</t>
        </is>
      </c>
      <c r="D863" s="3452" t="inlineStr">
        <is>
          <t>201812</t>
        </is>
      </c>
      <c r="E863" s="3452" t="inlineStr">
        <is>
          <t>0,000000000000</t>
        </is>
      </c>
    </row>
    <row outlineLevel="0" r="864">
      <c r="A864" s="3452" t="inlineStr">
        <is>
          <t>000224000201812139500</t>
        </is>
      </c>
      <c r="B864" s="3452" t="inlineStr">
        <is>
          <t>139500</t>
        </is>
      </c>
      <c r="C864" s="3452" t="inlineStr">
        <is>
          <t>000224000</t>
        </is>
      </c>
      <c r="D864" s="3452" t="inlineStr">
        <is>
          <t>201812</t>
        </is>
      </c>
      <c r="E864" s="3452" t="inlineStr">
        <is>
          <t>0,000000000000</t>
        </is>
      </c>
    </row>
    <row outlineLevel="0" r="865">
      <c r="A865" s="3452" t="inlineStr">
        <is>
          <t>000224000201812139901</t>
        </is>
      </c>
      <c r="B865" s="3452" t="inlineStr">
        <is>
          <t>139901</t>
        </is>
      </c>
      <c r="C865" s="3452" t="inlineStr">
        <is>
          <t>000224000</t>
        </is>
      </c>
      <c r="D865" s="3452" t="inlineStr">
        <is>
          <t>201812</t>
        </is>
      </c>
      <c r="E865" s="3452" t="inlineStr">
        <is>
          <t>0,000000000000</t>
        </is>
      </c>
    </row>
    <row outlineLevel="0" r="866">
      <c r="A866" s="3452" t="inlineStr">
        <is>
          <t>000224000201812139905</t>
        </is>
      </c>
      <c r="B866" s="3452" t="inlineStr">
        <is>
          <t>139905</t>
        </is>
      </c>
      <c r="C866" s="3452" t="inlineStr">
        <is>
          <t>000224000</t>
        </is>
      </c>
      <c r="D866" s="3452" t="inlineStr">
        <is>
          <t>201812</t>
        </is>
      </c>
      <c r="E866" s="3452" t="inlineStr">
        <is>
          <t>0,000000000000</t>
        </is>
      </c>
    </row>
    <row outlineLevel="0" r="867">
      <c r="A867" s="3452" t="inlineStr">
        <is>
          <t>000224000201812140005</t>
        </is>
      </c>
      <c r="B867" s="3452" t="inlineStr">
        <is>
          <t>140005</t>
        </is>
      </c>
      <c r="C867" s="3452" t="inlineStr">
        <is>
          <t>000224000</t>
        </is>
      </c>
      <c r="D867" s="3452" t="inlineStr">
        <is>
          <t>201812</t>
        </is>
      </c>
      <c r="E867" s="3452" t="inlineStr">
        <is>
          <t>0,000000000000</t>
        </is>
      </c>
    </row>
    <row outlineLevel="0" r="868">
      <c r="A868" s="3452" t="inlineStr">
        <is>
          <t>000224000201812140010</t>
        </is>
      </c>
      <c r="B868" s="3452" t="inlineStr">
        <is>
          <t>140010</t>
        </is>
      </c>
      <c r="C868" s="3452" t="inlineStr">
        <is>
          <t>000224000</t>
        </is>
      </c>
      <c r="D868" s="3452" t="inlineStr">
        <is>
          <t>201812</t>
        </is>
      </c>
      <c r="E868" s="3452" t="inlineStr">
        <is>
          <t>0,000000000000</t>
        </is>
      </c>
    </row>
    <row outlineLevel="0" r="869">
      <c r="A869" s="3452" t="inlineStr">
        <is>
          <t>000224000201812142500</t>
        </is>
      </c>
      <c r="B869" s="3452" t="inlineStr">
        <is>
          <t>142500</t>
        </is>
      </c>
      <c r="C869" s="3452" t="inlineStr">
        <is>
          <t>000224000</t>
        </is>
      </c>
      <c r="D869" s="3452" t="inlineStr">
        <is>
          <t>201812</t>
        </is>
      </c>
      <c r="E869" s="3452" t="inlineStr">
        <is>
          <t>0,000000000000</t>
        </is>
      </c>
    </row>
    <row outlineLevel="0" r="870">
      <c r="A870" s="3452" t="inlineStr">
        <is>
          <t>000224000201812143500</t>
        </is>
      </c>
      <c r="B870" s="3452" t="inlineStr">
        <is>
          <t>143500</t>
        </is>
      </c>
      <c r="C870" s="3452" t="inlineStr">
        <is>
          <t>000224000</t>
        </is>
      </c>
      <c r="D870" s="3452" t="inlineStr">
        <is>
          <t>201812</t>
        </is>
      </c>
      <c r="E870" s="3452" t="inlineStr">
        <is>
          <t>0,000000000000</t>
        </is>
      </c>
    </row>
    <row outlineLevel="0" r="871">
      <c r="A871" s="3452" t="inlineStr">
        <is>
          <t>000224000201812145500</t>
        </is>
      </c>
      <c r="B871" s="3452" t="inlineStr">
        <is>
          <t>145500</t>
        </is>
      </c>
      <c r="C871" s="3452" t="inlineStr">
        <is>
          <t>000224000</t>
        </is>
      </c>
      <c r="D871" s="3452" t="inlineStr">
        <is>
          <t>201812</t>
        </is>
      </c>
      <c r="E871" s="3452" t="inlineStr">
        <is>
          <t>0,000000000000</t>
        </is>
      </c>
    </row>
    <row outlineLevel="0" r="872">
      <c r="A872" s="3452" t="inlineStr">
        <is>
          <t>000224000201812146000</t>
        </is>
      </c>
      <c r="B872" s="3452" t="inlineStr">
        <is>
          <t>146000</t>
        </is>
      </c>
      <c r="C872" s="3452" t="inlineStr">
        <is>
          <t>000224000</t>
        </is>
      </c>
      <c r="D872" s="3452" t="inlineStr">
        <is>
          <t>201812</t>
        </is>
      </c>
      <c r="E872" s="3452" t="inlineStr">
        <is>
          <t>0,000000000000</t>
        </is>
      </c>
    </row>
    <row outlineLevel="0" r="873">
      <c r="A873" s="3452" t="inlineStr">
        <is>
          <t>000224000201812149510</t>
        </is>
      </c>
      <c r="B873" s="3452" t="inlineStr">
        <is>
          <t>149510</t>
        </is>
      </c>
      <c r="C873" s="3452" t="inlineStr">
        <is>
          <t>000224000</t>
        </is>
      </c>
      <c r="D873" s="3452" t="inlineStr">
        <is>
          <t>201812</t>
        </is>
      </c>
      <c r="E873" s="3452" t="inlineStr">
        <is>
          <t>0,000000000000</t>
        </is>
      </c>
    </row>
    <row outlineLevel="0" r="874">
      <c r="A874" s="3452" t="inlineStr">
        <is>
          <t>000224000201812149900</t>
        </is>
      </c>
      <c r="B874" s="3452" t="inlineStr">
        <is>
          <t>149900</t>
        </is>
      </c>
      <c r="C874" s="3452" t="inlineStr">
        <is>
          <t>000224000</t>
        </is>
      </c>
      <c r="D874" s="3452" t="inlineStr">
        <is>
          <t>201812</t>
        </is>
      </c>
      <c r="E874" s="3452" t="inlineStr">
        <is>
          <t>0,000000000000</t>
        </is>
      </c>
    </row>
    <row outlineLevel="0" r="875">
      <c r="A875" s="3452" t="inlineStr">
        <is>
          <t>000224000201812149901</t>
        </is>
      </c>
      <c r="B875" s="3452" t="inlineStr">
        <is>
          <t>149901</t>
        </is>
      </c>
      <c r="C875" s="3452" t="inlineStr">
        <is>
          <t>000224000</t>
        </is>
      </c>
      <c r="D875" s="3452" t="inlineStr">
        <is>
          <t>201812</t>
        </is>
      </c>
      <c r="E875" s="3452" t="inlineStr">
        <is>
          <t>0,000000000000</t>
        </is>
      </c>
    </row>
    <row outlineLevel="0" r="876">
      <c r="A876" s="3452" t="inlineStr">
        <is>
          <t>000224000201812149902</t>
        </is>
      </c>
      <c r="B876" s="3452" t="inlineStr">
        <is>
          <t>149902</t>
        </is>
      </c>
      <c r="C876" s="3452" t="inlineStr">
        <is>
          <t>000224000</t>
        </is>
      </c>
      <c r="D876" s="3452" t="inlineStr">
        <is>
          <t>201812</t>
        </is>
      </c>
      <c r="E876" s="3452" t="inlineStr">
        <is>
          <t>0,000000000000</t>
        </is>
      </c>
    </row>
    <row outlineLevel="0" r="877">
      <c r="A877" s="3452" t="inlineStr">
        <is>
          <t>000224000201812149910</t>
        </is>
      </c>
      <c r="B877" s="3452" t="inlineStr">
        <is>
          <t>149910</t>
        </is>
      </c>
      <c r="C877" s="3452" t="inlineStr">
        <is>
          <t>000224000</t>
        </is>
      </c>
      <c r="D877" s="3452" t="inlineStr">
        <is>
          <t>201812</t>
        </is>
      </c>
      <c r="E877" s="3452" t="inlineStr">
        <is>
          <t>0,000000000000</t>
        </is>
      </c>
    </row>
    <row outlineLevel="0" r="878">
      <c r="A878" s="3452" t="inlineStr">
        <is>
          <t>000224000201812151201</t>
        </is>
      </c>
      <c r="B878" s="3452" t="inlineStr">
        <is>
          <t>151201</t>
        </is>
      </c>
      <c r="C878" s="3452" t="inlineStr">
        <is>
          <t>000224000</t>
        </is>
      </c>
      <c r="D878" s="3452" t="inlineStr">
        <is>
          <t>201812</t>
        </is>
      </c>
      <c r="E878" s="3452" t="inlineStr">
        <is>
          <t>0,000000000000</t>
        </is>
      </c>
    </row>
    <row outlineLevel="0" r="879">
      <c r="A879" s="3452" t="inlineStr">
        <is>
          <t>000224000201812155601</t>
        </is>
      </c>
      <c r="B879" s="3452" t="inlineStr">
        <is>
          <t>155601</t>
        </is>
      </c>
      <c r="C879" s="3452" t="inlineStr">
        <is>
          <t>000224000</t>
        </is>
      </c>
      <c r="D879" s="3452" t="inlineStr">
        <is>
          <t>201812</t>
        </is>
      </c>
      <c r="E879" s="3452" t="inlineStr">
        <is>
          <t>0,000000000000</t>
        </is>
      </c>
    </row>
    <row outlineLevel="0" r="880">
      <c r="A880" s="3452" t="inlineStr">
        <is>
          <t>000224000201812156001</t>
        </is>
      </c>
      <c r="B880" s="3452" t="inlineStr">
        <is>
          <t>156001</t>
        </is>
      </c>
      <c r="C880" s="3452" t="inlineStr">
        <is>
          <t>000224000</t>
        </is>
      </c>
      <c r="D880" s="3452" t="inlineStr">
        <is>
          <t>201812</t>
        </is>
      </c>
      <c r="E880" s="3452" t="inlineStr">
        <is>
          <t>0,000000000000</t>
        </is>
      </c>
    </row>
    <row outlineLevel="0" r="881">
      <c r="A881" s="3452" t="inlineStr">
        <is>
          <t>000224000201812156401</t>
        </is>
      </c>
      <c r="B881" s="3452" t="inlineStr">
        <is>
          <t>156401</t>
        </is>
      </c>
      <c r="C881" s="3452" t="inlineStr">
        <is>
          <t>000224000</t>
        </is>
      </c>
      <c r="D881" s="3452" t="inlineStr">
        <is>
          <t>201812</t>
        </is>
      </c>
      <c r="E881" s="3452" t="inlineStr">
        <is>
          <t>0,000000000000</t>
        </is>
      </c>
    </row>
    <row outlineLevel="0" r="882">
      <c r="A882" s="3452" t="inlineStr">
        <is>
          <t>000224000201812157201</t>
        </is>
      </c>
      <c r="B882" s="3452" t="inlineStr">
        <is>
          <t>157201</t>
        </is>
      </c>
      <c r="C882" s="3452" t="inlineStr">
        <is>
          <t>000224000</t>
        </is>
      </c>
      <c r="D882" s="3452" t="inlineStr">
        <is>
          <t>201812</t>
        </is>
      </c>
      <c r="E882" s="3452" t="inlineStr">
        <is>
          <t>0,000000000000</t>
        </is>
      </c>
    </row>
    <row outlineLevel="0" r="883">
      <c r="A883" s="3452" t="inlineStr">
        <is>
          <t>000224000201812157601</t>
        </is>
      </c>
      <c r="B883" s="3452" t="inlineStr">
        <is>
          <t>157601</t>
        </is>
      </c>
      <c r="C883" s="3452" t="inlineStr">
        <is>
          <t>000224000</t>
        </is>
      </c>
      <c r="D883" s="3452" t="inlineStr">
        <is>
          <t>201812</t>
        </is>
      </c>
      <c r="E883" s="3452" t="inlineStr">
        <is>
          <t>0,000000000000</t>
        </is>
      </c>
    </row>
    <row outlineLevel="0" r="884">
      <c r="A884" s="3452" t="inlineStr">
        <is>
          <t>000224000201812158401</t>
        </is>
      </c>
      <c r="B884" s="3452" t="inlineStr">
        <is>
          <t>158401</t>
        </is>
      </c>
      <c r="C884" s="3452" t="inlineStr">
        <is>
          <t>000224000</t>
        </is>
      </c>
      <c r="D884" s="3452" t="inlineStr">
        <is>
          <t>201812</t>
        </is>
      </c>
      <c r="E884" s="3452" t="inlineStr">
        <is>
          <t>0,000000000000</t>
        </is>
      </c>
    </row>
    <row outlineLevel="0" r="885">
      <c r="A885" s="3452" t="inlineStr">
        <is>
          <t>000224000201812158801</t>
        </is>
      </c>
      <c r="B885" s="3452" t="inlineStr">
        <is>
          <t>158801</t>
        </is>
      </c>
      <c r="C885" s="3452" t="inlineStr">
        <is>
          <t>000224000</t>
        </is>
      </c>
      <c r="D885" s="3452" t="inlineStr">
        <is>
          <t>201812</t>
        </is>
      </c>
      <c r="E885" s="3452" t="inlineStr">
        <is>
          <t>0,000000000000</t>
        </is>
      </c>
    </row>
    <row outlineLevel="0" r="886">
      <c r="A886" s="3452" t="inlineStr">
        <is>
          <t>000224000201812159701</t>
        </is>
      </c>
      <c r="B886" s="3452" t="inlineStr">
        <is>
          <t>159701</t>
        </is>
      </c>
      <c r="C886" s="3452" t="inlineStr">
        <is>
          <t>000224000</t>
        </is>
      </c>
      <c r="D886" s="3452" t="inlineStr">
        <is>
          <t>201812</t>
        </is>
      </c>
      <c r="E886" s="3452" t="inlineStr">
        <is>
          <t>0,000000000000</t>
        </is>
      </c>
    </row>
    <row outlineLevel="0" r="887">
      <c r="A887" s="3452" t="inlineStr">
        <is>
          <t>000224000201812159899</t>
        </is>
      </c>
      <c r="B887" s="3452" t="inlineStr">
        <is>
          <t>159899</t>
        </is>
      </c>
      <c r="C887" s="3452" t="inlineStr">
        <is>
          <t>000224000</t>
        </is>
      </c>
      <c r="D887" s="3452" t="inlineStr">
        <is>
          <t>201812</t>
        </is>
      </c>
      <c r="E887" s="3452" t="inlineStr">
        <is>
          <t>0,000000000000</t>
        </is>
      </c>
    </row>
    <row outlineLevel="0" r="888">
      <c r="A888" s="3452" t="inlineStr">
        <is>
          <t>000224000201812159901</t>
        </is>
      </c>
      <c r="B888" s="3452" t="inlineStr">
        <is>
          <t>159901</t>
        </is>
      </c>
      <c r="C888" s="3452" t="inlineStr">
        <is>
          <t>000224000</t>
        </is>
      </c>
      <c r="D888" s="3452" t="inlineStr">
        <is>
          <t>201812</t>
        </is>
      </c>
      <c r="E888" s="3452" t="inlineStr">
        <is>
          <t>0,000000000000</t>
        </is>
      </c>
    </row>
    <row outlineLevel="0" r="889">
      <c r="A889" s="3452" t="inlineStr">
        <is>
          <t>000224000201812160501</t>
        </is>
      </c>
      <c r="B889" s="3452" t="inlineStr">
        <is>
          <t>160501</t>
        </is>
      </c>
      <c r="C889" s="3452" t="inlineStr">
        <is>
          <t>000224000</t>
        </is>
      </c>
      <c r="D889" s="3452" t="inlineStr">
        <is>
          <t>201812</t>
        </is>
      </c>
      <c r="E889" s="3452" t="inlineStr">
        <is>
          <t>0,000000000000</t>
        </is>
      </c>
    </row>
    <row outlineLevel="0" r="890">
      <c r="A890" s="3452" t="inlineStr">
        <is>
          <t>000224000201812161001</t>
        </is>
      </c>
      <c r="B890" s="3452" t="inlineStr">
        <is>
          <t>161001</t>
        </is>
      </c>
      <c r="C890" s="3452" t="inlineStr">
        <is>
          <t>000224000</t>
        </is>
      </c>
      <c r="D890" s="3452" t="inlineStr">
        <is>
          <t>201812</t>
        </is>
      </c>
      <c r="E890" s="3452" t="inlineStr">
        <is>
          <t>0,000000000000</t>
        </is>
      </c>
    </row>
    <row outlineLevel="0" r="891">
      <c r="A891" s="3452" t="inlineStr">
        <is>
          <t>000224000201812163001</t>
        </is>
      </c>
      <c r="B891" s="3452" t="inlineStr">
        <is>
          <t>163001</t>
        </is>
      </c>
      <c r="C891" s="3452" t="inlineStr">
        <is>
          <t>000224000</t>
        </is>
      </c>
      <c r="D891" s="3452" t="inlineStr">
        <is>
          <t>201812</t>
        </is>
      </c>
      <c r="E891" s="3452" t="inlineStr">
        <is>
          <t>0,000000000000</t>
        </is>
      </c>
    </row>
    <row outlineLevel="0" r="892">
      <c r="A892" s="3452" t="inlineStr">
        <is>
          <t>000224000201812164001</t>
        </is>
      </c>
      <c r="B892" s="3452" t="inlineStr">
        <is>
          <t>164001</t>
        </is>
      </c>
      <c r="C892" s="3452" t="inlineStr">
        <is>
          <t>000224000</t>
        </is>
      </c>
      <c r="D892" s="3452" t="inlineStr">
        <is>
          <t>201812</t>
        </is>
      </c>
      <c r="E892" s="3452" t="inlineStr">
        <is>
          <t>0,000000000000</t>
        </is>
      </c>
    </row>
    <row outlineLevel="0" r="893">
      <c r="A893" s="3452" t="inlineStr">
        <is>
          <t>000224000201812169899</t>
        </is>
      </c>
      <c r="B893" s="3452" t="inlineStr">
        <is>
          <t>169899</t>
        </is>
      </c>
      <c r="C893" s="3452" t="inlineStr">
        <is>
          <t>000224000</t>
        </is>
      </c>
      <c r="D893" s="3452" t="inlineStr">
        <is>
          <t>201812</t>
        </is>
      </c>
      <c r="E893" s="3452" t="inlineStr">
        <is>
          <t>0,000000000000</t>
        </is>
      </c>
    </row>
    <row outlineLevel="0" r="894">
      <c r="A894" s="3452" t="inlineStr">
        <is>
          <t>000224000201812169901</t>
        </is>
      </c>
      <c r="B894" s="3452" t="inlineStr">
        <is>
          <t>169901</t>
        </is>
      </c>
      <c r="C894" s="3452" t="inlineStr">
        <is>
          <t>000224000</t>
        </is>
      </c>
      <c r="D894" s="3452" t="inlineStr">
        <is>
          <t>201812</t>
        </is>
      </c>
      <c r="E894" s="3452" t="inlineStr">
        <is>
          <t>0,000000000000</t>
        </is>
      </c>
    </row>
    <row outlineLevel="0" r="895">
      <c r="A895" s="3452" t="inlineStr">
        <is>
          <t>000224000201812170500</t>
        </is>
      </c>
      <c r="B895" s="3452" t="inlineStr">
        <is>
          <t>170500</t>
        </is>
      </c>
      <c r="C895" s="3452" t="inlineStr">
        <is>
          <t>000224000</t>
        </is>
      </c>
      <c r="D895" s="3452" t="inlineStr">
        <is>
          <t>201812</t>
        </is>
      </c>
      <c r="E895" s="3452" t="inlineStr">
        <is>
          <t>0,000000000000</t>
        </is>
      </c>
    </row>
    <row outlineLevel="0" r="896">
      <c r="A896" s="3452" t="inlineStr">
        <is>
          <t>000224000201812171000</t>
        </is>
      </c>
      <c r="B896" s="3452" t="inlineStr">
        <is>
          <t>171000</t>
        </is>
      </c>
      <c r="C896" s="3452" t="inlineStr">
        <is>
          <t>000224000</t>
        </is>
      </c>
      <c r="D896" s="3452" t="inlineStr">
        <is>
          <t>201812</t>
        </is>
      </c>
      <c r="E896" s="3452" t="inlineStr">
        <is>
          <t>0,000000000000</t>
        </is>
      </c>
    </row>
    <row outlineLevel="0" r="897">
      <c r="A897" s="3452" t="inlineStr">
        <is>
          <t>000224000201812173000</t>
        </is>
      </c>
      <c r="B897" s="3452" t="inlineStr">
        <is>
          <t>173000</t>
        </is>
      </c>
      <c r="C897" s="3452" t="inlineStr">
        <is>
          <t>000224000</t>
        </is>
      </c>
      <c r="D897" s="3452" t="inlineStr">
        <is>
          <t>201812</t>
        </is>
      </c>
      <c r="E897" s="3452" t="inlineStr">
        <is>
          <t>0,000000000000</t>
        </is>
      </c>
    </row>
    <row outlineLevel="0" r="898">
      <c r="A898" s="3452" t="inlineStr">
        <is>
          <t>000224000201812173001</t>
        </is>
      </c>
      <c r="B898" s="3452" t="inlineStr">
        <is>
          <t>173001</t>
        </is>
      </c>
      <c r="C898" s="3452" t="inlineStr">
        <is>
          <t>000224000</t>
        </is>
      </c>
      <c r="D898" s="3452" t="inlineStr">
        <is>
          <t>201812</t>
        </is>
      </c>
      <c r="E898" s="3452" t="inlineStr">
        <is>
          <t>0,000000000000</t>
        </is>
      </c>
    </row>
    <row outlineLevel="0" r="899">
      <c r="A899" s="3452" t="inlineStr">
        <is>
          <t>000224000201812179500</t>
        </is>
      </c>
      <c r="B899" s="3452" t="inlineStr">
        <is>
          <t>179500</t>
        </is>
      </c>
      <c r="C899" s="3452" t="inlineStr">
        <is>
          <t>000224000</t>
        </is>
      </c>
      <c r="D899" s="3452" t="inlineStr">
        <is>
          <t>201812</t>
        </is>
      </c>
      <c r="E899" s="3452" t="inlineStr">
        <is>
          <t>0,000000000000</t>
        </is>
      </c>
    </row>
    <row outlineLevel="0" r="900">
      <c r="A900" s="3452" t="inlineStr">
        <is>
          <t>000224000201812179700</t>
        </is>
      </c>
      <c r="B900" s="3452" t="inlineStr">
        <is>
          <t>179700</t>
        </is>
      </c>
      <c r="C900" s="3452" t="inlineStr">
        <is>
          <t>000224000</t>
        </is>
      </c>
      <c r="D900" s="3452" t="inlineStr">
        <is>
          <t>201812</t>
        </is>
      </c>
      <c r="E900" s="3452" t="inlineStr">
        <is>
          <t>0,000000000000</t>
        </is>
      </c>
    </row>
    <row outlineLevel="0" r="901">
      <c r="A901" s="3452" t="inlineStr">
        <is>
          <t>000224000201812179701</t>
        </is>
      </c>
      <c r="B901" s="3452" t="inlineStr">
        <is>
          <t>179701</t>
        </is>
      </c>
      <c r="C901" s="3452" t="inlineStr">
        <is>
          <t>000224000</t>
        </is>
      </c>
      <c r="D901" s="3452" t="inlineStr">
        <is>
          <t>201812</t>
        </is>
      </c>
      <c r="E901" s="3452" t="inlineStr">
        <is>
          <t>0,000000000000</t>
        </is>
      </c>
    </row>
    <row outlineLevel="0" r="902">
      <c r="A902" s="3452" t="inlineStr">
        <is>
          <t>000224000201812179801</t>
        </is>
      </c>
      <c r="B902" s="3452" t="inlineStr">
        <is>
          <t>179801</t>
        </is>
      </c>
      <c r="C902" s="3452" t="inlineStr">
        <is>
          <t>000224000</t>
        </is>
      </c>
      <c r="D902" s="3452" t="inlineStr">
        <is>
          <t>201812</t>
        </is>
      </c>
      <c r="E902" s="3452" t="inlineStr">
        <is>
          <t>0,000000000000</t>
        </is>
      </c>
    </row>
    <row outlineLevel="0" r="903">
      <c r="A903" s="3452" t="inlineStr">
        <is>
          <t>000224000201812180000</t>
        </is>
      </c>
      <c r="B903" s="3452" t="inlineStr">
        <is>
          <t>180000</t>
        </is>
      </c>
      <c r="C903" s="3452" t="inlineStr">
        <is>
          <t>000224000</t>
        </is>
      </c>
      <c r="D903" s="3452" t="inlineStr">
        <is>
          <t>201812</t>
        </is>
      </c>
      <c r="E903" s="3452" t="inlineStr">
        <is>
          <t>0,000000000000</t>
        </is>
      </c>
    </row>
    <row outlineLevel="0" r="904">
      <c r="A904" s="3452" t="inlineStr">
        <is>
          <t>000224000201812180501</t>
        </is>
      </c>
      <c r="B904" s="3452" t="inlineStr">
        <is>
          <t>180501</t>
        </is>
      </c>
      <c r="C904" s="3452" t="inlineStr">
        <is>
          <t>000224000</t>
        </is>
      </c>
      <c r="D904" s="3452" t="inlineStr">
        <is>
          <t>201812</t>
        </is>
      </c>
      <c r="E904" s="3452" t="inlineStr">
        <is>
          <t>0,000000000000</t>
        </is>
      </c>
    </row>
    <row outlineLevel="0" r="905">
      <c r="A905" s="3452" t="inlineStr">
        <is>
          <t>000224000201812181000</t>
        </is>
      </c>
      <c r="B905" s="3452" t="inlineStr">
        <is>
          <t>181000</t>
        </is>
      </c>
      <c r="C905" s="3452" t="inlineStr">
        <is>
          <t>000224000</t>
        </is>
      </c>
      <c r="D905" s="3452" t="inlineStr">
        <is>
          <t>201812</t>
        </is>
      </c>
      <c r="E905" s="3452" t="inlineStr">
        <is>
          <t>0,000000000000</t>
        </is>
      </c>
    </row>
    <row outlineLevel="0" r="906">
      <c r="A906" s="3452" t="inlineStr">
        <is>
          <t>000224000201812189500</t>
        </is>
      </c>
      <c r="B906" s="3452" t="inlineStr">
        <is>
          <t>189500</t>
        </is>
      </c>
      <c r="C906" s="3452" t="inlineStr">
        <is>
          <t>000224000</t>
        </is>
      </c>
      <c r="D906" s="3452" t="inlineStr">
        <is>
          <t>201812</t>
        </is>
      </c>
      <c r="E906" s="3452" t="inlineStr">
        <is>
          <t>0,000000000000</t>
        </is>
      </c>
    </row>
    <row outlineLevel="0" r="907">
      <c r="A907" s="3452" t="inlineStr">
        <is>
          <t>000224000201812189501</t>
        </is>
      </c>
      <c r="B907" s="3452" t="inlineStr">
        <is>
          <t>189501</t>
        </is>
      </c>
      <c r="C907" s="3452" t="inlineStr">
        <is>
          <t>000224000</t>
        </is>
      </c>
      <c r="D907" s="3452" t="inlineStr">
        <is>
          <t>201812</t>
        </is>
      </c>
      <c r="E907" s="3452" t="inlineStr">
        <is>
          <t>0,000000000000</t>
        </is>
      </c>
    </row>
    <row outlineLevel="0" r="908">
      <c r="A908" s="3452" t="inlineStr">
        <is>
          <t>000224000201812189520</t>
        </is>
      </c>
      <c r="B908" s="3452" t="inlineStr">
        <is>
          <t>189520</t>
        </is>
      </c>
      <c r="C908" s="3452" t="inlineStr">
        <is>
          <t>000224000</t>
        </is>
      </c>
      <c r="D908" s="3452" t="inlineStr">
        <is>
          <t>201812</t>
        </is>
      </c>
      <c r="E908" s="3452" t="inlineStr">
        <is>
          <t>0,000000000000</t>
        </is>
      </c>
    </row>
    <row outlineLevel="0" r="909">
      <c r="A909" s="3452" t="inlineStr">
        <is>
          <t>000224000201812189701</t>
        </is>
      </c>
      <c r="B909" s="3452" t="inlineStr">
        <is>
          <t>189701</t>
        </is>
      </c>
      <c r="C909" s="3452" t="inlineStr">
        <is>
          <t>000224000</t>
        </is>
      </c>
      <c r="D909" s="3452" t="inlineStr">
        <is>
          <t>201812</t>
        </is>
      </c>
      <c r="E909" s="3452" t="inlineStr">
        <is>
          <t>0,000000000000</t>
        </is>
      </c>
    </row>
    <row outlineLevel="0" r="910">
      <c r="A910" s="3452" t="inlineStr">
        <is>
          <t>000224000201812189901</t>
        </is>
      </c>
      <c r="B910" s="3452" t="inlineStr">
        <is>
          <t>189901</t>
        </is>
      </c>
      <c r="C910" s="3452" t="inlineStr">
        <is>
          <t>000224000</t>
        </is>
      </c>
      <c r="D910" s="3452" t="inlineStr">
        <is>
          <t>201812</t>
        </is>
      </c>
      <c r="E910" s="3452" t="inlineStr">
        <is>
          <t>0,000000000000</t>
        </is>
      </c>
    </row>
    <row outlineLevel="0" r="911">
      <c r="A911" s="3452" t="inlineStr">
        <is>
          <t>000224000201812190000</t>
        </is>
      </c>
      <c r="B911" s="3452" t="inlineStr">
        <is>
          <t>190000</t>
        </is>
      </c>
      <c r="C911" s="3452" t="inlineStr">
        <is>
          <t>000224000</t>
        </is>
      </c>
      <c r="D911" s="3452" t="inlineStr">
        <is>
          <t>201812</t>
        </is>
      </c>
      <c r="E911" s="3452" t="inlineStr">
        <is>
          <t>0,000000000000</t>
        </is>
      </c>
    </row>
    <row outlineLevel="0" r="912">
      <c r="A912" s="3452" t="inlineStr">
        <is>
          <t>000224000201812190501</t>
        </is>
      </c>
      <c r="B912" s="3452" t="inlineStr">
        <is>
          <t>190501</t>
        </is>
      </c>
      <c r="C912" s="3452" t="inlineStr">
        <is>
          <t>000224000</t>
        </is>
      </c>
      <c r="D912" s="3452" t="inlineStr">
        <is>
          <t>201812</t>
        </is>
      </c>
      <c r="E912" s="3452" t="inlineStr">
        <is>
          <t>0,000000000000</t>
        </is>
      </c>
    </row>
    <row outlineLevel="0" r="913">
      <c r="A913" s="3452" t="inlineStr">
        <is>
          <t>000224000201812191001</t>
        </is>
      </c>
      <c r="B913" s="3452" t="inlineStr">
        <is>
          <t>191001</t>
        </is>
      </c>
      <c r="C913" s="3452" t="inlineStr">
        <is>
          <t>000224000</t>
        </is>
      </c>
      <c r="D913" s="3452" t="inlineStr">
        <is>
          <t>201812</t>
        </is>
      </c>
      <c r="E913" s="3452" t="inlineStr">
        <is>
          <t>0,000000000000</t>
        </is>
      </c>
    </row>
    <row outlineLevel="0" r="914">
      <c r="A914" s="3452" t="inlineStr">
        <is>
          <t>000224000201812199501</t>
        </is>
      </c>
      <c r="B914" s="3452" t="inlineStr">
        <is>
          <t>199501</t>
        </is>
      </c>
      <c r="C914" s="3452" t="inlineStr">
        <is>
          <t>000224000</t>
        </is>
      </c>
      <c r="D914" s="3452" t="inlineStr">
        <is>
          <t>201812</t>
        </is>
      </c>
      <c r="E914" s="3452" t="inlineStr">
        <is>
          <t>0,000000000000</t>
        </is>
      </c>
    </row>
    <row outlineLevel="0" r="915">
      <c r="A915" s="3452" t="inlineStr">
        <is>
          <t>000224000201812210500</t>
        </is>
      </c>
      <c r="B915" s="3452" t="inlineStr">
        <is>
          <t>210500</t>
        </is>
      </c>
      <c r="C915" s="3452" t="inlineStr">
        <is>
          <t>000224000</t>
        </is>
      </c>
      <c r="D915" s="3452" t="inlineStr">
        <is>
          <t>201812</t>
        </is>
      </c>
      <c r="E915" s="3452" t="inlineStr">
        <is>
          <t>50000,000000000000</t>
        </is>
      </c>
    </row>
    <row outlineLevel="0" r="916">
      <c r="A916" s="3452" t="inlineStr">
        <is>
          <t>000224000201812210501</t>
        </is>
      </c>
      <c r="B916" s="3452" t="inlineStr">
        <is>
          <t>210501</t>
        </is>
      </c>
      <c r="C916" s="3452" t="inlineStr">
        <is>
          <t>000224000</t>
        </is>
      </c>
      <c r="D916" s="3452" t="inlineStr">
        <is>
          <t>201812</t>
        </is>
      </c>
      <c r="E916" s="3452" t="inlineStr">
        <is>
          <t>0,000000000000</t>
        </is>
      </c>
    </row>
    <row outlineLevel="0" r="917">
      <c r="A917" s="3452" t="inlineStr">
        <is>
          <t>000224000201812211001</t>
        </is>
      </c>
      <c r="B917" s="3452" t="inlineStr">
        <is>
          <t>211001</t>
        </is>
      </c>
      <c r="C917" s="3452" t="inlineStr">
        <is>
          <t>000224000</t>
        </is>
      </c>
      <c r="D917" s="3452" t="inlineStr">
        <is>
          <t>201812</t>
        </is>
      </c>
      <c r="E917" s="3452" t="inlineStr">
        <is>
          <t>0,000000000000</t>
        </is>
      </c>
    </row>
    <row outlineLevel="0" r="918">
      <c r="A918" s="3452" t="inlineStr">
        <is>
          <t>000224000201812211500</t>
        </is>
      </c>
      <c r="B918" s="3452" t="inlineStr">
        <is>
          <t>211500</t>
        </is>
      </c>
      <c r="C918" s="3452" t="inlineStr">
        <is>
          <t>000224000</t>
        </is>
      </c>
      <c r="D918" s="3452" t="inlineStr">
        <is>
          <t>201812</t>
        </is>
      </c>
      <c r="E918" s="3452" t="inlineStr">
        <is>
          <t>0,000000000000</t>
        </is>
      </c>
    </row>
    <row outlineLevel="0" r="919">
      <c r="A919" s="3452" t="inlineStr">
        <is>
          <t>000224000201812219500</t>
        </is>
      </c>
      <c r="B919" s="3452" t="inlineStr">
        <is>
          <t>219500</t>
        </is>
      </c>
      <c r="C919" s="3452" t="inlineStr">
        <is>
          <t>000224000</t>
        </is>
      </c>
      <c r="D919" s="3452" t="inlineStr">
        <is>
          <t>201812</t>
        </is>
      </c>
      <c r="E919" s="3452" t="inlineStr">
        <is>
          <t>0,000000000000</t>
        </is>
      </c>
    </row>
    <row outlineLevel="0" r="920">
      <c r="A920" s="3452" t="inlineStr">
        <is>
          <t>000224000201812220500</t>
        </is>
      </c>
      <c r="B920" s="3452" t="inlineStr">
        <is>
          <t>220500</t>
        </is>
      </c>
      <c r="C920" s="3452" t="inlineStr">
        <is>
          <t>000224000</t>
        </is>
      </c>
      <c r="D920" s="3452" t="inlineStr">
        <is>
          <t>201812</t>
        </is>
      </c>
      <c r="E920" s="3452" t="inlineStr">
        <is>
          <t>0,000000000000</t>
        </is>
      </c>
    </row>
    <row outlineLevel="0" r="921">
      <c r="A921" s="3452" t="inlineStr">
        <is>
          <t>000224000201812220501</t>
        </is>
      </c>
      <c r="B921" s="3452" t="inlineStr">
        <is>
          <t>220501</t>
        </is>
      </c>
      <c r="C921" s="3452" t="inlineStr">
        <is>
          <t>000224000</t>
        </is>
      </c>
      <c r="D921" s="3452" t="inlineStr">
        <is>
          <t>201812</t>
        </is>
      </c>
      <c r="E921" s="3452" t="inlineStr">
        <is>
          <t>0,000000000000</t>
        </is>
      </c>
    </row>
    <row outlineLevel="0" r="922">
      <c r="A922" s="3452" t="inlineStr">
        <is>
          <t>000224000201812221000</t>
        </is>
      </c>
      <c r="B922" s="3452" t="inlineStr">
        <is>
          <t>221000</t>
        </is>
      </c>
      <c r="C922" s="3452" t="inlineStr">
        <is>
          <t>000224000</t>
        </is>
      </c>
      <c r="D922" s="3452" t="inlineStr">
        <is>
          <t>201812</t>
        </is>
      </c>
      <c r="E922" s="3452" t="inlineStr">
        <is>
          <t>0,000000000000</t>
        </is>
      </c>
    </row>
    <row outlineLevel="0" r="923">
      <c r="A923" s="3452" t="inlineStr">
        <is>
          <t>000224000201812221001</t>
        </is>
      </c>
      <c r="B923" s="3452" t="inlineStr">
        <is>
          <t>221001</t>
        </is>
      </c>
      <c r="C923" s="3452" t="inlineStr">
        <is>
          <t>000224000</t>
        </is>
      </c>
      <c r="D923" s="3452" t="inlineStr">
        <is>
          <t>201812</t>
        </is>
      </c>
      <c r="E923" s="3452" t="inlineStr">
        <is>
          <t>0,000000000000</t>
        </is>
      </c>
    </row>
    <row outlineLevel="0" r="924">
      <c r="A924" s="3452" t="inlineStr">
        <is>
          <t>000224000201812221500</t>
        </is>
      </c>
      <c r="B924" s="3452" t="inlineStr">
        <is>
          <t>221500</t>
        </is>
      </c>
      <c r="C924" s="3452" t="inlineStr">
        <is>
          <t>000224000</t>
        </is>
      </c>
      <c r="D924" s="3452" t="inlineStr">
        <is>
          <t>201812</t>
        </is>
      </c>
      <c r="E924" s="3452" t="inlineStr">
        <is>
          <t>0,000000000000</t>
        </is>
      </c>
    </row>
    <row outlineLevel="0" r="925">
      <c r="A925" s="3452" t="inlineStr">
        <is>
          <t>000224000201812230500</t>
        </is>
      </c>
      <c r="B925" s="3452" t="inlineStr">
        <is>
          <t>230500</t>
        </is>
      </c>
      <c r="C925" s="3452" t="inlineStr">
        <is>
          <t>000224000</t>
        </is>
      </c>
      <c r="D925" s="3452" t="inlineStr">
        <is>
          <t>201812</t>
        </is>
      </c>
      <c r="E925" s="3452" t="inlineStr">
        <is>
          <t>0,000000000000</t>
        </is>
      </c>
    </row>
    <row outlineLevel="0" r="926">
      <c r="A926" s="3452" t="inlineStr">
        <is>
          <t>000224000201812230501</t>
        </is>
      </c>
      <c r="B926" s="3452" t="inlineStr">
        <is>
          <t>230501</t>
        </is>
      </c>
      <c r="C926" s="3452" t="inlineStr">
        <is>
          <t>000224000</t>
        </is>
      </c>
      <c r="D926" s="3452" t="inlineStr">
        <is>
          <t>201812</t>
        </is>
      </c>
      <c r="E926" s="3452" t="inlineStr">
        <is>
          <t>0,000000000000</t>
        </is>
      </c>
    </row>
    <row outlineLevel="0" r="927">
      <c r="A927" s="3452" t="inlineStr">
        <is>
          <t>000224000201812231000</t>
        </is>
      </c>
      <c r="B927" s="3452" t="inlineStr">
        <is>
          <t>231000</t>
        </is>
      </c>
      <c r="C927" s="3452" t="inlineStr">
        <is>
          <t>000224000</t>
        </is>
      </c>
      <c r="D927" s="3452" t="inlineStr">
        <is>
          <t>201812</t>
        </is>
      </c>
      <c r="E927" s="3452" t="inlineStr">
        <is>
          <t>0,000000000000</t>
        </is>
      </c>
    </row>
    <row outlineLevel="0" r="928">
      <c r="A928" s="3452" t="inlineStr">
        <is>
          <t>000224000201812231001</t>
        </is>
      </c>
      <c r="B928" s="3452" t="inlineStr">
        <is>
          <t>231001</t>
        </is>
      </c>
      <c r="C928" s="3452" t="inlineStr">
        <is>
          <t>000224000</t>
        </is>
      </c>
      <c r="D928" s="3452" t="inlineStr">
        <is>
          <t>201812</t>
        </is>
      </c>
      <c r="E928" s="3452" t="inlineStr">
        <is>
          <t>0,000000000000</t>
        </is>
      </c>
    </row>
    <row outlineLevel="0" r="929">
      <c r="A929" s="3452" t="inlineStr">
        <is>
          <t>000224000201812231500</t>
        </is>
      </c>
      <c r="B929" s="3452" t="inlineStr">
        <is>
          <t>231500</t>
        </is>
      </c>
      <c r="C929" s="3452" t="inlineStr">
        <is>
          <t>000224000</t>
        </is>
      </c>
      <c r="D929" s="3452" t="inlineStr">
        <is>
          <t>201812</t>
        </is>
      </c>
      <c r="E929" s="3452" t="inlineStr">
        <is>
          <t>0,000000000000</t>
        </is>
      </c>
    </row>
    <row outlineLevel="0" r="930">
      <c r="A930" s="3452" t="inlineStr">
        <is>
          <t>000224000201812231501</t>
        </is>
      </c>
      <c r="B930" s="3452" t="inlineStr">
        <is>
          <t>231501</t>
        </is>
      </c>
      <c r="C930" s="3452" t="inlineStr">
        <is>
          <t>000224000</t>
        </is>
      </c>
      <c r="D930" s="3452" t="inlineStr">
        <is>
          <t>201812</t>
        </is>
      </c>
      <c r="E930" s="3452" t="inlineStr">
        <is>
          <t>0,000000000000</t>
        </is>
      </c>
    </row>
    <row outlineLevel="0" r="931">
      <c r="A931" s="3452" t="inlineStr">
        <is>
          <t>000224000201812232000</t>
        </is>
      </c>
      <c r="B931" s="3452" t="inlineStr">
        <is>
          <t>232000</t>
        </is>
      </c>
      <c r="C931" s="3452" t="inlineStr">
        <is>
          <t>000224000</t>
        </is>
      </c>
      <c r="D931" s="3452" t="inlineStr">
        <is>
          <t>201812</t>
        </is>
      </c>
      <c r="E931" s="3452" t="inlineStr">
        <is>
          <t>0,000000000000</t>
        </is>
      </c>
    </row>
    <row outlineLevel="0" r="932">
      <c r="A932" s="3452" t="inlineStr">
        <is>
          <t>000224000201812232001</t>
        </is>
      </c>
      <c r="B932" s="3452" t="inlineStr">
        <is>
          <t>232001</t>
        </is>
      </c>
      <c r="C932" s="3452" t="inlineStr">
        <is>
          <t>000224000</t>
        </is>
      </c>
      <c r="D932" s="3452" t="inlineStr">
        <is>
          <t>201812</t>
        </is>
      </c>
      <c r="E932" s="3452" t="inlineStr">
        <is>
          <t>0,000000000000</t>
        </is>
      </c>
    </row>
    <row outlineLevel="0" r="933">
      <c r="A933" s="3452" t="inlineStr">
        <is>
          <t>000224000201812233500</t>
        </is>
      </c>
      <c r="B933" s="3452" t="inlineStr">
        <is>
          <t>233500</t>
        </is>
      </c>
      <c r="C933" s="3452" t="inlineStr">
        <is>
          <t>000224000</t>
        </is>
      </c>
      <c r="D933" s="3452" t="inlineStr">
        <is>
          <t>201812</t>
        </is>
      </c>
      <c r="E933" s="3452" t="inlineStr">
        <is>
          <t>0,000000000000</t>
        </is>
      </c>
    </row>
    <row outlineLevel="0" r="934">
      <c r="A934" s="3452" t="inlineStr">
        <is>
          <t>000224000201812233501</t>
        </is>
      </c>
      <c r="B934" s="3452" t="inlineStr">
        <is>
          <t>233501</t>
        </is>
      </c>
      <c r="C934" s="3452" t="inlineStr">
        <is>
          <t>000224000</t>
        </is>
      </c>
      <c r="D934" s="3452" t="inlineStr">
        <is>
          <t>201812</t>
        </is>
      </c>
      <c r="E934" s="3452" t="inlineStr">
        <is>
          <t>0,000000000000</t>
        </is>
      </c>
    </row>
    <row outlineLevel="0" r="935">
      <c r="A935" s="3452" t="inlineStr">
        <is>
          <t>000224000201812234500</t>
        </is>
      </c>
      <c r="B935" s="3452" t="inlineStr">
        <is>
          <t>234500</t>
        </is>
      </c>
      <c r="C935" s="3452" t="inlineStr">
        <is>
          <t>000224000</t>
        </is>
      </c>
      <c r="D935" s="3452" t="inlineStr">
        <is>
          <t>201812</t>
        </is>
      </c>
      <c r="E935" s="3452" t="inlineStr">
        <is>
          <t>0,000000000000</t>
        </is>
      </c>
    </row>
    <row outlineLevel="0" r="936">
      <c r="A936" s="3452" t="inlineStr">
        <is>
          <t>000224000201812234501</t>
        </is>
      </c>
      <c r="B936" s="3452" t="inlineStr">
        <is>
          <t>234501</t>
        </is>
      </c>
      <c r="C936" s="3452" t="inlineStr">
        <is>
          <t>000224000</t>
        </is>
      </c>
      <c r="D936" s="3452" t="inlineStr">
        <is>
          <t>201812</t>
        </is>
      </c>
      <c r="E936" s="3452" t="inlineStr">
        <is>
          <t>0,000000000000</t>
        </is>
      </c>
    </row>
    <row outlineLevel="0" r="937">
      <c r="A937" s="3452" t="inlineStr">
        <is>
          <t>000224000201812235000</t>
        </is>
      </c>
      <c r="B937" s="3452" t="inlineStr">
        <is>
          <t>235000</t>
        </is>
      </c>
      <c r="C937" s="3452" t="inlineStr">
        <is>
          <t>000224000</t>
        </is>
      </c>
      <c r="D937" s="3452" t="inlineStr">
        <is>
          <t>201812</t>
        </is>
      </c>
      <c r="E937" s="3452" t="inlineStr">
        <is>
          <t>0,000000000000</t>
        </is>
      </c>
    </row>
    <row outlineLevel="0" r="938">
      <c r="A938" s="3452" t="inlineStr">
        <is>
          <t>000224000201812235001</t>
        </is>
      </c>
      <c r="B938" s="3452" t="inlineStr">
        <is>
          <t>235001</t>
        </is>
      </c>
      <c r="C938" s="3452" t="inlineStr">
        <is>
          <t>000224000</t>
        </is>
      </c>
      <c r="D938" s="3452" t="inlineStr">
        <is>
          <t>201812</t>
        </is>
      </c>
      <c r="E938" s="3452" t="inlineStr">
        <is>
          <t>0,000000000000</t>
        </is>
      </c>
    </row>
    <row outlineLevel="0" r="939">
      <c r="A939" s="3452" t="inlineStr">
        <is>
          <t>000224000201812235500</t>
        </is>
      </c>
      <c r="B939" s="3452" t="inlineStr">
        <is>
          <t>235500</t>
        </is>
      </c>
      <c r="C939" s="3452" t="inlineStr">
        <is>
          <t>000224000</t>
        </is>
      </c>
      <c r="D939" s="3452" t="inlineStr">
        <is>
          <t>201812</t>
        </is>
      </c>
      <c r="E939" s="3452" t="inlineStr">
        <is>
          <t>0,000000000000</t>
        </is>
      </c>
    </row>
    <row outlineLevel="0" r="940">
      <c r="A940" s="3452" t="inlineStr">
        <is>
          <t>000224000201812235501</t>
        </is>
      </c>
      <c r="B940" s="3452" t="inlineStr">
        <is>
          <t>235501</t>
        </is>
      </c>
      <c r="C940" s="3452" t="inlineStr">
        <is>
          <t>000224000</t>
        </is>
      </c>
      <c r="D940" s="3452" t="inlineStr">
        <is>
          <t>201812</t>
        </is>
      </c>
      <c r="E940" s="3452" t="inlineStr">
        <is>
          <t>0,000000000000</t>
        </is>
      </c>
    </row>
    <row outlineLevel="0" r="941">
      <c r="A941" s="3452" t="inlineStr">
        <is>
          <t>000224000201812236000</t>
        </is>
      </c>
      <c r="B941" s="3452" t="inlineStr">
        <is>
          <t>236000</t>
        </is>
      </c>
      <c r="C941" s="3452" t="inlineStr">
        <is>
          <t>000224000</t>
        </is>
      </c>
      <c r="D941" s="3452" t="inlineStr">
        <is>
          <t>201812</t>
        </is>
      </c>
      <c r="E941" s="3452" t="inlineStr">
        <is>
          <t>0,000000000000</t>
        </is>
      </c>
    </row>
    <row outlineLevel="0" r="942">
      <c r="A942" s="3452" t="inlineStr">
        <is>
          <t>000224000201812236001</t>
        </is>
      </c>
      <c r="B942" s="3452" t="inlineStr">
        <is>
          <t>236001</t>
        </is>
      </c>
      <c r="C942" s="3452" t="inlineStr">
        <is>
          <t>000224000</t>
        </is>
      </c>
      <c r="D942" s="3452" t="inlineStr">
        <is>
          <t>201812</t>
        </is>
      </c>
      <c r="E942" s="3452" t="inlineStr">
        <is>
          <t>0,000000000000</t>
        </is>
      </c>
    </row>
    <row outlineLevel="0" r="943">
      <c r="A943" s="3452" t="inlineStr">
        <is>
          <t>000224000201812236500</t>
        </is>
      </c>
      <c r="B943" s="3452" t="inlineStr">
        <is>
          <t>236500</t>
        </is>
      </c>
      <c r="C943" s="3452" t="inlineStr">
        <is>
          <t>000224000</t>
        </is>
      </c>
      <c r="D943" s="3452" t="inlineStr">
        <is>
          <t>201812</t>
        </is>
      </c>
      <c r="E943" s="3452" t="inlineStr">
        <is>
          <t>0,000000000000</t>
        </is>
      </c>
    </row>
    <row outlineLevel="0" r="944">
      <c r="A944" s="3452" t="inlineStr">
        <is>
          <t>000224000201812236501</t>
        </is>
      </c>
      <c r="B944" s="3452" t="inlineStr">
        <is>
          <t>236501</t>
        </is>
      </c>
      <c r="C944" s="3452" t="inlineStr">
        <is>
          <t>000224000</t>
        </is>
      </c>
      <c r="D944" s="3452" t="inlineStr">
        <is>
          <t>201812</t>
        </is>
      </c>
      <c r="E944" s="3452" t="inlineStr">
        <is>
          <t>0,000000000000</t>
        </is>
      </c>
    </row>
    <row outlineLevel="0" r="945">
      <c r="A945" s="3452" t="inlineStr">
        <is>
          <t>000224000201812236700</t>
        </is>
      </c>
      <c r="B945" s="3452" t="inlineStr">
        <is>
          <t>236700</t>
        </is>
      </c>
      <c r="C945" s="3452" t="inlineStr">
        <is>
          <t>000224000</t>
        </is>
      </c>
      <c r="D945" s="3452" t="inlineStr">
        <is>
          <t>201812</t>
        </is>
      </c>
      <c r="E945" s="3452" t="inlineStr">
        <is>
          <t>0,000000000000</t>
        </is>
      </c>
    </row>
    <row outlineLevel="0" r="946">
      <c r="A946" s="3452" t="inlineStr">
        <is>
          <t>000224000201812236701</t>
        </is>
      </c>
      <c r="B946" s="3452" t="inlineStr">
        <is>
          <t>236701</t>
        </is>
      </c>
      <c r="C946" s="3452" t="inlineStr">
        <is>
          <t>000224000</t>
        </is>
      </c>
      <c r="D946" s="3452" t="inlineStr">
        <is>
          <t>201812</t>
        </is>
      </c>
      <c r="E946" s="3452" t="inlineStr">
        <is>
          <t>0,000000000000</t>
        </is>
      </c>
    </row>
    <row outlineLevel="0" r="947">
      <c r="A947" s="3452" t="inlineStr">
        <is>
          <t>000224000201812236800</t>
        </is>
      </c>
      <c r="B947" s="3452" t="inlineStr">
        <is>
          <t>236800</t>
        </is>
      </c>
      <c r="C947" s="3452" t="inlineStr">
        <is>
          <t>000224000</t>
        </is>
      </c>
      <c r="D947" s="3452" t="inlineStr">
        <is>
          <t>201812</t>
        </is>
      </c>
      <c r="E947" s="3452" t="inlineStr">
        <is>
          <t>0,000000000000</t>
        </is>
      </c>
    </row>
    <row outlineLevel="0" r="948">
      <c r="A948" s="3452" t="inlineStr">
        <is>
          <t>000224000201812237000</t>
        </is>
      </c>
      <c r="B948" s="3452" t="inlineStr">
        <is>
          <t>237000</t>
        </is>
      </c>
      <c r="C948" s="3452" t="inlineStr">
        <is>
          <t>000224000</t>
        </is>
      </c>
      <c r="D948" s="3452" t="inlineStr">
        <is>
          <t>201812</t>
        </is>
      </c>
      <c r="E948" s="3452" t="inlineStr">
        <is>
          <t>0,000000000000</t>
        </is>
      </c>
    </row>
    <row outlineLevel="0" r="949">
      <c r="A949" s="3452" t="inlineStr">
        <is>
          <t>000224000201812237001</t>
        </is>
      </c>
      <c r="B949" s="3452" t="inlineStr">
        <is>
          <t>237001</t>
        </is>
      </c>
      <c r="C949" s="3452" t="inlineStr">
        <is>
          <t>000224000</t>
        </is>
      </c>
      <c r="D949" s="3452" t="inlineStr">
        <is>
          <t>201812</t>
        </is>
      </c>
      <c r="E949" s="3452" t="inlineStr">
        <is>
          <t>0,000000000000</t>
        </is>
      </c>
    </row>
    <row outlineLevel="0" r="950">
      <c r="A950" s="3452" t="inlineStr">
        <is>
          <t>000224000201812238000</t>
        </is>
      </c>
      <c r="B950" s="3452" t="inlineStr">
        <is>
          <t>238000</t>
        </is>
      </c>
      <c r="C950" s="3452" t="inlineStr">
        <is>
          <t>000224000</t>
        </is>
      </c>
      <c r="D950" s="3452" t="inlineStr">
        <is>
          <t>201812</t>
        </is>
      </c>
      <c r="E950" s="3452" t="inlineStr">
        <is>
          <t>0,000000000000</t>
        </is>
      </c>
    </row>
    <row outlineLevel="0" r="951">
      <c r="A951" s="3452" t="inlineStr">
        <is>
          <t>000224000201812238001</t>
        </is>
      </c>
      <c r="B951" s="3452" t="inlineStr">
        <is>
          <t>238001</t>
        </is>
      </c>
      <c r="C951" s="3452" t="inlineStr">
        <is>
          <t>000224000</t>
        </is>
      </c>
      <c r="D951" s="3452" t="inlineStr">
        <is>
          <t>201812</t>
        </is>
      </c>
      <c r="E951" s="3452" t="inlineStr">
        <is>
          <t>0,000000000000</t>
        </is>
      </c>
    </row>
    <row outlineLevel="0" r="952">
      <c r="A952" s="3452" t="inlineStr">
        <is>
          <t>000224000201812240001</t>
        </is>
      </c>
      <c r="B952" s="3452" t="inlineStr">
        <is>
          <t>240001</t>
        </is>
      </c>
      <c r="C952" s="3452" t="inlineStr">
        <is>
          <t>000224000</t>
        </is>
      </c>
      <c r="D952" s="3452" t="inlineStr">
        <is>
          <t>201812</t>
        </is>
      </c>
      <c r="E952" s="3452" t="inlineStr">
        <is>
          <t>0,000000000000</t>
        </is>
      </c>
    </row>
    <row outlineLevel="0" r="953">
      <c r="A953" s="3452" t="inlineStr">
        <is>
          <t>000224000201812240400</t>
        </is>
      </c>
      <c r="B953" s="3452" t="inlineStr">
        <is>
          <t>240400</t>
        </is>
      </c>
      <c r="C953" s="3452" t="inlineStr">
        <is>
          <t>000224000</t>
        </is>
      </c>
      <c r="D953" s="3452" t="inlineStr">
        <is>
          <t>201812</t>
        </is>
      </c>
      <c r="E953" s="3452" t="inlineStr">
        <is>
          <t>0,000000000000</t>
        </is>
      </c>
    </row>
    <row outlineLevel="0" r="954">
      <c r="A954" s="3452" t="inlineStr">
        <is>
          <t>000224000201812240401</t>
        </is>
      </c>
      <c r="B954" s="3452" t="inlineStr">
        <is>
          <t>240401</t>
        </is>
      </c>
      <c r="C954" s="3452" t="inlineStr">
        <is>
          <t>000224000</t>
        </is>
      </c>
      <c r="D954" s="3452" t="inlineStr">
        <is>
          <t>201812</t>
        </is>
      </c>
      <c r="E954" s="3452" t="inlineStr">
        <is>
          <t>0,000000000000</t>
        </is>
      </c>
    </row>
    <row outlineLevel="0" r="955">
      <c r="A955" s="3452" t="inlineStr">
        <is>
          <t>000224000201812240800</t>
        </is>
      </c>
      <c r="B955" s="3452" t="inlineStr">
        <is>
          <t>240800</t>
        </is>
      </c>
      <c r="C955" s="3452" t="inlineStr">
        <is>
          <t>000224000</t>
        </is>
      </c>
      <c r="D955" s="3452" t="inlineStr">
        <is>
          <t>201812</t>
        </is>
      </c>
      <c r="E955" s="3452" t="inlineStr">
        <is>
          <t>0,000000000000</t>
        </is>
      </c>
    </row>
    <row outlineLevel="0" r="956">
      <c r="A956" s="3452" t="inlineStr">
        <is>
          <t>000224000201812240801</t>
        </is>
      </c>
      <c r="B956" s="3452" t="inlineStr">
        <is>
          <t>240801</t>
        </is>
      </c>
      <c r="C956" s="3452" t="inlineStr">
        <is>
          <t>000224000</t>
        </is>
      </c>
      <c r="D956" s="3452" t="inlineStr">
        <is>
          <t>201812</t>
        </is>
      </c>
      <c r="E956" s="3452" t="inlineStr">
        <is>
          <t>0,000000000000</t>
        </is>
      </c>
    </row>
    <row outlineLevel="0" r="957">
      <c r="A957" s="3452" t="inlineStr">
        <is>
          <t>000224000201812241200</t>
        </is>
      </c>
      <c r="B957" s="3452" t="inlineStr">
        <is>
          <t>241200</t>
        </is>
      </c>
      <c r="C957" s="3452" t="inlineStr">
        <is>
          <t>000224000</t>
        </is>
      </c>
      <c r="D957" s="3452" t="inlineStr">
        <is>
          <t>201812</t>
        </is>
      </c>
      <c r="E957" s="3452" t="inlineStr">
        <is>
          <t>0,000000000000</t>
        </is>
      </c>
    </row>
    <row outlineLevel="0" r="958">
      <c r="A958" s="3452" t="inlineStr">
        <is>
          <t>000224000201812241201</t>
        </is>
      </c>
      <c r="B958" s="3452" t="inlineStr">
        <is>
          <t>241201</t>
        </is>
      </c>
      <c r="C958" s="3452" t="inlineStr">
        <is>
          <t>000224000</t>
        </is>
      </c>
      <c r="D958" s="3452" t="inlineStr">
        <is>
          <t>201812</t>
        </is>
      </c>
      <c r="E958" s="3452" t="inlineStr">
        <is>
          <t>0,000000000000</t>
        </is>
      </c>
    </row>
    <row outlineLevel="0" r="959">
      <c r="A959" s="3452" t="inlineStr">
        <is>
          <t>000224000201812249500</t>
        </is>
      </c>
      <c r="B959" s="3452" t="inlineStr">
        <is>
          <t>249500</t>
        </is>
      </c>
      <c r="C959" s="3452" t="inlineStr">
        <is>
          <t>000224000</t>
        </is>
      </c>
      <c r="D959" s="3452" t="inlineStr">
        <is>
          <t>201812</t>
        </is>
      </c>
      <c r="E959" s="3452" t="inlineStr">
        <is>
          <t>0,000000000000</t>
        </is>
      </c>
    </row>
    <row outlineLevel="0" r="960">
      <c r="A960" s="3452" t="inlineStr">
        <is>
          <t>000224000201812249501</t>
        </is>
      </c>
      <c r="B960" s="3452" t="inlineStr">
        <is>
          <t>249501</t>
        </is>
      </c>
      <c r="C960" s="3452" t="inlineStr">
        <is>
          <t>000224000</t>
        </is>
      </c>
      <c r="D960" s="3452" t="inlineStr">
        <is>
          <t>201812</t>
        </is>
      </c>
      <c r="E960" s="3452" t="inlineStr">
        <is>
          <t>0,000000000000</t>
        </is>
      </c>
    </row>
    <row outlineLevel="0" r="961">
      <c r="A961" s="3452" t="inlineStr">
        <is>
          <t>000224000201812250500</t>
        </is>
      </c>
      <c r="B961" s="3452" t="inlineStr">
        <is>
          <t>250500</t>
        </is>
      </c>
      <c r="C961" s="3452" t="inlineStr">
        <is>
          <t>000224000</t>
        </is>
      </c>
      <c r="D961" s="3452" t="inlineStr">
        <is>
          <t>201812</t>
        </is>
      </c>
      <c r="E961" s="3452" t="inlineStr">
        <is>
          <t>0,000000000000</t>
        </is>
      </c>
    </row>
    <row outlineLevel="0" r="962">
      <c r="A962" s="3452" t="inlineStr">
        <is>
          <t>000224000201812250501</t>
        </is>
      </c>
      <c r="B962" s="3452" t="inlineStr">
        <is>
          <t>250501</t>
        </is>
      </c>
      <c r="C962" s="3452" t="inlineStr">
        <is>
          <t>000224000</t>
        </is>
      </c>
      <c r="D962" s="3452" t="inlineStr">
        <is>
          <t>201812</t>
        </is>
      </c>
      <c r="E962" s="3452" t="inlineStr">
        <is>
          <t>0,000000000000</t>
        </is>
      </c>
    </row>
    <row outlineLevel="0" r="963">
      <c r="A963" s="3452" t="inlineStr">
        <is>
          <t>000224000201812251000</t>
        </is>
      </c>
      <c r="B963" s="3452" t="inlineStr">
        <is>
          <t>251000</t>
        </is>
      </c>
      <c r="C963" s="3452" t="inlineStr">
        <is>
          <t>000224000</t>
        </is>
      </c>
      <c r="D963" s="3452" t="inlineStr">
        <is>
          <t>201812</t>
        </is>
      </c>
      <c r="E963" s="3452" t="inlineStr">
        <is>
          <t>0,000000000000</t>
        </is>
      </c>
    </row>
    <row outlineLevel="0" r="964">
      <c r="A964" s="3452" t="inlineStr">
        <is>
          <t>000224000201812251001</t>
        </is>
      </c>
      <c r="B964" s="3452" t="inlineStr">
        <is>
          <t>251001</t>
        </is>
      </c>
      <c r="C964" s="3452" t="inlineStr">
        <is>
          <t>000224000</t>
        </is>
      </c>
      <c r="D964" s="3452" t="inlineStr">
        <is>
          <t>201812</t>
        </is>
      </c>
      <c r="E964" s="3452" t="inlineStr">
        <is>
          <t>0,000000000000</t>
        </is>
      </c>
    </row>
    <row outlineLevel="0" r="965">
      <c r="A965" s="3452" t="inlineStr">
        <is>
          <t>000224000201812251500</t>
        </is>
      </c>
      <c r="B965" s="3452" t="inlineStr">
        <is>
          <t>251500</t>
        </is>
      </c>
      <c r="C965" s="3452" t="inlineStr">
        <is>
          <t>000224000</t>
        </is>
      </c>
      <c r="D965" s="3452" t="inlineStr">
        <is>
          <t>201812</t>
        </is>
      </c>
      <c r="E965" s="3452" t="inlineStr">
        <is>
          <t>0,000000000000</t>
        </is>
      </c>
    </row>
    <row outlineLevel="0" r="966">
      <c r="A966" s="3452" t="inlineStr">
        <is>
          <t>000224000201812251501</t>
        </is>
      </c>
      <c r="B966" s="3452" t="inlineStr">
        <is>
          <t>251501</t>
        </is>
      </c>
      <c r="C966" s="3452" t="inlineStr">
        <is>
          <t>000224000</t>
        </is>
      </c>
      <c r="D966" s="3452" t="inlineStr">
        <is>
          <t>201812</t>
        </is>
      </c>
      <c r="E966" s="3452" t="inlineStr">
        <is>
          <t>0,000000000000</t>
        </is>
      </c>
    </row>
    <row outlineLevel="0" r="967">
      <c r="A967" s="3452" t="inlineStr">
        <is>
          <t>000224000201812252500</t>
        </is>
      </c>
      <c r="B967" s="3452" t="inlineStr">
        <is>
          <t>252500</t>
        </is>
      </c>
      <c r="C967" s="3452" t="inlineStr">
        <is>
          <t>000224000</t>
        </is>
      </c>
      <c r="D967" s="3452" t="inlineStr">
        <is>
          <t>201812</t>
        </is>
      </c>
      <c r="E967" s="3452" t="inlineStr">
        <is>
          <t>0,000000000000</t>
        </is>
      </c>
    </row>
    <row outlineLevel="0" r="968">
      <c r="A968" s="3452" t="inlineStr">
        <is>
          <t>000224000201812252501</t>
        </is>
      </c>
      <c r="B968" s="3452" t="inlineStr">
        <is>
          <t>252501</t>
        </is>
      </c>
      <c r="C968" s="3452" t="inlineStr">
        <is>
          <t>000224000</t>
        </is>
      </c>
      <c r="D968" s="3452" t="inlineStr">
        <is>
          <t>201812</t>
        </is>
      </c>
      <c r="E968" s="3452" t="inlineStr">
        <is>
          <t>0,000000000000</t>
        </is>
      </c>
    </row>
    <row outlineLevel="0" r="969">
      <c r="A969" s="3452" t="inlineStr">
        <is>
          <t>000224000201812253000</t>
        </is>
      </c>
      <c r="B969" s="3452" t="inlineStr">
        <is>
          <t>253000</t>
        </is>
      </c>
      <c r="C969" s="3452" t="inlineStr">
        <is>
          <t>000224000</t>
        </is>
      </c>
      <c r="D969" s="3452" t="inlineStr">
        <is>
          <t>201812</t>
        </is>
      </c>
      <c r="E969" s="3452" t="inlineStr">
        <is>
          <t>0,000000000000</t>
        </is>
      </c>
    </row>
    <row outlineLevel="0" r="970">
      <c r="A970" s="3452" t="inlineStr">
        <is>
          <t>000224000201812253001</t>
        </is>
      </c>
      <c r="B970" s="3452" t="inlineStr">
        <is>
          <t>253001</t>
        </is>
      </c>
      <c r="C970" s="3452" t="inlineStr">
        <is>
          <t>000224000</t>
        </is>
      </c>
      <c r="D970" s="3452" t="inlineStr">
        <is>
          <t>201812</t>
        </is>
      </c>
      <c r="E970" s="3452" t="inlineStr">
        <is>
          <t>0,000000000000</t>
        </is>
      </c>
    </row>
    <row outlineLevel="0" r="971">
      <c r="A971" s="3452" t="inlineStr">
        <is>
          <t>000224000201812259500</t>
        </is>
      </c>
      <c r="B971" s="3452" t="inlineStr">
        <is>
          <t>259500</t>
        </is>
      </c>
      <c r="C971" s="3452" t="inlineStr">
        <is>
          <t>000224000</t>
        </is>
      </c>
      <c r="D971" s="3452" t="inlineStr">
        <is>
          <t>201812</t>
        </is>
      </c>
      <c r="E971" s="3452" t="inlineStr">
        <is>
          <t>0,000000000000</t>
        </is>
      </c>
    </row>
    <row outlineLevel="0" r="972">
      <c r="A972" s="3452" t="inlineStr">
        <is>
          <t>000224000201812259501</t>
        </is>
      </c>
      <c r="B972" s="3452" t="inlineStr">
        <is>
          <t>259501</t>
        </is>
      </c>
      <c r="C972" s="3452" t="inlineStr">
        <is>
          <t>000224000</t>
        </is>
      </c>
      <c r="D972" s="3452" t="inlineStr">
        <is>
          <t>201812</t>
        </is>
      </c>
      <c r="E972" s="3452" t="inlineStr">
        <is>
          <t>0,000000000000</t>
        </is>
      </c>
    </row>
    <row outlineLevel="0" r="973">
      <c r="A973" s="3452" t="inlineStr">
        <is>
          <t>000224000201812260500</t>
        </is>
      </c>
      <c r="B973" s="3452" t="inlineStr">
        <is>
          <t>260500</t>
        </is>
      </c>
      <c r="C973" s="3452" t="inlineStr">
        <is>
          <t>000224000</t>
        </is>
      </c>
      <c r="D973" s="3452" t="inlineStr">
        <is>
          <t>201812</t>
        </is>
      </c>
      <c r="E973" s="3452" t="inlineStr">
        <is>
          <t>0,000000000000</t>
        </is>
      </c>
    </row>
    <row outlineLevel="0" r="974">
      <c r="A974" s="3452" t="inlineStr">
        <is>
          <t>000224000201812260501</t>
        </is>
      </c>
      <c r="B974" s="3452" t="inlineStr">
        <is>
          <t>260501</t>
        </is>
      </c>
      <c r="C974" s="3452" t="inlineStr">
        <is>
          <t>000224000</t>
        </is>
      </c>
      <c r="D974" s="3452" t="inlineStr">
        <is>
          <t>201812</t>
        </is>
      </c>
      <c r="E974" s="3452" t="inlineStr">
        <is>
          <t>0,000000000000</t>
        </is>
      </c>
    </row>
    <row outlineLevel="0" r="975">
      <c r="A975" s="3452" t="inlineStr">
        <is>
          <t>000224000201812261000</t>
        </is>
      </c>
      <c r="B975" s="3452" t="inlineStr">
        <is>
          <t>261000</t>
        </is>
      </c>
      <c r="C975" s="3452" t="inlineStr">
        <is>
          <t>000224000</t>
        </is>
      </c>
      <c r="D975" s="3452" t="inlineStr">
        <is>
          <t>201812</t>
        </is>
      </c>
      <c r="E975" s="3452" t="inlineStr">
        <is>
          <t>0,000000000000</t>
        </is>
      </c>
    </row>
    <row outlineLevel="0" r="976">
      <c r="A976" s="3452" t="inlineStr">
        <is>
          <t>000224000201812261001</t>
        </is>
      </c>
      <c r="B976" s="3452" t="inlineStr">
        <is>
          <t>261001</t>
        </is>
      </c>
      <c r="C976" s="3452" t="inlineStr">
        <is>
          <t>000224000</t>
        </is>
      </c>
      <c r="D976" s="3452" t="inlineStr">
        <is>
          <t>201812</t>
        </is>
      </c>
      <c r="E976" s="3452" t="inlineStr">
        <is>
          <t>0,000000000000</t>
        </is>
      </c>
    </row>
    <row outlineLevel="0" r="977">
      <c r="A977" s="3452" t="inlineStr">
        <is>
          <t>000224000201812261500</t>
        </is>
      </c>
      <c r="B977" s="3452" t="inlineStr">
        <is>
          <t>261500</t>
        </is>
      </c>
      <c r="C977" s="3452" t="inlineStr">
        <is>
          <t>000224000</t>
        </is>
      </c>
      <c r="D977" s="3452" t="inlineStr">
        <is>
          <t>201812</t>
        </is>
      </c>
      <c r="E977" s="3452" t="inlineStr">
        <is>
          <t>0,000000000000</t>
        </is>
      </c>
    </row>
    <row outlineLevel="0" r="978">
      <c r="A978" s="3452" t="inlineStr">
        <is>
          <t>000224000201812261501</t>
        </is>
      </c>
      <c r="B978" s="3452" t="inlineStr">
        <is>
          <t>261501</t>
        </is>
      </c>
      <c r="C978" s="3452" t="inlineStr">
        <is>
          <t>000224000</t>
        </is>
      </c>
      <c r="D978" s="3452" t="inlineStr">
        <is>
          <t>201812</t>
        </is>
      </c>
      <c r="E978" s="3452" t="inlineStr">
        <is>
          <t>0,000000000000</t>
        </is>
      </c>
    </row>
    <row outlineLevel="0" r="979">
      <c r="A979" s="3452" t="inlineStr">
        <is>
          <t>000224000201812262000</t>
        </is>
      </c>
      <c r="B979" s="3452" t="inlineStr">
        <is>
          <t>262000</t>
        </is>
      </c>
      <c r="C979" s="3452" t="inlineStr">
        <is>
          <t>000224000</t>
        </is>
      </c>
      <c r="D979" s="3452" t="inlineStr">
        <is>
          <t>201812</t>
        </is>
      </c>
      <c r="E979" s="3452" t="inlineStr">
        <is>
          <t>0,000000000000</t>
        </is>
      </c>
    </row>
    <row outlineLevel="0" r="980">
      <c r="A980" s="3452" t="inlineStr">
        <is>
          <t>000224000201812262001</t>
        </is>
      </c>
      <c r="B980" s="3452" t="inlineStr">
        <is>
          <t>262001</t>
        </is>
      </c>
      <c r="C980" s="3452" t="inlineStr">
        <is>
          <t>000224000</t>
        </is>
      </c>
      <c r="D980" s="3452" t="inlineStr">
        <is>
          <t>201812</t>
        </is>
      </c>
      <c r="E980" s="3452" t="inlineStr">
        <is>
          <t>0,000000000000</t>
        </is>
      </c>
    </row>
    <row outlineLevel="0" r="981">
      <c r="A981" s="3452" t="inlineStr">
        <is>
          <t>000224000201812262500</t>
        </is>
      </c>
      <c r="B981" s="3452" t="inlineStr">
        <is>
          <t>262500</t>
        </is>
      </c>
      <c r="C981" s="3452" t="inlineStr">
        <is>
          <t>000224000</t>
        </is>
      </c>
      <c r="D981" s="3452" t="inlineStr">
        <is>
          <t>201812</t>
        </is>
      </c>
      <c r="E981" s="3452" t="inlineStr">
        <is>
          <t>0,000000000000</t>
        </is>
      </c>
    </row>
    <row outlineLevel="0" r="982">
      <c r="A982" s="3452" t="inlineStr">
        <is>
          <t>000224000201812262501</t>
        </is>
      </c>
      <c r="B982" s="3452" t="inlineStr">
        <is>
          <t>262501</t>
        </is>
      </c>
      <c r="C982" s="3452" t="inlineStr">
        <is>
          <t>000224000</t>
        </is>
      </c>
      <c r="D982" s="3452" t="inlineStr">
        <is>
          <t>201812</t>
        </is>
      </c>
      <c r="E982" s="3452" t="inlineStr">
        <is>
          <t>0,000000000000</t>
        </is>
      </c>
    </row>
    <row outlineLevel="0" r="983">
      <c r="A983" s="3452" t="inlineStr">
        <is>
          <t>000224000201812263000</t>
        </is>
      </c>
      <c r="B983" s="3452" t="inlineStr">
        <is>
          <t>263000</t>
        </is>
      </c>
      <c r="C983" s="3452" t="inlineStr">
        <is>
          <t>000224000</t>
        </is>
      </c>
      <c r="D983" s="3452" t="inlineStr">
        <is>
          <t>201812</t>
        </is>
      </c>
      <c r="E983" s="3452" t="inlineStr">
        <is>
          <t>0,000000000000</t>
        </is>
      </c>
    </row>
    <row outlineLevel="0" r="984">
      <c r="A984" s="3452" t="inlineStr">
        <is>
          <t>000224000201812263001</t>
        </is>
      </c>
      <c r="B984" s="3452" t="inlineStr">
        <is>
          <t>263001</t>
        </is>
      </c>
      <c r="C984" s="3452" t="inlineStr">
        <is>
          <t>000224000</t>
        </is>
      </c>
      <c r="D984" s="3452" t="inlineStr">
        <is>
          <t>201812</t>
        </is>
      </c>
      <c r="E984" s="3452" t="inlineStr">
        <is>
          <t>0,000000000000</t>
        </is>
      </c>
    </row>
    <row outlineLevel="0" r="985">
      <c r="A985" s="3452" t="inlineStr">
        <is>
          <t>000224000201812263500</t>
        </is>
      </c>
      <c r="B985" s="3452" t="inlineStr">
        <is>
          <t>263500</t>
        </is>
      </c>
      <c r="C985" s="3452" t="inlineStr">
        <is>
          <t>000224000</t>
        </is>
      </c>
      <c r="D985" s="3452" t="inlineStr">
        <is>
          <t>201812</t>
        </is>
      </c>
      <c r="E985" s="3452" t="inlineStr">
        <is>
          <t>0,000000000000</t>
        </is>
      </c>
    </row>
    <row outlineLevel="0" r="986">
      <c r="A986" s="3452" t="inlineStr">
        <is>
          <t>000224000201812263501</t>
        </is>
      </c>
      <c r="B986" s="3452" t="inlineStr">
        <is>
          <t>263501</t>
        </is>
      </c>
      <c r="C986" s="3452" t="inlineStr">
        <is>
          <t>000224000</t>
        </is>
      </c>
      <c r="D986" s="3452" t="inlineStr">
        <is>
          <t>201812</t>
        </is>
      </c>
      <c r="E986" s="3452" t="inlineStr">
        <is>
          <t>0,000000000000</t>
        </is>
      </c>
    </row>
    <row outlineLevel="0" r="987">
      <c r="A987" s="3452" t="inlineStr">
        <is>
          <t>000224000201812264000</t>
        </is>
      </c>
      <c r="B987" s="3452" t="inlineStr">
        <is>
          <t>264000</t>
        </is>
      </c>
      <c r="C987" s="3452" t="inlineStr">
        <is>
          <t>000224000</t>
        </is>
      </c>
      <c r="D987" s="3452" t="inlineStr">
        <is>
          <t>201812</t>
        </is>
      </c>
      <c r="E987" s="3452" t="inlineStr">
        <is>
          <t>0,000000000000</t>
        </is>
      </c>
    </row>
    <row outlineLevel="0" r="988">
      <c r="A988" s="3452" t="inlineStr">
        <is>
          <t>000224000201812264001</t>
        </is>
      </c>
      <c r="B988" s="3452" t="inlineStr">
        <is>
          <t>264001</t>
        </is>
      </c>
      <c r="C988" s="3452" t="inlineStr">
        <is>
          <t>000224000</t>
        </is>
      </c>
      <c r="D988" s="3452" t="inlineStr">
        <is>
          <t>201812</t>
        </is>
      </c>
      <c r="E988" s="3452" t="inlineStr">
        <is>
          <t>0,000000000000</t>
        </is>
      </c>
    </row>
    <row outlineLevel="0" r="989">
      <c r="A989" s="3452" t="inlineStr">
        <is>
          <t>000224000201812269500</t>
        </is>
      </c>
      <c r="B989" s="3452" t="inlineStr">
        <is>
          <t>269500</t>
        </is>
      </c>
      <c r="C989" s="3452" t="inlineStr">
        <is>
          <t>000224000</t>
        </is>
      </c>
      <c r="D989" s="3452" t="inlineStr">
        <is>
          <t>201812</t>
        </is>
      </c>
      <c r="E989" s="3452" t="inlineStr">
        <is>
          <t>0,000000000000</t>
        </is>
      </c>
    </row>
    <row outlineLevel="0" r="990">
      <c r="A990" s="3452" t="inlineStr">
        <is>
          <t>000224000201812269501</t>
        </is>
      </c>
      <c r="B990" s="3452" t="inlineStr">
        <is>
          <t>269501</t>
        </is>
      </c>
      <c r="C990" s="3452" t="inlineStr">
        <is>
          <t>000224000</t>
        </is>
      </c>
      <c r="D990" s="3452" t="inlineStr">
        <is>
          <t>201812</t>
        </is>
      </c>
      <c r="E990" s="3452" t="inlineStr">
        <is>
          <t>0,000000000000</t>
        </is>
      </c>
    </row>
    <row outlineLevel="0" r="991">
      <c r="A991" s="3452" t="inlineStr">
        <is>
          <t>000224000201812270500</t>
        </is>
      </c>
      <c r="B991" s="3452" t="inlineStr">
        <is>
          <t>270500</t>
        </is>
      </c>
      <c r="C991" s="3452" t="inlineStr">
        <is>
          <t>000224000</t>
        </is>
      </c>
      <c r="D991" s="3452" t="inlineStr">
        <is>
          <t>201812</t>
        </is>
      </c>
      <c r="E991" s="3452" t="inlineStr">
        <is>
          <t>0,000000000000</t>
        </is>
      </c>
    </row>
    <row outlineLevel="0" r="992">
      <c r="A992" s="3452" t="inlineStr">
        <is>
          <t>000224000201812270501</t>
        </is>
      </c>
      <c r="B992" s="3452" t="inlineStr">
        <is>
          <t>270501</t>
        </is>
      </c>
      <c r="C992" s="3452" t="inlineStr">
        <is>
          <t>000224000</t>
        </is>
      </c>
      <c r="D992" s="3452" t="inlineStr">
        <is>
          <t>201812</t>
        </is>
      </c>
      <c r="E992" s="3452" t="inlineStr">
        <is>
          <t>0,000000000000</t>
        </is>
      </c>
    </row>
    <row outlineLevel="0" r="993">
      <c r="A993" s="3452" t="inlineStr">
        <is>
          <t>000224000201812271000</t>
        </is>
      </c>
      <c r="B993" s="3452" t="inlineStr">
        <is>
          <t>271000</t>
        </is>
      </c>
      <c r="C993" s="3452" t="inlineStr">
        <is>
          <t>000224000</t>
        </is>
      </c>
      <c r="D993" s="3452" t="inlineStr">
        <is>
          <t>201812</t>
        </is>
      </c>
      <c r="E993" s="3452" t="inlineStr">
        <is>
          <t>0,000000000000</t>
        </is>
      </c>
    </row>
    <row outlineLevel="0" r="994">
      <c r="A994" s="3452" t="inlineStr">
        <is>
          <t>000224000201812271001</t>
        </is>
      </c>
      <c r="B994" s="3452" t="inlineStr">
        <is>
          <t>271001</t>
        </is>
      </c>
      <c r="C994" s="3452" t="inlineStr">
        <is>
          <t>000224000</t>
        </is>
      </c>
      <c r="D994" s="3452" t="inlineStr">
        <is>
          <t>201812</t>
        </is>
      </c>
      <c r="E994" s="3452" t="inlineStr">
        <is>
          <t>0,000000000000</t>
        </is>
      </c>
    </row>
    <row outlineLevel="0" r="995">
      <c r="A995" s="3452" t="inlineStr">
        <is>
          <t>000224000201812272001</t>
        </is>
      </c>
      <c r="B995" s="3452" t="inlineStr">
        <is>
          <t>272001</t>
        </is>
      </c>
      <c r="C995" s="3452" t="inlineStr">
        <is>
          <t>000224000</t>
        </is>
      </c>
      <c r="D995" s="3452" t="inlineStr">
        <is>
          <t>201812</t>
        </is>
      </c>
      <c r="E995" s="3452" t="inlineStr">
        <is>
          <t>0,000000000000</t>
        </is>
      </c>
    </row>
    <row outlineLevel="0" r="996">
      <c r="A996" s="3452" t="inlineStr">
        <is>
          <t>000224000201812272500</t>
        </is>
      </c>
      <c r="B996" s="3452" t="inlineStr">
        <is>
          <t>272500</t>
        </is>
      </c>
      <c r="C996" s="3452" t="inlineStr">
        <is>
          <t>000224000</t>
        </is>
      </c>
      <c r="D996" s="3452" t="inlineStr">
        <is>
          <t>201812</t>
        </is>
      </c>
      <c r="E996" s="3452" t="inlineStr">
        <is>
          <t>0,000000000000</t>
        </is>
      </c>
    </row>
    <row outlineLevel="0" r="997">
      <c r="A997" s="3452" t="inlineStr">
        <is>
          <t>000224000201812272501</t>
        </is>
      </c>
      <c r="B997" s="3452" t="inlineStr">
        <is>
          <t>272501</t>
        </is>
      </c>
      <c r="C997" s="3452" t="inlineStr">
        <is>
          <t>000224000</t>
        </is>
      </c>
      <c r="D997" s="3452" t="inlineStr">
        <is>
          <t>201812</t>
        </is>
      </c>
      <c r="E997" s="3452" t="inlineStr">
        <is>
          <t>0,000000000000</t>
        </is>
      </c>
    </row>
    <row outlineLevel="0" r="998">
      <c r="A998" s="3452" t="inlineStr">
        <is>
          <t>000224000201812279500</t>
        </is>
      </c>
      <c r="B998" s="3452" t="inlineStr">
        <is>
          <t>279500</t>
        </is>
      </c>
      <c r="C998" s="3452" t="inlineStr">
        <is>
          <t>000224000</t>
        </is>
      </c>
      <c r="D998" s="3452" t="inlineStr">
        <is>
          <t>201812</t>
        </is>
      </c>
      <c r="E998" s="3452" t="inlineStr">
        <is>
          <t>0,000000000000</t>
        </is>
      </c>
    </row>
    <row outlineLevel="0" r="999">
      <c r="A999" s="3452" t="inlineStr">
        <is>
          <t>000224000201812279501</t>
        </is>
      </c>
      <c r="B999" s="3452" t="inlineStr">
        <is>
          <t>279501</t>
        </is>
      </c>
      <c r="C999" s="3452" t="inlineStr">
        <is>
          <t>000224000</t>
        </is>
      </c>
      <c r="D999" s="3452" t="inlineStr">
        <is>
          <t>201812</t>
        </is>
      </c>
      <c r="E999" s="3452" t="inlineStr">
        <is>
          <t>0,000000000000</t>
        </is>
      </c>
    </row>
    <row outlineLevel="0" r="1000">
      <c r="A1000" s="3452" t="inlineStr">
        <is>
          <t>000224000201812281000</t>
        </is>
      </c>
      <c r="B1000" s="3452" t="inlineStr">
        <is>
          <t>281000</t>
        </is>
      </c>
      <c r="C1000" s="3452" t="inlineStr">
        <is>
          <t>000224000</t>
        </is>
      </c>
      <c r="D1000" s="3452" t="inlineStr">
        <is>
          <t>201812</t>
        </is>
      </c>
      <c r="E1000" s="3452" t="inlineStr">
        <is>
          <t>0,000000000000</t>
        </is>
      </c>
    </row>
    <row outlineLevel="0" r="1001">
      <c r="A1001" s="3452" t="inlineStr">
        <is>
          <t>000224000201812282000</t>
        </is>
      </c>
      <c r="B1001" s="3452" t="inlineStr">
        <is>
          <t>282000</t>
        </is>
      </c>
      <c r="C1001" s="3452" t="inlineStr">
        <is>
          <t>000224000</t>
        </is>
      </c>
      <c r="D1001" s="3452" t="inlineStr">
        <is>
          <t>201812</t>
        </is>
      </c>
      <c r="E1001" s="3452" t="inlineStr">
        <is>
          <t>0,000000000000</t>
        </is>
      </c>
    </row>
    <row outlineLevel="0" r="1002">
      <c r="A1002" s="3452" t="inlineStr">
        <is>
          <t>000224000201812282500</t>
        </is>
      </c>
      <c r="B1002" s="3452" t="inlineStr">
        <is>
          <t>282500</t>
        </is>
      </c>
      <c r="C1002" s="3452" t="inlineStr">
        <is>
          <t>000224000</t>
        </is>
      </c>
      <c r="D1002" s="3452" t="inlineStr">
        <is>
          <t>201812</t>
        </is>
      </c>
      <c r="E1002" s="3452" t="inlineStr">
        <is>
          <t>0,000000000000</t>
        </is>
      </c>
    </row>
    <row outlineLevel="0" r="1003">
      <c r="A1003" s="3452" t="inlineStr">
        <is>
          <t>000224000201812284000</t>
        </is>
      </c>
      <c r="B1003" s="3452" t="inlineStr">
        <is>
          <t>284000</t>
        </is>
      </c>
      <c r="C1003" s="3452" t="inlineStr">
        <is>
          <t>000224000</t>
        </is>
      </c>
      <c r="D1003" s="3452" t="inlineStr">
        <is>
          <t>201812</t>
        </is>
      </c>
      <c r="E1003" s="3452" t="inlineStr">
        <is>
          <t>0,000000000000</t>
        </is>
      </c>
    </row>
    <row outlineLevel="0" r="1004">
      <c r="A1004" s="3452" t="inlineStr">
        <is>
          <t>000224000201812289500</t>
        </is>
      </c>
      <c r="B1004" s="3452" t="inlineStr">
        <is>
          <t>289500</t>
        </is>
      </c>
      <c r="C1004" s="3452" t="inlineStr">
        <is>
          <t>000224000</t>
        </is>
      </c>
      <c r="D1004" s="3452" t="inlineStr">
        <is>
          <t>201812</t>
        </is>
      </c>
      <c r="E1004" s="3452" t="inlineStr">
        <is>
          <t>0,000000000000</t>
        </is>
      </c>
    </row>
    <row outlineLevel="0" r="1005">
      <c r="A1005" s="3452" t="inlineStr">
        <is>
          <t>000224000201812290501</t>
        </is>
      </c>
      <c r="B1005" s="3452" t="inlineStr">
        <is>
          <t>290501</t>
        </is>
      </c>
      <c r="C1005" s="3452" t="inlineStr">
        <is>
          <t>000224000</t>
        </is>
      </c>
      <c r="D1005" s="3452" t="inlineStr">
        <is>
          <t>201812</t>
        </is>
      </c>
      <c r="E1005" s="3452" t="inlineStr">
        <is>
          <t>0,000000000000</t>
        </is>
      </c>
    </row>
    <row outlineLevel="0" r="1006">
      <c r="A1006" s="3452" t="inlineStr">
        <is>
          <t>000224000201812291000</t>
        </is>
      </c>
      <c r="B1006" s="3452" t="inlineStr">
        <is>
          <t>291000</t>
        </is>
      </c>
      <c r="C1006" s="3452" t="inlineStr">
        <is>
          <t>000224000</t>
        </is>
      </c>
      <c r="D1006" s="3452" t="inlineStr">
        <is>
          <t>201812</t>
        </is>
      </c>
      <c r="E1006" s="3452" t="inlineStr">
        <is>
          <t>0,000000000000</t>
        </is>
      </c>
    </row>
    <row outlineLevel="0" r="1007">
      <c r="A1007" s="3452" t="inlineStr">
        <is>
          <t>000224000201812291501</t>
        </is>
      </c>
      <c r="B1007" s="3452" t="inlineStr">
        <is>
          <t>291501</t>
        </is>
      </c>
      <c r="C1007" s="3452" t="inlineStr">
        <is>
          <t>000224000</t>
        </is>
      </c>
      <c r="D1007" s="3452" t="inlineStr">
        <is>
          <t>201812</t>
        </is>
      </c>
      <c r="E1007" s="3452" t="inlineStr">
        <is>
          <t>0,000000000000</t>
        </is>
      </c>
    </row>
    <row outlineLevel="0" r="1008">
      <c r="A1008" s="3452" t="inlineStr">
        <is>
          <t>000224000201812291991</t>
        </is>
      </c>
      <c r="B1008" s="3452" t="inlineStr">
        <is>
          <t>291991</t>
        </is>
      </c>
      <c r="C1008" s="3452" t="inlineStr">
        <is>
          <t>000224000</t>
        </is>
      </c>
      <c r="D1008" s="3452" t="inlineStr">
        <is>
          <t>201812</t>
        </is>
      </c>
      <c r="E1008" s="3452" t="inlineStr">
        <is>
          <t>0,000000000000</t>
        </is>
      </c>
    </row>
    <row outlineLevel="0" r="1009">
      <c r="A1009" s="3452" t="inlineStr">
        <is>
          <t>000224000201812292000</t>
        </is>
      </c>
      <c r="B1009" s="3452" t="inlineStr">
        <is>
          <t>292000</t>
        </is>
      </c>
      <c r="C1009" s="3452" t="inlineStr">
        <is>
          <t>000224000</t>
        </is>
      </c>
      <c r="D1009" s="3452" t="inlineStr">
        <is>
          <t>201812</t>
        </is>
      </c>
      <c r="E1009" s="3452" t="inlineStr">
        <is>
          <t>0,000000000000</t>
        </is>
      </c>
    </row>
    <row outlineLevel="0" r="1010">
      <c r="A1010" s="3452" t="inlineStr">
        <is>
          <t>000224000201812292001</t>
        </is>
      </c>
      <c r="B1010" s="3452" t="inlineStr">
        <is>
          <t>292001</t>
        </is>
      </c>
      <c r="C1010" s="3452" t="inlineStr">
        <is>
          <t>000224000</t>
        </is>
      </c>
      <c r="D1010" s="3452" t="inlineStr">
        <is>
          <t>201812</t>
        </is>
      </c>
      <c r="E1010" s="3452" t="inlineStr">
        <is>
          <t>0,000000000000</t>
        </is>
      </c>
    </row>
    <row outlineLevel="0" r="1011">
      <c r="A1011" s="3452" t="inlineStr">
        <is>
          <t>000224000201812293000</t>
        </is>
      </c>
      <c r="B1011" s="3452" t="inlineStr">
        <is>
          <t>293000</t>
        </is>
      </c>
      <c r="C1011" s="3452" t="inlineStr">
        <is>
          <t>000224000</t>
        </is>
      </c>
      <c r="D1011" s="3452" t="inlineStr">
        <is>
          <t>201812</t>
        </is>
      </c>
      <c r="E1011" s="3452" t="inlineStr">
        <is>
          <t>0,000000000000</t>
        </is>
      </c>
    </row>
    <row outlineLevel="0" r="1012">
      <c r="A1012" s="3452" t="inlineStr">
        <is>
          <t>000224000201812294000</t>
        </is>
      </c>
      <c r="B1012" s="3452" t="inlineStr">
        <is>
          <t>294000</t>
        </is>
      </c>
      <c r="C1012" s="3452" t="inlineStr">
        <is>
          <t>000224000</t>
        </is>
      </c>
      <c r="D1012" s="3452" t="inlineStr">
        <is>
          <t>201812</t>
        </is>
      </c>
      <c r="E1012" s="3452" t="inlineStr">
        <is>
          <t>0,000000000000</t>
        </is>
      </c>
    </row>
    <row outlineLevel="0" r="1013">
      <c r="A1013" s="3452" t="inlineStr">
        <is>
          <t>000224000201812299501</t>
        </is>
      </c>
      <c r="B1013" s="3452" t="inlineStr">
        <is>
          <t>299501</t>
        </is>
      </c>
      <c r="C1013" s="3452" t="inlineStr">
        <is>
          <t>000224000</t>
        </is>
      </c>
      <c r="D1013" s="3452" t="inlineStr">
        <is>
          <t>201812</t>
        </is>
      </c>
      <c r="E1013" s="3452" t="inlineStr">
        <is>
          <t>0,000000000000</t>
        </is>
      </c>
    </row>
    <row outlineLevel="0" r="1014">
      <c r="A1014" s="3452" t="inlineStr">
        <is>
          <t>000224000201812310500</t>
        </is>
      </c>
      <c r="B1014" s="3452" t="inlineStr">
        <is>
          <t>310500</t>
        </is>
      </c>
      <c r="C1014" s="3452" t="inlineStr">
        <is>
          <t>000224000</t>
        </is>
      </c>
      <c r="D1014" s="3452" t="inlineStr">
        <is>
          <t>201812</t>
        </is>
      </c>
      <c r="E1014" s="3452" t="inlineStr">
        <is>
          <t>0,000000000000</t>
        </is>
      </c>
    </row>
    <row outlineLevel="0" r="1015">
      <c r="A1015" s="3452" t="inlineStr">
        <is>
          <t>000224000201812311500</t>
        </is>
      </c>
      <c r="B1015" s="3452" t="inlineStr">
        <is>
          <t>311500</t>
        </is>
      </c>
      <c r="C1015" s="3452" t="inlineStr">
        <is>
          <t>000224000</t>
        </is>
      </c>
      <c r="D1015" s="3452" t="inlineStr">
        <is>
          <t>201812</t>
        </is>
      </c>
      <c r="E1015" s="3452" t="inlineStr">
        <is>
          <t>50000,000000000000</t>
        </is>
      </c>
    </row>
    <row outlineLevel="0" r="1016">
      <c r="A1016" s="3452" t="inlineStr">
        <is>
          <t>000224000201812312000</t>
        </is>
      </c>
      <c r="B1016" s="3452" t="inlineStr">
        <is>
          <t>312000</t>
        </is>
      </c>
      <c r="C1016" s="3452" t="inlineStr">
        <is>
          <t>000224000</t>
        </is>
      </c>
      <c r="D1016" s="3452" t="inlineStr">
        <is>
          <t>201812</t>
        </is>
      </c>
      <c r="E1016" s="3452" t="inlineStr">
        <is>
          <t>0,000000000000</t>
        </is>
      </c>
    </row>
    <row outlineLevel="0" r="1017">
      <c r="A1017" s="3452" t="inlineStr">
        <is>
          <t>000224000201812312500</t>
        </is>
      </c>
      <c r="B1017" s="3452" t="inlineStr">
        <is>
          <t>312500</t>
        </is>
      </c>
      <c r="C1017" s="3452" t="inlineStr">
        <is>
          <t>000224000</t>
        </is>
      </c>
      <c r="D1017" s="3452" t="inlineStr">
        <is>
          <t>201812</t>
        </is>
      </c>
      <c r="E1017" s="3452" t="inlineStr">
        <is>
          <t>0,000000000000</t>
        </is>
      </c>
    </row>
    <row outlineLevel="0" r="1018">
      <c r="A1018" s="3452" t="inlineStr">
        <is>
          <t>000224000201812313000</t>
        </is>
      </c>
      <c r="B1018" s="3452" t="inlineStr">
        <is>
          <t>313000</t>
        </is>
      </c>
      <c r="C1018" s="3452" t="inlineStr">
        <is>
          <t>000224000</t>
        </is>
      </c>
      <c r="D1018" s="3452" t="inlineStr">
        <is>
          <t>201812</t>
        </is>
      </c>
      <c r="E1018" s="3452" t="inlineStr">
        <is>
          <t>0,000000000000</t>
        </is>
      </c>
    </row>
    <row outlineLevel="0" r="1019">
      <c r="A1019" s="3452" t="inlineStr">
        <is>
          <t>000224000201812313500</t>
        </is>
      </c>
      <c r="B1019" s="3452" t="inlineStr">
        <is>
          <t>313500</t>
        </is>
      </c>
      <c r="C1019" s="3452" t="inlineStr">
        <is>
          <t>000224000</t>
        </is>
      </c>
      <c r="D1019" s="3452" t="inlineStr">
        <is>
          <t>201812</t>
        </is>
      </c>
      <c r="E1019" s="3452" t="inlineStr">
        <is>
          <t>0,000000000000</t>
        </is>
      </c>
    </row>
    <row outlineLevel="0" r="1020">
      <c r="A1020" s="3452" t="inlineStr">
        <is>
          <t>000224000201812314000</t>
        </is>
      </c>
      <c r="B1020" s="3452" t="inlineStr">
        <is>
          <t>314000</t>
        </is>
      </c>
      <c r="C1020" s="3452" t="inlineStr">
        <is>
          <t>000224000</t>
        </is>
      </c>
      <c r="D1020" s="3452" t="inlineStr">
        <is>
          <t>201812</t>
        </is>
      </c>
      <c r="E1020" s="3452" t="inlineStr">
        <is>
          <t>0,000000000000</t>
        </is>
      </c>
    </row>
    <row outlineLevel="0" r="1021">
      <c r="A1021" s="3452" t="inlineStr">
        <is>
          <t>000224000201812320500</t>
        </is>
      </c>
      <c r="B1021" s="3452" t="inlineStr">
        <is>
          <t>320500</t>
        </is>
      </c>
      <c r="C1021" s="3452" t="inlineStr">
        <is>
          <t>000224000</t>
        </is>
      </c>
      <c r="D1021" s="3452" t="inlineStr">
        <is>
          <t>201812</t>
        </is>
      </c>
      <c r="E1021" s="3452" t="inlineStr">
        <is>
          <t>0,000000000000</t>
        </is>
      </c>
    </row>
    <row outlineLevel="0" r="1022">
      <c r="A1022" s="3452" t="inlineStr">
        <is>
          <t>000224000201812321000</t>
        </is>
      </c>
      <c r="B1022" s="3452" t="inlineStr">
        <is>
          <t>321000</t>
        </is>
      </c>
      <c r="C1022" s="3452" t="inlineStr">
        <is>
          <t>000224000</t>
        </is>
      </c>
      <c r="D1022" s="3452" t="inlineStr">
        <is>
          <t>201812</t>
        </is>
      </c>
      <c r="E1022" s="3452" t="inlineStr">
        <is>
          <t>0,000000000000</t>
        </is>
      </c>
    </row>
    <row outlineLevel="0" r="1023">
      <c r="A1023" s="3452" t="inlineStr">
        <is>
          <t>000224000201812321500</t>
        </is>
      </c>
      <c r="B1023" s="3452" t="inlineStr">
        <is>
          <t>321500</t>
        </is>
      </c>
      <c r="C1023" s="3452" t="inlineStr">
        <is>
          <t>000224000</t>
        </is>
      </c>
      <c r="D1023" s="3452" t="inlineStr">
        <is>
          <t>201812</t>
        </is>
      </c>
      <c r="E1023" s="3452" t="inlineStr">
        <is>
          <t>0,000000000000</t>
        </is>
      </c>
    </row>
    <row outlineLevel="0" r="1024">
      <c r="A1024" s="3452" t="inlineStr">
        <is>
          <t>000224000201812322000</t>
        </is>
      </c>
      <c r="B1024" s="3452" t="inlineStr">
        <is>
          <t>322000</t>
        </is>
      </c>
      <c r="C1024" s="3452" t="inlineStr">
        <is>
          <t>000224000</t>
        </is>
      </c>
      <c r="D1024" s="3452" t="inlineStr">
        <is>
          <t>201812</t>
        </is>
      </c>
      <c r="E1024" s="3452" t="inlineStr">
        <is>
          <t>0,000000000000</t>
        </is>
      </c>
    </row>
    <row outlineLevel="0" r="1025">
      <c r="A1025" s="3452" t="inlineStr">
        <is>
          <t>000224000201812322500</t>
        </is>
      </c>
      <c r="B1025" s="3452" t="inlineStr">
        <is>
          <t>322500</t>
        </is>
      </c>
      <c r="C1025" s="3452" t="inlineStr">
        <is>
          <t>000224000</t>
        </is>
      </c>
      <c r="D1025" s="3452" t="inlineStr">
        <is>
          <t>201812</t>
        </is>
      </c>
      <c r="E1025" s="3452" t="inlineStr">
        <is>
          <t>0,000000000000</t>
        </is>
      </c>
    </row>
    <row outlineLevel="0" r="1026">
      <c r="A1026" s="3452" t="inlineStr">
        <is>
          <t>000224000201812330500</t>
        </is>
      </c>
      <c r="B1026" s="3452" t="inlineStr">
        <is>
          <t>330500</t>
        </is>
      </c>
      <c r="C1026" s="3452" t="inlineStr">
        <is>
          <t>000224000</t>
        </is>
      </c>
      <c r="D1026" s="3452" t="inlineStr">
        <is>
          <t>201812</t>
        </is>
      </c>
      <c r="E1026" s="3452" t="inlineStr">
        <is>
          <t>0,000000000000</t>
        </is>
      </c>
    </row>
    <row outlineLevel="0" r="1027">
      <c r="A1027" s="3452" t="inlineStr">
        <is>
          <t>000224000201812331000</t>
        </is>
      </c>
      <c r="B1027" s="3452" t="inlineStr">
        <is>
          <t>331000</t>
        </is>
      </c>
      <c r="C1027" s="3452" t="inlineStr">
        <is>
          <t>000224000</t>
        </is>
      </c>
      <c r="D1027" s="3452" t="inlineStr">
        <is>
          <t>201812</t>
        </is>
      </c>
      <c r="E1027" s="3452" t="inlineStr">
        <is>
          <t>0,000000000000</t>
        </is>
      </c>
    </row>
    <row outlineLevel="0" r="1028">
      <c r="A1028" s="3452" t="inlineStr">
        <is>
          <t>000224000201812331500</t>
        </is>
      </c>
      <c r="B1028" s="3452" t="inlineStr">
        <is>
          <t>331500</t>
        </is>
      </c>
      <c r="C1028" s="3452" t="inlineStr">
        <is>
          <t>000224000</t>
        </is>
      </c>
      <c r="D1028" s="3452" t="inlineStr">
        <is>
          <t>201812</t>
        </is>
      </c>
      <c r="E1028" s="3452" t="inlineStr">
        <is>
          <t>0,000000000000</t>
        </is>
      </c>
    </row>
    <row outlineLevel="0" r="1029">
      <c r="A1029" s="3452" t="inlineStr">
        <is>
          <t>000224000201812340505</t>
        </is>
      </c>
      <c r="B1029" s="3452" t="inlineStr">
        <is>
          <t>340505</t>
        </is>
      </c>
      <c r="C1029" s="3452" t="inlineStr">
        <is>
          <t>000224000</t>
        </is>
      </c>
      <c r="D1029" s="3452" t="inlineStr">
        <is>
          <t>201812</t>
        </is>
      </c>
      <c r="E1029" s="3452" t="inlineStr">
        <is>
          <t>0,000000000000</t>
        </is>
      </c>
    </row>
    <row outlineLevel="0" r="1030">
      <c r="A1030" s="3452" t="inlineStr">
        <is>
          <t>000224000201812340515</t>
        </is>
      </c>
      <c r="B1030" s="3452" t="inlineStr">
        <is>
          <t>340515</t>
        </is>
      </c>
      <c r="C1030" s="3452" t="inlineStr">
        <is>
          <t>000224000</t>
        </is>
      </c>
      <c r="D1030" s="3452" t="inlineStr">
        <is>
          <t>201812</t>
        </is>
      </c>
      <c r="E1030" s="3452" t="inlineStr">
        <is>
          <t>0,000000000000</t>
        </is>
      </c>
    </row>
    <row outlineLevel="0" r="1031">
      <c r="A1031" s="3452" t="inlineStr">
        <is>
          <t>000224000201812349500</t>
        </is>
      </c>
      <c r="B1031" s="3452" t="inlineStr">
        <is>
          <t>349500</t>
        </is>
      </c>
      <c r="C1031" s="3452" t="inlineStr">
        <is>
          <t>000224000</t>
        </is>
      </c>
      <c r="D1031" s="3452" t="inlineStr">
        <is>
          <t>201812</t>
        </is>
      </c>
      <c r="E1031" s="3452" t="inlineStr">
        <is>
          <t>0,000000000000</t>
        </is>
      </c>
    </row>
    <row outlineLevel="0" r="1032">
      <c r="A1032" s="3452" t="inlineStr">
        <is>
          <t>000224000201812410500</t>
        </is>
      </c>
      <c r="B1032" s="3452" t="inlineStr">
        <is>
          <t>410500</t>
        </is>
      </c>
      <c r="C1032" s="3452" t="inlineStr">
        <is>
          <t>000224000</t>
        </is>
      </c>
      <c r="D1032" s="3452" t="inlineStr">
        <is>
          <t>201812</t>
        </is>
      </c>
      <c r="E1032" s="3452" t="inlineStr">
        <is>
          <t>0,000000000000</t>
        </is>
      </c>
    </row>
    <row outlineLevel="0" r="1033">
      <c r="A1033" s="3452" t="inlineStr">
        <is>
          <t>000224000201812411000</t>
        </is>
      </c>
      <c r="B1033" s="3452" t="inlineStr">
        <is>
          <t>411000</t>
        </is>
      </c>
      <c r="C1033" s="3452" t="inlineStr">
        <is>
          <t>000224000</t>
        </is>
      </c>
      <c r="D1033" s="3452" t="inlineStr">
        <is>
          <t>201812</t>
        </is>
      </c>
      <c r="E1033" s="3452" t="inlineStr">
        <is>
          <t>0,000000000000</t>
        </is>
      </c>
    </row>
    <row outlineLevel="0" r="1034">
      <c r="A1034" s="3452" t="inlineStr">
        <is>
          <t>000224000201812420500</t>
        </is>
      </c>
      <c r="B1034" s="3452" t="inlineStr">
        <is>
          <t>420500</t>
        </is>
      </c>
      <c r="C1034" s="3452" t="inlineStr">
        <is>
          <t>000224000</t>
        </is>
      </c>
      <c r="D1034" s="3452" t="inlineStr">
        <is>
          <t>201812</t>
        </is>
      </c>
      <c r="E1034" s="3452" t="inlineStr">
        <is>
          <t>0,000000000000</t>
        </is>
      </c>
    </row>
    <row outlineLevel="0" r="1035">
      <c r="A1035" s="3452" t="inlineStr">
        <is>
          <t>000224000201812421000</t>
        </is>
      </c>
      <c r="B1035" s="3452" t="inlineStr">
        <is>
          <t>421000</t>
        </is>
      </c>
      <c r="C1035" s="3452" t="inlineStr">
        <is>
          <t>000224000</t>
        </is>
      </c>
      <c r="D1035" s="3452" t="inlineStr">
        <is>
          <t>201812</t>
        </is>
      </c>
      <c r="E1035" s="3452" t="inlineStr">
        <is>
          <t>0,000000000000</t>
        </is>
      </c>
    </row>
    <row outlineLevel="0" r="1036">
      <c r="A1036" s="3452" t="inlineStr">
        <is>
          <t>000224000201812421020</t>
        </is>
      </c>
      <c r="B1036" s="3452" t="inlineStr">
        <is>
          <t>421020</t>
        </is>
      </c>
      <c r="C1036" s="3452" t="inlineStr">
        <is>
          <t>000224000</t>
        </is>
      </c>
      <c r="D1036" s="3452" t="inlineStr">
        <is>
          <t>201812</t>
        </is>
      </c>
      <c r="E1036" s="3452" t="inlineStr">
        <is>
          <t>0,000000000000</t>
        </is>
      </c>
    </row>
    <row outlineLevel="0" r="1037">
      <c r="A1037" s="3452" t="inlineStr">
        <is>
          <t>000224000201812421040</t>
        </is>
      </c>
      <c r="B1037" s="3452" t="inlineStr">
        <is>
          <t>421040</t>
        </is>
      </c>
      <c r="C1037" s="3452" t="inlineStr">
        <is>
          <t>000224000</t>
        </is>
      </c>
      <c r="D1037" s="3452" t="inlineStr">
        <is>
          <t>201812</t>
        </is>
      </c>
      <c r="E1037" s="3452" t="inlineStr">
        <is>
          <t>0,000000000000</t>
        </is>
      </c>
    </row>
    <row outlineLevel="0" r="1038">
      <c r="A1038" s="3452" t="inlineStr">
        <is>
          <t>000224000201812421500</t>
        </is>
      </c>
      <c r="B1038" s="3452" t="inlineStr">
        <is>
          <t>421500</t>
        </is>
      </c>
      <c r="C1038" s="3452" t="inlineStr">
        <is>
          <t>000224000</t>
        </is>
      </c>
      <c r="D1038" s="3452" t="inlineStr">
        <is>
          <t>201812</t>
        </is>
      </c>
      <c r="E1038" s="3452" t="inlineStr">
        <is>
          <t>0,000000000000</t>
        </is>
      </c>
    </row>
    <row outlineLevel="0" r="1039">
      <c r="A1039" s="3452" t="inlineStr">
        <is>
          <t>000224000201812422000</t>
        </is>
      </c>
      <c r="B1039" s="3452" t="inlineStr">
        <is>
          <t>422000</t>
        </is>
      </c>
      <c r="C1039" s="3452" t="inlineStr">
        <is>
          <t>000224000</t>
        </is>
      </c>
      <c r="D1039" s="3452" t="inlineStr">
        <is>
          <t>201812</t>
        </is>
      </c>
      <c r="E1039" s="3452" t="inlineStr">
        <is>
          <t>0,000000000000</t>
        </is>
      </c>
    </row>
    <row outlineLevel="0" r="1040">
      <c r="A1040" s="3452" t="inlineStr">
        <is>
          <t>000224000201812422500</t>
        </is>
      </c>
      <c r="B1040" s="3452" t="inlineStr">
        <is>
          <t>422500</t>
        </is>
      </c>
      <c r="C1040" s="3452" t="inlineStr">
        <is>
          <t>000224000</t>
        </is>
      </c>
      <c r="D1040" s="3452" t="inlineStr">
        <is>
          <t>201812</t>
        </is>
      </c>
      <c r="E1040" s="3452" t="inlineStr">
        <is>
          <t>0,000000000000</t>
        </is>
      </c>
    </row>
    <row outlineLevel="0" r="1041">
      <c r="A1041" s="3452" t="inlineStr">
        <is>
          <t>000224000201812423500</t>
        </is>
      </c>
      <c r="B1041" s="3452" t="inlineStr">
        <is>
          <t>423500</t>
        </is>
      </c>
      <c r="C1041" s="3452" t="inlineStr">
        <is>
          <t>000224000</t>
        </is>
      </c>
      <c r="D1041" s="3452" t="inlineStr">
        <is>
          <t>201812</t>
        </is>
      </c>
      <c r="E1041" s="3452" t="inlineStr">
        <is>
          <t>0,000000000000</t>
        </is>
      </c>
    </row>
    <row outlineLevel="0" r="1042">
      <c r="A1042" s="3452" t="inlineStr">
        <is>
          <t>000224000201812424000</t>
        </is>
      </c>
      <c r="B1042" s="3452" t="inlineStr">
        <is>
          <t>424000</t>
        </is>
      </c>
      <c r="C1042" s="3452" t="inlineStr">
        <is>
          <t>000224000</t>
        </is>
      </c>
      <c r="D1042" s="3452" t="inlineStr">
        <is>
          <t>201812</t>
        </is>
      </c>
      <c r="E1042" s="3452" t="inlineStr">
        <is>
          <t>0,000000000000</t>
        </is>
      </c>
    </row>
    <row outlineLevel="0" r="1043">
      <c r="A1043" s="3452" t="inlineStr">
        <is>
          <t>000224000201812425000</t>
        </is>
      </c>
      <c r="B1043" s="3452" t="inlineStr">
        <is>
          <t>425000</t>
        </is>
      </c>
      <c r="C1043" s="3452" t="inlineStr">
        <is>
          <t>000224000</t>
        </is>
      </c>
      <c r="D1043" s="3452" t="inlineStr">
        <is>
          <t>201812</t>
        </is>
      </c>
      <c r="E1043" s="3452" t="inlineStr">
        <is>
          <t>0,000000000000</t>
        </is>
      </c>
    </row>
    <row outlineLevel="0" r="1044">
      <c r="A1044" s="3452" t="inlineStr">
        <is>
          <t>000224000201812426500</t>
        </is>
      </c>
      <c r="B1044" s="3452" t="inlineStr">
        <is>
          <t>426500</t>
        </is>
      </c>
      <c r="C1044" s="3452" t="inlineStr">
        <is>
          <t>000224000</t>
        </is>
      </c>
      <c r="D1044" s="3452" t="inlineStr">
        <is>
          <t>201812</t>
        </is>
      </c>
      <c r="E1044" s="3452" t="inlineStr">
        <is>
          <t>0,000000000000</t>
        </is>
      </c>
    </row>
    <row outlineLevel="0" r="1045">
      <c r="A1045" s="3452" t="inlineStr">
        <is>
          <t>000224000201812429500</t>
        </is>
      </c>
      <c r="B1045" s="3452" t="inlineStr">
        <is>
          <t>429500</t>
        </is>
      </c>
      <c r="C1045" s="3452" t="inlineStr">
        <is>
          <t>000224000</t>
        </is>
      </c>
      <c r="D1045" s="3452" t="inlineStr">
        <is>
          <t>201812</t>
        </is>
      </c>
      <c r="E1045" s="3452" t="inlineStr">
        <is>
          <t>0,000000000000</t>
        </is>
      </c>
    </row>
    <row outlineLevel="0" r="1046">
      <c r="A1046" s="3452" t="inlineStr">
        <is>
          <t>000224000201812510500</t>
        </is>
      </c>
      <c r="B1046" s="3452" t="inlineStr">
        <is>
          <t>510500</t>
        </is>
      </c>
      <c r="C1046" s="3452" t="inlineStr">
        <is>
          <t>000224000</t>
        </is>
      </c>
      <c r="D1046" s="3452" t="inlineStr">
        <is>
          <t>201812</t>
        </is>
      </c>
      <c r="E1046" s="3452" t="inlineStr">
        <is>
          <t>0,000000000000</t>
        </is>
      </c>
    </row>
    <row outlineLevel="0" r="1047">
      <c r="A1047" s="3452" t="inlineStr">
        <is>
          <t>000224000201812511000</t>
        </is>
      </c>
      <c r="B1047" s="3452" t="inlineStr">
        <is>
          <t>511000</t>
        </is>
      </c>
      <c r="C1047" s="3452" t="inlineStr">
        <is>
          <t>000224000</t>
        </is>
      </c>
      <c r="D1047" s="3452" t="inlineStr">
        <is>
          <t>201812</t>
        </is>
      </c>
      <c r="E1047" s="3452" t="inlineStr">
        <is>
          <t>0,000000000000</t>
        </is>
      </c>
    </row>
    <row outlineLevel="0" r="1048">
      <c r="A1048" s="3452" t="inlineStr">
        <is>
          <t>000224000201812511500</t>
        </is>
      </c>
      <c r="B1048" s="3452" t="inlineStr">
        <is>
          <t>511500</t>
        </is>
      </c>
      <c r="C1048" s="3452" t="inlineStr">
        <is>
          <t>000224000</t>
        </is>
      </c>
      <c r="D1048" s="3452" t="inlineStr">
        <is>
          <t>201812</t>
        </is>
      </c>
      <c r="E1048" s="3452" t="inlineStr">
        <is>
          <t>0,000000000000</t>
        </is>
      </c>
    </row>
    <row outlineLevel="0" r="1049">
      <c r="A1049" s="3452" t="inlineStr">
        <is>
          <t>000224000201812512000</t>
        </is>
      </c>
      <c r="B1049" s="3452" t="inlineStr">
        <is>
          <t>512000</t>
        </is>
      </c>
      <c r="C1049" s="3452" t="inlineStr">
        <is>
          <t>000224000</t>
        </is>
      </c>
      <c r="D1049" s="3452" t="inlineStr">
        <is>
          <t>201812</t>
        </is>
      </c>
      <c r="E1049" s="3452" t="inlineStr">
        <is>
          <t>0,000000000000</t>
        </is>
      </c>
    </row>
    <row outlineLevel="0" r="1050">
      <c r="A1050" s="3452" t="inlineStr">
        <is>
          <t>000224000201812512500</t>
        </is>
      </c>
      <c r="B1050" s="3452" t="inlineStr">
        <is>
          <t>512500</t>
        </is>
      </c>
      <c r="C1050" s="3452" t="inlineStr">
        <is>
          <t>000224000</t>
        </is>
      </c>
      <c r="D1050" s="3452" t="inlineStr">
        <is>
          <t>201812</t>
        </is>
      </c>
      <c r="E1050" s="3452" t="inlineStr">
        <is>
          <t>0,000000000000</t>
        </is>
      </c>
    </row>
    <row outlineLevel="0" r="1051">
      <c r="A1051" s="3452" t="inlineStr">
        <is>
          <t>000224000201812513000</t>
        </is>
      </c>
      <c r="B1051" s="3452" t="inlineStr">
        <is>
          <t>513000</t>
        </is>
      </c>
      <c r="C1051" s="3452" t="inlineStr">
        <is>
          <t>000224000</t>
        </is>
      </c>
      <c r="D1051" s="3452" t="inlineStr">
        <is>
          <t>201812</t>
        </is>
      </c>
      <c r="E1051" s="3452" t="inlineStr">
        <is>
          <t>0,000000000000</t>
        </is>
      </c>
    </row>
    <row outlineLevel="0" r="1052">
      <c r="A1052" s="3452" t="inlineStr">
        <is>
          <t>000224000201812513500</t>
        </is>
      </c>
      <c r="B1052" s="3452" t="inlineStr">
        <is>
          <t>513500</t>
        </is>
      </c>
      <c r="C1052" s="3452" t="inlineStr">
        <is>
          <t>000224000</t>
        </is>
      </c>
      <c r="D1052" s="3452" t="inlineStr">
        <is>
          <t>201812</t>
        </is>
      </c>
      <c r="E1052" s="3452" t="inlineStr">
        <is>
          <t>0,000000000000</t>
        </is>
      </c>
    </row>
    <row outlineLevel="0" r="1053">
      <c r="A1053" s="3452" t="inlineStr">
        <is>
          <t>000224000201812514000</t>
        </is>
      </c>
      <c r="B1053" s="3452" t="inlineStr">
        <is>
          <t>514000</t>
        </is>
      </c>
      <c r="C1053" s="3452" t="inlineStr">
        <is>
          <t>000224000</t>
        </is>
      </c>
      <c r="D1053" s="3452" t="inlineStr">
        <is>
          <t>201812</t>
        </is>
      </c>
      <c r="E1053" s="3452" t="inlineStr">
        <is>
          <t>0,000000000000</t>
        </is>
      </c>
    </row>
    <row outlineLevel="0" r="1054">
      <c r="A1054" s="3452" t="inlineStr">
        <is>
          <t>000224000201812514500</t>
        </is>
      </c>
      <c r="B1054" s="3452" t="inlineStr">
        <is>
          <t>514500</t>
        </is>
      </c>
      <c r="C1054" s="3452" t="inlineStr">
        <is>
          <t>000224000</t>
        </is>
      </c>
      <c r="D1054" s="3452" t="inlineStr">
        <is>
          <t>201812</t>
        </is>
      </c>
      <c r="E1054" s="3452" t="inlineStr">
        <is>
          <t>0,000000000000</t>
        </is>
      </c>
    </row>
    <row outlineLevel="0" r="1055">
      <c r="A1055" s="3452" t="inlineStr">
        <is>
          <t>000224000201812515000</t>
        </is>
      </c>
      <c r="B1055" s="3452" t="inlineStr">
        <is>
          <t>515000</t>
        </is>
      </c>
      <c r="C1055" s="3452" t="inlineStr">
        <is>
          <t>000224000</t>
        </is>
      </c>
      <c r="D1055" s="3452" t="inlineStr">
        <is>
          <t>201812</t>
        </is>
      </c>
      <c r="E1055" s="3452" t="inlineStr">
        <is>
          <t>0,000000000000</t>
        </is>
      </c>
    </row>
    <row outlineLevel="0" r="1056">
      <c r="A1056" s="3452" t="inlineStr">
        <is>
          <t>000224000201812515500</t>
        </is>
      </c>
      <c r="B1056" s="3452" t="inlineStr">
        <is>
          <t>515500</t>
        </is>
      </c>
      <c r="C1056" s="3452" t="inlineStr">
        <is>
          <t>000224000</t>
        </is>
      </c>
      <c r="D1056" s="3452" t="inlineStr">
        <is>
          <t>201812</t>
        </is>
      </c>
      <c r="E1056" s="3452" t="inlineStr">
        <is>
          <t>0,000000000000</t>
        </is>
      </c>
    </row>
    <row outlineLevel="0" r="1057">
      <c r="A1057" s="3452" t="inlineStr">
        <is>
          <t>000224000201812516000</t>
        </is>
      </c>
      <c r="B1057" s="3452" t="inlineStr">
        <is>
          <t>516000</t>
        </is>
      </c>
      <c r="C1057" s="3452" t="inlineStr">
        <is>
          <t>000224000</t>
        </is>
      </c>
      <c r="D1057" s="3452" t="inlineStr">
        <is>
          <t>201812</t>
        </is>
      </c>
      <c r="E1057" s="3452" t="inlineStr">
        <is>
          <t>0,000000000000</t>
        </is>
      </c>
    </row>
    <row outlineLevel="0" r="1058">
      <c r="A1058" s="3452" t="inlineStr">
        <is>
          <t>000224000201812516500</t>
        </is>
      </c>
      <c r="B1058" s="3452" t="inlineStr">
        <is>
          <t>516500</t>
        </is>
      </c>
      <c r="C1058" s="3452" t="inlineStr">
        <is>
          <t>000224000</t>
        </is>
      </c>
      <c r="D1058" s="3452" t="inlineStr">
        <is>
          <t>201812</t>
        </is>
      </c>
      <c r="E1058" s="3452" t="inlineStr">
        <is>
          <t>0,000000000000</t>
        </is>
      </c>
    </row>
    <row outlineLevel="0" r="1059">
      <c r="A1059" s="3452" t="inlineStr">
        <is>
          <t>000224000201812519500</t>
        </is>
      </c>
      <c r="B1059" s="3452" t="inlineStr">
        <is>
          <t>519500</t>
        </is>
      </c>
      <c r="C1059" s="3452" t="inlineStr">
        <is>
          <t>000224000</t>
        </is>
      </c>
      <c r="D1059" s="3452" t="inlineStr">
        <is>
          <t>201812</t>
        </is>
      </c>
      <c r="E1059" s="3452" t="inlineStr">
        <is>
          <t>0,000000000000</t>
        </is>
      </c>
    </row>
    <row outlineLevel="0" r="1060">
      <c r="A1060" s="3452" t="inlineStr">
        <is>
          <t>000224000201812519900</t>
        </is>
      </c>
      <c r="B1060" s="3452" t="inlineStr">
        <is>
          <t>519900</t>
        </is>
      </c>
      <c r="C1060" s="3452" t="inlineStr">
        <is>
          <t>000224000</t>
        </is>
      </c>
      <c r="D1060" s="3452" t="inlineStr">
        <is>
          <t>201812</t>
        </is>
      </c>
      <c r="E1060" s="3452" t="inlineStr">
        <is>
          <t>0,000000000000</t>
        </is>
      </c>
    </row>
    <row outlineLevel="0" r="1061">
      <c r="A1061" s="3452" t="inlineStr">
        <is>
          <t>000224000201812520500</t>
        </is>
      </c>
      <c r="B1061" s="3452" t="inlineStr">
        <is>
          <t>520500</t>
        </is>
      </c>
      <c r="C1061" s="3452" t="inlineStr">
        <is>
          <t>000224000</t>
        </is>
      </c>
      <c r="D1061" s="3452" t="inlineStr">
        <is>
          <t>201812</t>
        </is>
      </c>
      <c r="E1061" s="3452" t="inlineStr">
        <is>
          <t>0,000000000000</t>
        </is>
      </c>
    </row>
    <row outlineLevel="0" r="1062">
      <c r="A1062" s="3452" t="inlineStr">
        <is>
          <t>000224000201812521000</t>
        </is>
      </c>
      <c r="B1062" s="3452" t="inlineStr">
        <is>
          <t>521000</t>
        </is>
      </c>
      <c r="C1062" s="3452" t="inlineStr">
        <is>
          <t>000224000</t>
        </is>
      </c>
      <c r="D1062" s="3452" t="inlineStr">
        <is>
          <t>201812</t>
        </is>
      </c>
      <c r="E1062" s="3452" t="inlineStr">
        <is>
          <t>0,000000000000</t>
        </is>
      </c>
    </row>
    <row outlineLevel="0" r="1063">
      <c r="A1063" s="3452" t="inlineStr">
        <is>
          <t>000224000201812521500</t>
        </is>
      </c>
      <c r="B1063" s="3452" t="inlineStr">
        <is>
          <t>521500</t>
        </is>
      </c>
      <c r="C1063" s="3452" t="inlineStr">
        <is>
          <t>000224000</t>
        </is>
      </c>
      <c r="D1063" s="3452" t="inlineStr">
        <is>
          <t>201812</t>
        </is>
      </c>
      <c r="E1063" s="3452" t="inlineStr">
        <is>
          <t>0,000000000000</t>
        </is>
      </c>
    </row>
    <row outlineLevel="0" r="1064">
      <c r="A1064" s="3452" t="inlineStr">
        <is>
          <t>000224000201812522000</t>
        </is>
      </c>
      <c r="B1064" s="3452" t="inlineStr">
        <is>
          <t>522000</t>
        </is>
      </c>
      <c r="C1064" s="3452" t="inlineStr">
        <is>
          <t>000224000</t>
        </is>
      </c>
      <c r="D1064" s="3452" t="inlineStr">
        <is>
          <t>201812</t>
        </is>
      </c>
      <c r="E1064" s="3452" t="inlineStr">
        <is>
          <t>0,000000000000</t>
        </is>
      </c>
    </row>
    <row outlineLevel="0" r="1065">
      <c r="A1065" s="3452" t="inlineStr">
        <is>
          <t>000224000201812522500</t>
        </is>
      </c>
      <c r="B1065" s="3452" t="inlineStr">
        <is>
          <t>522500</t>
        </is>
      </c>
      <c r="C1065" s="3452" t="inlineStr">
        <is>
          <t>000224000</t>
        </is>
      </c>
      <c r="D1065" s="3452" t="inlineStr">
        <is>
          <t>201812</t>
        </is>
      </c>
      <c r="E1065" s="3452" t="inlineStr">
        <is>
          <t>0,000000000000</t>
        </is>
      </c>
    </row>
    <row outlineLevel="0" r="1066">
      <c r="A1066" s="3452" t="inlineStr">
        <is>
          <t>000224000201812523000</t>
        </is>
      </c>
      <c r="B1066" s="3452" t="inlineStr">
        <is>
          <t>523000</t>
        </is>
      </c>
      <c r="C1066" s="3452" t="inlineStr">
        <is>
          <t>000224000</t>
        </is>
      </c>
      <c r="D1066" s="3452" t="inlineStr">
        <is>
          <t>201812</t>
        </is>
      </c>
      <c r="E1066" s="3452" t="inlineStr">
        <is>
          <t>0,000000000000</t>
        </is>
      </c>
    </row>
    <row outlineLevel="0" r="1067">
      <c r="A1067" s="3452" t="inlineStr">
        <is>
          <t>000224000201812523500</t>
        </is>
      </c>
      <c r="B1067" s="3452" t="inlineStr">
        <is>
          <t>523500</t>
        </is>
      </c>
      <c r="C1067" s="3452" t="inlineStr">
        <is>
          <t>000224000</t>
        </is>
      </c>
      <c r="D1067" s="3452" t="inlineStr">
        <is>
          <t>201812</t>
        </is>
      </c>
      <c r="E1067" s="3452" t="inlineStr">
        <is>
          <t>0,000000000000</t>
        </is>
      </c>
    </row>
    <row outlineLevel="0" r="1068">
      <c r="A1068" s="3452" t="inlineStr">
        <is>
          <t>000224000201812524000</t>
        </is>
      </c>
      <c r="B1068" s="3452" t="inlineStr">
        <is>
          <t>524000</t>
        </is>
      </c>
      <c r="C1068" s="3452" t="inlineStr">
        <is>
          <t>000224000</t>
        </is>
      </c>
      <c r="D1068" s="3452" t="inlineStr">
        <is>
          <t>201812</t>
        </is>
      </c>
      <c r="E1068" s="3452" t="inlineStr">
        <is>
          <t>0,000000000000</t>
        </is>
      </c>
    </row>
    <row outlineLevel="0" r="1069">
      <c r="A1069" s="3452" t="inlineStr">
        <is>
          <t>000224000201812524500</t>
        </is>
      </c>
      <c r="B1069" s="3452" t="inlineStr">
        <is>
          <t>524500</t>
        </is>
      </c>
      <c r="C1069" s="3452" t="inlineStr">
        <is>
          <t>000224000</t>
        </is>
      </c>
      <c r="D1069" s="3452" t="inlineStr">
        <is>
          <t>201812</t>
        </is>
      </c>
      <c r="E1069" s="3452" t="inlineStr">
        <is>
          <t>0,000000000000</t>
        </is>
      </c>
    </row>
    <row outlineLevel="0" r="1070">
      <c r="A1070" s="3452" t="inlineStr">
        <is>
          <t>000224000201812525000</t>
        </is>
      </c>
      <c r="B1070" s="3452" t="inlineStr">
        <is>
          <t>525000</t>
        </is>
      </c>
      <c r="C1070" s="3452" t="inlineStr">
        <is>
          <t>000224000</t>
        </is>
      </c>
      <c r="D1070" s="3452" t="inlineStr">
        <is>
          <t>201812</t>
        </is>
      </c>
      <c r="E1070" s="3452" t="inlineStr">
        <is>
          <t>0,000000000000</t>
        </is>
      </c>
    </row>
    <row outlineLevel="0" r="1071">
      <c r="A1071" s="3452" t="inlineStr">
        <is>
          <t>000224000201812525500</t>
        </is>
      </c>
      <c r="B1071" s="3452" t="inlineStr">
        <is>
          <t>525500</t>
        </is>
      </c>
      <c r="C1071" s="3452" t="inlineStr">
        <is>
          <t>000224000</t>
        </is>
      </c>
      <c r="D1071" s="3452" t="inlineStr">
        <is>
          <t>201812</t>
        </is>
      </c>
      <c r="E1071" s="3452" t="inlineStr">
        <is>
          <t>0,000000000000</t>
        </is>
      </c>
    </row>
    <row outlineLevel="0" r="1072">
      <c r="A1072" s="3452" t="inlineStr">
        <is>
          <t>000224000201812526000</t>
        </is>
      </c>
      <c r="B1072" s="3452" t="inlineStr">
        <is>
          <t>526000</t>
        </is>
      </c>
      <c r="C1072" s="3452" t="inlineStr">
        <is>
          <t>000224000</t>
        </is>
      </c>
      <c r="D1072" s="3452" t="inlineStr">
        <is>
          <t>201812</t>
        </is>
      </c>
      <c r="E1072" s="3452" t="inlineStr">
        <is>
          <t>0,000000000000</t>
        </is>
      </c>
    </row>
    <row outlineLevel="0" r="1073">
      <c r="A1073" s="3452" t="inlineStr">
        <is>
          <t>000224000201812526500</t>
        </is>
      </c>
      <c r="B1073" s="3452" t="inlineStr">
        <is>
          <t>526500</t>
        </is>
      </c>
      <c r="C1073" s="3452" t="inlineStr">
        <is>
          <t>000224000</t>
        </is>
      </c>
      <c r="D1073" s="3452" t="inlineStr">
        <is>
          <t>201812</t>
        </is>
      </c>
      <c r="E1073" s="3452" t="inlineStr">
        <is>
          <t>0,000000000000</t>
        </is>
      </c>
    </row>
    <row outlineLevel="0" r="1074">
      <c r="A1074" s="3452" t="inlineStr">
        <is>
          <t>000224000201812529500</t>
        </is>
      </c>
      <c r="B1074" s="3452" t="inlineStr">
        <is>
          <t>529500</t>
        </is>
      </c>
      <c r="C1074" s="3452" t="inlineStr">
        <is>
          <t>000224000</t>
        </is>
      </c>
      <c r="D1074" s="3452" t="inlineStr">
        <is>
          <t>201812</t>
        </is>
      </c>
      <c r="E1074" s="3452" t="inlineStr">
        <is>
          <t>0,000000000000</t>
        </is>
      </c>
    </row>
    <row outlineLevel="0" r="1075">
      <c r="A1075" s="3452" t="inlineStr">
        <is>
          <t>000224000201812529900</t>
        </is>
      </c>
      <c r="B1075" s="3452" t="inlineStr">
        <is>
          <t>529900</t>
        </is>
      </c>
      <c r="C1075" s="3452" t="inlineStr">
        <is>
          <t>000224000</t>
        </is>
      </c>
      <c r="D1075" s="3452" t="inlineStr">
        <is>
          <t>201812</t>
        </is>
      </c>
      <c r="E1075" s="3452" t="inlineStr">
        <is>
          <t>0,000000000000</t>
        </is>
      </c>
    </row>
    <row outlineLevel="0" r="1076">
      <c r="A1076" s="3452" t="inlineStr">
        <is>
          <t>000224000201812530505</t>
        </is>
      </c>
      <c r="B1076" s="3452" t="inlineStr">
        <is>
          <t>530505</t>
        </is>
      </c>
      <c r="C1076" s="3452" t="inlineStr">
        <is>
          <t>000224000</t>
        </is>
      </c>
      <c r="D1076" s="3452" t="inlineStr">
        <is>
          <t>201812</t>
        </is>
      </c>
      <c r="E1076" s="3452" t="inlineStr">
        <is>
          <t>0,000000000000</t>
        </is>
      </c>
    </row>
    <row outlineLevel="0" r="1077">
      <c r="A1077" s="3452" t="inlineStr">
        <is>
          <t>000224000201812530515</t>
        </is>
      </c>
      <c r="B1077" s="3452" t="inlineStr">
        <is>
          <t>530515</t>
        </is>
      </c>
      <c r="C1077" s="3452" t="inlineStr">
        <is>
          <t>000224000</t>
        </is>
      </c>
      <c r="D1077" s="3452" t="inlineStr">
        <is>
          <t>201812</t>
        </is>
      </c>
      <c r="E1077" s="3452" t="inlineStr">
        <is>
          <t>0,000000000000</t>
        </is>
      </c>
    </row>
    <row outlineLevel="0" r="1078">
      <c r="A1078" s="3452" t="inlineStr">
        <is>
          <t>000224000201812530525</t>
        </is>
      </c>
      <c r="B1078" s="3452" t="inlineStr">
        <is>
          <t>530525</t>
        </is>
      </c>
      <c r="C1078" s="3452" t="inlineStr">
        <is>
          <t>000224000</t>
        </is>
      </c>
      <c r="D1078" s="3452" t="inlineStr">
        <is>
          <t>201812</t>
        </is>
      </c>
      <c r="E1078" s="3452" t="inlineStr">
        <is>
          <t>0,000000000000</t>
        </is>
      </c>
    </row>
    <row outlineLevel="0" r="1079">
      <c r="A1079" s="3452" t="inlineStr">
        <is>
          <t>000224000201812530535</t>
        </is>
      </c>
      <c r="B1079" s="3452" t="inlineStr">
        <is>
          <t>530535</t>
        </is>
      </c>
      <c r="C1079" s="3452" t="inlineStr">
        <is>
          <t>000224000</t>
        </is>
      </c>
      <c r="D1079" s="3452" t="inlineStr">
        <is>
          <t>201812</t>
        </is>
      </c>
      <c r="E1079" s="3452" t="inlineStr">
        <is>
          <t>0,000000000000</t>
        </is>
      </c>
    </row>
    <row outlineLevel="0" r="1080">
      <c r="A1080" s="3452" t="inlineStr">
        <is>
          <t>000224000201812531000</t>
        </is>
      </c>
      <c r="B1080" s="3452" t="inlineStr">
        <is>
          <t>531000</t>
        </is>
      </c>
      <c r="C1080" s="3452" t="inlineStr">
        <is>
          <t>000224000</t>
        </is>
      </c>
      <c r="D1080" s="3452" t="inlineStr">
        <is>
          <t>201812</t>
        </is>
      </c>
      <c r="E1080" s="3452" t="inlineStr">
        <is>
          <t>0,000000000000</t>
        </is>
      </c>
    </row>
    <row outlineLevel="0" r="1081">
      <c r="A1081" s="3452" t="inlineStr">
        <is>
          <t>000224000201812531300</t>
        </is>
      </c>
      <c r="B1081" s="3452" t="inlineStr">
        <is>
          <t>531300</t>
        </is>
      </c>
      <c r="C1081" s="3452" t="inlineStr">
        <is>
          <t>000224000</t>
        </is>
      </c>
      <c r="D1081" s="3452" t="inlineStr">
        <is>
          <t>201812</t>
        </is>
      </c>
      <c r="E1081" s="3452" t="inlineStr">
        <is>
          <t>0,000000000000</t>
        </is>
      </c>
    </row>
    <row outlineLevel="0" r="1082">
      <c r="A1082" s="3452" t="inlineStr">
        <is>
          <t>000224000201812531500</t>
        </is>
      </c>
      <c r="B1082" s="3452" t="inlineStr">
        <is>
          <t>531500</t>
        </is>
      </c>
      <c r="C1082" s="3452" t="inlineStr">
        <is>
          <t>000224000</t>
        </is>
      </c>
      <c r="D1082" s="3452" t="inlineStr">
        <is>
          <t>201812</t>
        </is>
      </c>
      <c r="E1082" s="3452" t="inlineStr">
        <is>
          <t>0,000000000000</t>
        </is>
      </c>
    </row>
    <row outlineLevel="0" r="1083">
      <c r="A1083" s="3452" t="inlineStr">
        <is>
          <t>000224000201812531515</t>
        </is>
      </c>
      <c r="B1083" s="3452" t="inlineStr">
        <is>
          <t>531515</t>
        </is>
      </c>
      <c r="C1083" s="3452" t="inlineStr">
        <is>
          <t>000224000</t>
        </is>
      </c>
      <c r="D1083" s="3452" t="inlineStr">
        <is>
          <t>201812</t>
        </is>
      </c>
      <c r="E1083" s="3452" t="inlineStr">
        <is>
          <t>0,000000000000</t>
        </is>
      </c>
    </row>
    <row outlineLevel="0" r="1084">
      <c r="A1084" s="3452" t="inlineStr">
        <is>
          <t>000224000201812531520</t>
        </is>
      </c>
      <c r="B1084" s="3452" t="inlineStr">
        <is>
          <t>531520</t>
        </is>
      </c>
      <c r="C1084" s="3452" t="inlineStr">
        <is>
          <t>000224000</t>
        </is>
      </c>
      <c r="D1084" s="3452" t="inlineStr">
        <is>
          <t>201812</t>
        </is>
      </c>
      <c r="E1084" s="3452" t="inlineStr">
        <is>
          <t>0,000000000000</t>
        </is>
      </c>
    </row>
    <row outlineLevel="0" r="1085">
      <c r="A1085" s="3452" t="inlineStr">
        <is>
          <t>000224000201812539525</t>
        </is>
      </c>
      <c r="B1085" s="3452" t="inlineStr">
        <is>
          <t>539525</t>
        </is>
      </c>
      <c r="C1085" s="3452" t="inlineStr">
        <is>
          <t>000224000</t>
        </is>
      </c>
      <c r="D1085" s="3452" t="inlineStr">
        <is>
          <t>201812</t>
        </is>
      </c>
      <c r="E1085" s="3452" t="inlineStr">
        <is>
          <t>0,000000000000</t>
        </is>
      </c>
    </row>
    <row outlineLevel="0" r="1086">
      <c r="A1086" s="3452" t="inlineStr">
        <is>
          <t>000224000201812539595</t>
        </is>
      </c>
      <c r="B1086" s="3452" t="inlineStr">
        <is>
          <t>539595</t>
        </is>
      </c>
      <c r="C1086" s="3452" t="inlineStr">
        <is>
          <t>000224000</t>
        </is>
      </c>
      <c r="D1086" s="3452" t="inlineStr">
        <is>
          <t>201812</t>
        </is>
      </c>
      <c r="E1086" s="3452" t="inlineStr">
        <is>
          <t>0,000000000000</t>
        </is>
      </c>
    </row>
    <row outlineLevel="0" r="1087">
      <c r="A1087" s="3452" t="inlineStr">
        <is>
          <t>000224000201812606000</t>
        </is>
      </c>
      <c r="B1087" s="3452" t="inlineStr">
        <is>
          <t>606000</t>
        </is>
      </c>
      <c r="C1087" s="3452" t="inlineStr">
        <is>
          <t>000224000</t>
        </is>
      </c>
      <c r="D1087" s="3452" t="inlineStr">
        <is>
          <t>201812</t>
        </is>
      </c>
      <c r="E1087" s="3452" t="inlineStr">
        <is>
          <t>0,000000000000</t>
        </is>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sheetPr codeName="Hoja12"/>
  <dimension ref="A1:E1087"/>
  <sheetViews>
    <sheetView workbookViewId="0" rightToLeft="false">
      <selection activeCell="B4" sqref="B4"/>
    </sheetView>
  </sheetViews>
  <sheetFormatPr baseColWidth="10" defaultRowHeight="15"/>
  <sheetData>
    <row spans="1:5" outlineLevel="0" r="1">
      <c r="A1" t="s">
        <v>122</v>
      </c>
      <c r="B1" t="s">
        <v>38</v>
      </c>
      <c r="C1" t="s">
        <v>0</v>
      </c>
      <c r="D1" t="s">
        <v>39</v>
      </c>
      <c r="E1" t="s">
        <v>40</v>
      </c>
    </row>
    <row outlineLevel="0" r="2">
      <c r="A2" s="3452" t="inlineStr">
        <is>
          <t>0002240002020060</t>
        </is>
      </c>
      <c r="B2" s="3452" t="inlineStr">
        <is>
          <t>0</t>
        </is>
      </c>
      <c r="C2" s="3452" t="inlineStr">
        <is>
          <t>000224000</t>
        </is>
      </c>
      <c r="D2" s="3452" t="inlineStr">
        <is>
          <t>202006</t>
        </is>
      </c>
      <c r="E2" s="3452" t="inlineStr">
        <is>
          <t>420000,000000000000</t>
        </is>
      </c>
    </row>
    <row outlineLevel="0" r="3">
      <c r="A3" s="3452" t="inlineStr">
        <is>
          <t>0002240002020061</t>
        </is>
      </c>
      <c r="B3" s="3452" t="inlineStr">
        <is>
          <t>1</t>
        </is>
      </c>
      <c r="C3" s="3452" t="inlineStr">
        <is>
          <t>000224000</t>
        </is>
      </c>
      <c r="D3" s="3452" t="inlineStr">
        <is>
          <t>202006</t>
        </is>
      </c>
      <c r="E3" s="3452" t="inlineStr">
        <is>
          <t>420000,000000000000</t>
        </is>
      </c>
    </row>
    <row outlineLevel="0" r="4">
      <c r="A4" s="3452" t="inlineStr">
        <is>
          <t>0002240002020062</t>
        </is>
      </c>
      <c r="B4" s="3452" t="inlineStr">
        <is>
          <t>2</t>
        </is>
      </c>
      <c r="C4" s="3452" t="inlineStr">
        <is>
          <t>000224000</t>
        </is>
      </c>
      <c r="D4" s="3452" t="inlineStr">
        <is>
          <t>202006</t>
        </is>
      </c>
      <c r="E4" s="3452" t="inlineStr">
        <is>
          <t>300000,000000000000</t>
        </is>
      </c>
    </row>
    <row outlineLevel="0" r="5">
      <c r="A5" s="3452" t="inlineStr">
        <is>
          <t>0002240002020063</t>
        </is>
      </c>
      <c r="B5" s="3452" t="inlineStr">
        <is>
          <t>3</t>
        </is>
      </c>
      <c r="C5" s="3452" t="inlineStr">
        <is>
          <t>000224000</t>
        </is>
      </c>
      <c r="D5" s="3452" t="inlineStr">
        <is>
          <t>202006</t>
        </is>
      </c>
      <c r="E5" s="3452" t="inlineStr">
        <is>
          <t>120000,000000000000</t>
        </is>
      </c>
    </row>
    <row outlineLevel="0" r="6">
      <c r="A6" s="3452" t="inlineStr">
        <is>
          <t>00022400020200611</t>
        </is>
      </c>
      <c r="B6" s="3452" t="inlineStr">
        <is>
          <t>11</t>
        </is>
      </c>
      <c r="C6" s="3452" t="inlineStr">
        <is>
          <t>000224000</t>
        </is>
      </c>
      <c r="D6" s="3452" t="inlineStr">
        <is>
          <t>202006</t>
        </is>
      </c>
      <c r="E6" s="3452" t="inlineStr">
        <is>
          <t>100000,000000000000</t>
        </is>
      </c>
    </row>
    <row outlineLevel="0" r="7">
      <c r="A7" s="3452" t="inlineStr">
        <is>
          <t>00022400020200612</t>
        </is>
      </c>
      <c r="B7" s="3452" t="inlineStr">
        <is>
          <t>12</t>
        </is>
      </c>
      <c r="C7" s="3452" t="inlineStr">
        <is>
          <t>000224000</t>
        </is>
      </c>
      <c r="D7" s="3452" t="inlineStr">
        <is>
          <t>202006</t>
        </is>
      </c>
      <c r="E7" s="3452" t="inlineStr">
        <is>
          <t>320000,000000000000</t>
        </is>
      </c>
    </row>
    <row outlineLevel="0" r="8">
      <c r="A8" s="3452" t="inlineStr">
        <is>
          <t>00022400020200621</t>
        </is>
      </c>
      <c r="B8" s="3452" t="inlineStr">
        <is>
          <t>21</t>
        </is>
      </c>
      <c r="C8" s="3452" t="inlineStr">
        <is>
          <t>000224000</t>
        </is>
      </c>
      <c r="D8" s="3452" t="inlineStr">
        <is>
          <t>202006</t>
        </is>
      </c>
      <c r="E8" s="3452" t="inlineStr">
        <is>
          <t>300000,000000000000</t>
        </is>
      </c>
    </row>
    <row outlineLevel="0" r="9">
      <c r="A9" s="3452" t="inlineStr">
        <is>
          <t>00022400020200622</t>
        </is>
      </c>
      <c r="B9" s="3452" t="inlineStr">
        <is>
          <t>22</t>
        </is>
      </c>
      <c r="C9" s="3452" t="inlineStr">
        <is>
          <t>000224000</t>
        </is>
      </c>
      <c r="D9" s="3452" t="inlineStr">
        <is>
          <t>202006</t>
        </is>
      </c>
      <c r="E9" s="3452" t="inlineStr">
        <is>
          <t>0,000000000000</t>
        </is>
      </c>
    </row>
    <row outlineLevel="0" r="10">
      <c r="A10" s="3452" t="inlineStr">
        <is>
          <t>00022400020200631</t>
        </is>
      </c>
      <c r="B10" s="3452" t="inlineStr">
        <is>
          <t>31</t>
        </is>
      </c>
      <c r="C10" s="3452" t="inlineStr">
        <is>
          <t>000224000</t>
        </is>
      </c>
      <c r="D10" s="3452" t="inlineStr">
        <is>
          <t>202006</t>
        </is>
      </c>
      <c r="E10" s="3452" t="inlineStr">
        <is>
          <t>120000,000000000000</t>
        </is>
      </c>
    </row>
    <row outlineLevel="0" r="11">
      <c r="A11" s="3452" t="inlineStr">
        <is>
          <t>00022400020200632</t>
        </is>
      </c>
      <c r="B11" s="3452" t="inlineStr">
        <is>
          <t>32</t>
        </is>
      </c>
      <c r="C11" s="3452" t="inlineStr">
        <is>
          <t>000224000</t>
        </is>
      </c>
      <c r="D11" s="3452" t="inlineStr">
        <is>
          <t>202006</t>
        </is>
      </c>
      <c r="E11" s="3452" t="inlineStr">
        <is>
          <t>0,000000000000</t>
        </is>
      </c>
    </row>
    <row outlineLevel="0" r="12">
      <c r="A12" s="3452" t="inlineStr">
        <is>
          <t>00022400020200633</t>
        </is>
      </c>
      <c r="B12" s="3452" t="inlineStr">
        <is>
          <t>33</t>
        </is>
      </c>
      <c r="C12" s="3452" t="inlineStr">
        <is>
          <t>000224000</t>
        </is>
      </c>
      <c r="D12" s="3452" t="inlineStr">
        <is>
          <t>202006</t>
        </is>
      </c>
      <c r="E12" s="3452" t="inlineStr">
        <is>
          <t>0,000000000000</t>
        </is>
      </c>
    </row>
    <row outlineLevel="0" r="13">
      <c r="A13" s="3452" t="inlineStr">
        <is>
          <t>00022400020200634</t>
        </is>
      </c>
      <c r="B13" s="3452" t="inlineStr">
        <is>
          <t>34</t>
        </is>
      </c>
      <c r="C13" s="3452" t="inlineStr">
        <is>
          <t>000224000</t>
        </is>
      </c>
      <c r="D13" s="3452" t="inlineStr">
        <is>
          <t>202006</t>
        </is>
      </c>
      <c r="E13" s="3452" t="inlineStr">
        <is>
          <t>0,000000000000</t>
        </is>
      </c>
    </row>
    <row outlineLevel="0" r="14">
      <c r="A14" s="3452" t="inlineStr">
        <is>
          <t>00022400020200635</t>
        </is>
      </c>
      <c r="B14" s="3452" t="inlineStr">
        <is>
          <t>35</t>
        </is>
      </c>
      <c r="C14" s="3452" t="inlineStr">
        <is>
          <t>000224000</t>
        </is>
      </c>
      <c r="D14" s="3452" t="inlineStr">
        <is>
          <t>202006</t>
        </is>
      </c>
      <c r="E14" s="3452" t="inlineStr">
        <is>
          <t>0,000000000000</t>
        </is>
      </c>
    </row>
    <row outlineLevel="0" r="15">
      <c r="A15" s="3452" t="inlineStr">
        <is>
          <t>00022400020200636</t>
        </is>
      </c>
      <c r="B15" s="3452" t="inlineStr">
        <is>
          <t>36</t>
        </is>
      </c>
      <c r="C15" s="3452" t="inlineStr">
        <is>
          <t>000224000</t>
        </is>
      </c>
      <c r="D15" s="3452" t="inlineStr">
        <is>
          <t>202006</t>
        </is>
      </c>
      <c r="E15" s="3452" t="inlineStr">
        <is>
          <t>115,000000000000</t>
        </is>
      </c>
    </row>
    <row outlineLevel="0" r="16">
      <c r="A16" s="3452" t="inlineStr">
        <is>
          <t>00022400020200637</t>
        </is>
      </c>
      <c r="B16" s="3452" t="inlineStr">
        <is>
          <t>37</t>
        </is>
      </c>
      <c r="C16" s="3452" t="inlineStr">
        <is>
          <t>000224000</t>
        </is>
      </c>
      <c r="D16" s="3452" t="inlineStr">
        <is>
          <t>202006</t>
        </is>
      </c>
      <c r="E16" s="3452" t="inlineStr">
        <is>
          <t>-115,000000000000</t>
        </is>
      </c>
    </row>
    <row outlineLevel="0" r="17">
      <c r="A17" s="3452" t="inlineStr">
        <is>
          <t>00022400020200638</t>
        </is>
      </c>
      <c r="B17" s="3452" t="inlineStr">
        <is>
          <t>38</t>
        </is>
      </c>
      <c r="C17" s="3452" t="inlineStr">
        <is>
          <t>000224000</t>
        </is>
      </c>
      <c r="D17" s="3452" t="inlineStr">
        <is>
          <t>202006</t>
        </is>
      </c>
      <c r="E17" s="3452" t="inlineStr">
        <is>
          <t>0,000000000000</t>
        </is>
      </c>
    </row>
    <row outlineLevel="0" r="18">
      <c r="A18" s="3452" t="inlineStr">
        <is>
          <t>00022400020200641</t>
        </is>
      </c>
      <c r="B18" s="3452" t="inlineStr">
        <is>
          <t>41</t>
        </is>
      </c>
      <c r="C18" s="3452" t="inlineStr">
        <is>
          <t>000224000</t>
        </is>
      </c>
      <c r="D18" s="3452" t="inlineStr">
        <is>
          <t>202006</t>
        </is>
      </c>
      <c r="E18" s="3452" t="inlineStr">
        <is>
          <t>245,000000000000</t>
        </is>
      </c>
    </row>
    <row outlineLevel="0" r="19">
      <c r="A19" s="3452" t="inlineStr">
        <is>
          <t>00022400020200642</t>
        </is>
      </c>
      <c r="B19" s="3452" t="inlineStr">
        <is>
          <t>42</t>
        </is>
      </c>
      <c r="C19" s="3452" t="inlineStr">
        <is>
          <t>000224000</t>
        </is>
      </c>
      <c r="D19" s="3452" t="inlineStr">
        <is>
          <t>202006</t>
        </is>
      </c>
      <c r="E19" s="3452" t="inlineStr">
        <is>
          <t>0,000000000000</t>
        </is>
      </c>
    </row>
    <row outlineLevel="0" r="20">
      <c r="A20" s="3452" t="inlineStr">
        <is>
          <t>00022400020200651</t>
        </is>
      </c>
      <c r="B20" s="3452" t="inlineStr">
        <is>
          <t>51</t>
        </is>
      </c>
      <c r="C20" s="3452" t="inlineStr">
        <is>
          <t>000224000</t>
        </is>
      </c>
      <c r="D20" s="3452" t="inlineStr">
        <is>
          <t>202006</t>
        </is>
      </c>
      <c r="E20" s="3452" t="inlineStr">
        <is>
          <t>0,000000000000</t>
        </is>
      </c>
    </row>
    <row outlineLevel="0" r="21">
      <c r="A21" s="3452" t="inlineStr">
        <is>
          <t>00022400020200652</t>
        </is>
      </c>
      <c r="B21" s="3452" t="inlineStr">
        <is>
          <t>52</t>
        </is>
      </c>
      <c r="C21" s="3452" t="inlineStr">
        <is>
          <t>000224000</t>
        </is>
      </c>
      <c r="D21" s="3452" t="inlineStr">
        <is>
          <t>202006</t>
        </is>
      </c>
      <c r="E21" s="3452" t="inlineStr">
        <is>
          <t>130,000000000000</t>
        </is>
      </c>
    </row>
    <row outlineLevel="0" r="22">
      <c r="A22" s="3452" t="inlineStr">
        <is>
          <t>00022400020200653</t>
        </is>
      </c>
      <c r="B22" s="3452" t="inlineStr">
        <is>
          <t>53</t>
        </is>
      </c>
      <c r="C22" s="3452" t="inlineStr">
        <is>
          <t>000224000</t>
        </is>
      </c>
      <c r="D22" s="3452" t="inlineStr">
        <is>
          <t>202006</t>
        </is>
      </c>
      <c r="E22" s="3452" t="inlineStr">
        <is>
          <t>0,000000000000</t>
        </is>
      </c>
    </row>
    <row outlineLevel="0" r="23">
      <c r="A23" s="3452" t="inlineStr">
        <is>
          <t>00022400020200654</t>
        </is>
      </c>
      <c r="B23" s="3452" t="inlineStr">
        <is>
          <t>54</t>
        </is>
      </c>
      <c r="C23" s="3452" t="inlineStr">
        <is>
          <t>000224000</t>
        </is>
      </c>
      <c r="D23" s="3452" t="inlineStr">
        <is>
          <t>202006</t>
        </is>
      </c>
      <c r="E23" s="3452" t="inlineStr">
        <is>
          <t>0,000000000000</t>
        </is>
      </c>
    </row>
    <row outlineLevel="0" r="24">
      <c r="A24" s="3452" t="inlineStr">
        <is>
          <t>00022400020200661</t>
        </is>
      </c>
      <c r="B24" s="3452" t="inlineStr">
        <is>
          <t>61</t>
        </is>
      </c>
      <c r="C24" s="3452" t="inlineStr">
        <is>
          <t>000224000</t>
        </is>
      </c>
      <c r="D24" s="3452" t="inlineStr">
        <is>
          <t>202006</t>
        </is>
      </c>
      <c r="E24" s="3452" t="inlineStr">
        <is>
          <t>0,000000000000</t>
        </is>
      </c>
    </row>
    <row outlineLevel="0" r="25">
      <c r="A25" s="3452" t="inlineStr">
        <is>
          <t>00022400020200695</t>
        </is>
      </c>
      <c r="B25" s="3452" t="inlineStr">
        <is>
          <t>95</t>
        </is>
      </c>
      <c r="C25" s="3452" t="inlineStr">
        <is>
          <t>000224000</t>
        </is>
      </c>
      <c r="D25" s="3452" t="inlineStr">
        <is>
          <t>202006</t>
        </is>
      </c>
      <c r="E25" s="3452" t="inlineStr">
        <is>
          <t>245,000000000000</t>
        </is>
      </c>
    </row>
    <row outlineLevel="0" r="26">
      <c r="A26" s="3452" t="inlineStr">
        <is>
          <t>00022400020200696</t>
        </is>
      </c>
      <c r="B26" s="3452" t="inlineStr">
        <is>
          <t>96</t>
        </is>
      </c>
      <c r="C26" s="3452" t="inlineStr">
        <is>
          <t>000224000</t>
        </is>
      </c>
      <c r="D26" s="3452" t="inlineStr">
        <is>
          <t>202006</t>
        </is>
      </c>
      <c r="E26" s="3452" t="inlineStr">
        <is>
          <t>115,000000000000</t>
        </is>
      </c>
    </row>
    <row outlineLevel="0" r="27">
      <c r="A27" s="3452" t="inlineStr">
        <is>
          <t>00022400020200697</t>
        </is>
      </c>
      <c r="B27" s="3452" t="inlineStr">
        <is>
          <t>97</t>
        </is>
      </c>
      <c r="C27" s="3452" t="inlineStr">
        <is>
          <t>000224000</t>
        </is>
      </c>
      <c r="D27" s="3452" t="inlineStr">
        <is>
          <t>202006</t>
        </is>
      </c>
      <c r="E27" s="3452" t="inlineStr">
        <is>
          <t>115,000000000000</t>
        </is>
      </c>
    </row>
    <row outlineLevel="0" r="28">
      <c r="A28" s="3452" t="inlineStr">
        <is>
          <t>00022400020200698</t>
        </is>
      </c>
      <c r="B28" s="3452" t="inlineStr">
        <is>
          <t>98</t>
        </is>
      </c>
      <c r="C28" s="3452" t="inlineStr">
        <is>
          <t>000224000</t>
        </is>
      </c>
      <c r="D28" s="3452" t="inlineStr">
        <is>
          <t>202006</t>
        </is>
      </c>
      <c r="E28" s="3452" t="inlineStr">
        <is>
          <t>0,000000000000</t>
        </is>
      </c>
    </row>
    <row outlineLevel="0" r="29">
      <c r="A29" s="3452" t="inlineStr">
        <is>
          <t>00022400020200699</t>
        </is>
      </c>
      <c r="B29" s="3452" t="inlineStr">
        <is>
          <t>99</t>
        </is>
      </c>
      <c r="C29" s="3452" t="inlineStr">
        <is>
          <t>000224000</t>
        </is>
      </c>
      <c r="D29" s="3452" t="inlineStr">
        <is>
          <t>202006</t>
        </is>
      </c>
      <c r="E29" s="3452" t="inlineStr">
        <is>
          <t>115,000000000000</t>
        </is>
      </c>
    </row>
    <row outlineLevel="0" r="30">
      <c r="A30" s="3452" t="inlineStr">
        <is>
          <t>0002240002020061101</t>
        </is>
      </c>
      <c r="B30" s="3452" t="inlineStr">
        <is>
          <t>1101</t>
        </is>
      </c>
      <c r="C30" s="3452" t="inlineStr">
        <is>
          <t>000224000</t>
        </is>
      </c>
      <c r="D30" s="3452" t="inlineStr">
        <is>
          <t>202006</t>
        </is>
      </c>
      <c r="E30" s="3452" t="inlineStr">
        <is>
          <t>100000,000000000000</t>
        </is>
      </c>
    </row>
    <row outlineLevel="0" r="31">
      <c r="A31" s="3452" t="inlineStr">
        <is>
          <t>0002240002020061102</t>
        </is>
      </c>
      <c r="B31" s="3452" t="inlineStr">
        <is>
          <t>1102</t>
        </is>
      </c>
      <c r="C31" s="3452" t="inlineStr">
        <is>
          <t>000224000</t>
        </is>
      </c>
      <c r="D31" s="3452" t="inlineStr">
        <is>
          <t>202006</t>
        </is>
      </c>
      <c r="E31" s="3452" t="inlineStr">
        <is>
          <t>0,000000000000</t>
        </is>
      </c>
    </row>
    <row outlineLevel="0" r="32">
      <c r="A32" s="3452" t="inlineStr">
        <is>
          <t>0002240002020061103</t>
        </is>
      </c>
      <c r="B32" s="3452" t="inlineStr">
        <is>
          <t>1103</t>
        </is>
      </c>
      <c r="C32" s="3452" t="inlineStr">
        <is>
          <t>000224000</t>
        </is>
      </c>
      <c r="D32" s="3452" t="inlineStr">
        <is>
          <t>202006</t>
        </is>
      </c>
      <c r="E32" s="3452" t="inlineStr">
        <is>
          <t>0,000000000000</t>
        </is>
      </c>
    </row>
    <row outlineLevel="0" r="33">
      <c r="A33" s="3452" t="inlineStr">
        <is>
          <t>0002240002020061104</t>
        </is>
      </c>
      <c r="B33" s="3452" t="inlineStr">
        <is>
          <t>1104</t>
        </is>
      </c>
      <c r="C33" s="3452" t="inlineStr">
        <is>
          <t>000224000</t>
        </is>
      </c>
      <c r="D33" s="3452" t="inlineStr">
        <is>
          <t>202006</t>
        </is>
      </c>
      <c r="E33" s="3452" t="inlineStr">
        <is>
          <t>0,000000000000</t>
        </is>
      </c>
    </row>
    <row outlineLevel="0" r="34">
      <c r="A34" s="3452" t="inlineStr">
        <is>
          <t>0002240002020061106</t>
        </is>
      </c>
      <c r="B34" s="3452" t="inlineStr">
        <is>
          <t>1106</t>
        </is>
      </c>
      <c r="C34" s="3452" t="inlineStr">
        <is>
          <t>000224000</t>
        </is>
      </c>
      <c r="D34" s="3452" t="inlineStr">
        <is>
          <t>202006</t>
        </is>
      </c>
      <c r="E34" s="3452" t="inlineStr">
        <is>
          <t>0,000000000000</t>
        </is>
      </c>
    </row>
    <row outlineLevel="0" r="35">
      <c r="A35" s="3452" t="inlineStr">
        <is>
          <t>0002240002020061107</t>
        </is>
      </c>
      <c r="B35" s="3452" t="inlineStr">
        <is>
          <t>1107</t>
        </is>
      </c>
      <c r="C35" s="3452" t="inlineStr">
        <is>
          <t>000224000</t>
        </is>
      </c>
      <c r="D35" s="3452" t="inlineStr">
        <is>
          <t>202006</t>
        </is>
      </c>
      <c r="E35" s="3452" t="inlineStr">
        <is>
          <t>0,000000000000</t>
        </is>
      </c>
    </row>
    <row outlineLevel="0" r="36">
      <c r="A36" s="3452" t="inlineStr">
        <is>
          <t>0002240002020061201</t>
        </is>
      </c>
      <c r="B36" s="3452" t="inlineStr">
        <is>
          <t>1201</t>
        </is>
      </c>
      <c r="C36" s="3452" t="inlineStr">
        <is>
          <t>000224000</t>
        </is>
      </c>
      <c r="D36" s="3452" t="inlineStr">
        <is>
          <t>202006</t>
        </is>
      </c>
      <c r="E36" s="3452" t="inlineStr">
        <is>
          <t>320000,000000000000</t>
        </is>
      </c>
    </row>
    <row outlineLevel="0" r="37">
      <c r="A37" s="3452" t="inlineStr">
        <is>
          <t>0002240002020061202</t>
        </is>
      </c>
      <c r="B37" s="3452" t="inlineStr">
        <is>
          <t>1202</t>
        </is>
      </c>
      <c r="C37" s="3452" t="inlineStr">
        <is>
          <t>000224000</t>
        </is>
      </c>
      <c r="D37" s="3452" t="inlineStr">
        <is>
          <t>202006</t>
        </is>
      </c>
      <c r="E37" s="3452" t="inlineStr">
        <is>
          <t>0,000000000000</t>
        </is>
      </c>
    </row>
    <row outlineLevel="0" r="38">
      <c r="A38" s="3452" t="inlineStr">
        <is>
          <t>0002240002020061203</t>
        </is>
      </c>
      <c r="B38" s="3452" t="inlineStr">
        <is>
          <t>1203</t>
        </is>
      </c>
      <c r="C38" s="3452" t="inlineStr">
        <is>
          <t>000224000</t>
        </is>
      </c>
      <c r="D38" s="3452" t="inlineStr">
        <is>
          <t>202006</t>
        </is>
      </c>
      <c r="E38" s="3452" t="inlineStr">
        <is>
          <t>0,000000000000</t>
        </is>
      </c>
    </row>
    <row outlineLevel="0" r="39">
      <c r="A39" s="3452" t="inlineStr">
        <is>
          <t>0002240002020061205</t>
        </is>
      </c>
      <c r="B39" s="3452" t="inlineStr">
        <is>
          <t>1205</t>
        </is>
      </c>
      <c r="C39" s="3452" t="inlineStr">
        <is>
          <t>000224000</t>
        </is>
      </c>
      <c r="D39" s="3452" t="inlineStr">
        <is>
          <t>202006</t>
        </is>
      </c>
      <c r="E39" s="3452" t="inlineStr">
        <is>
          <t>0,000000000000</t>
        </is>
      </c>
    </row>
    <row outlineLevel="0" r="40">
      <c r="A40" s="3452" t="inlineStr">
        <is>
          <t>0002240002020061206</t>
        </is>
      </c>
      <c r="B40" s="3452" t="inlineStr">
        <is>
          <t>1206</t>
        </is>
      </c>
      <c r="C40" s="3452" t="inlineStr">
        <is>
          <t>000224000</t>
        </is>
      </c>
      <c r="D40" s="3452" t="inlineStr">
        <is>
          <t>202006</t>
        </is>
      </c>
      <c r="E40" s="3452" t="inlineStr">
        <is>
          <t>0,000000000000</t>
        </is>
      </c>
    </row>
    <row outlineLevel="0" r="41">
      <c r="A41" s="3452" t="inlineStr">
        <is>
          <t>0002240002020061207</t>
        </is>
      </c>
      <c r="B41" s="3452" t="inlineStr">
        <is>
          <t>1207</t>
        </is>
      </c>
      <c r="C41" s="3452" t="inlineStr">
        <is>
          <t>000224000</t>
        </is>
      </c>
      <c r="D41" s="3452" t="inlineStr">
        <is>
          <t>202006</t>
        </is>
      </c>
      <c r="E41" s="3452" t="inlineStr">
        <is>
          <t>0,000000000000</t>
        </is>
      </c>
    </row>
    <row outlineLevel="0" r="42">
      <c r="A42" s="3452" t="inlineStr">
        <is>
          <t>0002240002020061208</t>
        </is>
      </c>
      <c r="B42" s="3452" t="inlineStr">
        <is>
          <t>1208</t>
        </is>
      </c>
      <c r="C42" s="3452" t="inlineStr">
        <is>
          <t>000224000</t>
        </is>
      </c>
      <c r="D42" s="3452" t="inlineStr">
        <is>
          <t>202006</t>
        </is>
      </c>
      <c r="E42" s="3452" t="inlineStr">
        <is>
          <t>0,000000000000</t>
        </is>
      </c>
    </row>
    <row outlineLevel="0" r="43">
      <c r="A43" s="3452" t="inlineStr">
        <is>
          <t>0002240002020062101</t>
        </is>
      </c>
      <c r="B43" s="3452" t="inlineStr">
        <is>
          <t>2101</t>
        </is>
      </c>
      <c r="C43" s="3452" t="inlineStr">
        <is>
          <t>000224000</t>
        </is>
      </c>
      <c r="D43" s="3452" t="inlineStr">
        <is>
          <t>202006</t>
        </is>
      </c>
      <c r="E43" s="3452" t="inlineStr">
        <is>
          <t>300000,000000000000</t>
        </is>
      </c>
    </row>
    <row outlineLevel="0" r="44">
      <c r="A44" s="3452" t="inlineStr">
        <is>
          <t>0002240002020062102</t>
        </is>
      </c>
      <c r="B44" s="3452" t="inlineStr">
        <is>
          <t>2102</t>
        </is>
      </c>
      <c r="C44" s="3452" t="inlineStr">
        <is>
          <t>000224000</t>
        </is>
      </c>
      <c r="D44" s="3452" t="inlineStr">
        <is>
          <t>202006</t>
        </is>
      </c>
      <c r="E44" s="3452" t="inlineStr">
        <is>
          <t>0,000000000000</t>
        </is>
      </c>
    </row>
    <row outlineLevel="0" r="45">
      <c r="A45" s="3452" t="inlineStr">
        <is>
          <t>0002240002020062103</t>
        </is>
      </c>
      <c r="B45" s="3452" t="inlineStr">
        <is>
          <t>2103</t>
        </is>
      </c>
      <c r="C45" s="3452" t="inlineStr">
        <is>
          <t>000224000</t>
        </is>
      </c>
      <c r="D45" s="3452" t="inlineStr">
        <is>
          <t>202006</t>
        </is>
      </c>
      <c r="E45" s="3452" t="inlineStr">
        <is>
          <t>0,000000000000</t>
        </is>
      </c>
    </row>
    <row outlineLevel="0" r="46">
      <c r="A46" s="3452" t="inlineStr">
        <is>
          <t>0002240002020062104</t>
        </is>
      </c>
      <c r="B46" s="3452" t="inlineStr">
        <is>
          <t>2104</t>
        </is>
      </c>
      <c r="C46" s="3452" t="inlineStr">
        <is>
          <t>000224000</t>
        </is>
      </c>
      <c r="D46" s="3452" t="inlineStr">
        <is>
          <t>202006</t>
        </is>
      </c>
      <c r="E46" s="3452" t="inlineStr">
        <is>
          <t>0,000000000000</t>
        </is>
      </c>
    </row>
    <row outlineLevel="0" r="47">
      <c r="A47" s="3452" t="inlineStr">
        <is>
          <t>0002240002020062105</t>
        </is>
      </c>
      <c r="B47" s="3452" t="inlineStr">
        <is>
          <t>2105</t>
        </is>
      </c>
      <c r="C47" s="3452" t="inlineStr">
        <is>
          <t>000224000</t>
        </is>
      </c>
      <c r="D47" s="3452" t="inlineStr">
        <is>
          <t>202006</t>
        </is>
      </c>
      <c r="E47" s="3452" t="inlineStr">
        <is>
          <t>0,000000000000</t>
        </is>
      </c>
    </row>
    <row outlineLevel="0" r="48">
      <c r="A48" s="3452" t="inlineStr">
        <is>
          <t>0002240002020062106</t>
        </is>
      </c>
      <c r="B48" s="3452" t="inlineStr">
        <is>
          <t>2106</t>
        </is>
      </c>
      <c r="C48" s="3452" t="inlineStr">
        <is>
          <t>000224000</t>
        </is>
      </c>
      <c r="D48" s="3452" t="inlineStr">
        <is>
          <t>202006</t>
        </is>
      </c>
      <c r="E48" s="3452" t="inlineStr">
        <is>
          <t>0,000000000000</t>
        </is>
      </c>
    </row>
    <row outlineLevel="0" r="49">
      <c r="A49" s="3452" t="inlineStr">
        <is>
          <t>0002240002020062107</t>
        </is>
      </c>
      <c r="B49" s="3452" t="inlineStr">
        <is>
          <t>2107</t>
        </is>
      </c>
      <c r="C49" s="3452" t="inlineStr">
        <is>
          <t>000224000</t>
        </is>
      </c>
      <c r="D49" s="3452" t="inlineStr">
        <is>
          <t>202006</t>
        </is>
      </c>
      <c r="E49" s="3452" t="inlineStr">
        <is>
          <t>0,000000000000</t>
        </is>
      </c>
    </row>
    <row outlineLevel="0" r="50">
      <c r="A50" s="3452" t="inlineStr">
        <is>
          <t>0002240002020062109</t>
        </is>
      </c>
      <c r="B50" s="3452" t="inlineStr">
        <is>
          <t>2109</t>
        </is>
      </c>
      <c r="C50" s="3452" t="inlineStr">
        <is>
          <t>000224000</t>
        </is>
      </c>
      <c r="D50" s="3452" t="inlineStr">
        <is>
          <t>202006</t>
        </is>
      </c>
      <c r="E50" s="3452" t="inlineStr">
        <is>
          <t>0,000000000000</t>
        </is>
      </c>
    </row>
    <row outlineLevel="0" r="51">
      <c r="A51" s="3452" t="inlineStr">
        <is>
          <t>0002240002020062201</t>
        </is>
      </c>
      <c r="B51" s="3452" t="inlineStr">
        <is>
          <t>2201</t>
        </is>
      </c>
      <c r="C51" s="3452" t="inlineStr">
        <is>
          <t>000224000</t>
        </is>
      </c>
      <c r="D51" s="3452" t="inlineStr">
        <is>
          <t>202006</t>
        </is>
      </c>
      <c r="E51" s="3452" t="inlineStr">
        <is>
          <t>0,000000000000</t>
        </is>
      </c>
    </row>
    <row outlineLevel="0" r="52">
      <c r="A52" s="3452" t="inlineStr">
        <is>
          <t>0002240002020062203</t>
        </is>
      </c>
      <c r="B52" s="3452" t="inlineStr">
        <is>
          <t>2203</t>
        </is>
      </c>
      <c r="C52" s="3452" t="inlineStr">
        <is>
          <t>000224000</t>
        </is>
      </c>
      <c r="D52" s="3452" t="inlineStr">
        <is>
          <t>202006</t>
        </is>
      </c>
      <c r="E52" s="3452" t="inlineStr">
        <is>
          <t>0,000000000000</t>
        </is>
      </c>
    </row>
    <row outlineLevel="0" r="53">
      <c r="A53" s="3452" t="inlineStr">
        <is>
          <t>0002240002020062204</t>
        </is>
      </c>
      <c r="B53" s="3452" t="inlineStr">
        <is>
          <t>2204</t>
        </is>
      </c>
      <c r="C53" s="3452" t="inlineStr">
        <is>
          <t>000224000</t>
        </is>
      </c>
      <c r="D53" s="3452" t="inlineStr">
        <is>
          <t>202006</t>
        </is>
      </c>
      <c r="E53" s="3452" t="inlineStr">
        <is>
          <t>0,000000000000</t>
        </is>
      </c>
    </row>
    <row outlineLevel="0" r="54">
      <c r="A54" s="3452" t="inlineStr">
        <is>
          <t>0002240002020062206</t>
        </is>
      </c>
      <c r="B54" s="3452" t="inlineStr">
        <is>
          <t>2206</t>
        </is>
      </c>
      <c r="C54" s="3452" t="inlineStr">
        <is>
          <t>000224000</t>
        </is>
      </c>
      <c r="D54" s="3452" t="inlineStr">
        <is>
          <t>202006</t>
        </is>
      </c>
      <c r="E54" s="3452" t="inlineStr">
        <is>
          <t>0,000000000000</t>
        </is>
      </c>
    </row>
    <row outlineLevel="0" r="55">
      <c r="A55" s="3452" t="inlineStr">
        <is>
          <t>0002240002020062207</t>
        </is>
      </c>
      <c r="B55" s="3452" t="inlineStr">
        <is>
          <t>2207</t>
        </is>
      </c>
      <c r="C55" s="3452" t="inlineStr">
        <is>
          <t>000224000</t>
        </is>
      </c>
      <c r="D55" s="3452" t="inlineStr">
        <is>
          <t>202006</t>
        </is>
      </c>
      <c r="E55" s="3452" t="inlineStr">
        <is>
          <t>0,000000000000</t>
        </is>
      </c>
    </row>
    <row outlineLevel="0" r="56">
      <c r="A56" s="3452" t="inlineStr">
        <is>
          <t>0002240002020062209</t>
        </is>
      </c>
      <c r="B56" s="3452" t="inlineStr">
        <is>
          <t>2209</t>
        </is>
      </c>
      <c r="C56" s="3452" t="inlineStr">
        <is>
          <t>000224000</t>
        </is>
      </c>
      <c r="D56" s="3452" t="inlineStr">
        <is>
          <t>202006</t>
        </is>
      </c>
      <c r="E56" s="3452" t="inlineStr">
        <is>
          <t>0,000000000000</t>
        </is>
      </c>
    </row>
    <row outlineLevel="0" r="57">
      <c r="A57" s="3452" t="inlineStr">
        <is>
          <t>0002240002020065301</t>
        </is>
      </c>
      <c r="B57" s="3452" t="inlineStr">
        <is>
          <t>5301</t>
        </is>
      </c>
      <c r="C57" s="3452" t="inlineStr">
        <is>
          <t>000224000</t>
        </is>
      </c>
      <c r="D57" s="3452" t="inlineStr">
        <is>
          <t>202006</t>
        </is>
      </c>
      <c r="E57" s="3452" t="inlineStr">
        <is>
          <t>0,000000000000</t>
        </is>
      </c>
    </row>
    <row outlineLevel="0" r="58">
      <c r="A58" s="3452" t="inlineStr">
        <is>
          <t>000224000202006108000</t>
        </is>
      </c>
      <c r="B58" s="3452" t="inlineStr">
        <is>
          <t>108000</t>
        </is>
      </c>
      <c r="C58" s="3452" t="inlineStr">
        <is>
          <t>000224000</t>
        </is>
      </c>
      <c r="D58" s="3452" t="inlineStr">
        <is>
          <t>202006</t>
        </is>
      </c>
      <c r="E58" s="3452" t="inlineStr">
        <is>
          <t>0,000000000000</t>
        </is>
      </c>
    </row>
    <row outlineLevel="0" r="59">
      <c r="A59" s="3452" t="inlineStr">
        <is>
          <t>000224000202006108100</t>
        </is>
      </c>
      <c r="B59" s="3452" t="inlineStr">
        <is>
          <t>108100</t>
        </is>
      </c>
      <c r="C59" s="3452" t="inlineStr">
        <is>
          <t>000224000</t>
        </is>
      </c>
      <c r="D59" s="3452" t="inlineStr">
        <is>
          <t>202006</t>
        </is>
      </c>
      <c r="E59" s="3452" t="inlineStr">
        <is>
          <t>0,000000000000</t>
        </is>
      </c>
    </row>
    <row outlineLevel="0" r="60">
      <c r="A60" s="3452" t="inlineStr">
        <is>
          <t>000224000202006108200</t>
        </is>
      </c>
      <c r="B60" s="3452" t="inlineStr">
        <is>
          <t>108200</t>
        </is>
      </c>
      <c r="C60" s="3452" t="inlineStr">
        <is>
          <t>000224000</t>
        </is>
      </c>
      <c r="D60" s="3452" t="inlineStr">
        <is>
          <t>202006</t>
        </is>
      </c>
      <c r="E60" s="3452" t="inlineStr">
        <is>
          <t>0,000000000000</t>
        </is>
      </c>
    </row>
    <row outlineLevel="0" r="61">
      <c r="A61" s="3452" t="inlineStr">
        <is>
          <t>000224000202006108300</t>
        </is>
      </c>
      <c r="B61" s="3452" t="inlineStr">
        <is>
          <t>108300</t>
        </is>
      </c>
      <c r="C61" s="3452" t="inlineStr">
        <is>
          <t>000224000</t>
        </is>
      </c>
      <c r="D61" s="3452" t="inlineStr">
        <is>
          <t>202006</t>
        </is>
      </c>
      <c r="E61" s="3452" t="inlineStr">
        <is>
          <t>0,000000000000</t>
        </is>
      </c>
    </row>
    <row outlineLevel="0" r="62">
      <c r="A62" s="3452" t="inlineStr">
        <is>
          <t>000224000202006108400</t>
        </is>
      </c>
      <c r="B62" s="3452" t="inlineStr">
        <is>
          <t>108400</t>
        </is>
      </c>
      <c r="C62" s="3452" t="inlineStr">
        <is>
          <t>000224000</t>
        </is>
      </c>
      <c r="D62" s="3452" t="inlineStr">
        <is>
          <t>202006</t>
        </is>
      </c>
      <c r="E62" s="3452" t="inlineStr">
        <is>
          <t>0,000000000000</t>
        </is>
      </c>
    </row>
    <row outlineLevel="0" r="63">
      <c r="A63" s="3452" t="inlineStr">
        <is>
          <t>000224000202006109801</t>
        </is>
      </c>
      <c r="B63" s="3452" t="inlineStr">
        <is>
          <t>109801</t>
        </is>
      </c>
      <c r="C63" s="3452" t="inlineStr">
        <is>
          <t>000224000</t>
        </is>
      </c>
      <c r="D63" s="3452" t="inlineStr">
        <is>
          <t>202006</t>
        </is>
      </c>
      <c r="E63" s="3452" t="inlineStr">
        <is>
          <t>0,000000000000</t>
        </is>
      </c>
    </row>
    <row outlineLevel="0" r="64">
      <c r="A64" s="3452" t="inlineStr">
        <is>
          <t>000224000202006110105</t>
        </is>
      </c>
      <c r="B64" s="3452" t="inlineStr">
        <is>
          <t>110105</t>
        </is>
      </c>
      <c r="C64" s="3452" t="inlineStr">
        <is>
          <t>000224000</t>
        </is>
      </c>
      <c r="D64" s="3452" t="inlineStr">
        <is>
          <t>202006</t>
        </is>
      </c>
      <c r="E64" s="3452" t="inlineStr">
        <is>
          <t>0,000000000000</t>
        </is>
      </c>
    </row>
    <row outlineLevel="0" r="65">
      <c r="A65" s="3452" t="inlineStr">
        <is>
          <t>000224000202006110110</t>
        </is>
      </c>
      <c r="B65" s="3452" t="inlineStr">
        <is>
          <t>110110</t>
        </is>
      </c>
      <c r="C65" s="3452" t="inlineStr">
        <is>
          <t>000224000</t>
        </is>
      </c>
      <c r="D65" s="3452" t="inlineStr">
        <is>
          <t>202006</t>
        </is>
      </c>
      <c r="E65" s="3452" t="inlineStr">
        <is>
          <t>100000,000000000000</t>
        </is>
      </c>
    </row>
    <row outlineLevel="0" r="66">
      <c r="A66" s="3452" t="inlineStr">
        <is>
          <t>000224000202006110125</t>
        </is>
      </c>
      <c r="B66" s="3452" t="inlineStr">
        <is>
          <t>110125</t>
        </is>
      </c>
      <c r="C66" s="3452" t="inlineStr">
        <is>
          <t>000224000</t>
        </is>
      </c>
      <c r="D66" s="3452" t="inlineStr">
        <is>
          <t>202006</t>
        </is>
      </c>
      <c r="E66" s="3452" t="inlineStr">
        <is>
          <t>0,000000000000</t>
        </is>
      </c>
    </row>
    <row outlineLevel="0" r="67">
      <c r="A67" s="3452" t="inlineStr">
        <is>
          <t>000224000202006110130</t>
        </is>
      </c>
      <c r="B67" s="3452" t="inlineStr">
        <is>
          <t>110130</t>
        </is>
      </c>
      <c r="C67" s="3452" t="inlineStr">
        <is>
          <t>000224000</t>
        </is>
      </c>
      <c r="D67" s="3452" t="inlineStr">
        <is>
          <t>202006</t>
        </is>
      </c>
      <c r="E67" s="3452" t="inlineStr">
        <is>
          <t>0,000000000000</t>
        </is>
      </c>
    </row>
    <row outlineLevel="0" r="68">
      <c r="A68" s="3452" t="inlineStr">
        <is>
          <t>000224000202006110205</t>
        </is>
      </c>
      <c r="B68" s="3452" t="inlineStr">
        <is>
          <t>110205</t>
        </is>
      </c>
      <c r="C68" s="3452" t="inlineStr">
        <is>
          <t>000224000</t>
        </is>
      </c>
      <c r="D68" s="3452" t="inlineStr">
        <is>
          <t>202006</t>
        </is>
      </c>
      <c r="E68" s="3452" t="inlineStr">
        <is>
          <t>0,000000000000</t>
        </is>
      </c>
    </row>
    <row outlineLevel="0" r="69">
      <c r="A69" s="3452" t="inlineStr">
        <is>
          <t>000224000202006110210</t>
        </is>
      </c>
      <c r="B69" s="3452" t="inlineStr">
        <is>
          <t>110210</t>
        </is>
      </c>
      <c r="C69" s="3452" t="inlineStr">
        <is>
          <t>000224000</t>
        </is>
      </c>
      <c r="D69" s="3452" t="inlineStr">
        <is>
          <t>202006</t>
        </is>
      </c>
      <c r="E69" s="3452" t="inlineStr">
        <is>
          <t>0,000000000000</t>
        </is>
      </c>
    </row>
    <row outlineLevel="0" r="70">
      <c r="A70" s="3452" t="inlineStr">
        <is>
          <t>000224000202006110215</t>
        </is>
      </c>
      <c r="B70" s="3452" t="inlineStr">
        <is>
          <t>110215</t>
        </is>
      </c>
      <c r="C70" s="3452" t="inlineStr">
        <is>
          <t>000224000</t>
        </is>
      </c>
      <c r="D70" s="3452" t="inlineStr">
        <is>
          <t>202006</t>
        </is>
      </c>
      <c r="E70" s="3452" t="inlineStr">
        <is>
          <t>0,000000000000</t>
        </is>
      </c>
    </row>
    <row outlineLevel="0" r="71">
      <c r="A71" s="3452" t="inlineStr">
        <is>
          <t>000224000202006110225</t>
        </is>
      </c>
      <c r="B71" s="3452" t="inlineStr">
        <is>
          <t>110225</t>
        </is>
      </c>
      <c r="C71" s="3452" t="inlineStr">
        <is>
          <t>000224000</t>
        </is>
      </c>
      <c r="D71" s="3452" t="inlineStr">
        <is>
          <t>202006</t>
        </is>
      </c>
      <c r="E71" s="3452" t="inlineStr">
        <is>
          <t>0,000000000000</t>
        </is>
      </c>
    </row>
    <row outlineLevel="0" r="72">
      <c r="A72" s="3452" t="inlineStr">
        <is>
          <t>000224000202006110235</t>
        </is>
      </c>
      <c r="B72" s="3452" t="inlineStr">
        <is>
          <t>110235</t>
        </is>
      </c>
      <c r="C72" s="3452" t="inlineStr">
        <is>
          <t>000224000</t>
        </is>
      </c>
      <c r="D72" s="3452" t="inlineStr">
        <is>
          <t>202006</t>
        </is>
      </c>
      <c r="E72" s="3452" t="inlineStr">
        <is>
          <t>0,000000000000</t>
        </is>
      </c>
    </row>
    <row outlineLevel="0" r="73">
      <c r="A73" s="3452" t="inlineStr">
        <is>
          <t>000224000202006110255</t>
        </is>
      </c>
      <c r="B73" s="3452" t="inlineStr">
        <is>
          <t>110255</t>
        </is>
      </c>
      <c r="C73" s="3452" t="inlineStr">
        <is>
          <t>000224000</t>
        </is>
      </c>
      <c r="D73" s="3452" t="inlineStr">
        <is>
          <t>202006</t>
        </is>
      </c>
      <c r="E73" s="3452" t="inlineStr">
        <is>
          <t>0,000000000000</t>
        </is>
      </c>
    </row>
    <row outlineLevel="0" r="74">
      <c r="A74" s="3452" t="inlineStr">
        <is>
          <t>000224000202006110260</t>
        </is>
      </c>
      <c r="B74" s="3452" t="inlineStr">
        <is>
          <t>110260</t>
        </is>
      </c>
      <c r="C74" s="3452" t="inlineStr">
        <is>
          <t>000224000</t>
        </is>
      </c>
      <c r="D74" s="3452" t="inlineStr">
        <is>
          <t>202006</t>
        </is>
      </c>
      <c r="E74" s="3452" t="inlineStr">
        <is>
          <t>0,000000000000</t>
        </is>
      </c>
    </row>
    <row outlineLevel="0" r="75">
      <c r="A75" s="3452" t="inlineStr">
        <is>
          <t>000224000202006110305</t>
        </is>
      </c>
      <c r="B75" s="3452" t="inlineStr">
        <is>
          <t>110305</t>
        </is>
      </c>
      <c r="C75" s="3452" t="inlineStr">
        <is>
          <t>000224000</t>
        </is>
      </c>
      <c r="D75" s="3452" t="inlineStr">
        <is>
          <t>202006</t>
        </is>
      </c>
      <c r="E75" s="3452" t="inlineStr">
        <is>
          <t>0,000000000000</t>
        </is>
      </c>
    </row>
    <row outlineLevel="0" r="76">
      <c r="A76" s="3452" t="inlineStr">
        <is>
          <t>000224000202006110390</t>
        </is>
      </c>
      <c r="B76" s="3452" t="inlineStr">
        <is>
          <t>110390</t>
        </is>
      </c>
      <c r="C76" s="3452" t="inlineStr">
        <is>
          <t>000224000</t>
        </is>
      </c>
      <c r="D76" s="3452" t="inlineStr">
        <is>
          <t>202006</t>
        </is>
      </c>
      <c r="E76" s="3452" t="inlineStr">
        <is>
          <t>0,000000000000</t>
        </is>
      </c>
    </row>
    <row outlineLevel="0" r="77">
      <c r="A77" s="3452" t="inlineStr">
        <is>
          <t>000224000202006110395</t>
        </is>
      </c>
      <c r="B77" s="3452" t="inlineStr">
        <is>
          <t>110395</t>
        </is>
      </c>
      <c r="C77" s="3452" t="inlineStr">
        <is>
          <t>000224000</t>
        </is>
      </c>
      <c r="D77" s="3452" t="inlineStr">
        <is>
          <t>202006</t>
        </is>
      </c>
      <c r="E77" s="3452" t="inlineStr">
        <is>
          <t>0,000000000000</t>
        </is>
      </c>
    </row>
    <row outlineLevel="0" r="78">
      <c r="A78" s="3452" t="inlineStr">
        <is>
          <t>000224000202006110405</t>
        </is>
      </c>
      <c r="B78" s="3452" t="inlineStr">
        <is>
          <t>110405</t>
        </is>
      </c>
      <c r="C78" s="3452" t="inlineStr">
        <is>
          <t>000224000</t>
        </is>
      </c>
      <c r="D78" s="3452" t="inlineStr">
        <is>
          <t>202006</t>
        </is>
      </c>
      <c r="E78" s="3452" t="inlineStr">
        <is>
          <t>0,000000000000</t>
        </is>
      </c>
    </row>
    <row outlineLevel="0" r="79">
      <c r="A79" s="3452" t="inlineStr">
        <is>
          <t>000224000202006110410</t>
        </is>
      </c>
      <c r="B79" s="3452" t="inlineStr">
        <is>
          <t>110410</t>
        </is>
      </c>
      <c r="C79" s="3452" t="inlineStr">
        <is>
          <t>000224000</t>
        </is>
      </c>
      <c r="D79" s="3452" t="inlineStr">
        <is>
          <t>202006</t>
        </is>
      </c>
      <c r="E79" s="3452" t="inlineStr">
        <is>
          <t>0,000000000000</t>
        </is>
      </c>
    </row>
    <row outlineLevel="0" r="80">
      <c r="A80" s="3452" t="inlineStr">
        <is>
          <t>000224000202006110415</t>
        </is>
      </c>
      <c r="B80" s="3452" t="inlineStr">
        <is>
          <t>110415</t>
        </is>
      </c>
      <c r="C80" s="3452" t="inlineStr">
        <is>
          <t>000224000</t>
        </is>
      </c>
      <c r="D80" s="3452" t="inlineStr">
        <is>
          <t>202006</t>
        </is>
      </c>
      <c r="E80" s="3452" t="inlineStr">
        <is>
          <t>0,000000000000</t>
        </is>
      </c>
    </row>
    <row outlineLevel="0" r="81">
      <c r="A81" s="3452" t="inlineStr">
        <is>
          <t>000224000202006110420</t>
        </is>
      </c>
      <c r="B81" s="3452" t="inlineStr">
        <is>
          <t>110420</t>
        </is>
      </c>
      <c r="C81" s="3452" t="inlineStr">
        <is>
          <t>000224000</t>
        </is>
      </c>
      <c r="D81" s="3452" t="inlineStr">
        <is>
          <t>202006</t>
        </is>
      </c>
      <c r="E81" s="3452" t="inlineStr">
        <is>
          <t>0,000000000000</t>
        </is>
      </c>
    </row>
    <row outlineLevel="0" r="82">
      <c r="A82" s="3452" t="inlineStr">
        <is>
          <t>000224000202006110490</t>
        </is>
      </c>
      <c r="B82" s="3452" t="inlineStr">
        <is>
          <t>110490</t>
        </is>
      </c>
      <c r="C82" s="3452" t="inlineStr">
        <is>
          <t>000224000</t>
        </is>
      </c>
      <c r="D82" s="3452" t="inlineStr">
        <is>
          <t>202006</t>
        </is>
      </c>
      <c r="E82" s="3452" t="inlineStr">
        <is>
          <t>0,000000000000</t>
        </is>
      </c>
    </row>
    <row outlineLevel="0" r="83">
      <c r="A83" s="3452" t="inlineStr">
        <is>
          <t>000224000202006110491</t>
        </is>
      </c>
      <c r="B83" s="3452" t="inlineStr">
        <is>
          <t>110491</t>
        </is>
      </c>
      <c r="C83" s="3452" t="inlineStr">
        <is>
          <t>000224000</t>
        </is>
      </c>
      <c r="D83" s="3452" t="inlineStr">
        <is>
          <t>202006</t>
        </is>
      </c>
      <c r="E83" s="3452" t="inlineStr">
        <is>
          <t>0,000000000000</t>
        </is>
      </c>
    </row>
    <row outlineLevel="0" r="84">
      <c r="A84" s="3452" t="inlineStr">
        <is>
          <t>000224000202006110495</t>
        </is>
      </c>
      <c r="B84" s="3452" t="inlineStr">
        <is>
          <t>110495</t>
        </is>
      </c>
      <c r="C84" s="3452" t="inlineStr">
        <is>
          <t>000224000</t>
        </is>
      </c>
      <c r="D84" s="3452" t="inlineStr">
        <is>
          <t>202006</t>
        </is>
      </c>
      <c r="E84" s="3452" t="inlineStr">
        <is>
          <t>0,000000000000</t>
        </is>
      </c>
    </row>
    <row outlineLevel="0" r="85">
      <c r="A85" s="3452" t="inlineStr">
        <is>
          <t>000224000202006111010</t>
        </is>
      </c>
      <c r="B85" s="3452" t="inlineStr">
        <is>
          <t>111010</t>
        </is>
      </c>
      <c r="C85" s="3452" t="inlineStr">
        <is>
          <t>000224000</t>
        </is>
      </c>
      <c r="D85" s="3452" t="inlineStr">
        <is>
          <t>202006</t>
        </is>
      </c>
      <c r="E85" s="3452" t="inlineStr">
        <is>
          <t>0,000000000000</t>
        </is>
      </c>
    </row>
    <row outlineLevel="0" r="86">
      <c r="A86" s="3452" t="inlineStr">
        <is>
          <t>000224000202006120104</t>
        </is>
      </c>
      <c r="B86" s="3452" t="inlineStr">
        <is>
          <t>120104</t>
        </is>
      </c>
      <c r="C86" s="3452" t="inlineStr">
        <is>
          <t>000224000</t>
        </is>
      </c>
      <c r="D86" s="3452" t="inlineStr">
        <is>
          <t>202006</t>
        </is>
      </c>
      <c r="E86" s="3452" t="inlineStr">
        <is>
          <t>0,000000000000</t>
        </is>
      </c>
    </row>
    <row outlineLevel="0" r="87">
      <c r="A87" s="3452" t="inlineStr">
        <is>
          <t>000224000202006120108</t>
        </is>
      </c>
      <c r="B87" s="3452" t="inlineStr">
        <is>
          <t>120108</t>
        </is>
      </c>
      <c r="C87" s="3452" t="inlineStr">
        <is>
          <t>000224000</t>
        </is>
      </c>
      <c r="D87" s="3452" t="inlineStr">
        <is>
          <t>202006</t>
        </is>
      </c>
      <c r="E87" s="3452" t="inlineStr">
        <is>
          <t>0,000000000000</t>
        </is>
      </c>
    </row>
    <row outlineLevel="0" r="88">
      <c r="A88" s="3452" t="inlineStr">
        <is>
          <t>000224000202006120116</t>
        </is>
      </c>
      <c r="B88" s="3452" t="inlineStr">
        <is>
          <t>120116</t>
        </is>
      </c>
      <c r="C88" s="3452" t="inlineStr">
        <is>
          <t>000224000</t>
        </is>
      </c>
      <c r="D88" s="3452" t="inlineStr">
        <is>
          <t>202006</t>
        </is>
      </c>
      <c r="E88" s="3452" t="inlineStr">
        <is>
          <t>0,000000000000</t>
        </is>
      </c>
    </row>
    <row outlineLevel="0" r="89">
      <c r="A89" s="3452" t="inlineStr">
        <is>
          <t>000224000202006120120</t>
        </is>
      </c>
      <c r="B89" s="3452" t="inlineStr">
        <is>
          <t>120120</t>
        </is>
      </c>
      <c r="C89" s="3452" t="inlineStr">
        <is>
          <t>000224000</t>
        </is>
      </c>
      <c r="D89" s="3452" t="inlineStr">
        <is>
          <t>202006</t>
        </is>
      </c>
      <c r="E89" s="3452" t="inlineStr">
        <is>
          <t>0,000000000000</t>
        </is>
      </c>
    </row>
    <row outlineLevel="0" r="90">
      <c r="A90" s="3452" t="inlineStr">
        <is>
          <t>000224000202006120124</t>
        </is>
      </c>
      <c r="B90" s="3452" t="inlineStr">
        <is>
          <t>120124</t>
        </is>
      </c>
      <c r="C90" s="3452" t="inlineStr">
        <is>
          <t>000224000</t>
        </is>
      </c>
      <c r="D90" s="3452" t="inlineStr">
        <is>
          <t>202006</t>
        </is>
      </c>
      <c r="E90" s="3452" t="inlineStr">
        <is>
          <t>320000,000000000000</t>
        </is>
      </c>
    </row>
    <row outlineLevel="0" r="91">
      <c r="A91" s="3452" t="inlineStr">
        <is>
          <t>000224000202006120128</t>
        </is>
      </c>
      <c r="B91" s="3452" t="inlineStr">
        <is>
          <t>120128</t>
        </is>
      </c>
      <c r="C91" s="3452" t="inlineStr">
        <is>
          <t>000224000</t>
        </is>
      </c>
      <c r="D91" s="3452" t="inlineStr">
        <is>
          <t>202006</t>
        </is>
      </c>
      <c r="E91" s="3452" t="inlineStr">
        <is>
          <t>0,000000000000</t>
        </is>
      </c>
    </row>
    <row outlineLevel="0" r="92">
      <c r="A92" s="3452" t="inlineStr">
        <is>
          <t>000224000202006120140</t>
        </is>
      </c>
      <c r="B92" s="3452" t="inlineStr">
        <is>
          <t>120140</t>
        </is>
      </c>
      <c r="C92" s="3452" t="inlineStr">
        <is>
          <t>000224000</t>
        </is>
      </c>
      <c r="D92" s="3452" t="inlineStr">
        <is>
          <t>202006</t>
        </is>
      </c>
      <c r="E92" s="3452" t="inlineStr">
        <is>
          <t>0,000000000000</t>
        </is>
      </c>
    </row>
    <row outlineLevel="0" r="93">
      <c r="A93" s="3452" t="inlineStr">
        <is>
          <t>000224000202006120145</t>
        </is>
      </c>
      <c r="B93" s="3452" t="inlineStr">
        <is>
          <t>120145</t>
        </is>
      </c>
      <c r="C93" s="3452" t="inlineStr">
        <is>
          <t>000224000</t>
        </is>
      </c>
      <c r="D93" s="3452" t="inlineStr">
        <is>
          <t>202006</t>
        </is>
      </c>
      <c r="E93" s="3452" t="inlineStr">
        <is>
          <t>0,000000000000</t>
        </is>
      </c>
    </row>
    <row outlineLevel="0" r="94">
      <c r="A94" s="3452" t="inlineStr">
        <is>
          <t>000224000202006120195</t>
        </is>
      </c>
      <c r="B94" s="3452" t="inlineStr">
        <is>
          <t>120195</t>
        </is>
      </c>
      <c r="C94" s="3452" t="inlineStr">
        <is>
          <t>000224000</t>
        </is>
      </c>
      <c r="D94" s="3452" t="inlineStr">
        <is>
          <t>202006</t>
        </is>
      </c>
      <c r="E94" s="3452" t="inlineStr">
        <is>
          <t>0,000000000000</t>
        </is>
      </c>
    </row>
    <row outlineLevel="0" r="95">
      <c r="A95" s="3452" t="inlineStr">
        <is>
          <t>000224000202006120501</t>
        </is>
      </c>
      <c r="B95" s="3452" t="inlineStr">
        <is>
          <t>120501</t>
        </is>
      </c>
      <c r="C95" s="3452" t="inlineStr">
        <is>
          <t>000224000</t>
        </is>
      </c>
      <c r="D95" s="3452" t="inlineStr">
        <is>
          <t>202006</t>
        </is>
      </c>
      <c r="E95" s="3452" t="inlineStr">
        <is>
          <t>0,000000000000</t>
        </is>
      </c>
    </row>
    <row outlineLevel="0" r="96">
      <c r="A96" s="3452" t="inlineStr">
        <is>
          <t>000224000202006120610</t>
        </is>
      </c>
      <c r="B96" s="3452" t="inlineStr">
        <is>
          <t>120610</t>
        </is>
      </c>
      <c r="C96" s="3452" t="inlineStr">
        <is>
          <t>000224000</t>
        </is>
      </c>
      <c r="D96" s="3452" t="inlineStr">
        <is>
          <t>202006</t>
        </is>
      </c>
      <c r="E96" s="3452" t="inlineStr">
        <is>
          <t>0,000000000000</t>
        </is>
      </c>
    </row>
    <row outlineLevel="0" r="97">
      <c r="A97" s="3452" t="inlineStr">
        <is>
          <t>000224000202006120615</t>
        </is>
      </c>
      <c r="B97" s="3452" t="inlineStr">
        <is>
          <t>120615</t>
        </is>
      </c>
      <c r="C97" s="3452" t="inlineStr">
        <is>
          <t>000224000</t>
        </is>
      </c>
      <c r="D97" s="3452" t="inlineStr">
        <is>
          <t>202006</t>
        </is>
      </c>
      <c r="E97" s="3452" t="inlineStr">
        <is>
          <t>0,000000000000</t>
        </is>
      </c>
    </row>
    <row outlineLevel="0" r="98">
      <c r="A98" s="3452" t="inlineStr">
        <is>
          <t>000224000202006120620</t>
        </is>
      </c>
      <c r="B98" s="3452" t="inlineStr">
        <is>
          <t>120620</t>
        </is>
      </c>
      <c r="C98" s="3452" t="inlineStr">
        <is>
          <t>000224000</t>
        </is>
      </c>
      <c r="D98" s="3452" t="inlineStr">
        <is>
          <t>202006</t>
        </is>
      </c>
      <c r="E98" s="3452" t="inlineStr">
        <is>
          <t>0,000000000000</t>
        </is>
      </c>
    </row>
    <row outlineLevel="0" r="99">
      <c r="A99" s="3452" t="inlineStr">
        <is>
          <t>000224000202006121001</t>
        </is>
      </c>
      <c r="B99" s="3452" t="inlineStr">
        <is>
          <t>121001</t>
        </is>
      </c>
      <c r="C99" s="3452" t="inlineStr">
        <is>
          <t>000224000</t>
        </is>
      </c>
      <c r="D99" s="3452" t="inlineStr">
        <is>
          <t>202006</t>
        </is>
      </c>
      <c r="E99" s="3452" t="inlineStr">
        <is>
          <t>0,000000000000</t>
        </is>
      </c>
    </row>
    <row outlineLevel="0" r="100">
      <c r="A100" s="3452" t="inlineStr">
        <is>
          <t>000224000202006121501</t>
        </is>
      </c>
      <c r="B100" s="3452" t="inlineStr">
        <is>
          <t>121501</t>
        </is>
      </c>
      <c r="C100" s="3452" t="inlineStr">
        <is>
          <t>000224000</t>
        </is>
      </c>
      <c r="D100" s="3452" t="inlineStr">
        <is>
          <t>202006</t>
        </is>
      </c>
      <c r="E100" s="3452" t="inlineStr">
        <is>
          <t>0,000000000000</t>
        </is>
      </c>
    </row>
    <row outlineLevel="0" r="101">
      <c r="A101" s="3452" t="inlineStr">
        <is>
          <t>000224000202006123501</t>
        </is>
      </c>
      <c r="B101" s="3452" t="inlineStr">
        <is>
          <t>123501</t>
        </is>
      </c>
      <c r="C101" s="3452" t="inlineStr">
        <is>
          <t>000224000</t>
        </is>
      </c>
      <c r="D101" s="3452" t="inlineStr">
        <is>
          <t>202006</t>
        </is>
      </c>
      <c r="E101" s="3452" t="inlineStr">
        <is>
          <t>0,000000000000</t>
        </is>
      </c>
    </row>
    <row outlineLevel="0" r="102">
      <c r="A102" s="3452" t="inlineStr">
        <is>
          <t>000224000202006125501</t>
        </is>
      </c>
      <c r="B102" s="3452" t="inlineStr">
        <is>
          <t>125501</t>
        </is>
      </c>
      <c r="C102" s="3452" t="inlineStr">
        <is>
          <t>000224000</t>
        </is>
      </c>
      <c r="D102" s="3452" t="inlineStr">
        <is>
          <t>202006</t>
        </is>
      </c>
      <c r="E102" s="3452" t="inlineStr">
        <is>
          <t>0,000000000000</t>
        </is>
      </c>
    </row>
    <row outlineLevel="0" r="103">
      <c r="A103" s="3452" t="inlineStr">
        <is>
          <t>000224000202006126001</t>
        </is>
      </c>
      <c r="B103" s="3452" t="inlineStr">
        <is>
          <t>126001</t>
        </is>
      </c>
      <c r="C103" s="3452" t="inlineStr">
        <is>
          <t>000224000</t>
        </is>
      </c>
      <c r="D103" s="3452" t="inlineStr">
        <is>
          <t>202006</t>
        </is>
      </c>
      <c r="E103" s="3452" t="inlineStr">
        <is>
          <t>0,000000000000</t>
        </is>
      </c>
    </row>
    <row outlineLevel="0" r="104">
      <c r="A104" s="3452" t="inlineStr">
        <is>
          <t>000224000202006129501</t>
        </is>
      </c>
      <c r="B104" s="3452" t="inlineStr">
        <is>
          <t>129501</t>
        </is>
      </c>
      <c r="C104" s="3452" t="inlineStr">
        <is>
          <t>000224000</t>
        </is>
      </c>
      <c r="D104" s="3452" t="inlineStr">
        <is>
          <t>202006</t>
        </is>
      </c>
      <c r="E104" s="3452" t="inlineStr">
        <is>
          <t>0,000000000000</t>
        </is>
      </c>
    </row>
    <row outlineLevel="0" r="105">
      <c r="A105" s="3452" t="inlineStr">
        <is>
          <t>000224000202006129700</t>
        </is>
      </c>
      <c r="B105" s="3452" t="inlineStr">
        <is>
          <t>129700</t>
        </is>
      </c>
      <c r="C105" s="3452" t="inlineStr">
        <is>
          <t>000224000</t>
        </is>
      </c>
      <c r="D105" s="3452" t="inlineStr">
        <is>
          <t>202006</t>
        </is>
      </c>
      <c r="E105" s="3452" t="inlineStr">
        <is>
          <t>0,000000000000</t>
        </is>
      </c>
    </row>
    <row outlineLevel="0" r="106">
      <c r="A106" s="3452" t="inlineStr">
        <is>
          <t>000224000202006129701</t>
        </is>
      </c>
      <c r="B106" s="3452" t="inlineStr">
        <is>
          <t>129701</t>
        </is>
      </c>
      <c r="C106" s="3452" t="inlineStr">
        <is>
          <t>000224000</t>
        </is>
      </c>
      <c r="D106" s="3452" t="inlineStr">
        <is>
          <t>202006</t>
        </is>
      </c>
      <c r="E106" s="3452" t="inlineStr">
        <is>
          <t>0,000000000000</t>
        </is>
      </c>
    </row>
    <row outlineLevel="0" r="107">
      <c r="A107" s="3452" t="inlineStr">
        <is>
          <t>000224000202006129901</t>
        </is>
      </c>
      <c r="B107" s="3452" t="inlineStr">
        <is>
          <t>129901</t>
        </is>
      </c>
      <c r="C107" s="3452" t="inlineStr">
        <is>
          <t>000224000</t>
        </is>
      </c>
      <c r="D107" s="3452" t="inlineStr">
        <is>
          <t>202006</t>
        </is>
      </c>
      <c r="E107" s="3452" t="inlineStr">
        <is>
          <t>0,000000000000</t>
        </is>
      </c>
    </row>
    <row outlineLevel="0" r="108">
      <c r="A108" s="3452" t="inlineStr">
        <is>
          <t>000224000202006130506</t>
        </is>
      </c>
      <c r="B108" s="3452" t="inlineStr">
        <is>
          <t>130506</t>
        </is>
      </c>
      <c r="C108" s="3452" t="inlineStr">
        <is>
          <t>000224000</t>
        </is>
      </c>
      <c r="D108" s="3452" t="inlineStr">
        <is>
          <t>202006</t>
        </is>
      </c>
      <c r="E108" s="3452" t="inlineStr">
        <is>
          <t>0,000000000000</t>
        </is>
      </c>
    </row>
    <row outlineLevel="0" r="109">
      <c r="A109" s="3452" t="inlineStr">
        <is>
          <t>000224000202006130510</t>
        </is>
      </c>
      <c r="B109" s="3452" t="inlineStr">
        <is>
          <t>130510</t>
        </is>
      </c>
      <c r="C109" s="3452" t="inlineStr">
        <is>
          <t>000224000</t>
        </is>
      </c>
      <c r="D109" s="3452" t="inlineStr">
        <is>
          <t>202006</t>
        </is>
      </c>
      <c r="E109" s="3452" t="inlineStr">
        <is>
          <t>0,000000000000</t>
        </is>
      </c>
    </row>
    <row outlineLevel="0" r="110">
      <c r="A110" s="3452" t="inlineStr">
        <is>
          <t>000224000202006130511</t>
        </is>
      </c>
      <c r="B110" s="3452" t="inlineStr">
        <is>
          <t>130511</t>
        </is>
      </c>
      <c r="C110" s="3452" t="inlineStr">
        <is>
          <t>000224000</t>
        </is>
      </c>
      <c r="D110" s="3452" t="inlineStr">
        <is>
          <t>202006</t>
        </is>
      </c>
      <c r="E110" s="3452" t="inlineStr">
        <is>
          <t>0,000000000000</t>
        </is>
      </c>
    </row>
    <row outlineLevel="0" r="111">
      <c r="A111" s="3452" t="inlineStr">
        <is>
          <t>000224000202006131000</t>
        </is>
      </c>
      <c r="B111" s="3452" t="inlineStr">
        <is>
          <t>131000</t>
        </is>
      </c>
      <c r="C111" s="3452" t="inlineStr">
        <is>
          <t>000224000</t>
        </is>
      </c>
      <c r="D111" s="3452" t="inlineStr">
        <is>
          <t>202006</t>
        </is>
      </c>
      <c r="E111" s="3452" t="inlineStr">
        <is>
          <t>0,000000000000</t>
        </is>
      </c>
    </row>
    <row outlineLevel="0" r="112">
      <c r="A112" s="3452" t="inlineStr">
        <is>
          <t>000224000202006131001</t>
        </is>
      </c>
      <c r="B112" s="3452" t="inlineStr">
        <is>
          <t>131001</t>
        </is>
      </c>
      <c r="C112" s="3452" t="inlineStr">
        <is>
          <t>000224000</t>
        </is>
      </c>
      <c r="D112" s="3452" t="inlineStr">
        <is>
          <t>202006</t>
        </is>
      </c>
      <c r="E112" s="3452" t="inlineStr">
        <is>
          <t>0,000000000000</t>
        </is>
      </c>
    </row>
    <row outlineLevel="0" r="113">
      <c r="A113" s="3452" t="inlineStr">
        <is>
          <t>000224000202006131501</t>
        </is>
      </c>
      <c r="B113" s="3452" t="inlineStr">
        <is>
          <t>131501</t>
        </is>
      </c>
      <c r="C113" s="3452" t="inlineStr">
        <is>
          <t>000224000</t>
        </is>
      </c>
      <c r="D113" s="3452" t="inlineStr">
        <is>
          <t>202006</t>
        </is>
      </c>
      <c r="E113" s="3452" t="inlineStr">
        <is>
          <t>0,000000000000</t>
        </is>
      </c>
    </row>
    <row outlineLevel="0" r="114">
      <c r="A114" s="3452" t="inlineStr">
        <is>
          <t>000224000202006132000</t>
        </is>
      </c>
      <c r="B114" s="3452" t="inlineStr">
        <is>
          <t>132000</t>
        </is>
      </c>
      <c r="C114" s="3452" t="inlineStr">
        <is>
          <t>000224000</t>
        </is>
      </c>
      <c r="D114" s="3452" t="inlineStr">
        <is>
          <t>202006</t>
        </is>
      </c>
      <c r="E114" s="3452" t="inlineStr">
        <is>
          <t>0,000000000000</t>
        </is>
      </c>
    </row>
    <row outlineLevel="0" r="115">
      <c r="A115" s="3452" t="inlineStr">
        <is>
          <t>000224000202006132001</t>
        </is>
      </c>
      <c r="B115" s="3452" t="inlineStr">
        <is>
          <t>132001</t>
        </is>
      </c>
      <c r="C115" s="3452" t="inlineStr">
        <is>
          <t>000224000</t>
        </is>
      </c>
      <c r="D115" s="3452" t="inlineStr">
        <is>
          <t>202006</t>
        </is>
      </c>
      <c r="E115" s="3452" t="inlineStr">
        <is>
          <t>0,000000000000</t>
        </is>
      </c>
    </row>
    <row outlineLevel="0" r="116">
      <c r="A116" s="3452" t="inlineStr">
        <is>
          <t>000224000202006132500</t>
        </is>
      </c>
      <c r="B116" s="3452" t="inlineStr">
        <is>
          <t>132500</t>
        </is>
      </c>
      <c r="C116" s="3452" t="inlineStr">
        <is>
          <t>000224000</t>
        </is>
      </c>
      <c r="D116" s="3452" t="inlineStr">
        <is>
          <t>202006</t>
        </is>
      </c>
      <c r="E116" s="3452" t="inlineStr">
        <is>
          <t>0,000000000000</t>
        </is>
      </c>
    </row>
    <row outlineLevel="0" r="117">
      <c r="A117" s="3452" t="inlineStr">
        <is>
          <t>000224000202006132501</t>
        </is>
      </c>
      <c r="B117" s="3452" t="inlineStr">
        <is>
          <t>132501</t>
        </is>
      </c>
      <c r="C117" s="3452" t="inlineStr">
        <is>
          <t>000224000</t>
        </is>
      </c>
      <c r="D117" s="3452" t="inlineStr">
        <is>
          <t>202006</t>
        </is>
      </c>
      <c r="E117" s="3452" t="inlineStr">
        <is>
          <t>0,000000000000</t>
        </is>
      </c>
    </row>
    <row outlineLevel="0" r="118">
      <c r="A118" s="3452" t="inlineStr">
        <is>
          <t>000224000202006133000</t>
        </is>
      </c>
      <c r="B118" s="3452" t="inlineStr">
        <is>
          <t>133000</t>
        </is>
      </c>
      <c r="C118" s="3452" t="inlineStr">
        <is>
          <t>000224000</t>
        </is>
      </c>
      <c r="D118" s="3452" t="inlineStr">
        <is>
          <t>202006</t>
        </is>
      </c>
      <c r="E118" s="3452" t="inlineStr">
        <is>
          <t>0,000000000000</t>
        </is>
      </c>
    </row>
    <row outlineLevel="0" r="119">
      <c r="A119" s="3452" t="inlineStr">
        <is>
          <t>000224000202006133001</t>
        </is>
      </c>
      <c r="B119" s="3452" t="inlineStr">
        <is>
          <t>133001</t>
        </is>
      </c>
      <c r="C119" s="3452" t="inlineStr">
        <is>
          <t>000224000</t>
        </is>
      </c>
      <c r="D119" s="3452" t="inlineStr">
        <is>
          <t>202006</t>
        </is>
      </c>
      <c r="E119" s="3452" t="inlineStr">
        <is>
          <t>0,000000000000</t>
        </is>
      </c>
    </row>
    <row outlineLevel="0" r="120">
      <c r="A120" s="3452" t="inlineStr">
        <is>
          <t>000224000202006133500</t>
        </is>
      </c>
      <c r="B120" s="3452" t="inlineStr">
        <is>
          <t>133500</t>
        </is>
      </c>
      <c r="C120" s="3452" t="inlineStr">
        <is>
          <t>000224000</t>
        </is>
      </c>
      <c r="D120" s="3452" t="inlineStr">
        <is>
          <t>202006</t>
        </is>
      </c>
      <c r="E120" s="3452" t="inlineStr">
        <is>
          <t>0,000000000000</t>
        </is>
      </c>
    </row>
    <row outlineLevel="0" r="121">
      <c r="A121" s="3452" t="inlineStr">
        <is>
          <t>000224000202006133501</t>
        </is>
      </c>
      <c r="B121" s="3452" t="inlineStr">
        <is>
          <t>133501</t>
        </is>
      </c>
      <c r="C121" s="3452" t="inlineStr">
        <is>
          <t>000224000</t>
        </is>
      </c>
      <c r="D121" s="3452" t="inlineStr">
        <is>
          <t>202006</t>
        </is>
      </c>
      <c r="E121" s="3452" t="inlineStr">
        <is>
          <t>0,000000000000</t>
        </is>
      </c>
    </row>
    <row outlineLevel="0" r="122">
      <c r="A122" s="3452" t="inlineStr">
        <is>
          <t>000224000202006134000</t>
        </is>
      </c>
      <c r="B122" s="3452" t="inlineStr">
        <is>
          <t>134000</t>
        </is>
      </c>
      <c r="C122" s="3452" t="inlineStr">
        <is>
          <t>000224000</t>
        </is>
      </c>
      <c r="D122" s="3452" t="inlineStr">
        <is>
          <t>202006</t>
        </is>
      </c>
      <c r="E122" s="3452" t="inlineStr">
        <is>
          <t>0,000000000000</t>
        </is>
      </c>
    </row>
    <row outlineLevel="0" r="123">
      <c r="A123" s="3452" t="inlineStr">
        <is>
          <t>000224000202006134001</t>
        </is>
      </c>
      <c r="B123" s="3452" t="inlineStr">
        <is>
          <t>134001</t>
        </is>
      </c>
      <c r="C123" s="3452" t="inlineStr">
        <is>
          <t>000224000</t>
        </is>
      </c>
      <c r="D123" s="3452" t="inlineStr">
        <is>
          <t>202006</t>
        </is>
      </c>
      <c r="E123" s="3452" t="inlineStr">
        <is>
          <t>0,000000000000</t>
        </is>
      </c>
    </row>
    <row outlineLevel="0" r="124">
      <c r="A124" s="3452" t="inlineStr">
        <is>
          <t>000224000202006134500</t>
        </is>
      </c>
      <c r="B124" s="3452" t="inlineStr">
        <is>
          <t>134500</t>
        </is>
      </c>
      <c r="C124" s="3452" t="inlineStr">
        <is>
          <t>000224000</t>
        </is>
      </c>
      <c r="D124" s="3452" t="inlineStr">
        <is>
          <t>202006</t>
        </is>
      </c>
      <c r="E124" s="3452" t="inlineStr">
        <is>
          <t>0,000000000000</t>
        </is>
      </c>
    </row>
    <row outlineLevel="0" r="125">
      <c r="A125" s="3452" t="inlineStr">
        <is>
          <t>000224000202006134501</t>
        </is>
      </c>
      <c r="B125" s="3452" t="inlineStr">
        <is>
          <t>134501</t>
        </is>
      </c>
      <c r="C125" s="3452" t="inlineStr">
        <is>
          <t>000224000</t>
        </is>
      </c>
      <c r="D125" s="3452" t="inlineStr">
        <is>
          <t>202006</t>
        </is>
      </c>
      <c r="E125" s="3452" t="inlineStr">
        <is>
          <t>0,000000000000</t>
        </is>
      </c>
    </row>
    <row outlineLevel="0" r="126">
      <c r="A126" s="3452" t="inlineStr">
        <is>
          <t>000224000202006135000</t>
        </is>
      </c>
      <c r="B126" s="3452" t="inlineStr">
        <is>
          <t>135000</t>
        </is>
      </c>
      <c r="C126" s="3452" t="inlineStr">
        <is>
          <t>000224000</t>
        </is>
      </c>
      <c r="D126" s="3452" t="inlineStr">
        <is>
          <t>202006</t>
        </is>
      </c>
      <c r="E126" s="3452" t="inlineStr">
        <is>
          <t>0,000000000000</t>
        </is>
      </c>
    </row>
    <row outlineLevel="0" r="127">
      <c r="A127" s="3452" t="inlineStr">
        <is>
          <t>000224000202006135001</t>
        </is>
      </c>
      <c r="B127" s="3452" t="inlineStr">
        <is>
          <t>135001</t>
        </is>
      </c>
      <c r="C127" s="3452" t="inlineStr">
        <is>
          <t>000224000</t>
        </is>
      </c>
      <c r="D127" s="3452" t="inlineStr">
        <is>
          <t>202006</t>
        </is>
      </c>
      <c r="E127" s="3452" t="inlineStr">
        <is>
          <t>0,000000000000</t>
        </is>
      </c>
    </row>
    <row outlineLevel="0" r="128">
      <c r="A128" s="3452" t="inlineStr">
        <is>
          <t>000224000202006135500</t>
        </is>
      </c>
      <c r="B128" s="3452" t="inlineStr">
        <is>
          <t>135500</t>
        </is>
      </c>
      <c r="C128" s="3452" t="inlineStr">
        <is>
          <t>000224000</t>
        </is>
      </c>
      <c r="D128" s="3452" t="inlineStr">
        <is>
          <t>202006</t>
        </is>
      </c>
      <c r="E128" s="3452" t="inlineStr">
        <is>
          <t>0,000000000000</t>
        </is>
      </c>
    </row>
    <row outlineLevel="0" r="129">
      <c r="A129" s="3452" t="inlineStr">
        <is>
          <t>000224000202006135501</t>
        </is>
      </c>
      <c r="B129" s="3452" t="inlineStr">
        <is>
          <t>135501</t>
        </is>
      </c>
      <c r="C129" s="3452" t="inlineStr">
        <is>
          <t>000224000</t>
        </is>
      </c>
      <c r="D129" s="3452" t="inlineStr">
        <is>
          <t>202006</t>
        </is>
      </c>
      <c r="E129" s="3452" t="inlineStr">
        <is>
          <t>0,000000000000</t>
        </is>
      </c>
    </row>
    <row outlineLevel="0" r="130">
      <c r="A130" s="3452" t="inlineStr">
        <is>
          <t>000224000202006136000</t>
        </is>
      </c>
      <c r="B130" s="3452" t="inlineStr">
        <is>
          <t>136000</t>
        </is>
      </c>
      <c r="C130" s="3452" t="inlineStr">
        <is>
          <t>000224000</t>
        </is>
      </c>
      <c r="D130" s="3452" t="inlineStr">
        <is>
          <t>202006</t>
        </is>
      </c>
      <c r="E130" s="3452" t="inlineStr">
        <is>
          <t>0,000000000000</t>
        </is>
      </c>
    </row>
    <row outlineLevel="0" r="131">
      <c r="A131" s="3452" t="inlineStr">
        <is>
          <t>000224000202006136001</t>
        </is>
      </c>
      <c r="B131" s="3452" t="inlineStr">
        <is>
          <t>136001</t>
        </is>
      </c>
      <c r="C131" s="3452" t="inlineStr">
        <is>
          <t>000224000</t>
        </is>
      </c>
      <c r="D131" s="3452" t="inlineStr">
        <is>
          <t>202006</t>
        </is>
      </c>
      <c r="E131" s="3452" t="inlineStr">
        <is>
          <t>0,000000000000</t>
        </is>
      </c>
    </row>
    <row outlineLevel="0" r="132">
      <c r="A132" s="3452" t="inlineStr">
        <is>
          <t>000224000202006136500</t>
        </is>
      </c>
      <c r="B132" s="3452" t="inlineStr">
        <is>
          <t>136500</t>
        </is>
      </c>
      <c r="C132" s="3452" t="inlineStr">
        <is>
          <t>000224000</t>
        </is>
      </c>
      <c r="D132" s="3452" t="inlineStr">
        <is>
          <t>202006</t>
        </is>
      </c>
      <c r="E132" s="3452" t="inlineStr">
        <is>
          <t>0,000000000000</t>
        </is>
      </c>
    </row>
    <row outlineLevel="0" r="133">
      <c r="A133" s="3452" t="inlineStr">
        <is>
          <t>000224000202006136501</t>
        </is>
      </c>
      <c r="B133" s="3452" t="inlineStr">
        <is>
          <t>136501</t>
        </is>
      </c>
      <c r="C133" s="3452" t="inlineStr">
        <is>
          <t>000224000</t>
        </is>
      </c>
      <c r="D133" s="3452" t="inlineStr">
        <is>
          <t>202006</t>
        </is>
      </c>
      <c r="E133" s="3452" t="inlineStr">
        <is>
          <t>0,000000000000</t>
        </is>
      </c>
    </row>
    <row outlineLevel="0" r="134">
      <c r="A134" s="3452" t="inlineStr">
        <is>
          <t>000224000202006137000</t>
        </is>
      </c>
      <c r="B134" s="3452" t="inlineStr">
        <is>
          <t>137000</t>
        </is>
      </c>
      <c r="C134" s="3452" t="inlineStr">
        <is>
          <t>000224000</t>
        </is>
      </c>
      <c r="D134" s="3452" t="inlineStr">
        <is>
          <t>202006</t>
        </is>
      </c>
      <c r="E134" s="3452" t="inlineStr">
        <is>
          <t>0,000000000000</t>
        </is>
      </c>
    </row>
    <row outlineLevel="0" r="135">
      <c r="A135" s="3452" t="inlineStr">
        <is>
          <t>000224000202006137001</t>
        </is>
      </c>
      <c r="B135" s="3452" t="inlineStr">
        <is>
          <t>137001</t>
        </is>
      </c>
      <c r="C135" s="3452" t="inlineStr">
        <is>
          <t>000224000</t>
        </is>
      </c>
      <c r="D135" s="3452" t="inlineStr">
        <is>
          <t>202006</t>
        </is>
      </c>
      <c r="E135" s="3452" t="inlineStr">
        <is>
          <t>0,000000000000</t>
        </is>
      </c>
    </row>
    <row outlineLevel="0" r="136">
      <c r="A136" s="3452" t="inlineStr">
        <is>
          <t>000224000202006138001</t>
        </is>
      </c>
      <c r="B136" s="3452" t="inlineStr">
        <is>
          <t>138001</t>
        </is>
      </c>
      <c r="C136" s="3452" t="inlineStr">
        <is>
          <t>000224000</t>
        </is>
      </c>
      <c r="D136" s="3452" t="inlineStr">
        <is>
          <t>202006</t>
        </is>
      </c>
      <c r="E136" s="3452" t="inlineStr">
        <is>
          <t>0,000000000000</t>
        </is>
      </c>
    </row>
    <row outlineLevel="0" r="137">
      <c r="A137" s="3452" t="inlineStr">
        <is>
          <t>000224000202006138501</t>
        </is>
      </c>
      <c r="B137" s="3452" t="inlineStr">
        <is>
          <t>138501</t>
        </is>
      </c>
      <c r="C137" s="3452" t="inlineStr">
        <is>
          <t>000224000</t>
        </is>
      </c>
      <c r="D137" s="3452" t="inlineStr">
        <is>
          <t>202006</t>
        </is>
      </c>
      <c r="E137" s="3452" t="inlineStr">
        <is>
          <t>0,000000000000</t>
        </is>
      </c>
    </row>
    <row outlineLevel="0" r="138">
      <c r="A138" s="3452" t="inlineStr">
        <is>
          <t>000224000202006139000</t>
        </is>
      </c>
      <c r="B138" s="3452" t="inlineStr">
        <is>
          <t>139000</t>
        </is>
      </c>
      <c r="C138" s="3452" t="inlineStr">
        <is>
          <t>000224000</t>
        </is>
      </c>
      <c r="D138" s="3452" t="inlineStr">
        <is>
          <t>202006</t>
        </is>
      </c>
      <c r="E138" s="3452" t="inlineStr">
        <is>
          <t>0,000000000000</t>
        </is>
      </c>
    </row>
    <row outlineLevel="0" r="139">
      <c r="A139" s="3452" t="inlineStr">
        <is>
          <t>000224000202006139001</t>
        </is>
      </c>
      <c r="B139" s="3452" t="inlineStr">
        <is>
          <t>139001</t>
        </is>
      </c>
      <c r="C139" s="3452" t="inlineStr">
        <is>
          <t>000224000</t>
        </is>
      </c>
      <c r="D139" s="3452" t="inlineStr">
        <is>
          <t>202006</t>
        </is>
      </c>
      <c r="E139" s="3452" t="inlineStr">
        <is>
          <t>0,000000000000</t>
        </is>
      </c>
    </row>
    <row outlineLevel="0" r="140">
      <c r="A140" s="3452" t="inlineStr">
        <is>
          <t>000224000202006139500</t>
        </is>
      </c>
      <c r="B140" s="3452" t="inlineStr">
        <is>
          <t>139500</t>
        </is>
      </c>
      <c r="C140" s="3452" t="inlineStr">
        <is>
          <t>000224000</t>
        </is>
      </c>
      <c r="D140" s="3452" t="inlineStr">
        <is>
          <t>202006</t>
        </is>
      </c>
      <c r="E140" s="3452" t="inlineStr">
        <is>
          <t>0,000000000000</t>
        </is>
      </c>
    </row>
    <row outlineLevel="0" r="141">
      <c r="A141" s="3452" t="inlineStr">
        <is>
          <t>000224000202006139901</t>
        </is>
      </c>
      <c r="B141" s="3452" t="inlineStr">
        <is>
          <t>139901</t>
        </is>
      </c>
      <c r="C141" s="3452" t="inlineStr">
        <is>
          <t>000224000</t>
        </is>
      </c>
      <c r="D141" s="3452" t="inlineStr">
        <is>
          <t>202006</t>
        </is>
      </c>
      <c r="E141" s="3452" t="inlineStr">
        <is>
          <t>0,000000000000</t>
        </is>
      </c>
    </row>
    <row outlineLevel="0" r="142">
      <c r="A142" s="3452" t="inlineStr">
        <is>
          <t>000224000202006139905</t>
        </is>
      </c>
      <c r="B142" s="3452" t="inlineStr">
        <is>
          <t>139905</t>
        </is>
      </c>
      <c r="C142" s="3452" t="inlineStr">
        <is>
          <t>000224000</t>
        </is>
      </c>
      <c r="D142" s="3452" t="inlineStr">
        <is>
          <t>202006</t>
        </is>
      </c>
      <c r="E142" s="3452" t="inlineStr">
        <is>
          <t>0,000000000000</t>
        </is>
      </c>
    </row>
    <row outlineLevel="0" r="143">
      <c r="A143" s="3452" t="inlineStr">
        <is>
          <t>000224000202006140005</t>
        </is>
      </c>
      <c r="B143" s="3452" t="inlineStr">
        <is>
          <t>140005</t>
        </is>
      </c>
      <c r="C143" s="3452" t="inlineStr">
        <is>
          <t>000224000</t>
        </is>
      </c>
      <c r="D143" s="3452" t="inlineStr">
        <is>
          <t>202006</t>
        </is>
      </c>
      <c r="E143" s="3452" t="inlineStr">
        <is>
          <t>0,000000000000</t>
        </is>
      </c>
    </row>
    <row outlineLevel="0" r="144">
      <c r="A144" s="3452" t="inlineStr">
        <is>
          <t>000224000202006140010</t>
        </is>
      </c>
      <c r="B144" s="3452" t="inlineStr">
        <is>
          <t>140010</t>
        </is>
      </c>
      <c r="C144" s="3452" t="inlineStr">
        <is>
          <t>000224000</t>
        </is>
      </c>
      <c r="D144" s="3452" t="inlineStr">
        <is>
          <t>202006</t>
        </is>
      </c>
      <c r="E144" s="3452" t="inlineStr">
        <is>
          <t>0,000000000000</t>
        </is>
      </c>
    </row>
    <row outlineLevel="0" r="145">
      <c r="A145" s="3452" t="inlineStr">
        <is>
          <t>000224000202006142500</t>
        </is>
      </c>
      <c r="B145" s="3452" t="inlineStr">
        <is>
          <t>142500</t>
        </is>
      </c>
      <c r="C145" s="3452" t="inlineStr">
        <is>
          <t>000224000</t>
        </is>
      </c>
      <c r="D145" s="3452" t="inlineStr">
        <is>
          <t>202006</t>
        </is>
      </c>
      <c r="E145" s="3452" t="inlineStr">
        <is>
          <t>0,000000000000</t>
        </is>
      </c>
    </row>
    <row outlineLevel="0" r="146">
      <c r="A146" s="3452" t="inlineStr">
        <is>
          <t>000224000202006143500</t>
        </is>
      </c>
      <c r="B146" s="3452" t="inlineStr">
        <is>
          <t>143500</t>
        </is>
      </c>
      <c r="C146" s="3452" t="inlineStr">
        <is>
          <t>000224000</t>
        </is>
      </c>
      <c r="D146" s="3452" t="inlineStr">
        <is>
          <t>202006</t>
        </is>
      </c>
      <c r="E146" s="3452" t="inlineStr">
        <is>
          <t>0,000000000000</t>
        </is>
      </c>
    </row>
    <row outlineLevel="0" r="147">
      <c r="A147" s="3452" t="inlineStr">
        <is>
          <t>000224000202006145500</t>
        </is>
      </c>
      <c r="B147" s="3452" t="inlineStr">
        <is>
          <t>145500</t>
        </is>
      </c>
      <c r="C147" s="3452" t="inlineStr">
        <is>
          <t>000224000</t>
        </is>
      </c>
      <c r="D147" s="3452" t="inlineStr">
        <is>
          <t>202006</t>
        </is>
      </c>
      <c r="E147" s="3452" t="inlineStr">
        <is>
          <t>0,000000000000</t>
        </is>
      </c>
    </row>
    <row outlineLevel="0" r="148">
      <c r="A148" s="3452" t="inlineStr">
        <is>
          <t>000224000202006146000</t>
        </is>
      </c>
      <c r="B148" s="3452" t="inlineStr">
        <is>
          <t>146000</t>
        </is>
      </c>
      <c r="C148" s="3452" t="inlineStr">
        <is>
          <t>000224000</t>
        </is>
      </c>
      <c r="D148" s="3452" t="inlineStr">
        <is>
          <t>202006</t>
        </is>
      </c>
      <c r="E148" s="3452" t="inlineStr">
        <is>
          <t>0,000000000000</t>
        </is>
      </c>
    </row>
    <row outlineLevel="0" r="149">
      <c r="A149" s="3452" t="inlineStr">
        <is>
          <t>000224000202006149510</t>
        </is>
      </c>
      <c r="B149" s="3452" t="inlineStr">
        <is>
          <t>149510</t>
        </is>
      </c>
      <c r="C149" s="3452" t="inlineStr">
        <is>
          <t>000224000</t>
        </is>
      </c>
      <c r="D149" s="3452" t="inlineStr">
        <is>
          <t>202006</t>
        </is>
      </c>
      <c r="E149" s="3452" t="inlineStr">
        <is>
          <t>0,000000000000</t>
        </is>
      </c>
    </row>
    <row outlineLevel="0" r="150">
      <c r="A150" s="3452" t="inlineStr">
        <is>
          <t>000224000202006149900</t>
        </is>
      </c>
      <c r="B150" s="3452" t="inlineStr">
        <is>
          <t>149900</t>
        </is>
      </c>
      <c r="C150" s="3452" t="inlineStr">
        <is>
          <t>000224000</t>
        </is>
      </c>
      <c r="D150" s="3452" t="inlineStr">
        <is>
          <t>202006</t>
        </is>
      </c>
      <c r="E150" s="3452" t="inlineStr">
        <is>
          <t>0,000000000000</t>
        </is>
      </c>
    </row>
    <row outlineLevel="0" r="151">
      <c r="A151" s="3452" t="inlineStr">
        <is>
          <t>000224000202006149901</t>
        </is>
      </c>
      <c r="B151" s="3452" t="inlineStr">
        <is>
          <t>149901</t>
        </is>
      </c>
      <c r="C151" s="3452" t="inlineStr">
        <is>
          <t>000224000</t>
        </is>
      </c>
      <c r="D151" s="3452" t="inlineStr">
        <is>
          <t>202006</t>
        </is>
      </c>
      <c r="E151" s="3452" t="inlineStr">
        <is>
          <t>0,000000000000</t>
        </is>
      </c>
    </row>
    <row outlineLevel="0" r="152">
      <c r="A152" s="3452" t="inlineStr">
        <is>
          <t>000224000202006149902</t>
        </is>
      </c>
      <c r="B152" s="3452" t="inlineStr">
        <is>
          <t>149902</t>
        </is>
      </c>
      <c r="C152" s="3452" t="inlineStr">
        <is>
          <t>000224000</t>
        </is>
      </c>
      <c r="D152" s="3452" t="inlineStr">
        <is>
          <t>202006</t>
        </is>
      </c>
      <c r="E152" s="3452" t="inlineStr">
        <is>
          <t>0,000000000000</t>
        </is>
      </c>
    </row>
    <row outlineLevel="0" r="153">
      <c r="A153" s="3452" t="inlineStr">
        <is>
          <t>000224000202006149910</t>
        </is>
      </c>
      <c r="B153" s="3452" t="inlineStr">
        <is>
          <t>149910</t>
        </is>
      </c>
      <c r="C153" s="3452" t="inlineStr">
        <is>
          <t>000224000</t>
        </is>
      </c>
      <c r="D153" s="3452" t="inlineStr">
        <is>
          <t>202006</t>
        </is>
      </c>
      <c r="E153" s="3452" t="inlineStr">
        <is>
          <t>0,000000000000</t>
        </is>
      </c>
    </row>
    <row outlineLevel="0" r="154">
      <c r="A154" s="3452" t="inlineStr">
        <is>
          <t>000224000202006151201</t>
        </is>
      </c>
      <c r="B154" s="3452" t="inlineStr">
        <is>
          <t>151201</t>
        </is>
      </c>
      <c r="C154" s="3452" t="inlineStr">
        <is>
          <t>000224000</t>
        </is>
      </c>
      <c r="D154" s="3452" t="inlineStr">
        <is>
          <t>202006</t>
        </is>
      </c>
      <c r="E154" s="3452" t="inlineStr">
        <is>
          <t>0,000000000000</t>
        </is>
      </c>
    </row>
    <row outlineLevel="0" r="155">
      <c r="A155" s="3452" t="inlineStr">
        <is>
          <t>000224000202006155601</t>
        </is>
      </c>
      <c r="B155" s="3452" t="inlineStr">
        <is>
          <t>155601</t>
        </is>
      </c>
      <c r="C155" s="3452" t="inlineStr">
        <is>
          <t>000224000</t>
        </is>
      </c>
      <c r="D155" s="3452" t="inlineStr">
        <is>
          <t>202006</t>
        </is>
      </c>
      <c r="E155" s="3452" t="inlineStr">
        <is>
          <t>0,000000000000</t>
        </is>
      </c>
    </row>
    <row outlineLevel="0" r="156">
      <c r="A156" s="3452" t="inlineStr">
        <is>
          <t>000224000202006156001</t>
        </is>
      </c>
      <c r="B156" s="3452" t="inlineStr">
        <is>
          <t>156001</t>
        </is>
      </c>
      <c r="C156" s="3452" t="inlineStr">
        <is>
          <t>000224000</t>
        </is>
      </c>
      <c r="D156" s="3452" t="inlineStr">
        <is>
          <t>202006</t>
        </is>
      </c>
      <c r="E156" s="3452" t="inlineStr">
        <is>
          <t>0,000000000000</t>
        </is>
      </c>
    </row>
    <row outlineLevel="0" r="157">
      <c r="A157" s="3452" t="inlineStr">
        <is>
          <t>000224000202006156401</t>
        </is>
      </c>
      <c r="B157" s="3452" t="inlineStr">
        <is>
          <t>156401</t>
        </is>
      </c>
      <c r="C157" s="3452" t="inlineStr">
        <is>
          <t>000224000</t>
        </is>
      </c>
      <c r="D157" s="3452" t="inlineStr">
        <is>
          <t>202006</t>
        </is>
      </c>
      <c r="E157" s="3452" t="inlineStr">
        <is>
          <t>0,000000000000</t>
        </is>
      </c>
    </row>
    <row outlineLevel="0" r="158">
      <c r="A158" s="3452" t="inlineStr">
        <is>
          <t>000224000202006157201</t>
        </is>
      </c>
      <c r="B158" s="3452" t="inlineStr">
        <is>
          <t>157201</t>
        </is>
      </c>
      <c r="C158" s="3452" t="inlineStr">
        <is>
          <t>000224000</t>
        </is>
      </c>
      <c r="D158" s="3452" t="inlineStr">
        <is>
          <t>202006</t>
        </is>
      </c>
      <c r="E158" s="3452" t="inlineStr">
        <is>
          <t>0,000000000000</t>
        </is>
      </c>
    </row>
    <row outlineLevel="0" r="159">
      <c r="A159" s="3452" t="inlineStr">
        <is>
          <t>000224000202006157601</t>
        </is>
      </c>
      <c r="B159" s="3452" t="inlineStr">
        <is>
          <t>157601</t>
        </is>
      </c>
      <c r="C159" s="3452" t="inlineStr">
        <is>
          <t>000224000</t>
        </is>
      </c>
      <c r="D159" s="3452" t="inlineStr">
        <is>
          <t>202006</t>
        </is>
      </c>
      <c r="E159" s="3452" t="inlineStr">
        <is>
          <t>0,000000000000</t>
        </is>
      </c>
    </row>
    <row outlineLevel="0" r="160">
      <c r="A160" s="3452" t="inlineStr">
        <is>
          <t>000224000202006158401</t>
        </is>
      </c>
      <c r="B160" s="3452" t="inlineStr">
        <is>
          <t>158401</t>
        </is>
      </c>
      <c r="C160" s="3452" t="inlineStr">
        <is>
          <t>000224000</t>
        </is>
      </c>
      <c r="D160" s="3452" t="inlineStr">
        <is>
          <t>202006</t>
        </is>
      </c>
      <c r="E160" s="3452" t="inlineStr">
        <is>
          <t>0,000000000000</t>
        </is>
      </c>
    </row>
    <row outlineLevel="0" r="161">
      <c r="A161" s="3452" t="inlineStr">
        <is>
          <t>000224000202006158801</t>
        </is>
      </c>
      <c r="B161" s="3452" t="inlineStr">
        <is>
          <t>158801</t>
        </is>
      </c>
      <c r="C161" s="3452" t="inlineStr">
        <is>
          <t>000224000</t>
        </is>
      </c>
      <c r="D161" s="3452" t="inlineStr">
        <is>
          <t>202006</t>
        </is>
      </c>
      <c r="E161" s="3452" t="inlineStr">
        <is>
          <t>0,000000000000</t>
        </is>
      </c>
    </row>
    <row outlineLevel="0" r="162">
      <c r="A162" s="3452" t="inlineStr">
        <is>
          <t>000224000202006159701</t>
        </is>
      </c>
      <c r="B162" s="3452" t="inlineStr">
        <is>
          <t>159701</t>
        </is>
      </c>
      <c r="C162" s="3452" t="inlineStr">
        <is>
          <t>000224000</t>
        </is>
      </c>
      <c r="D162" s="3452" t="inlineStr">
        <is>
          <t>202006</t>
        </is>
      </c>
      <c r="E162" s="3452" t="inlineStr">
        <is>
          <t>0,000000000000</t>
        </is>
      </c>
    </row>
    <row outlineLevel="0" r="163">
      <c r="A163" s="3452" t="inlineStr">
        <is>
          <t>000224000202006159899</t>
        </is>
      </c>
      <c r="B163" s="3452" t="inlineStr">
        <is>
          <t>159899</t>
        </is>
      </c>
      <c r="C163" s="3452" t="inlineStr">
        <is>
          <t>000224000</t>
        </is>
      </c>
      <c r="D163" s="3452" t="inlineStr">
        <is>
          <t>202006</t>
        </is>
      </c>
      <c r="E163" s="3452" t="inlineStr">
        <is>
          <t>0,000000000000</t>
        </is>
      </c>
    </row>
    <row outlineLevel="0" r="164">
      <c r="A164" s="3452" t="inlineStr">
        <is>
          <t>000224000202006159901</t>
        </is>
      </c>
      <c r="B164" s="3452" t="inlineStr">
        <is>
          <t>159901</t>
        </is>
      </c>
      <c r="C164" s="3452" t="inlineStr">
        <is>
          <t>000224000</t>
        </is>
      </c>
      <c r="D164" s="3452" t="inlineStr">
        <is>
          <t>202006</t>
        </is>
      </c>
      <c r="E164" s="3452" t="inlineStr">
        <is>
          <t>0,000000000000</t>
        </is>
      </c>
    </row>
    <row outlineLevel="0" r="165">
      <c r="A165" s="3452" t="inlineStr">
        <is>
          <t>000224000202006160501</t>
        </is>
      </c>
      <c r="B165" s="3452" t="inlineStr">
        <is>
          <t>160501</t>
        </is>
      </c>
      <c r="C165" s="3452" t="inlineStr">
        <is>
          <t>000224000</t>
        </is>
      </c>
      <c r="D165" s="3452" t="inlineStr">
        <is>
          <t>202006</t>
        </is>
      </c>
      <c r="E165" s="3452" t="inlineStr">
        <is>
          <t>0,000000000000</t>
        </is>
      </c>
    </row>
    <row outlineLevel="0" r="166">
      <c r="A166" s="3452" t="inlineStr">
        <is>
          <t>000224000202006161001</t>
        </is>
      </c>
      <c r="B166" s="3452" t="inlineStr">
        <is>
          <t>161001</t>
        </is>
      </c>
      <c r="C166" s="3452" t="inlineStr">
        <is>
          <t>000224000</t>
        </is>
      </c>
      <c r="D166" s="3452" t="inlineStr">
        <is>
          <t>202006</t>
        </is>
      </c>
      <c r="E166" s="3452" t="inlineStr">
        <is>
          <t>0,000000000000</t>
        </is>
      </c>
    </row>
    <row outlineLevel="0" r="167">
      <c r="A167" s="3452" t="inlineStr">
        <is>
          <t>000224000202006163001</t>
        </is>
      </c>
      <c r="B167" s="3452" t="inlineStr">
        <is>
          <t>163001</t>
        </is>
      </c>
      <c r="C167" s="3452" t="inlineStr">
        <is>
          <t>000224000</t>
        </is>
      </c>
      <c r="D167" s="3452" t="inlineStr">
        <is>
          <t>202006</t>
        </is>
      </c>
      <c r="E167" s="3452" t="inlineStr">
        <is>
          <t>0,000000000000</t>
        </is>
      </c>
    </row>
    <row outlineLevel="0" r="168">
      <c r="A168" s="3452" t="inlineStr">
        <is>
          <t>000224000202006164001</t>
        </is>
      </c>
      <c r="B168" s="3452" t="inlineStr">
        <is>
          <t>164001</t>
        </is>
      </c>
      <c r="C168" s="3452" t="inlineStr">
        <is>
          <t>000224000</t>
        </is>
      </c>
      <c r="D168" s="3452" t="inlineStr">
        <is>
          <t>202006</t>
        </is>
      </c>
      <c r="E168" s="3452" t="inlineStr">
        <is>
          <t>0,000000000000</t>
        </is>
      </c>
    </row>
    <row outlineLevel="0" r="169">
      <c r="A169" s="3452" t="inlineStr">
        <is>
          <t>000224000202006169899</t>
        </is>
      </c>
      <c r="B169" s="3452" t="inlineStr">
        <is>
          <t>169899</t>
        </is>
      </c>
      <c r="C169" s="3452" t="inlineStr">
        <is>
          <t>000224000</t>
        </is>
      </c>
      <c r="D169" s="3452" t="inlineStr">
        <is>
          <t>202006</t>
        </is>
      </c>
      <c r="E169" s="3452" t="inlineStr">
        <is>
          <t>0,000000000000</t>
        </is>
      </c>
    </row>
    <row outlineLevel="0" r="170">
      <c r="A170" s="3452" t="inlineStr">
        <is>
          <t>000224000202006169901</t>
        </is>
      </c>
      <c r="B170" s="3452" t="inlineStr">
        <is>
          <t>169901</t>
        </is>
      </c>
      <c r="C170" s="3452" t="inlineStr">
        <is>
          <t>000224000</t>
        </is>
      </c>
      <c r="D170" s="3452" t="inlineStr">
        <is>
          <t>202006</t>
        </is>
      </c>
      <c r="E170" s="3452" t="inlineStr">
        <is>
          <t>0,000000000000</t>
        </is>
      </c>
    </row>
    <row outlineLevel="0" r="171">
      <c r="A171" s="3452" t="inlineStr">
        <is>
          <t>000224000202006170500</t>
        </is>
      </c>
      <c r="B171" s="3452" t="inlineStr">
        <is>
          <t>170500</t>
        </is>
      </c>
      <c r="C171" s="3452" t="inlineStr">
        <is>
          <t>000224000</t>
        </is>
      </c>
      <c r="D171" s="3452" t="inlineStr">
        <is>
          <t>202006</t>
        </is>
      </c>
      <c r="E171" s="3452" t="inlineStr">
        <is>
          <t>0,000000000000</t>
        </is>
      </c>
    </row>
    <row outlineLevel="0" r="172">
      <c r="A172" s="3452" t="inlineStr">
        <is>
          <t>000224000202006171000</t>
        </is>
      </c>
      <c r="B172" s="3452" t="inlineStr">
        <is>
          <t>171000</t>
        </is>
      </c>
      <c r="C172" s="3452" t="inlineStr">
        <is>
          <t>000224000</t>
        </is>
      </c>
      <c r="D172" s="3452" t="inlineStr">
        <is>
          <t>202006</t>
        </is>
      </c>
      <c r="E172" s="3452" t="inlineStr">
        <is>
          <t>0,000000000000</t>
        </is>
      </c>
    </row>
    <row outlineLevel="0" r="173">
      <c r="A173" s="3452" t="inlineStr">
        <is>
          <t>000224000202006173000</t>
        </is>
      </c>
      <c r="B173" s="3452" t="inlineStr">
        <is>
          <t>173000</t>
        </is>
      </c>
      <c r="C173" s="3452" t="inlineStr">
        <is>
          <t>000224000</t>
        </is>
      </c>
      <c r="D173" s="3452" t="inlineStr">
        <is>
          <t>202006</t>
        </is>
      </c>
      <c r="E173" s="3452" t="inlineStr">
        <is>
          <t>0,000000000000</t>
        </is>
      </c>
    </row>
    <row outlineLevel="0" r="174">
      <c r="A174" s="3452" t="inlineStr">
        <is>
          <t>000224000202006173001</t>
        </is>
      </c>
      <c r="B174" s="3452" t="inlineStr">
        <is>
          <t>173001</t>
        </is>
      </c>
      <c r="C174" s="3452" t="inlineStr">
        <is>
          <t>000224000</t>
        </is>
      </c>
      <c r="D174" s="3452" t="inlineStr">
        <is>
          <t>202006</t>
        </is>
      </c>
      <c r="E174" s="3452" t="inlineStr">
        <is>
          <t>0,000000000000</t>
        </is>
      </c>
    </row>
    <row outlineLevel="0" r="175">
      <c r="A175" s="3452" t="inlineStr">
        <is>
          <t>000224000202006179500</t>
        </is>
      </c>
      <c r="B175" s="3452" t="inlineStr">
        <is>
          <t>179500</t>
        </is>
      </c>
      <c r="C175" s="3452" t="inlineStr">
        <is>
          <t>000224000</t>
        </is>
      </c>
      <c r="D175" s="3452" t="inlineStr">
        <is>
          <t>202006</t>
        </is>
      </c>
      <c r="E175" s="3452" t="inlineStr">
        <is>
          <t>0,000000000000</t>
        </is>
      </c>
    </row>
    <row outlineLevel="0" r="176">
      <c r="A176" s="3452" t="inlineStr">
        <is>
          <t>000224000202006179700</t>
        </is>
      </c>
      <c r="B176" s="3452" t="inlineStr">
        <is>
          <t>179700</t>
        </is>
      </c>
      <c r="C176" s="3452" t="inlineStr">
        <is>
          <t>000224000</t>
        </is>
      </c>
      <c r="D176" s="3452" t="inlineStr">
        <is>
          <t>202006</t>
        </is>
      </c>
      <c r="E176" s="3452" t="inlineStr">
        <is>
          <t>0,000000000000</t>
        </is>
      </c>
    </row>
    <row outlineLevel="0" r="177">
      <c r="A177" s="3452" t="inlineStr">
        <is>
          <t>000224000202006179701</t>
        </is>
      </c>
      <c r="B177" s="3452" t="inlineStr">
        <is>
          <t>179701</t>
        </is>
      </c>
      <c r="C177" s="3452" t="inlineStr">
        <is>
          <t>000224000</t>
        </is>
      </c>
      <c r="D177" s="3452" t="inlineStr">
        <is>
          <t>202006</t>
        </is>
      </c>
      <c r="E177" s="3452" t="inlineStr">
        <is>
          <t>0,000000000000</t>
        </is>
      </c>
    </row>
    <row outlineLevel="0" r="178">
      <c r="A178" s="3452" t="inlineStr">
        <is>
          <t>000224000202006179801</t>
        </is>
      </c>
      <c r="B178" s="3452" t="inlineStr">
        <is>
          <t>179801</t>
        </is>
      </c>
      <c r="C178" s="3452" t="inlineStr">
        <is>
          <t>000224000</t>
        </is>
      </c>
      <c r="D178" s="3452" t="inlineStr">
        <is>
          <t>202006</t>
        </is>
      </c>
      <c r="E178" s="3452" t="inlineStr">
        <is>
          <t>0,000000000000</t>
        </is>
      </c>
    </row>
    <row outlineLevel="0" r="179">
      <c r="A179" s="3452" t="inlineStr">
        <is>
          <t>000224000202006180000</t>
        </is>
      </c>
      <c r="B179" s="3452" t="inlineStr">
        <is>
          <t>180000</t>
        </is>
      </c>
      <c r="C179" s="3452" t="inlineStr">
        <is>
          <t>000224000</t>
        </is>
      </c>
      <c r="D179" s="3452" t="inlineStr">
        <is>
          <t>202006</t>
        </is>
      </c>
      <c r="E179" s="3452" t="inlineStr">
        <is>
          <t>0,000000000000</t>
        </is>
      </c>
    </row>
    <row outlineLevel="0" r="180">
      <c r="A180" s="3452" t="inlineStr">
        <is>
          <t>000224000202006180501</t>
        </is>
      </c>
      <c r="B180" s="3452" t="inlineStr">
        <is>
          <t>180501</t>
        </is>
      </c>
      <c r="C180" s="3452" t="inlineStr">
        <is>
          <t>000224000</t>
        </is>
      </c>
      <c r="D180" s="3452" t="inlineStr">
        <is>
          <t>202006</t>
        </is>
      </c>
      <c r="E180" s="3452" t="inlineStr">
        <is>
          <t>0,000000000000</t>
        </is>
      </c>
    </row>
    <row outlineLevel="0" r="181">
      <c r="A181" s="3452" t="inlineStr">
        <is>
          <t>000224000202006181000</t>
        </is>
      </c>
      <c r="B181" s="3452" t="inlineStr">
        <is>
          <t>181000</t>
        </is>
      </c>
      <c r="C181" s="3452" t="inlineStr">
        <is>
          <t>000224000</t>
        </is>
      </c>
      <c r="D181" s="3452" t="inlineStr">
        <is>
          <t>202006</t>
        </is>
      </c>
      <c r="E181" s="3452" t="inlineStr">
        <is>
          <t>0,000000000000</t>
        </is>
      </c>
    </row>
    <row outlineLevel="0" r="182">
      <c r="A182" s="3452" t="inlineStr">
        <is>
          <t>000224000202006189500</t>
        </is>
      </c>
      <c r="B182" s="3452" t="inlineStr">
        <is>
          <t>189500</t>
        </is>
      </c>
      <c r="C182" s="3452" t="inlineStr">
        <is>
          <t>000224000</t>
        </is>
      </c>
      <c r="D182" s="3452" t="inlineStr">
        <is>
          <t>202006</t>
        </is>
      </c>
      <c r="E182" s="3452" t="inlineStr">
        <is>
          <t>0,000000000000</t>
        </is>
      </c>
    </row>
    <row outlineLevel="0" r="183">
      <c r="A183" s="3452" t="inlineStr">
        <is>
          <t>000224000202006189501</t>
        </is>
      </c>
      <c r="B183" s="3452" t="inlineStr">
        <is>
          <t>189501</t>
        </is>
      </c>
      <c r="C183" s="3452" t="inlineStr">
        <is>
          <t>000224000</t>
        </is>
      </c>
      <c r="D183" s="3452" t="inlineStr">
        <is>
          <t>202006</t>
        </is>
      </c>
      <c r="E183" s="3452" t="inlineStr">
        <is>
          <t>0,000000000000</t>
        </is>
      </c>
    </row>
    <row outlineLevel="0" r="184">
      <c r="A184" s="3452" t="inlineStr">
        <is>
          <t>000224000202006189520</t>
        </is>
      </c>
      <c r="B184" s="3452" t="inlineStr">
        <is>
          <t>189520</t>
        </is>
      </c>
      <c r="C184" s="3452" t="inlineStr">
        <is>
          <t>000224000</t>
        </is>
      </c>
      <c r="D184" s="3452" t="inlineStr">
        <is>
          <t>202006</t>
        </is>
      </c>
      <c r="E184" s="3452" t="inlineStr">
        <is>
          <t>0,000000000000</t>
        </is>
      </c>
    </row>
    <row outlineLevel="0" r="185">
      <c r="A185" s="3452" t="inlineStr">
        <is>
          <t>000224000202006189701</t>
        </is>
      </c>
      <c r="B185" s="3452" t="inlineStr">
        <is>
          <t>189701</t>
        </is>
      </c>
      <c r="C185" s="3452" t="inlineStr">
        <is>
          <t>000224000</t>
        </is>
      </c>
      <c r="D185" s="3452" t="inlineStr">
        <is>
          <t>202006</t>
        </is>
      </c>
      <c r="E185" s="3452" t="inlineStr">
        <is>
          <t>0,000000000000</t>
        </is>
      </c>
    </row>
    <row outlineLevel="0" r="186">
      <c r="A186" s="3452" t="inlineStr">
        <is>
          <t>000224000202006189901</t>
        </is>
      </c>
      <c r="B186" s="3452" t="inlineStr">
        <is>
          <t>189901</t>
        </is>
      </c>
      <c r="C186" s="3452" t="inlineStr">
        <is>
          <t>000224000</t>
        </is>
      </c>
      <c r="D186" s="3452" t="inlineStr">
        <is>
          <t>202006</t>
        </is>
      </c>
      <c r="E186" s="3452" t="inlineStr">
        <is>
          <t>0,000000000000</t>
        </is>
      </c>
    </row>
    <row outlineLevel="0" r="187">
      <c r="A187" s="3452" t="inlineStr">
        <is>
          <t>000224000202006190000</t>
        </is>
      </c>
      <c r="B187" s="3452" t="inlineStr">
        <is>
          <t>190000</t>
        </is>
      </c>
      <c r="C187" s="3452" t="inlineStr">
        <is>
          <t>000224000</t>
        </is>
      </c>
      <c r="D187" s="3452" t="inlineStr">
        <is>
          <t>202006</t>
        </is>
      </c>
      <c r="E187" s="3452" t="inlineStr">
        <is>
          <t>0,000000000000</t>
        </is>
      </c>
    </row>
    <row outlineLevel="0" r="188">
      <c r="A188" s="3452" t="inlineStr">
        <is>
          <t>000224000202006190501</t>
        </is>
      </c>
      <c r="B188" s="3452" t="inlineStr">
        <is>
          <t>190501</t>
        </is>
      </c>
      <c r="C188" s="3452" t="inlineStr">
        <is>
          <t>000224000</t>
        </is>
      </c>
      <c r="D188" s="3452" t="inlineStr">
        <is>
          <t>202006</t>
        </is>
      </c>
      <c r="E188" s="3452" t="inlineStr">
        <is>
          <t>0,000000000000</t>
        </is>
      </c>
    </row>
    <row outlineLevel="0" r="189">
      <c r="A189" s="3452" t="inlineStr">
        <is>
          <t>000224000202006191001</t>
        </is>
      </c>
      <c r="B189" s="3452" t="inlineStr">
        <is>
          <t>191001</t>
        </is>
      </c>
      <c r="C189" s="3452" t="inlineStr">
        <is>
          <t>000224000</t>
        </is>
      </c>
      <c r="D189" s="3452" t="inlineStr">
        <is>
          <t>202006</t>
        </is>
      </c>
      <c r="E189" s="3452" t="inlineStr">
        <is>
          <t>0,000000000000</t>
        </is>
      </c>
    </row>
    <row outlineLevel="0" r="190">
      <c r="A190" s="3452" t="inlineStr">
        <is>
          <t>000224000202006199501</t>
        </is>
      </c>
      <c r="B190" s="3452" t="inlineStr">
        <is>
          <t>199501</t>
        </is>
      </c>
      <c r="C190" s="3452" t="inlineStr">
        <is>
          <t>000224000</t>
        </is>
      </c>
      <c r="D190" s="3452" t="inlineStr">
        <is>
          <t>202006</t>
        </is>
      </c>
      <c r="E190" s="3452" t="inlineStr">
        <is>
          <t>0,000000000000</t>
        </is>
      </c>
    </row>
    <row outlineLevel="0" r="191">
      <c r="A191" s="3452" t="inlineStr">
        <is>
          <t>000224000202006210500</t>
        </is>
      </c>
      <c r="B191" s="3452" t="inlineStr">
        <is>
          <t>210500</t>
        </is>
      </c>
      <c r="C191" s="3452" t="inlineStr">
        <is>
          <t>000224000</t>
        </is>
      </c>
      <c r="D191" s="3452" t="inlineStr">
        <is>
          <t>202006</t>
        </is>
      </c>
      <c r="E191" s="3452" t="inlineStr">
        <is>
          <t>300000,000000000000</t>
        </is>
      </c>
    </row>
    <row outlineLevel="0" r="192">
      <c r="A192" s="3452" t="inlineStr">
        <is>
          <t>000224000202006210501</t>
        </is>
      </c>
      <c r="B192" s="3452" t="inlineStr">
        <is>
          <t>210501</t>
        </is>
      </c>
      <c r="C192" s="3452" t="inlineStr">
        <is>
          <t>000224000</t>
        </is>
      </c>
      <c r="D192" s="3452" t="inlineStr">
        <is>
          <t>202006</t>
        </is>
      </c>
      <c r="E192" s="3452" t="inlineStr">
        <is>
          <t>0,000000000000</t>
        </is>
      </c>
    </row>
    <row outlineLevel="0" r="193">
      <c r="A193" s="3452" t="inlineStr">
        <is>
          <t>000224000202006211001</t>
        </is>
      </c>
      <c r="B193" s="3452" t="inlineStr">
        <is>
          <t>211001</t>
        </is>
      </c>
      <c r="C193" s="3452" t="inlineStr">
        <is>
          <t>000224000</t>
        </is>
      </c>
      <c r="D193" s="3452" t="inlineStr">
        <is>
          <t>202006</t>
        </is>
      </c>
      <c r="E193" s="3452" t="inlineStr">
        <is>
          <t>0,000000000000</t>
        </is>
      </c>
    </row>
    <row outlineLevel="0" r="194">
      <c r="A194" s="3452" t="inlineStr">
        <is>
          <t>000224000202006211500</t>
        </is>
      </c>
      <c r="B194" s="3452" t="inlineStr">
        <is>
          <t>211500</t>
        </is>
      </c>
      <c r="C194" s="3452" t="inlineStr">
        <is>
          <t>000224000</t>
        </is>
      </c>
      <c r="D194" s="3452" t="inlineStr">
        <is>
          <t>202006</t>
        </is>
      </c>
      <c r="E194" s="3452" t="inlineStr">
        <is>
          <t>0,000000000000</t>
        </is>
      </c>
    </row>
    <row outlineLevel="0" r="195">
      <c r="A195" s="3452" t="inlineStr">
        <is>
          <t>000224000202006219500</t>
        </is>
      </c>
      <c r="B195" s="3452" t="inlineStr">
        <is>
          <t>219500</t>
        </is>
      </c>
      <c r="C195" s="3452" t="inlineStr">
        <is>
          <t>000224000</t>
        </is>
      </c>
      <c r="D195" s="3452" t="inlineStr">
        <is>
          <t>202006</t>
        </is>
      </c>
      <c r="E195" s="3452" t="inlineStr">
        <is>
          <t>0,000000000000</t>
        </is>
      </c>
    </row>
    <row outlineLevel="0" r="196">
      <c r="A196" s="3452" t="inlineStr">
        <is>
          <t>000224000202006220500</t>
        </is>
      </c>
      <c r="B196" s="3452" t="inlineStr">
        <is>
          <t>220500</t>
        </is>
      </c>
      <c r="C196" s="3452" t="inlineStr">
        <is>
          <t>000224000</t>
        </is>
      </c>
      <c r="D196" s="3452" t="inlineStr">
        <is>
          <t>202006</t>
        </is>
      </c>
      <c r="E196" s="3452" t="inlineStr">
        <is>
          <t>0,000000000000</t>
        </is>
      </c>
    </row>
    <row outlineLevel="0" r="197">
      <c r="A197" s="3452" t="inlineStr">
        <is>
          <t>000224000202006220501</t>
        </is>
      </c>
      <c r="B197" s="3452" t="inlineStr">
        <is>
          <t>220501</t>
        </is>
      </c>
      <c r="C197" s="3452" t="inlineStr">
        <is>
          <t>000224000</t>
        </is>
      </c>
      <c r="D197" s="3452" t="inlineStr">
        <is>
          <t>202006</t>
        </is>
      </c>
      <c r="E197" s="3452" t="inlineStr">
        <is>
          <t>0,000000000000</t>
        </is>
      </c>
    </row>
    <row outlineLevel="0" r="198">
      <c r="A198" s="3452" t="inlineStr">
        <is>
          <t>000224000202006221000</t>
        </is>
      </c>
      <c r="B198" s="3452" t="inlineStr">
        <is>
          <t>221000</t>
        </is>
      </c>
      <c r="C198" s="3452" t="inlineStr">
        <is>
          <t>000224000</t>
        </is>
      </c>
      <c r="D198" s="3452" t="inlineStr">
        <is>
          <t>202006</t>
        </is>
      </c>
      <c r="E198" s="3452" t="inlineStr">
        <is>
          <t>0,000000000000</t>
        </is>
      </c>
    </row>
    <row outlineLevel="0" r="199">
      <c r="A199" s="3452" t="inlineStr">
        <is>
          <t>000224000202006221001</t>
        </is>
      </c>
      <c r="B199" s="3452" t="inlineStr">
        <is>
          <t>221001</t>
        </is>
      </c>
      <c r="C199" s="3452" t="inlineStr">
        <is>
          <t>000224000</t>
        </is>
      </c>
      <c r="D199" s="3452" t="inlineStr">
        <is>
          <t>202006</t>
        </is>
      </c>
      <c r="E199" s="3452" t="inlineStr">
        <is>
          <t>0,000000000000</t>
        </is>
      </c>
    </row>
    <row outlineLevel="0" r="200">
      <c r="A200" s="3452" t="inlineStr">
        <is>
          <t>000224000202006221500</t>
        </is>
      </c>
      <c r="B200" s="3452" t="inlineStr">
        <is>
          <t>221500</t>
        </is>
      </c>
      <c r="C200" s="3452" t="inlineStr">
        <is>
          <t>000224000</t>
        </is>
      </c>
      <c r="D200" s="3452" t="inlineStr">
        <is>
          <t>202006</t>
        </is>
      </c>
      <c r="E200" s="3452" t="inlineStr">
        <is>
          <t>0,000000000000</t>
        </is>
      </c>
    </row>
    <row outlineLevel="0" r="201">
      <c r="A201" s="3452" t="inlineStr">
        <is>
          <t>000224000202006230500</t>
        </is>
      </c>
      <c r="B201" s="3452" t="inlineStr">
        <is>
          <t>230500</t>
        </is>
      </c>
      <c r="C201" s="3452" t="inlineStr">
        <is>
          <t>000224000</t>
        </is>
      </c>
      <c r="D201" s="3452" t="inlineStr">
        <is>
          <t>202006</t>
        </is>
      </c>
      <c r="E201" s="3452" t="inlineStr">
        <is>
          <t>0,000000000000</t>
        </is>
      </c>
    </row>
    <row outlineLevel="0" r="202">
      <c r="A202" s="3452" t="inlineStr">
        <is>
          <t>000224000202006230501</t>
        </is>
      </c>
      <c r="B202" s="3452" t="inlineStr">
        <is>
          <t>230501</t>
        </is>
      </c>
      <c r="C202" s="3452" t="inlineStr">
        <is>
          <t>000224000</t>
        </is>
      </c>
      <c r="D202" s="3452" t="inlineStr">
        <is>
          <t>202006</t>
        </is>
      </c>
      <c r="E202" s="3452" t="inlineStr">
        <is>
          <t>0,000000000000</t>
        </is>
      </c>
    </row>
    <row outlineLevel="0" r="203">
      <c r="A203" s="3452" t="inlineStr">
        <is>
          <t>000224000202006231000</t>
        </is>
      </c>
      <c r="B203" s="3452" t="inlineStr">
        <is>
          <t>231000</t>
        </is>
      </c>
      <c r="C203" s="3452" t="inlineStr">
        <is>
          <t>000224000</t>
        </is>
      </c>
      <c r="D203" s="3452" t="inlineStr">
        <is>
          <t>202006</t>
        </is>
      </c>
      <c r="E203" s="3452" t="inlineStr">
        <is>
          <t>0,000000000000</t>
        </is>
      </c>
    </row>
    <row outlineLevel="0" r="204">
      <c r="A204" s="3452" t="inlineStr">
        <is>
          <t>000224000202006231001</t>
        </is>
      </c>
      <c r="B204" s="3452" t="inlineStr">
        <is>
          <t>231001</t>
        </is>
      </c>
      <c r="C204" s="3452" t="inlineStr">
        <is>
          <t>000224000</t>
        </is>
      </c>
      <c r="D204" s="3452" t="inlineStr">
        <is>
          <t>202006</t>
        </is>
      </c>
      <c r="E204" s="3452" t="inlineStr">
        <is>
          <t>0,000000000000</t>
        </is>
      </c>
    </row>
    <row outlineLevel="0" r="205">
      <c r="A205" s="3452" t="inlineStr">
        <is>
          <t>000224000202006231500</t>
        </is>
      </c>
      <c r="B205" s="3452" t="inlineStr">
        <is>
          <t>231500</t>
        </is>
      </c>
      <c r="C205" s="3452" t="inlineStr">
        <is>
          <t>000224000</t>
        </is>
      </c>
      <c r="D205" s="3452" t="inlineStr">
        <is>
          <t>202006</t>
        </is>
      </c>
      <c r="E205" s="3452" t="inlineStr">
        <is>
          <t>0,000000000000</t>
        </is>
      </c>
    </row>
    <row outlineLevel="0" r="206">
      <c r="A206" s="3452" t="inlineStr">
        <is>
          <t>000224000202006231501</t>
        </is>
      </c>
      <c r="B206" s="3452" t="inlineStr">
        <is>
          <t>231501</t>
        </is>
      </c>
      <c r="C206" s="3452" t="inlineStr">
        <is>
          <t>000224000</t>
        </is>
      </c>
      <c r="D206" s="3452" t="inlineStr">
        <is>
          <t>202006</t>
        </is>
      </c>
      <c r="E206" s="3452" t="inlineStr">
        <is>
          <t>0,000000000000</t>
        </is>
      </c>
    </row>
    <row outlineLevel="0" r="207">
      <c r="A207" s="3452" t="inlineStr">
        <is>
          <t>000224000202006232000</t>
        </is>
      </c>
      <c r="B207" s="3452" t="inlineStr">
        <is>
          <t>232000</t>
        </is>
      </c>
      <c r="C207" s="3452" t="inlineStr">
        <is>
          <t>000224000</t>
        </is>
      </c>
      <c r="D207" s="3452" t="inlineStr">
        <is>
          <t>202006</t>
        </is>
      </c>
      <c r="E207" s="3452" t="inlineStr">
        <is>
          <t>0,000000000000</t>
        </is>
      </c>
    </row>
    <row outlineLevel="0" r="208">
      <c r="A208" s="3452" t="inlineStr">
        <is>
          <t>000224000202006232001</t>
        </is>
      </c>
      <c r="B208" s="3452" t="inlineStr">
        <is>
          <t>232001</t>
        </is>
      </c>
      <c r="C208" s="3452" t="inlineStr">
        <is>
          <t>000224000</t>
        </is>
      </c>
      <c r="D208" s="3452" t="inlineStr">
        <is>
          <t>202006</t>
        </is>
      </c>
      <c r="E208" s="3452" t="inlineStr">
        <is>
          <t>0,000000000000</t>
        </is>
      </c>
    </row>
    <row outlineLevel="0" r="209">
      <c r="A209" s="3452" t="inlineStr">
        <is>
          <t>000224000202006233500</t>
        </is>
      </c>
      <c r="B209" s="3452" t="inlineStr">
        <is>
          <t>233500</t>
        </is>
      </c>
      <c r="C209" s="3452" t="inlineStr">
        <is>
          <t>000224000</t>
        </is>
      </c>
      <c r="D209" s="3452" t="inlineStr">
        <is>
          <t>202006</t>
        </is>
      </c>
      <c r="E209" s="3452" t="inlineStr">
        <is>
          <t>0,000000000000</t>
        </is>
      </c>
    </row>
    <row outlineLevel="0" r="210">
      <c r="A210" s="3452" t="inlineStr">
        <is>
          <t>000224000202006233501</t>
        </is>
      </c>
      <c r="B210" s="3452" t="inlineStr">
        <is>
          <t>233501</t>
        </is>
      </c>
      <c r="C210" s="3452" t="inlineStr">
        <is>
          <t>000224000</t>
        </is>
      </c>
      <c r="D210" s="3452" t="inlineStr">
        <is>
          <t>202006</t>
        </is>
      </c>
      <c r="E210" s="3452" t="inlineStr">
        <is>
          <t>0,000000000000</t>
        </is>
      </c>
    </row>
    <row outlineLevel="0" r="211">
      <c r="A211" s="3452" t="inlineStr">
        <is>
          <t>000224000202006234500</t>
        </is>
      </c>
      <c r="B211" s="3452" t="inlineStr">
        <is>
          <t>234500</t>
        </is>
      </c>
      <c r="C211" s="3452" t="inlineStr">
        <is>
          <t>000224000</t>
        </is>
      </c>
      <c r="D211" s="3452" t="inlineStr">
        <is>
          <t>202006</t>
        </is>
      </c>
      <c r="E211" s="3452" t="inlineStr">
        <is>
          <t>0,000000000000</t>
        </is>
      </c>
    </row>
    <row outlineLevel="0" r="212">
      <c r="A212" s="3452" t="inlineStr">
        <is>
          <t>000224000202006234501</t>
        </is>
      </c>
      <c r="B212" s="3452" t="inlineStr">
        <is>
          <t>234501</t>
        </is>
      </c>
      <c r="C212" s="3452" t="inlineStr">
        <is>
          <t>000224000</t>
        </is>
      </c>
      <c r="D212" s="3452" t="inlineStr">
        <is>
          <t>202006</t>
        </is>
      </c>
      <c r="E212" s="3452" t="inlineStr">
        <is>
          <t>0,000000000000</t>
        </is>
      </c>
    </row>
    <row outlineLevel="0" r="213">
      <c r="A213" s="3452" t="inlineStr">
        <is>
          <t>000224000202006235000</t>
        </is>
      </c>
      <c r="B213" s="3452" t="inlineStr">
        <is>
          <t>235000</t>
        </is>
      </c>
      <c r="C213" s="3452" t="inlineStr">
        <is>
          <t>000224000</t>
        </is>
      </c>
      <c r="D213" s="3452" t="inlineStr">
        <is>
          <t>202006</t>
        </is>
      </c>
      <c r="E213" s="3452" t="inlineStr">
        <is>
          <t>0,000000000000</t>
        </is>
      </c>
    </row>
    <row outlineLevel="0" r="214">
      <c r="A214" s="3452" t="inlineStr">
        <is>
          <t>000224000202006235001</t>
        </is>
      </c>
      <c r="B214" s="3452" t="inlineStr">
        <is>
          <t>235001</t>
        </is>
      </c>
      <c r="C214" s="3452" t="inlineStr">
        <is>
          <t>000224000</t>
        </is>
      </c>
      <c r="D214" s="3452" t="inlineStr">
        <is>
          <t>202006</t>
        </is>
      </c>
      <c r="E214" s="3452" t="inlineStr">
        <is>
          <t>0,000000000000</t>
        </is>
      </c>
    </row>
    <row outlineLevel="0" r="215">
      <c r="A215" s="3452" t="inlineStr">
        <is>
          <t>000224000202006235500</t>
        </is>
      </c>
      <c r="B215" s="3452" t="inlineStr">
        <is>
          <t>235500</t>
        </is>
      </c>
      <c r="C215" s="3452" t="inlineStr">
        <is>
          <t>000224000</t>
        </is>
      </c>
      <c r="D215" s="3452" t="inlineStr">
        <is>
          <t>202006</t>
        </is>
      </c>
      <c r="E215" s="3452" t="inlineStr">
        <is>
          <t>0,000000000000</t>
        </is>
      </c>
    </row>
    <row outlineLevel="0" r="216">
      <c r="A216" s="3452" t="inlineStr">
        <is>
          <t>000224000202006235501</t>
        </is>
      </c>
      <c r="B216" s="3452" t="inlineStr">
        <is>
          <t>235501</t>
        </is>
      </c>
      <c r="C216" s="3452" t="inlineStr">
        <is>
          <t>000224000</t>
        </is>
      </c>
      <c r="D216" s="3452" t="inlineStr">
        <is>
          <t>202006</t>
        </is>
      </c>
      <c r="E216" s="3452" t="inlineStr">
        <is>
          <t>0,000000000000</t>
        </is>
      </c>
    </row>
    <row outlineLevel="0" r="217">
      <c r="A217" s="3452" t="inlineStr">
        <is>
          <t>000224000202006236000</t>
        </is>
      </c>
      <c r="B217" s="3452" t="inlineStr">
        <is>
          <t>236000</t>
        </is>
      </c>
      <c r="C217" s="3452" t="inlineStr">
        <is>
          <t>000224000</t>
        </is>
      </c>
      <c r="D217" s="3452" t="inlineStr">
        <is>
          <t>202006</t>
        </is>
      </c>
      <c r="E217" s="3452" t="inlineStr">
        <is>
          <t>0,000000000000</t>
        </is>
      </c>
    </row>
    <row outlineLevel="0" r="218">
      <c r="A218" s="3452" t="inlineStr">
        <is>
          <t>000224000202006236001</t>
        </is>
      </c>
      <c r="B218" s="3452" t="inlineStr">
        <is>
          <t>236001</t>
        </is>
      </c>
      <c r="C218" s="3452" t="inlineStr">
        <is>
          <t>000224000</t>
        </is>
      </c>
      <c r="D218" s="3452" t="inlineStr">
        <is>
          <t>202006</t>
        </is>
      </c>
      <c r="E218" s="3452" t="inlineStr">
        <is>
          <t>0,000000000000</t>
        </is>
      </c>
    </row>
    <row outlineLevel="0" r="219">
      <c r="A219" s="3452" t="inlineStr">
        <is>
          <t>000224000202006236500</t>
        </is>
      </c>
      <c r="B219" s="3452" t="inlineStr">
        <is>
          <t>236500</t>
        </is>
      </c>
      <c r="C219" s="3452" t="inlineStr">
        <is>
          <t>000224000</t>
        </is>
      </c>
      <c r="D219" s="3452" t="inlineStr">
        <is>
          <t>202006</t>
        </is>
      </c>
      <c r="E219" s="3452" t="inlineStr">
        <is>
          <t>0,000000000000</t>
        </is>
      </c>
    </row>
    <row outlineLevel="0" r="220">
      <c r="A220" s="3452" t="inlineStr">
        <is>
          <t>000224000202006236501</t>
        </is>
      </c>
      <c r="B220" s="3452" t="inlineStr">
        <is>
          <t>236501</t>
        </is>
      </c>
      <c r="C220" s="3452" t="inlineStr">
        <is>
          <t>000224000</t>
        </is>
      </c>
      <c r="D220" s="3452" t="inlineStr">
        <is>
          <t>202006</t>
        </is>
      </c>
      <c r="E220" s="3452" t="inlineStr">
        <is>
          <t>0,000000000000</t>
        </is>
      </c>
    </row>
    <row outlineLevel="0" r="221">
      <c r="A221" s="3452" t="inlineStr">
        <is>
          <t>000224000202006236700</t>
        </is>
      </c>
      <c r="B221" s="3452" t="inlineStr">
        <is>
          <t>236700</t>
        </is>
      </c>
      <c r="C221" s="3452" t="inlineStr">
        <is>
          <t>000224000</t>
        </is>
      </c>
      <c r="D221" s="3452" t="inlineStr">
        <is>
          <t>202006</t>
        </is>
      </c>
      <c r="E221" s="3452" t="inlineStr">
        <is>
          <t>0,000000000000</t>
        </is>
      </c>
    </row>
    <row outlineLevel="0" r="222">
      <c r="A222" s="3452" t="inlineStr">
        <is>
          <t>000224000202006236701</t>
        </is>
      </c>
      <c r="B222" s="3452" t="inlineStr">
        <is>
          <t>236701</t>
        </is>
      </c>
      <c r="C222" s="3452" t="inlineStr">
        <is>
          <t>000224000</t>
        </is>
      </c>
      <c r="D222" s="3452" t="inlineStr">
        <is>
          <t>202006</t>
        </is>
      </c>
      <c r="E222" s="3452" t="inlineStr">
        <is>
          <t>0,000000000000</t>
        </is>
      </c>
    </row>
    <row outlineLevel="0" r="223">
      <c r="A223" s="3452" t="inlineStr">
        <is>
          <t>000224000202006236800</t>
        </is>
      </c>
      <c r="B223" s="3452" t="inlineStr">
        <is>
          <t>236800</t>
        </is>
      </c>
      <c r="C223" s="3452" t="inlineStr">
        <is>
          <t>000224000</t>
        </is>
      </c>
      <c r="D223" s="3452" t="inlineStr">
        <is>
          <t>202006</t>
        </is>
      </c>
      <c r="E223" s="3452" t="inlineStr">
        <is>
          <t>0,000000000000</t>
        </is>
      </c>
    </row>
    <row outlineLevel="0" r="224">
      <c r="A224" s="3452" t="inlineStr">
        <is>
          <t>000224000202006237000</t>
        </is>
      </c>
      <c r="B224" s="3452" t="inlineStr">
        <is>
          <t>237000</t>
        </is>
      </c>
      <c r="C224" s="3452" t="inlineStr">
        <is>
          <t>000224000</t>
        </is>
      </c>
      <c r="D224" s="3452" t="inlineStr">
        <is>
          <t>202006</t>
        </is>
      </c>
      <c r="E224" s="3452" t="inlineStr">
        <is>
          <t>0,000000000000</t>
        </is>
      </c>
    </row>
    <row outlineLevel="0" r="225">
      <c r="A225" s="3452" t="inlineStr">
        <is>
          <t>000224000202006237001</t>
        </is>
      </c>
      <c r="B225" s="3452" t="inlineStr">
        <is>
          <t>237001</t>
        </is>
      </c>
      <c r="C225" s="3452" t="inlineStr">
        <is>
          <t>000224000</t>
        </is>
      </c>
      <c r="D225" s="3452" t="inlineStr">
        <is>
          <t>202006</t>
        </is>
      </c>
      <c r="E225" s="3452" t="inlineStr">
        <is>
          <t>0,000000000000</t>
        </is>
      </c>
    </row>
    <row outlineLevel="0" r="226">
      <c r="A226" s="3452" t="inlineStr">
        <is>
          <t>000224000202006238000</t>
        </is>
      </c>
      <c r="B226" s="3452" t="inlineStr">
        <is>
          <t>238000</t>
        </is>
      </c>
      <c r="C226" s="3452" t="inlineStr">
        <is>
          <t>000224000</t>
        </is>
      </c>
      <c r="D226" s="3452" t="inlineStr">
        <is>
          <t>202006</t>
        </is>
      </c>
      <c r="E226" s="3452" t="inlineStr">
        <is>
          <t>0,000000000000</t>
        </is>
      </c>
    </row>
    <row outlineLevel="0" r="227">
      <c r="A227" s="3452" t="inlineStr">
        <is>
          <t>000224000202006238001</t>
        </is>
      </c>
      <c r="B227" s="3452" t="inlineStr">
        <is>
          <t>238001</t>
        </is>
      </c>
      <c r="C227" s="3452" t="inlineStr">
        <is>
          <t>000224000</t>
        </is>
      </c>
      <c r="D227" s="3452" t="inlineStr">
        <is>
          <t>202006</t>
        </is>
      </c>
      <c r="E227" s="3452" t="inlineStr">
        <is>
          <t>0,000000000000</t>
        </is>
      </c>
    </row>
    <row outlineLevel="0" r="228">
      <c r="A228" s="3452" t="inlineStr">
        <is>
          <t>000224000202006240001</t>
        </is>
      </c>
      <c r="B228" s="3452" t="inlineStr">
        <is>
          <t>240001</t>
        </is>
      </c>
      <c r="C228" s="3452" t="inlineStr">
        <is>
          <t>000224000</t>
        </is>
      </c>
      <c r="D228" s="3452" t="inlineStr">
        <is>
          <t>202006</t>
        </is>
      </c>
      <c r="E228" s="3452" t="inlineStr">
        <is>
          <t>0,000000000000</t>
        </is>
      </c>
    </row>
    <row outlineLevel="0" r="229">
      <c r="A229" s="3452" t="inlineStr">
        <is>
          <t>000224000202006240400</t>
        </is>
      </c>
      <c r="B229" s="3452" t="inlineStr">
        <is>
          <t>240400</t>
        </is>
      </c>
      <c r="C229" s="3452" t="inlineStr">
        <is>
          <t>000224000</t>
        </is>
      </c>
      <c r="D229" s="3452" t="inlineStr">
        <is>
          <t>202006</t>
        </is>
      </c>
      <c r="E229" s="3452" t="inlineStr">
        <is>
          <t>0,000000000000</t>
        </is>
      </c>
    </row>
    <row outlineLevel="0" r="230">
      <c r="A230" s="3452" t="inlineStr">
        <is>
          <t>000224000202006240401</t>
        </is>
      </c>
      <c r="B230" s="3452" t="inlineStr">
        <is>
          <t>240401</t>
        </is>
      </c>
      <c r="C230" s="3452" t="inlineStr">
        <is>
          <t>000224000</t>
        </is>
      </c>
      <c r="D230" s="3452" t="inlineStr">
        <is>
          <t>202006</t>
        </is>
      </c>
      <c r="E230" s="3452" t="inlineStr">
        <is>
          <t>0,000000000000</t>
        </is>
      </c>
    </row>
    <row outlineLevel="0" r="231">
      <c r="A231" s="3452" t="inlineStr">
        <is>
          <t>000224000202006240800</t>
        </is>
      </c>
      <c r="B231" s="3452" t="inlineStr">
        <is>
          <t>240800</t>
        </is>
      </c>
      <c r="C231" s="3452" t="inlineStr">
        <is>
          <t>000224000</t>
        </is>
      </c>
      <c r="D231" s="3452" t="inlineStr">
        <is>
          <t>202006</t>
        </is>
      </c>
      <c r="E231" s="3452" t="inlineStr">
        <is>
          <t>0,000000000000</t>
        </is>
      </c>
    </row>
    <row outlineLevel="0" r="232">
      <c r="A232" s="3452" t="inlineStr">
        <is>
          <t>000224000202006240801</t>
        </is>
      </c>
      <c r="B232" s="3452" t="inlineStr">
        <is>
          <t>240801</t>
        </is>
      </c>
      <c r="C232" s="3452" t="inlineStr">
        <is>
          <t>000224000</t>
        </is>
      </c>
      <c r="D232" s="3452" t="inlineStr">
        <is>
          <t>202006</t>
        </is>
      </c>
      <c r="E232" s="3452" t="inlineStr">
        <is>
          <t>0,000000000000</t>
        </is>
      </c>
    </row>
    <row outlineLevel="0" r="233">
      <c r="A233" s="3452" t="inlineStr">
        <is>
          <t>000224000202006241200</t>
        </is>
      </c>
      <c r="B233" s="3452" t="inlineStr">
        <is>
          <t>241200</t>
        </is>
      </c>
      <c r="C233" s="3452" t="inlineStr">
        <is>
          <t>000224000</t>
        </is>
      </c>
      <c r="D233" s="3452" t="inlineStr">
        <is>
          <t>202006</t>
        </is>
      </c>
      <c r="E233" s="3452" t="inlineStr">
        <is>
          <t>0,000000000000</t>
        </is>
      </c>
    </row>
    <row outlineLevel="0" r="234">
      <c r="A234" s="3452" t="inlineStr">
        <is>
          <t>000224000202006241201</t>
        </is>
      </c>
      <c r="B234" s="3452" t="inlineStr">
        <is>
          <t>241201</t>
        </is>
      </c>
      <c r="C234" s="3452" t="inlineStr">
        <is>
          <t>000224000</t>
        </is>
      </c>
      <c r="D234" s="3452" t="inlineStr">
        <is>
          <t>202006</t>
        </is>
      </c>
      <c r="E234" s="3452" t="inlineStr">
        <is>
          <t>0,000000000000</t>
        </is>
      </c>
    </row>
    <row outlineLevel="0" r="235">
      <c r="A235" s="3452" t="inlineStr">
        <is>
          <t>000224000202006249500</t>
        </is>
      </c>
      <c r="B235" s="3452" t="inlineStr">
        <is>
          <t>249500</t>
        </is>
      </c>
      <c r="C235" s="3452" t="inlineStr">
        <is>
          <t>000224000</t>
        </is>
      </c>
      <c r="D235" s="3452" t="inlineStr">
        <is>
          <t>202006</t>
        </is>
      </c>
      <c r="E235" s="3452" t="inlineStr">
        <is>
          <t>0,000000000000</t>
        </is>
      </c>
    </row>
    <row outlineLevel="0" r="236">
      <c r="A236" s="3452" t="inlineStr">
        <is>
          <t>000224000202006249501</t>
        </is>
      </c>
      <c r="B236" s="3452" t="inlineStr">
        <is>
          <t>249501</t>
        </is>
      </c>
      <c r="C236" s="3452" t="inlineStr">
        <is>
          <t>000224000</t>
        </is>
      </c>
      <c r="D236" s="3452" t="inlineStr">
        <is>
          <t>202006</t>
        </is>
      </c>
      <c r="E236" s="3452" t="inlineStr">
        <is>
          <t>0,000000000000</t>
        </is>
      </c>
    </row>
    <row outlineLevel="0" r="237">
      <c r="A237" s="3452" t="inlineStr">
        <is>
          <t>000224000202006250500</t>
        </is>
      </c>
      <c r="B237" s="3452" t="inlineStr">
        <is>
          <t>250500</t>
        </is>
      </c>
      <c r="C237" s="3452" t="inlineStr">
        <is>
          <t>000224000</t>
        </is>
      </c>
      <c r="D237" s="3452" t="inlineStr">
        <is>
          <t>202006</t>
        </is>
      </c>
      <c r="E237" s="3452" t="inlineStr">
        <is>
          <t>0,000000000000</t>
        </is>
      </c>
    </row>
    <row outlineLevel="0" r="238">
      <c r="A238" s="3452" t="inlineStr">
        <is>
          <t>000224000202006250501</t>
        </is>
      </c>
      <c r="B238" s="3452" t="inlineStr">
        <is>
          <t>250501</t>
        </is>
      </c>
      <c r="C238" s="3452" t="inlineStr">
        <is>
          <t>000224000</t>
        </is>
      </c>
      <c r="D238" s="3452" t="inlineStr">
        <is>
          <t>202006</t>
        </is>
      </c>
      <c r="E238" s="3452" t="inlineStr">
        <is>
          <t>0,000000000000</t>
        </is>
      </c>
    </row>
    <row outlineLevel="0" r="239">
      <c r="A239" s="3452" t="inlineStr">
        <is>
          <t>000224000202006251000</t>
        </is>
      </c>
      <c r="B239" s="3452" t="inlineStr">
        <is>
          <t>251000</t>
        </is>
      </c>
      <c r="C239" s="3452" t="inlineStr">
        <is>
          <t>000224000</t>
        </is>
      </c>
      <c r="D239" s="3452" t="inlineStr">
        <is>
          <t>202006</t>
        </is>
      </c>
      <c r="E239" s="3452" t="inlineStr">
        <is>
          <t>0,000000000000</t>
        </is>
      </c>
    </row>
    <row outlineLevel="0" r="240">
      <c r="A240" s="3452" t="inlineStr">
        <is>
          <t>000224000202006251001</t>
        </is>
      </c>
      <c r="B240" s="3452" t="inlineStr">
        <is>
          <t>251001</t>
        </is>
      </c>
      <c r="C240" s="3452" t="inlineStr">
        <is>
          <t>000224000</t>
        </is>
      </c>
      <c r="D240" s="3452" t="inlineStr">
        <is>
          <t>202006</t>
        </is>
      </c>
      <c r="E240" s="3452" t="inlineStr">
        <is>
          <t>0,000000000000</t>
        </is>
      </c>
    </row>
    <row outlineLevel="0" r="241">
      <c r="A241" s="3452" t="inlineStr">
        <is>
          <t>000224000202006251500</t>
        </is>
      </c>
      <c r="B241" s="3452" t="inlineStr">
        <is>
          <t>251500</t>
        </is>
      </c>
      <c r="C241" s="3452" t="inlineStr">
        <is>
          <t>000224000</t>
        </is>
      </c>
      <c r="D241" s="3452" t="inlineStr">
        <is>
          <t>202006</t>
        </is>
      </c>
      <c r="E241" s="3452" t="inlineStr">
        <is>
          <t>0,000000000000</t>
        </is>
      </c>
    </row>
    <row outlineLevel="0" r="242">
      <c r="A242" s="3452" t="inlineStr">
        <is>
          <t>000224000202006251501</t>
        </is>
      </c>
      <c r="B242" s="3452" t="inlineStr">
        <is>
          <t>251501</t>
        </is>
      </c>
      <c r="C242" s="3452" t="inlineStr">
        <is>
          <t>000224000</t>
        </is>
      </c>
      <c r="D242" s="3452" t="inlineStr">
        <is>
          <t>202006</t>
        </is>
      </c>
      <c r="E242" s="3452" t="inlineStr">
        <is>
          <t>0,000000000000</t>
        </is>
      </c>
    </row>
    <row outlineLevel="0" r="243">
      <c r="A243" s="3452" t="inlineStr">
        <is>
          <t>000224000202006252500</t>
        </is>
      </c>
      <c r="B243" s="3452" t="inlineStr">
        <is>
          <t>252500</t>
        </is>
      </c>
      <c r="C243" s="3452" t="inlineStr">
        <is>
          <t>000224000</t>
        </is>
      </c>
      <c r="D243" s="3452" t="inlineStr">
        <is>
          <t>202006</t>
        </is>
      </c>
      <c r="E243" s="3452" t="inlineStr">
        <is>
          <t>0,000000000000</t>
        </is>
      </c>
    </row>
    <row outlineLevel="0" r="244">
      <c r="A244" s="3452" t="inlineStr">
        <is>
          <t>000224000202006252501</t>
        </is>
      </c>
      <c r="B244" s="3452" t="inlineStr">
        <is>
          <t>252501</t>
        </is>
      </c>
      <c r="C244" s="3452" t="inlineStr">
        <is>
          <t>000224000</t>
        </is>
      </c>
      <c r="D244" s="3452" t="inlineStr">
        <is>
          <t>202006</t>
        </is>
      </c>
      <c r="E244" s="3452" t="inlineStr">
        <is>
          <t>0,000000000000</t>
        </is>
      </c>
    </row>
    <row outlineLevel="0" r="245">
      <c r="A245" s="3452" t="inlineStr">
        <is>
          <t>000224000202006253000</t>
        </is>
      </c>
      <c r="B245" s="3452" t="inlineStr">
        <is>
          <t>253000</t>
        </is>
      </c>
      <c r="C245" s="3452" t="inlineStr">
        <is>
          <t>000224000</t>
        </is>
      </c>
      <c r="D245" s="3452" t="inlineStr">
        <is>
          <t>202006</t>
        </is>
      </c>
      <c r="E245" s="3452" t="inlineStr">
        <is>
          <t>0,000000000000</t>
        </is>
      </c>
    </row>
    <row outlineLevel="0" r="246">
      <c r="A246" s="3452" t="inlineStr">
        <is>
          <t>000224000202006253001</t>
        </is>
      </c>
      <c r="B246" s="3452" t="inlineStr">
        <is>
          <t>253001</t>
        </is>
      </c>
      <c r="C246" s="3452" t="inlineStr">
        <is>
          <t>000224000</t>
        </is>
      </c>
      <c r="D246" s="3452" t="inlineStr">
        <is>
          <t>202006</t>
        </is>
      </c>
      <c r="E246" s="3452" t="inlineStr">
        <is>
          <t>0,000000000000</t>
        </is>
      </c>
    </row>
    <row outlineLevel="0" r="247">
      <c r="A247" s="3452" t="inlineStr">
        <is>
          <t>000224000202006259500</t>
        </is>
      </c>
      <c r="B247" s="3452" t="inlineStr">
        <is>
          <t>259500</t>
        </is>
      </c>
      <c r="C247" s="3452" t="inlineStr">
        <is>
          <t>000224000</t>
        </is>
      </c>
      <c r="D247" s="3452" t="inlineStr">
        <is>
          <t>202006</t>
        </is>
      </c>
      <c r="E247" s="3452" t="inlineStr">
        <is>
          <t>0,000000000000</t>
        </is>
      </c>
    </row>
    <row outlineLevel="0" r="248">
      <c r="A248" s="3452" t="inlineStr">
        <is>
          <t>000224000202006259501</t>
        </is>
      </c>
      <c r="B248" s="3452" t="inlineStr">
        <is>
          <t>259501</t>
        </is>
      </c>
      <c r="C248" s="3452" t="inlineStr">
        <is>
          <t>000224000</t>
        </is>
      </c>
      <c r="D248" s="3452" t="inlineStr">
        <is>
          <t>202006</t>
        </is>
      </c>
      <c r="E248" s="3452" t="inlineStr">
        <is>
          <t>0,000000000000</t>
        </is>
      </c>
    </row>
    <row outlineLevel="0" r="249">
      <c r="A249" s="3452" t="inlineStr">
        <is>
          <t>000224000202006260500</t>
        </is>
      </c>
      <c r="B249" s="3452" t="inlineStr">
        <is>
          <t>260500</t>
        </is>
      </c>
      <c r="C249" s="3452" t="inlineStr">
        <is>
          <t>000224000</t>
        </is>
      </c>
      <c r="D249" s="3452" t="inlineStr">
        <is>
          <t>202006</t>
        </is>
      </c>
      <c r="E249" s="3452" t="inlineStr">
        <is>
          <t>0,000000000000</t>
        </is>
      </c>
    </row>
    <row outlineLevel="0" r="250">
      <c r="A250" s="3452" t="inlineStr">
        <is>
          <t>000224000202006260501</t>
        </is>
      </c>
      <c r="B250" s="3452" t="inlineStr">
        <is>
          <t>260501</t>
        </is>
      </c>
      <c r="C250" s="3452" t="inlineStr">
        <is>
          <t>000224000</t>
        </is>
      </c>
      <c r="D250" s="3452" t="inlineStr">
        <is>
          <t>202006</t>
        </is>
      </c>
      <c r="E250" s="3452" t="inlineStr">
        <is>
          <t>0,000000000000</t>
        </is>
      </c>
    </row>
    <row outlineLevel="0" r="251">
      <c r="A251" s="3452" t="inlineStr">
        <is>
          <t>000224000202006261000</t>
        </is>
      </c>
      <c r="B251" s="3452" t="inlineStr">
        <is>
          <t>261000</t>
        </is>
      </c>
      <c r="C251" s="3452" t="inlineStr">
        <is>
          <t>000224000</t>
        </is>
      </c>
      <c r="D251" s="3452" t="inlineStr">
        <is>
          <t>202006</t>
        </is>
      </c>
      <c r="E251" s="3452" t="inlineStr">
        <is>
          <t>0,000000000000</t>
        </is>
      </c>
    </row>
    <row outlineLevel="0" r="252">
      <c r="A252" s="3452" t="inlineStr">
        <is>
          <t>000224000202006261001</t>
        </is>
      </c>
      <c r="B252" s="3452" t="inlineStr">
        <is>
          <t>261001</t>
        </is>
      </c>
      <c r="C252" s="3452" t="inlineStr">
        <is>
          <t>000224000</t>
        </is>
      </c>
      <c r="D252" s="3452" t="inlineStr">
        <is>
          <t>202006</t>
        </is>
      </c>
      <c r="E252" s="3452" t="inlineStr">
        <is>
          <t>0,000000000000</t>
        </is>
      </c>
    </row>
    <row outlineLevel="0" r="253">
      <c r="A253" s="3452" t="inlineStr">
        <is>
          <t>000224000202006261500</t>
        </is>
      </c>
      <c r="B253" s="3452" t="inlineStr">
        <is>
          <t>261500</t>
        </is>
      </c>
      <c r="C253" s="3452" t="inlineStr">
        <is>
          <t>000224000</t>
        </is>
      </c>
      <c r="D253" s="3452" t="inlineStr">
        <is>
          <t>202006</t>
        </is>
      </c>
      <c r="E253" s="3452" t="inlineStr">
        <is>
          <t>0,000000000000</t>
        </is>
      </c>
    </row>
    <row outlineLevel="0" r="254">
      <c r="A254" s="3452" t="inlineStr">
        <is>
          <t>000224000202006261501</t>
        </is>
      </c>
      <c r="B254" s="3452" t="inlineStr">
        <is>
          <t>261501</t>
        </is>
      </c>
      <c r="C254" s="3452" t="inlineStr">
        <is>
          <t>000224000</t>
        </is>
      </c>
      <c r="D254" s="3452" t="inlineStr">
        <is>
          <t>202006</t>
        </is>
      </c>
      <c r="E254" s="3452" t="inlineStr">
        <is>
          <t>0,000000000000</t>
        </is>
      </c>
    </row>
    <row outlineLevel="0" r="255">
      <c r="A255" s="3452" t="inlineStr">
        <is>
          <t>000224000202006262000</t>
        </is>
      </c>
      <c r="B255" s="3452" t="inlineStr">
        <is>
          <t>262000</t>
        </is>
      </c>
      <c r="C255" s="3452" t="inlineStr">
        <is>
          <t>000224000</t>
        </is>
      </c>
      <c r="D255" s="3452" t="inlineStr">
        <is>
          <t>202006</t>
        </is>
      </c>
      <c r="E255" s="3452" t="inlineStr">
        <is>
          <t>0,000000000000</t>
        </is>
      </c>
    </row>
    <row outlineLevel="0" r="256">
      <c r="A256" s="3452" t="inlineStr">
        <is>
          <t>000224000202006262001</t>
        </is>
      </c>
      <c r="B256" s="3452" t="inlineStr">
        <is>
          <t>262001</t>
        </is>
      </c>
      <c r="C256" s="3452" t="inlineStr">
        <is>
          <t>000224000</t>
        </is>
      </c>
      <c r="D256" s="3452" t="inlineStr">
        <is>
          <t>202006</t>
        </is>
      </c>
      <c r="E256" s="3452" t="inlineStr">
        <is>
          <t>0,000000000000</t>
        </is>
      </c>
    </row>
    <row outlineLevel="0" r="257">
      <c r="A257" s="3452" t="inlineStr">
        <is>
          <t>000224000202006262500</t>
        </is>
      </c>
      <c r="B257" s="3452" t="inlineStr">
        <is>
          <t>262500</t>
        </is>
      </c>
      <c r="C257" s="3452" t="inlineStr">
        <is>
          <t>000224000</t>
        </is>
      </c>
      <c r="D257" s="3452" t="inlineStr">
        <is>
          <t>202006</t>
        </is>
      </c>
      <c r="E257" s="3452" t="inlineStr">
        <is>
          <t>0,000000000000</t>
        </is>
      </c>
    </row>
    <row outlineLevel="0" r="258">
      <c r="A258" s="3452" t="inlineStr">
        <is>
          <t>000224000202006262501</t>
        </is>
      </c>
      <c r="B258" s="3452" t="inlineStr">
        <is>
          <t>262501</t>
        </is>
      </c>
      <c r="C258" s="3452" t="inlineStr">
        <is>
          <t>000224000</t>
        </is>
      </c>
      <c r="D258" s="3452" t="inlineStr">
        <is>
          <t>202006</t>
        </is>
      </c>
      <c r="E258" s="3452" t="inlineStr">
        <is>
          <t>0,000000000000</t>
        </is>
      </c>
    </row>
    <row outlineLevel="0" r="259">
      <c r="A259" s="3452" t="inlineStr">
        <is>
          <t>000224000202006263000</t>
        </is>
      </c>
      <c r="B259" s="3452" t="inlineStr">
        <is>
          <t>263000</t>
        </is>
      </c>
      <c r="C259" s="3452" t="inlineStr">
        <is>
          <t>000224000</t>
        </is>
      </c>
      <c r="D259" s="3452" t="inlineStr">
        <is>
          <t>202006</t>
        </is>
      </c>
      <c r="E259" s="3452" t="inlineStr">
        <is>
          <t>0,000000000000</t>
        </is>
      </c>
    </row>
    <row outlineLevel="0" r="260">
      <c r="A260" s="3452" t="inlineStr">
        <is>
          <t>000224000202006263001</t>
        </is>
      </c>
      <c r="B260" s="3452" t="inlineStr">
        <is>
          <t>263001</t>
        </is>
      </c>
      <c r="C260" s="3452" t="inlineStr">
        <is>
          <t>000224000</t>
        </is>
      </c>
      <c r="D260" s="3452" t="inlineStr">
        <is>
          <t>202006</t>
        </is>
      </c>
      <c r="E260" s="3452" t="inlineStr">
        <is>
          <t>0,000000000000</t>
        </is>
      </c>
    </row>
    <row outlineLevel="0" r="261">
      <c r="A261" s="3452" t="inlineStr">
        <is>
          <t>000224000202006263500</t>
        </is>
      </c>
      <c r="B261" s="3452" t="inlineStr">
        <is>
          <t>263500</t>
        </is>
      </c>
      <c r="C261" s="3452" t="inlineStr">
        <is>
          <t>000224000</t>
        </is>
      </c>
      <c r="D261" s="3452" t="inlineStr">
        <is>
          <t>202006</t>
        </is>
      </c>
      <c r="E261" s="3452" t="inlineStr">
        <is>
          <t>0,000000000000</t>
        </is>
      </c>
    </row>
    <row outlineLevel="0" r="262">
      <c r="A262" s="3452" t="inlineStr">
        <is>
          <t>000224000202006263501</t>
        </is>
      </c>
      <c r="B262" s="3452" t="inlineStr">
        <is>
          <t>263501</t>
        </is>
      </c>
      <c r="C262" s="3452" t="inlineStr">
        <is>
          <t>000224000</t>
        </is>
      </c>
      <c r="D262" s="3452" t="inlineStr">
        <is>
          <t>202006</t>
        </is>
      </c>
      <c r="E262" s="3452" t="inlineStr">
        <is>
          <t>0,000000000000</t>
        </is>
      </c>
    </row>
    <row outlineLevel="0" r="263">
      <c r="A263" s="3452" t="inlineStr">
        <is>
          <t>000224000202006264000</t>
        </is>
      </c>
      <c r="B263" s="3452" t="inlineStr">
        <is>
          <t>264000</t>
        </is>
      </c>
      <c r="C263" s="3452" t="inlineStr">
        <is>
          <t>000224000</t>
        </is>
      </c>
      <c r="D263" s="3452" t="inlineStr">
        <is>
          <t>202006</t>
        </is>
      </c>
      <c r="E263" s="3452" t="inlineStr">
        <is>
          <t>0,000000000000</t>
        </is>
      </c>
    </row>
    <row outlineLevel="0" r="264">
      <c r="A264" s="3452" t="inlineStr">
        <is>
          <t>000224000202006264001</t>
        </is>
      </c>
      <c r="B264" s="3452" t="inlineStr">
        <is>
          <t>264001</t>
        </is>
      </c>
      <c r="C264" s="3452" t="inlineStr">
        <is>
          <t>000224000</t>
        </is>
      </c>
      <c r="D264" s="3452" t="inlineStr">
        <is>
          <t>202006</t>
        </is>
      </c>
      <c r="E264" s="3452" t="inlineStr">
        <is>
          <t>0,000000000000</t>
        </is>
      </c>
    </row>
    <row outlineLevel="0" r="265">
      <c r="A265" s="3452" t="inlineStr">
        <is>
          <t>000224000202006269500</t>
        </is>
      </c>
      <c r="B265" s="3452" t="inlineStr">
        <is>
          <t>269500</t>
        </is>
      </c>
      <c r="C265" s="3452" t="inlineStr">
        <is>
          <t>000224000</t>
        </is>
      </c>
      <c r="D265" s="3452" t="inlineStr">
        <is>
          <t>202006</t>
        </is>
      </c>
      <c r="E265" s="3452" t="inlineStr">
        <is>
          <t>0,000000000000</t>
        </is>
      </c>
    </row>
    <row outlineLevel="0" r="266">
      <c r="A266" s="3452" t="inlineStr">
        <is>
          <t>000224000202006269501</t>
        </is>
      </c>
      <c r="B266" s="3452" t="inlineStr">
        <is>
          <t>269501</t>
        </is>
      </c>
      <c r="C266" s="3452" t="inlineStr">
        <is>
          <t>000224000</t>
        </is>
      </c>
      <c r="D266" s="3452" t="inlineStr">
        <is>
          <t>202006</t>
        </is>
      </c>
      <c r="E266" s="3452" t="inlineStr">
        <is>
          <t>0,000000000000</t>
        </is>
      </c>
    </row>
    <row outlineLevel="0" r="267">
      <c r="A267" s="3452" t="inlineStr">
        <is>
          <t>000224000202006270500</t>
        </is>
      </c>
      <c r="B267" s="3452" t="inlineStr">
        <is>
          <t>270500</t>
        </is>
      </c>
      <c r="C267" s="3452" t="inlineStr">
        <is>
          <t>000224000</t>
        </is>
      </c>
      <c r="D267" s="3452" t="inlineStr">
        <is>
          <t>202006</t>
        </is>
      </c>
      <c r="E267" s="3452" t="inlineStr">
        <is>
          <t>0,000000000000</t>
        </is>
      </c>
    </row>
    <row outlineLevel="0" r="268">
      <c r="A268" s="3452" t="inlineStr">
        <is>
          <t>000224000202006270501</t>
        </is>
      </c>
      <c r="B268" s="3452" t="inlineStr">
        <is>
          <t>270501</t>
        </is>
      </c>
      <c r="C268" s="3452" t="inlineStr">
        <is>
          <t>000224000</t>
        </is>
      </c>
      <c r="D268" s="3452" t="inlineStr">
        <is>
          <t>202006</t>
        </is>
      </c>
      <c r="E268" s="3452" t="inlineStr">
        <is>
          <t>0,000000000000</t>
        </is>
      </c>
    </row>
    <row outlineLevel="0" r="269">
      <c r="A269" s="3452" t="inlineStr">
        <is>
          <t>000224000202006271000</t>
        </is>
      </c>
      <c r="B269" s="3452" t="inlineStr">
        <is>
          <t>271000</t>
        </is>
      </c>
      <c r="C269" s="3452" t="inlineStr">
        <is>
          <t>000224000</t>
        </is>
      </c>
      <c r="D269" s="3452" t="inlineStr">
        <is>
          <t>202006</t>
        </is>
      </c>
      <c r="E269" s="3452" t="inlineStr">
        <is>
          <t>0,000000000000</t>
        </is>
      </c>
    </row>
    <row outlineLevel="0" r="270">
      <c r="A270" s="3452" t="inlineStr">
        <is>
          <t>000224000202006271001</t>
        </is>
      </c>
      <c r="B270" s="3452" t="inlineStr">
        <is>
          <t>271001</t>
        </is>
      </c>
      <c r="C270" s="3452" t="inlineStr">
        <is>
          <t>000224000</t>
        </is>
      </c>
      <c r="D270" s="3452" t="inlineStr">
        <is>
          <t>202006</t>
        </is>
      </c>
      <c r="E270" s="3452" t="inlineStr">
        <is>
          <t>0,000000000000</t>
        </is>
      </c>
    </row>
    <row outlineLevel="0" r="271">
      <c r="A271" s="3452" t="inlineStr">
        <is>
          <t>000224000202006272001</t>
        </is>
      </c>
      <c r="B271" s="3452" t="inlineStr">
        <is>
          <t>272001</t>
        </is>
      </c>
      <c r="C271" s="3452" t="inlineStr">
        <is>
          <t>000224000</t>
        </is>
      </c>
      <c r="D271" s="3452" t="inlineStr">
        <is>
          <t>202006</t>
        </is>
      </c>
      <c r="E271" s="3452" t="inlineStr">
        <is>
          <t>0,000000000000</t>
        </is>
      </c>
    </row>
    <row outlineLevel="0" r="272">
      <c r="A272" s="3452" t="inlineStr">
        <is>
          <t>000224000202006272500</t>
        </is>
      </c>
      <c r="B272" s="3452" t="inlineStr">
        <is>
          <t>272500</t>
        </is>
      </c>
      <c r="C272" s="3452" t="inlineStr">
        <is>
          <t>000224000</t>
        </is>
      </c>
      <c r="D272" s="3452" t="inlineStr">
        <is>
          <t>202006</t>
        </is>
      </c>
      <c r="E272" s="3452" t="inlineStr">
        <is>
          <t>0,000000000000</t>
        </is>
      </c>
    </row>
    <row outlineLevel="0" r="273">
      <c r="A273" s="3452" t="inlineStr">
        <is>
          <t>000224000202006272501</t>
        </is>
      </c>
      <c r="B273" s="3452" t="inlineStr">
        <is>
          <t>272501</t>
        </is>
      </c>
      <c r="C273" s="3452" t="inlineStr">
        <is>
          <t>000224000</t>
        </is>
      </c>
      <c r="D273" s="3452" t="inlineStr">
        <is>
          <t>202006</t>
        </is>
      </c>
      <c r="E273" s="3452" t="inlineStr">
        <is>
          <t>0,000000000000</t>
        </is>
      </c>
    </row>
    <row outlineLevel="0" r="274">
      <c r="A274" s="3452" t="inlineStr">
        <is>
          <t>000224000202006279500</t>
        </is>
      </c>
      <c r="B274" s="3452" t="inlineStr">
        <is>
          <t>279500</t>
        </is>
      </c>
      <c r="C274" s="3452" t="inlineStr">
        <is>
          <t>000224000</t>
        </is>
      </c>
      <c r="D274" s="3452" t="inlineStr">
        <is>
          <t>202006</t>
        </is>
      </c>
      <c r="E274" s="3452" t="inlineStr">
        <is>
          <t>0,000000000000</t>
        </is>
      </c>
    </row>
    <row outlineLevel="0" r="275">
      <c r="A275" s="3452" t="inlineStr">
        <is>
          <t>000224000202006279501</t>
        </is>
      </c>
      <c r="B275" s="3452" t="inlineStr">
        <is>
          <t>279501</t>
        </is>
      </c>
      <c r="C275" s="3452" t="inlineStr">
        <is>
          <t>000224000</t>
        </is>
      </c>
      <c r="D275" s="3452" t="inlineStr">
        <is>
          <t>202006</t>
        </is>
      </c>
      <c r="E275" s="3452" t="inlineStr">
        <is>
          <t>0,000000000000</t>
        </is>
      </c>
    </row>
    <row outlineLevel="0" r="276">
      <c r="A276" s="3452" t="inlineStr">
        <is>
          <t>000224000202006281000</t>
        </is>
      </c>
      <c r="B276" s="3452" t="inlineStr">
        <is>
          <t>281000</t>
        </is>
      </c>
      <c r="C276" s="3452" t="inlineStr">
        <is>
          <t>000224000</t>
        </is>
      </c>
      <c r="D276" s="3452" t="inlineStr">
        <is>
          <t>202006</t>
        </is>
      </c>
      <c r="E276" s="3452" t="inlineStr">
        <is>
          <t>0,000000000000</t>
        </is>
      </c>
    </row>
    <row outlineLevel="0" r="277">
      <c r="A277" s="3452" t="inlineStr">
        <is>
          <t>000224000202006282000</t>
        </is>
      </c>
      <c r="B277" s="3452" t="inlineStr">
        <is>
          <t>282000</t>
        </is>
      </c>
      <c r="C277" s="3452" t="inlineStr">
        <is>
          <t>000224000</t>
        </is>
      </c>
      <c r="D277" s="3452" t="inlineStr">
        <is>
          <t>202006</t>
        </is>
      </c>
      <c r="E277" s="3452" t="inlineStr">
        <is>
          <t>0,000000000000</t>
        </is>
      </c>
    </row>
    <row outlineLevel="0" r="278">
      <c r="A278" s="3452" t="inlineStr">
        <is>
          <t>000224000202006282500</t>
        </is>
      </c>
      <c r="B278" s="3452" t="inlineStr">
        <is>
          <t>282500</t>
        </is>
      </c>
      <c r="C278" s="3452" t="inlineStr">
        <is>
          <t>000224000</t>
        </is>
      </c>
      <c r="D278" s="3452" t="inlineStr">
        <is>
          <t>202006</t>
        </is>
      </c>
      <c r="E278" s="3452" t="inlineStr">
        <is>
          <t>0,000000000000</t>
        </is>
      </c>
    </row>
    <row outlineLevel="0" r="279">
      <c r="A279" s="3452" t="inlineStr">
        <is>
          <t>000224000202006284000</t>
        </is>
      </c>
      <c r="B279" s="3452" t="inlineStr">
        <is>
          <t>284000</t>
        </is>
      </c>
      <c r="C279" s="3452" t="inlineStr">
        <is>
          <t>000224000</t>
        </is>
      </c>
      <c r="D279" s="3452" t="inlineStr">
        <is>
          <t>202006</t>
        </is>
      </c>
      <c r="E279" s="3452" t="inlineStr">
        <is>
          <t>0,000000000000</t>
        </is>
      </c>
    </row>
    <row outlineLevel="0" r="280">
      <c r="A280" s="3452" t="inlineStr">
        <is>
          <t>000224000202006289500</t>
        </is>
      </c>
      <c r="B280" s="3452" t="inlineStr">
        <is>
          <t>289500</t>
        </is>
      </c>
      <c r="C280" s="3452" t="inlineStr">
        <is>
          <t>000224000</t>
        </is>
      </c>
      <c r="D280" s="3452" t="inlineStr">
        <is>
          <t>202006</t>
        </is>
      </c>
      <c r="E280" s="3452" t="inlineStr">
        <is>
          <t>0,000000000000</t>
        </is>
      </c>
    </row>
    <row outlineLevel="0" r="281">
      <c r="A281" s="3452" t="inlineStr">
        <is>
          <t>000224000202006290501</t>
        </is>
      </c>
      <c r="B281" s="3452" t="inlineStr">
        <is>
          <t>290501</t>
        </is>
      </c>
      <c r="C281" s="3452" t="inlineStr">
        <is>
          <t>000224000</t>
        </is>
      </c>
      <c r="D281" s="3452" t="inlineStr">
        <is>
          <t>202006</t>
        </is>
      </c>
      <c r="E281" s="3452" t="inlineStr">
        <is>
          <t>0,000000000000</t>
        </is>
      </c>
    </row>
    <row outlineLevel="0" r="282">
      <c r="A282" s="3452" t="inlineStr">
        <is>
          <t>000224000202006291000</t>
        </is>
      </c>
      <c r="B282" s="3452" t="inlineStr">
        <is>
          <t>291000</t>
        </is>
      </c>
      <c r="C282" s="3452" t="inlineStr">
        <is>
          <t>000224000</t>
        </is>
      </c>
      <c r="D282" s="3452" t="inlineStr">
        <is>
          <t>202006</t>
        </is>
      </c>
      <c r="E282" s="3452" t="inlineStr">
        <is>
          <t>0,000000000000</t>
        </is>
      </c>
    </row>
    <row outlineLevel="0" r="283">
      <c r="A283" s="3452" t="inlineStr">
        <is>
          <t>000224000202006291501</t>
        </is>
      </c>
      <c r="B283" s="3452" t="inlineStr">
        <is>
          <t>291501</t>
        </is>
      </c>
      <c r="C283" s="3452" t="inlineStr">
        <is>
          <t>000224000</t>
        </is>
      </c>
      <c r="D283" s="3452" t="inlineStr">
        <is>
          <t>202006</t>
        </is>
      </c>
      <c r="E283" s="3452" t="inlineStr">
        <is>
          <t>0,000000000000</t>
        </is>
      </c>
    </row>
    <row outlineLevel="0" r="284">
      <c r="A284" s="3452" t="inlineStr">
        <is>
          <t>000224000202006291991</t>
        </is>
      </c>
      <c r="B284" s="3452" t="inlineStr">
        <is>
          <t>291991</t>
        </is>
      </c>
      <c r="C284" s="3452" t="inlineStr">
        <is>
          <t>000224000</t>
        </is>
      </c>
      <c r="D284" s="3452" t="inlineStr">
        <is>
          <t>202006</t>
        </is>
      </c>
      <c r="E284" s="3452" t="inlineStr">
        <is>
          <t>0,000000000000</t>
        </is>
      </c>
    </row>
    <row outlineLevel="0" r="285">
      <c r="A285" s="3452" t="inlineStr">
        <is>
          <t>000224000202006292000</t>
        </is>
      </c>
      <c r="B285" s="3452" t="inlineStr">
        <is>
          <t>292000</t>
        </is>
      </c>
      <c r="C285" s="3452" t="inlineStr">
        <is>
          <t>000224000</t>
        </is>
      </c>
      <c r="D285" s="3452" t="inlineStr">
        <is>
          <t>202006</t>
        </is>
      </c>
      <c r="E285" s="3452" t="inlineStr">
        <is>
          <t>0,000000000000</t>
        </is>
      </c>
    </row>
    <row outlineLevel="0" r="286">
      <c r="A286" s="3452" t="inlineStr">
        <is>
          <t>000224000202006292001</t>
        </is>
      </c>
      <c r="B286" s="3452" t="inlineStr">
        <is>
          <t>292001</t>
        </is>
      </c>
      <c r="C286" s="3452" t="inlineStr">
        <is>
          <t>000224000</t>
        </is>
      </c>
      <c r="D286" s="3452" t="inlineStr">
        <is>
          <t>202006</t>
        </is>
      </c>
      <c r="E286" s="3452" t="inlineStr">
        <is>
          <t>0,000000000000</t>
        </is>
      </c>
    </row>
    <row outlineLevel="0" r="287">
      <c r="A287" s="3452" t="inlineStr">
        <is>
          <t>000224000202006293000</t>
        </is>
      </c>
      <c r="B287" s="3452" t="inlineStr">
        <is>
          <t>293000</t>
        </is>
      </c>
      <c r="C287" s="3452" t="inlineStr">
        <is>
          <t>000224000</t>
        </is>
      </c>
      <c r="D287" s="3452" t="inlineStr">
        <is>
          <t>202006</t>
        </is>
      </c>
      <c r="E287" s="3452" t="inlineStr">
        <is>
          <t>0,000000000000</t>
        </is>
      </c>
    </row>
    <row outlineLevel="0" r="288">
      <c r="A288" s="3452" t="inlineStr">
        <is>
          <t>000224000202006294000</t>
        </is>
      </c>
      <c r="B288" s="3452" t="inlineStr">
        <is>
          <t>294000</t>
        </is>
      </c>
      <c r="C288" s="3452" t="inlineStr">
        <is>
          <t>000224000</t>
        </is>
      </c>
      <c r="D288" s="3452" t="inlineStr">
        <is>
          <t>202006</t>
        </is>
      </c>
      <c r="E288" s="3452" t="inlineStr">
        <is>
          <t>0,000000000000</t>
        </is>
      </c>
    </row>
    <row outlineLevel="0" r="289">
      <c r="A289" s="3452" t="inlineStr">
        <is>
          <t>000224000202006299501</t>
        </is>
      </c>
      <c r="B289" s="3452" t="inlineStr">
        <is>
          <t>299501</t>
        </is>
      </c>
      <c r="C289" s="3452" t="inlineStr">
        <is>
          <t>000224000</t>
        </is>
      </c>
      <c r="D289" s="3452" t="inlineStr">
        <is>
          <t>202006</t>
        </is>
      </c>
      <c r="E289" s="3452" t="inlineStr">
        <is>
          <t>0,000000000000</t>
        </is>
      </c>
    </row>
    <row outlineLevel="0" r="290">
      <c r="A290" s="3452" t="inlineStr">
        <is>
          <t>000224000202006310500</t>
        </is>
      </c>
      <c r="B290" s="3452" t="inlineStr">
        <is>
          <t>310500</t>
        </is>
      </c>
      <c r="C290" s="3452" t="inlineStr">
        <is>
          <t>000224000</t>
        </is>
      </c>
      <c r="D290" s="3452" t="inlineStr">
        <is>
          <t>202006</t>
        </is>
      </c>
      <c r="E290" s="3452" t="inlineStr">
        <is>
          <t>0,000000000000</t>
        </is>
      </c>
    </row>
    <row outlineLevel="0" r="291">
      <c r="A291" s="3452" t="inlineStr">
        <is>
          <t>000224000202006311500</t>
        </is>
      </c>
      <c r="B291" s="3452" t="inlineStr">
        <is>
          <t>311500</t>
        </is>
      </c>
      <c r="C291" s="3452" t="inlineStr">
        <is>
          <t>000224000</t>
        </is>
      </c>
      <c r="D291" s="3452" t="inlineStr">
        <is>
          <t>202006</t>
        </is>
      </c>
      <c r="E291" s="3452" t="inlineStr">
        <is>
          <t>120000,000000000000</t>
        </is>
      </c>
    </row>
    <row outlineLevel="0" r="292">
      <c r="A292" s="3452" t="inlineStr">
        <is>
          <t>000224000202006312000</t>
        </is>
      </c>
      <c r="B292" s="3452" t="inlineStr">
        <is>
          <t>312000</t>
        </is>
      </c>
      <c r="C292" s="3452" t="inlineStr">
        <is>
          <t>000224000</t>
        </is>
      </c>
      <c r="D292" s="3452" t="inlineStr">
        <is>
          <t>202006</t>
        </is>
      </c>
      <c r="E292" s="3452" t="inlineStr">
        <is>
          <t>0,000000000000</t>
        </is>
      </c>
    </row>
    <row outlineLevel="0" r="293">
      <c r="A293" s="3452" t="inlineStr">
        <is>
          <t>000224000202006312500</t>
        </is>
      </c>
      <c r="B293" s="3452" t="inlineStr">
        <is>
          <t>312500</t>
        </is>
      </c>
      <c r="C293" s="3452" t="inlineStr">
        <is>
          <t>000224000</t>
        </is>
      </c>
      <c r="D293" s="3452" t="inlineStr">
        <is>
          <t>202006</t>
        </is>
      </c>
      <c r="E293" s="3452" t="inlineStr">
        <is>
          <t>0,000000000000</t>
        </is>
      </c>
    </row>
    <row outlineLevel="0" r="294">
      <c r="A294" s="3452" t="inlineStr">
        <is>
          <t>000224000202006313000</t>
        </is>
      </c>
      <c r="B294" s="3452" t="inlineStr">
        <is>
          <t>313000</t>
        </is>
      </c>
      <c r="C294" s="3452" t="inlineStr">
        <is>
          <t>000224000</t>
        </is>
      </c>
      <c r="D294" s="3452" t="inlineStr">
        <is>
          <t>202006</t>
        </is>
      </c>
      <c r="E294" s="3452" t="inlineStr">
        <is>
          <t>0,000000000000</t>
        </is>
      </c>
    </row>
    <row outlineLevel="0" r="295">
      <c r="A295" s="3452" t="inlineStr">
        <is>
          <t>000224000202006313500</t>
        </is>
      </c>
      <c r="B295" s="3452" t="inlineStr">
        <is>
          <t>313500</t>
        </is>
      </c>
      <c r="C295" s="3452" t="inlineStr">
        <is>
          <t>000224000</t>
        </is>
      </c>
      <c r="D295" s="3452" t="inlineStr">
        <is>
          <t>202006</t>
        </is>
      </c>
      <c r="E295" s="3452" t="inlineStr">
        <is>
          <t>0,000000000000</t>
        </is>
      </c>
    </row>
    <row outlineLevel="0" r="296">
      <c r="A296" s="3452" t="inlineStr">
        <is>
          <t>000224000202006314000</t>
        </is>
      </c>
      <c r="B296" s="3452" t="inlineStr">
        <is>
          <t>314000</t>
        </is>
      </c>
      <c r="C296" s="3452" t="inlineStr">
        <is>
          <t>000224000</t>
        </is>
      </c>
      <c r="D296" s="3452" t="inlineStr">
        <is>
          <t>202006</t>
        </is>
      </c>
      <c r="E296" s="3452" t="inlineStr">
        <is>
          <t>0,000000000000</t>
        </is>
      </c>
    </row>
    <row outlineLevel="0" r="297">
      <c r="A297" s="3452" t="inlineStr">
        <is>
          <t>000224000202006320500</t>
        </is>
      </c>
      <c r="B297" s="3452" t="inlineStr">
        <is>
          <t>320500</t>
        </is>
      </c>
      <c r="C297" s="3452" t="inlineStr">
        <is>
          <t>000224000</t>
        </is>
      </c>
      <c r="D297" s="3452" t="inlineStr">
        <is>
          <t>202006</t>
        </is>
      </c>
      <c r="E297" s="3452" t="inlineStr">
        <is>
          <t>0,000000000000</t>
        </is>
      </c>
    </row>
    <row outlineLevel="0" r="298">
      <c r="A298" s="3452" t="inlineStr">
        <is>
          <t>000224000202006321000</t>
        </is>
      </c>
      <c r="B298" s="3452" t="inlineStr">
        <is>
          <t>321000</t>
        </is>
      </c>
      <c r="C298" s="3452" t="inlineStr">
        <is>
          <t>000224000</t>
        </is>
      </c>
      <c r="D298" s="3452" t="inlineStr">
        <is>
          <t>202006</t>
        </is>
      </c>
      <c r="E298" s="3452" t="inlineStr">
        <is>
          <t>0,000000000000</t>
        </is>
      </c>
    </row>
    <row outlineLevel="0" r="299">
      <c r="A299" s="3452" t="inlineStr">
        <is>
          <t>000224000202006321500</t>
        </is>
      </c>
      <c r="B299" s="3452" t="inlineStr">
        <is>
          <t>321500</t>
        </is>
      </c>
      <c r="C299" s="3452" t="inlineStr">
        <is>
          <t>000224000</t>
        </is>
      </c>
      <c r="D299" s="3452" t="inlineStr">
        <is>
          <t>202006</t>
        </is>
      </c>
      <c r="E299" s="3452" t="inlineStr">
        <is>
          <t>0,000000000000</t>
        </is>
      </c>
    </row>
    <row outlineLevel="0" r="300">
      <c r="A300" s="3452" t="inlineStr">
        <is>
          <t>000224000202006322000</t>
        </is>
      </c>
      <c r="B300" s="3452" t="inlineStr">
        <is>
          <t>322000</t>
        </is>
      </c>
      <c r="C300" s="3452" t="inlineStr">
        <is>
          <t>000224000</t>
        </is>
      </c>
      <c r="D300" s="3452" t="inlineStr">
        <is>
          <t>202006</t>
        </is>
      </c>
      <c r="E300" s="3452" t="inlineStr">
        <is>
          <t>0,000000000000</t>
        </is>
      </c>
    </row>
    <row outlineLevel="0" r="301">
      <c r="A301" s="3452" t="inlineStr">
        <is>
          <t>000224000202006322500</t>
        </is>
      </c>
      <c r="B301" s="3452" t="inlineStr">
        <is>
          <t>322500</t>
        </is>
      </c>
      <c r="C301" s="3452" t="inlineStr">
        <is>
          <t>000224000</t>
        </is>
      </c>
      <c r="D301" s="3452" t="inlineStr">
        <is>
          <t>202006</t>
        </is>
      </c>
      <c r="E301" s="3452" t="inlineStr">
        <is>
          <t>0,000000000000</t>
        </is>
      </c>
    </row>
    <row outlineLevel="0" r="302">
      <c r="A302" s="3452" t="inlineStr">
        <is>
          <t>000224000202006330500</t>
        </is>
      </c>
      <c r="B302" s="3452" t="inlineStr">
        <is>
          <t>330500</t>
        </is>
      </c>
      <c r="C302" s="3452" t="inlineStr">
        <is>
          <t>000224000</t>
        </is>
      </c>
      <c r="D302" s="3452" t="inlineStr">
        <is>
          <t>202006</t>
        </is>
      </c>
      <c r="E302" s="3452" t="inlineStr">
        <is>
          <t>0,000000000000</t>
        </is>
      </c>
    </row>
    <row outlineLevel="0" r="303">
      <c r="A303" s="3452" t="inlineStr">
        <is>
          <t>000224000202006331000</t>
        </is>
      </c>
      <c r="B303" s="3452" t="inlineStr">
        <is>
          <t>331000</t>
        </is>
      </c>
      <c r="C303" s="3452" t="inlineStr">
        <is>
          <t>000224000</t>
        </is>
      </c>
      <c r="D303" s="3452" t="inlineStr">
        <is>
          <t>202006</t>
        </is>
      </c>
      <c r="E303" s="3452" t="inlineStr">
        <is>
          <t>0,000000000000</t>
        </is>
      </c>
    </row>
    <row outlineLevel="0" r="304">
      <c r="A304" s="3452" t="inlineStr">
        <is>
          <t>000224000202006331500</t>
        </is>
      </c>
      <c r="B304" s="3452" t="inlineStr">
        <is>
          <t>331500</t>
        </is>
      </c>
      <c r="C304" s="3452" t="inlineStr">
        <is>
          <t>000224000</t>
        </is>
      </c>
      <c r="D304" s="3452" t="inlineStr">
        <is>
          <t>202006</t>
        </is>
      </c>
      <c r="E304" s="3452" t="inlineStr">
        <is>
          <t>0,000000000000</t>
        </is>
      </c>
    </row>
    <row outlineLevel="0" r="305">
      <c r="A305" s="3452" t="inlineStr">
        <is>
          <t>000224000202006340505</t>
        </is>
      </c>
      <c r="B305" s="3452" t="inlineStr">
        <is>
          <t>340505</t>
        </is>
      </c>
      <c r="C305" s="3452" t="inlineStr">
        <is>
          <t>000224000</t>
        </is>
      </c>
      <c r="D305" s="3452" t="inlineStr">
        <is>
          <t>202006</t>
        </is>
      </c>
      <c r="E305" s="3452" t="inlineStr">
        <is>
          <t>0,000000000000</t>
        </is>
      </c>
    </row>
    <row outlineLevel="0" r="306">
      <c r="A306" s="3452" t="inlineStr">
        <is>
          <t>000224000202006340515</t>
        </is>
      </c>
      <c r="B306" s="3452" t="inlineStr">
        <is>
          <t>340515</t>
        </is>
      </c>
      <c r="C306" s="3452" t="inlineStr">
        <is>
          <t>000224000</t>
        </is>
      </c>
      <c r="D306" s="3452" t="inlineStr">
        <is>
          <t>202006</t>
        </is>
      </c>
      <c r="E306" s="3452" t="inlineStr">
        <is>
          <t>0,000000000000</t>
        </is>
      </c>
    </row>
    <row outlineLevel="0" r="307">
      <c r="A307" s="3452" t="inlineStr">
        <is>
          <t>000224000202006349500</t>
        </is>
      </c>
      <c r="B307" s="3452" t="inlineStr">
        <is>
          <t>349500</t>
        </is>
      </c>
      <c r="C307" s="3452" t="inlineStr">
        <is>
          <t>000224000</t>
        </is>
      </c>
      <c r="D307" s="3452" t="inlineStr">
        <is>
          <t>202006</t>
        </is>
      </c>
      <c r="E307" s="3452" t="inlineStr">
        <is>
          <t>0,000000000000</t>
        </is>
      </c>
    </row>
    <row outlineLevel="0" r="308">
      <c r="A308" s="3452" t="inlineStr">
        <is>
          <t>000224000202006410500</t>
        </is>
      </c>
      <c r="B308" s="3452" t="inlineStr">
        <is>
          <t>410500</t>
        </is>
      </c>
      <c r="C308" s="3452" t="inlineStr">
        <is>
          <t>000224000</t>
        </is>
      </c>
      <c r="D308" s="3452" t="inlineStr">
        <is>
          <t>202006</t>
        </is>
      </c>
      <c r="E308" s="3452" t="inlineStr">
        <is>
          <t>245,000000000000</t>
        </is>
      </c>
    </row>
    <row outlineLevel="0" r="309">
      <c r="A309" s="3452" t="inlineStr">
        <is>
          <t>000224000202006411000</t>
        </is>
      </c>
      <c r="B309" s="3452" t="inlineStr">
        <is>
          <t>411000</t>
        </is>
      </c>
      <c r="C309" s="3452" t="inlineStr">
        <is>
          <t>000224000</t>
        </is>
      </c>
      <c r="D309" s="3452" t="inlineStr">
        <is>
          <t>202006</t>
        </is>
      </c>
      <c r="E309" s="3452" t="inlineStr">
        <is>
          <t>0,000000000000</t>
        </is>
      </c>
    </row>
    <row outlineLevel="0" r="310">
      <c r="A310" s="3452" t="inlineStr">
        <is>
          <t>000224000202006420500</t>
        </is>
      </c>
      <c r="B310" s="3452" t="inlineStr">
        <is>
          <t>420500</t>
        </is>
      </c>
      <c r="C310" s="3452" t="inlineStr">
        <is>
          <t>000224000</t>
        </is>
      </c>
      <c r="D310" s="3452" t="inlineStr">
        <is>
          <t>202006</t>
        </is>
      </c>
      <c r="E310" s="3452" t="inlineStr">
        <is>
          <t>0,000000000000</t>
        </is>
      </c>
    </row>
    <row outlineLevel="0" r="311">
      <c r="A311" s="3452" t="inlineStr">
        <is>
          <t>000224000202006421000</t>
        </is>
      </c>
      <c r="B311" s="3452" t="inlineStr">
        <is>
          <t>421000</t>
        </is>
      </c>
      <c r="C311" s="3452" t="inlineStr">
        <is>
          <t>000224000</t>
        </is>
      </c>
      <c r="D311" s="3452" t="inlineStr">
        <is>
          <t>202006</t>
        </is>
      </c>
      <c r="E311" s="3452" t="inlineStr">
        <is>
          <t>0,000000000000</t>
        </is>
      </c>
    </row>
    <row outlineLevel="0" r="312">
      <c r="A312" s="3452" t="inlineStr">
        <is>
          <t>000224000202006421020</t>
        </is>
      </c>
      <c r="B312" s="3452" t="inlineStr">
        <is>
          <t>421020</t>
        </is>
      </c>
      <c r="C312" s="3452" t="inlineStr">
        <is>
          <t>000224000</t>
        </is>
      </c>
      <c r="D312" s="3452" t="inlineStr">
        <is>
          <t>202006</t>
        </is>
      </c>
      <c r="E312" s="3452" t="inlineStr">
        <is>
          <t>0,000000000000</t>
        </is>
      </c>
    </row>
    <row outlineLevel="0" r="313">
      <c r="A313" s="3452" t="inlineStr">
        <is>
          <t>000224000202006421040</t>
        </is>
      </c>
      <c r="B313" s="3452" t="inlineStr">
        <is>
          <t>421040</t>
        </is>
      </c>
      <c r="C313" s="3452" t="inlineStr">
        <is>
          <t>000224000</t>
        </is>
      </c>
      <c r="D313" s="3452" t="inlineStr">
        <is>
          <t>202006</t>
        </is>
      </c>
      <c r="E313" s="3452" t="inlineStr">
        <is>
          <t>0,000000000000</t>
        </is>
      </c>
    </row>
    <row outlineLevel="0" r="314">
      <c r="A314" s="3452" t="inlineStr">
        <is>
          <t>000224000202006421500</t>
        </is>
      </c>
      <c r="B314" s="3452" t="inlineStr">
        <is>
          <t>421500</t>
        </is>
      </c>
      <c r="C314" s="3452" t="inlineStr">
        <is>
          <t>000224000</t>
        </is>
      </c>
      <c r="D314" s="3452" t="inlineStr">
        <is>
          <t>202006</t>
        </is>
      </c>
      <c r="E314" s="3452" t="inlineStr">
        <is>
          <t>0,000000000000</t>
        </is>
      </c>
    </row>
    <row outlineLevel="0" r="315">
      <c r="A315" s="3452" t="inlineStr">
        <is>
          <t>000224000202006422000</t>
        </is>
      </c>
      <c r="B315" s="3452" t="inlineStr">
        <is>
          <t>422000</t>
        </is>
      </c>
      <c r="C315" s="3452" t="inlineStr">
        <is>
          <t>000224000</t>
        </is>
      </c>
      <c r="D315" s="3452" t="inlineStr">
        <is>
          <t>202006</t>
        </is>
      </c>
      <c r="E315" s="3452" t="inlineStr">
        <is>
          <t>0,000000000000</t>
        </is>
      </c>
    </row>
    <row outlineLevel="0" r="316">
      <c r="A316" s="3452" t="inlineStr">
        <is>
          <t>000224000202006422500</t>
        </is>
      </c>
      <c r="B316" s="3452" t="inlineStr">
        <is>
          <t>422500</t>
        </is>
      </c>
      <c r="C316" s="3452" t="inlineStr">
        <is>
          <t>000224000</t>
        </is>
      </c>
      <c r="D316" s="3452" t="inlineStr">
        <is>
          <t>202006</t>
        </is>
      </c>
      <c r="E316" s="3452" t="inlineStr">
        <is>
          <t>0,000000000000</t>
        </is>
      </c>
    </row>
    <row outlineLevel="0" r="317">
      <c r="A317" s="3452" t="inlineStr">
        <is>
          <t>000224000202006423500</t>
        </is>
      </c>
      <c r="B317" s="3452" t="inlineStr">
        <is>
          <t>423500</t>
        </is>
      </c>
      <c r="C317" s="3452" t="inlineStr">
        <is>
          <t>000224000</t>
        </is>
      </c>
      <c r="D317" s="3452" t="inlineStr">
        <is>
          <t>202006</t>
        </is>
      </c>
      <c r="E317" s="3452" t="inlineStr">
        <is>
          <t>0,000000000000</t>
        </is>
      </c>
    </row>
    <row outlineLevel="0" r="318">
      <c r="A318" s="3452" t="inlineStr">
        <is>
          <t>000224000202006424000</t>
        </is>
      </c>
      <c r="B318" s="3452" t="inlineStr">
        <is>
          <t>424000</t>
        </is>
      </c>
      <c r="C318" s="3452" t="inlineStr">
        <is>
          <t>000224000</t>
        </is>
      </c>
      <c r="D318" s="3452" t="inlineStr">
        <is>
          <t>202006</t>
        </is>
      </c>
      <c r="E318" s="3452" t="inlineStr">
        <is>
          <t>0,000000000000</t>
        </is>
      </c>
    </row>
    <row outlineLevel="0" r="319">
      <c r="A319" s="3452" t="inlineStr">
        <is>
          <t>000224000202006425000</t>
        </is>
      </c>
      <c r="B319" s="3452" t="inlineStr">
        <is>
          <t>425000</t>
        </is>
      </c>
      <c r="C319" s="3452" t="inlineStr">
        <is>
          <t>000224000</t>
        </is>
      </c>
      <c r="D319" s="3452" t="inlineStr">
        <is>
          <t>202006</t>
        </is>
      </c>
      <c r="E319" s="3452" t="inlineStr">
        <is>
          <t>0,000000000000</t>
        </is>
      </c>
    </row>
    <row outlineLevel="0" r="320">
      <c r="A320" s="3452" t="inlineStr">
        <is>
          <t>000224000202006426500</t>
        </is>
      </c>
      <c r="B320" s="3452" t="inlineStr">
        <is>
          <t>426500</t>
        </is>
      </c>
      <c r="C320" s="3452" t="inlineStr">
        <is>
          <t>000224000</t>
        </is>
      </c>
      <c r="D320" s="3452" t="inlineStr">
        <is>
          <t>202006</t>
        </is>
      </c>
      <c r="E320" s="3452" t="inlineStr">
        <is>
          <t>0,000000000000</t>
        </is>
      </c>
    </row>
    <row outlineLevel="0" r="321">
      <c r="A321" s="3452" t="inlineStr">
        <is>
          <t>000224000202006429500</t>
        </is>
      </c>
      <c r="B321" s="3452" t="inlineStr">
        <is>
          <t>429500</t>
        </is>
      </c>
      <c r="C321" s="3452" t="inlineStr">
        <is>
          <t>000224000</t>
        </is>
      </c>
      <c r="D321" s="3452" t="inlineStr">
        <is>
          <t>202006</t>
        </is>
      </c>
      <c r="E321" s="3452" t="inlineStr">
        <is>
          <t>0,000000000000</t>
        </is>
      </c>
    </row>
    <row outlineLevel="0" r="322">
      <c r="A322" s="3452" t="inlineStr">
        <is>
          <t>000224000202006510500</t>
        </is>
      </c>
      <c r="B322" s="3452" t="inlineStr">
        <is>
          <t>510500</t>
        </is>
      </c>
      <c r="C322" s="3452" t="inlineStr">
        <is>
          <t>000224000</t>
        </is>
      </c>
      <c r="D322" s="3452" t="inlineStr">
        <is>
          <t>202006</t>
        </is>
      </c>
      <c r="E322" s="3452" t="inlineStr">
        <is>
          <t>0,000000000000</t>
        </is>
      </c>
    </row>
    <row outlineLevel="0" r="323">
      <c r="A323" s="3452" t="inlineStr">
        <is>
          <t>000224000202006511000</t>
        </is>
      </c>
      <c r="B323" s="3452" t="inlineStr">
        <is>
          <t>511000</t>
        </is>
      </c>
      <c r="C323" s="3452" t="inlineStr">
        <is>
          <t>000224000</t>
        </is>
      </c>
      <c r="D323" s="3452" t="inlineStr">
        <is>
          <t>202006</t>
        </is>
      </c>
      <c r="E323" s="3452" t="inlineStr">
        <is>
          <t>0,000000000000</t>
        </is>
      </c>
    </row>
    <row outlineLevel="0" r="324">
      <c r="A324" s="3452" t="inlineStr">
        <is>
          <t>000224000202006511500</t>
        </is>
      </c>
      <c r="B324" s="3452" t="inlineStr">
        <is>
          <t>511500</t>
        </is>
      </c>
      <c r="C324" s="3452" t="inlineStr">
        <is>
          <t>000224000</t>
        </is>
      </c>
      <c r="D324" s="3452" t="inlineStr">
        <is>
          <t>202006</t>
        </is>
      </c>
      <c r="E324" s="3452" t="inlineStr">
        <is>
          <t>0,000000000000</t>
        </is>
      </c>
    </row>
    <row outlineLevel="0" r="325">
      <c r="A325" s="3452" t="inlineStr">
        <is>
          <t>000224000202006512000</t>
        </is>
      </c>
      <c r="B325" s="3452" t="inlineStr">
        <is>
          <t>512000</t>
        </is>
      </c>
      <c r="C325" s="3452" t="inlineStr">
        <is>
          <t>000224000</t>
        </is>
      </c>
      <c r="D325" s="3452" t="inlineStr">
        <is>
          <t>202006</t>
        </is>
      </c>
      <c r="E325" s="3452" t="inlineStr">
        <is>
          <t>0,000000000000</t>
        </is>
      </c>
    </row>
    <row outlineLevel="0" r="326">
      <c r="A326" s="3452" t="inlineStr">
        <is>
          <t>000224000202006512500</t>
        </is>
      </c>
      <c r="B326" s="3452" t="inlineStr">
        <is>
          <t>512500</t>
        </is>
      </c>
      <c r="C326" s="3452" t="inlineStr">
        <is>
          <t>000224000</t>
        </is>
      </c>
      <c r="D326" s="3452" t="inlineStr">
        <is>
          <t>202006</t>
        </is>
      </c>
      <c r="E326" s="3452" t="inlineStr">
        <is>
          <t>0,000000000000</t>
        </is>
      </c>
    </row>
    <row outlineLevel="0" r="327">
      <c r="A327" s="3452" t="inlineStr">
        <is>
          <t>000224000202006513000</t>
        </is>
      </c>
      <c r="B327" s="3452" t="inlineStr">
        <is>
          <t>513000</t>
        </is>
      </c>
      <c r="C327" s="3452" t="inlineStr">
        <is>
          <t>000224000</t>
        </is>
      </c>
      <c r="D327" s="3452" t="inlineStr">
        <is>
          <t>202006</t>
        </is>
      </c>
      <c r="E327" s="3452" t="inlineStr">
        <is>
          <t>0,000000000000</t>
        </is>
      </c>
    </row>
    <row outlineLevel="0" r="328">
      <c r="A328" s="3452" t="inlineStr">
        <is>
          <t>000224000202006513500</t>
        </is>
      </c>
      <c r="B328" s="3452" t="inlineStr">
        <is>
          <t>513500</t>
        </is>
      </c>
      <c r="C328" s="3452" t="inlineStr">
        <is>
          <t>000224000</t>
        </is>
      </c>
      <c r="D328" s="3452" t="inlineStr">
        <is>
          <t>202006</t>
        </is>
      </c>
      <c r="E328" s="3452" t="inlineStr">
        <is>
          <t>0,000000000000</t>
        </is>
      </c>
    </row>
    <row outlineLevel="0" r="329">
      <c r="A329" s="3452" t="inlineStr">
        <is>
          <t>000224000202006514000</t>
        </is>
      </c>
      <c r="B329" s="3452" t="inlineStr">
        <is>
          <t>514000</t>
        </is>
      </c>
      <c r="C329" s="3452" t="inlineStr">
        <is>
          <t>000224000</t>
        </is>
      </c>
      <c r="D329" s="3452" t="inlineStr">
        <is>
          <t>202006</t>
        </is>
      </c>
      <c r="E329" s="3452" t="inlineStr">
        <is>
          <t>0,000000000000</t>
        </is>
      </c>
    </row>
    <row outlineLevel="0" r="330">
      <c r="A330" s="3452" t="inlineStr">
        <is>
          <t>000224000202006514500</t>
        </is>
      </c>
      <c r="B330" s="3452" t="inlineStr">
        <is>
          <t>514500</t>
        </is>
      </c>
      <c r="C330" s="3452" t="inlineStr">
        <is>
          <t>000224000</t>
        </is>
      </c>
      <c r="D330" s="3452" t="inlineStr">
        <is>
          <t>202006</t>
        </is>
      </c>
      <c r="E330" s="3452" t="inlineStr">
        <is>
          <t>0,000000000000</t>
        </is>
      </c>
    </row>
    <row outlineLevel="0" r="331">
      <c r="A331" s="3452" t="inlineStr">
        <is>
          <t>000224000202006515000</t>
        </is>
      </c>
      <c r="B331" s="3452" t="inlineStr">
        <is>
          <t>515000</t>
        </is>
      </c>
      <c r="C331" s="3452" t="inlineStr">
        <is>
          <t>000224000</t>
        </is>
      </c>
      <c r="D331" s="3452" t="inlineStr">
        <is>
          <t>202006</t>
        </is>
      </c>
      <c r="E331" s="3452" t="inlineStr">
        <is>
          <t>0,000000000000</t>
        </is>
      </c>
    </row>
    <row outlineLevel="0" r="332">
      <c r="A332" s="3452" t="inlineStr">
        <is>
          <t>000224000202006515500</t>
        </is>
      </c>
      <c r="B332" s="3452" t="inlineStr">
        <is>
          <t>515500</t>
        </is>
      </c>
      <c r="C332" s="3452" t="inlineStr">
        <is>
          <t>000224000</t>
        </is>
      </c>
      <c r="D332" s="3452" t="inlineStr">
        <is>
          <t>202006</t>
        </is>
      </c>
      <c r="E332" s="3452" t="inlineStr">
        <is>
          <t>0,000000000000</t>
        </is>
      </c>
    </row>
    <row outlineLevel="0" r="333">
      <c r="A333" s="3452" t="inlineStr">
        <is>
          <t>000224000202006516000</t>
        </is>
      </c>
      <c r="B333" s="3452" t="inlineStr">
        <is>
          <t>516000</t>
        </is>
      </c>
      <c r="C333" s="3452" t="inlineStr">
        <is>
          <t>000224000</t>
        </is>
      </c>
      <c r="D333" s="3452" t="inlineStr">
        <is>
          <t>202006</t>
        </is>
      </c>
      <c r="E333" s="3452" t="inlineStr">
        <is>
          <t>0,000000000000</t>
        </is>
      </c>
    </row>
    <row outlineLevel="0" r="334">
      <c r="A334" s="3452" t="inlineStr">
        <is>
          <t>000224000202006516500</t>
        </is>
      </c>
      <c r="B334" s="3452" t="inlineStr">
        <is>
          <t>516500</t>
        </is>
      </c>
      <c r="C334" s="3452" t="inlineStr">
        <is>
          <t>000224000</t>
        </is>
      </c>
      <c r="D334" s="3452" t="inlineStr">
        <is>
          <t>202006</t>
        </is>
      </c>
      <c r="E334" s="3452" t="inlineStr">
        <is>
          <t>0,000000000000</t>
        </is>
      </c>
    </row>
    <row outlineLevel="0" r="335">
      <c r="A335" s="3452" t="inlineStr">
        <is>
          <t>000224000202006519500</t>
        </is>
      </c>
      <c r="B335" s="3452" t="inlineStr">
        <is>
          <t>519500</t>
        </is>
      </c>
      <c r="C335" s="3452" t="inlineStr">
        <is>
          <t>000224000</t>
        </is>
      </c>
      <c r="D335" s="3452" t="inlineStr">
        <is>
          <t>202006</t>
        </is>
      </c>
      <c r="E335" s="3452" t="inlineStr">
        <is>
          <t>0,000000000000</t>
        </is>
      </c>
    </row>
    <row outlineLevel="0" r="336">
      <c r="A336" s="3452" t="inlineStr">
        <is>
          <t>000224000202006519900</t>
        </is>
      </c>
      <c r="B336" s="3452" t="inlineStr">
        <is>
          <t>519900</t>
        </is>
      </c>
      <c r="C336" s="3452" t="inlineStr">
        <is>
          <t>000224000</t>
        </is>
      </c>
      <c r="D336" s="3452" t="inlineStr">
        <is>
          <t>202006</t>
        </is>
      </c>
      <c r="E336" s="3452" t="inlineStr">
        <is>
          <t>0,000000000000</t>
        </is>
      </c>
    </row>
    <row outlineLevel="0" r="337">
      <c r="A337" s="3452" t="inlineStr">
        <is>
          <t>000224000202006520500</t>
        </is>
      </c>
      <c r="B337" s="3452" t="inlineStr">
        <is>
          <t>520500</t>
        </is>
      </c>
      <c r="C337" s="3452" t="inlineStr">
        <is>
          <t>000224000</t>
        </is>
      </c>
      <c r="D337" s="3452" t="inlineStr">
        <is>
          <t>202006</t>
        </is>
      </c>
      <c r="E337" s="3452" t="inlineStr">
        <is>
          <t>0,000000000000</t>
        </is>
      </c>
    </row>
    <row outlineLevel="0" r="338">
      <c r="A338" s="3452" t="inlineStr">
        <is>
          <t>000224000202006521000</t>
        </is>
      </c>
      <c r="B338" s="3452" t="inlineStr">
        <is>
          <t>521000</t>
        </is>
      </c>
      <c r="C338" s="3452" t="inlineStr">
        <is>
          <t>000224000</t>
        </is>
      </c>
      <c r="D338" s="3452" t="inlineStr">
        <is>
          <t>202006</t>
        </is>
      </c>
      <c r="E338" s="3452" t="inlineStr">
        <is>
          <t>0,000000000000</t>
        </is>
      </c>
    </row>
    <row outlineLevel="0" r="339">
      <c r="A339" s="3452" t="inlineStr">
        <is>
          <t>000224000202006521500</t>
        </is>
      </c>
      <c r="B339" s="3452" t="inlineStr">
        <is>
          <t>521500</t>
        </is>
      </c>
      <c r="C339" s="3452" t="inlineStr">
        <is>
          <t>000224000</t>
        </is>
      </c>
      <c r="D339" s="3452" t="inlineStr">
        <is>
          <t>202006</t>
        </is>
      </c>
      <c r="E339" s="3452" t="inlineStr">
        <is>
          <t>130,000000000000</t>
        </is>
      </c>
    </row>
    <row outlineLevel="0" r="340">
      <c r="A340" s="3452" t="inlineStr">
        <is>
          <t>000224000202006522000</t>
        </is>
      </c>
      <c r="B340" s="3452" t="inlineStr">
        <is>
          <t>522000</t>
        </is>
      </c>
      <c r="C340" s="3452" t="inlineStr">
        <is>
          <t>000224000</t>
        </is>
      </c>
      <c r="D340" s="3452" t="inlineStr">
        <is>
          <t>202006</t>
        </is>
      </c>
      <c r="E340" s="3452" t="inlineStr">
        <is>
          <t>0,000000000000</t>
        </is>
      </c>
    </row>
    <row outlineLevel="0" r="341">
      <c r="A341" s="3452" t="inlineStr">
        <is>
          <t>000224000202006522500</t>
        </is>
      </c>
      <c r="B341" s="3452" t="inlineStr">
        <is>
          <t>522500</t>
        </is>
      </c>
      <c r="C341" s="3452" t="inlineStr">
        <is>
          <t>000224000</t>
        </is>
      </c>
      <c r="D341" s="3452" t="inlineStr">
        <is>
          <t>202006</t>
        </is>
      </c>
      <c r="E341" s="3452" t="inlineStr">
        <is>
          <t>0,000000000000</t>
        </is>
      </c>
    </row>
    <row outlineLevel="0" r="342">
      <c r="A342" s="3452" t="inlineStr">
        <is>
          <t>000224000202006523000</t>
        </is>
      </c>
      <c r="B342" s="3452" t="inlineStr">
        <is>
          <t>523000</t>
        </is>
      </c>
      <c r="C342" s="3452" t="inlineStr">
        <is>
          <t>000224000</t>
        </is>
      </c>
      <c r="D342" s="3452" t="inlineStr">
        <is>
          <t>202006</t>
        </is>
      </c>
      <c r="E342" s="3452" t="inlineStr">
        <is>
          <t>0,000000000000</t>
        </is>
      </c>
    </row>
    <row outlineLevel="0" r="343">
      <c r="A343" s="3452" t="inlineStr">
        <is>
          <t>000224000202006523500</t>
        </is>
      </c>
      <c r="B343" s="3452" t="inlineStr">
        <is>
          <t>523500</t>
        </is>
      </c>
      <c r="C343" s="3452" t="inlineStr">
        <is>
          <t>000224000</t>
        </is>
      </c>
      <c r="D343" s="3452" t="inlineStr">
        <is>
          <t>202006</t>
        </is>
      </c>
      <c r="E343" s="3452" t="inlineStr">
        <is>
          <t>0,000000000000</t>
        </is>
      </c>
    </row>
    <row outlineLevel="0" r="344">
      <c r="A344" s="3452" t="inlineStr">
        <is>
          <t>000224000202006524000</t>
        </is>
      </c>
      <c r="B344" s="3452" t="inlineStr">
        <is>
          <t>524000</t>
        </is>
      </c>
      <c r="C344" s="3452" t="inlineStr">
        <is>
          <t>000224000</t>
        </is>
      </c>
      <c r="D344" s="3452" t="inlineStr">
        <is>
          <t>202006</t>
        </is>
      </c>
      <c r="E344" s="3452" t="inlineStr">
        <is>
          <t>0,000000000000</t>
        </is>
      </c>
    </row>
    <row outlineLevel="0" r="345">
      <c r="A345" s="3452" t="inlineStr">
        <is>
          <t>000224000202006524500</t>
        </is>
      </c>
      <c r="B345" s="3452" t="inlineStr">
        <is>
          <t>524500</t>
        </is>
      </c>
      <c r="C345" s="3452" t="inlineStr">
        <is>
          <t>000224000</t>
        </is>
      </c>
      <c r="D345" s="3452" t="inlineStr">
        <is>
          <t>202006</t>
        </is>
      </c>
      <c r="E345" s="3452" t="inlineStr">
        <is>
          <t>0,000000000000</t>
        </is>
      </c>
    </row>
    <row outlineLevel="0" r="346">
      <c r="A346" s="3452" t="inlineStr">
        <is>
          <t>000224000202006525000</t>
        </is>
      </c>
      <c r="B346" s="3452" t="inlineStr">
        <is>
          <t>525000</t>
        </is>
      </c>
      <c r="C346" s="3452" t="inlineStr">
        <is>
          <t>000224000</t>
        </is>
      </c>
      <c r="D346" s="3452" t="inlineStr">
        <is>
          <t>202006</t>
        </is>
      </c>
      <c r="E346" s="3452" t="inlineStr">
        <is>
          <t>0,000000000000</t>
        </is>
      </c>
    </row>
    <row outlineLevel="0" r="347">
      <c r="A347" s="3452" t="inlineStr">
        <is>
          <t>000224000202006525500</t>
        </is>
      </c>
      <c r="B347" s="3452" t="inlineStr">
        <is>
          <t>525500</t>
        </is>
      </c>
      <c r="C347" s="3452" t="inlineStr">
        <is>
          <t>000224000</t>
        </is>
      </c>
      <c r="D347" s="3452" t="inlineStr">
        <is>
          <t>202006</t>
        </is>
      </c>
      <c r="E347" s="3452" t="inlineStr">
        <is>
          <t>0,000000000000</t>
        </is>
      </c>
    </row>
    <row outlineLevel="0" r="348">
      <c r="A348" s="3452" t="inlineStr">
        <is>
          <t>000224000202006526000</t>
        </is>
      </c>
      <c r="B348" s="3452" t="inlineStr">
        <is>
          <t>526000</t>
        </is>
      </c>
      <c r="C348" s="3452" t="inlineStr">
        <is>
          <t>000224000</t>
        </is>
      </c>
      <c r="D348" s="3452" t="inlineStr">
        <is>
          <t>202006</t>
        </is>
      </c>
      <c r="E348" s="3452" t="inlineStr">
        <is>
          <t>0,000000000000</t>
        </is>
      </c>
    </row>
    <row outlineLevel="0" r="349">
      <c r="A349" s="3452" t="inlineStr">
        <is>
          <t>000224000202006526500</t>
        </is>
      </c>
      <c r="B349" s="3452" t="inlineStr">
        <is>
          <t>526500</t>
        </is>
      </c>
      <c r="C349" s="3452" t="inlineStr">
        <is>
          <t>000224000</t>
        </is>
      </c>
      <c r="D349" s="3452" t="inlineStr">
        <is>
          <t>202006</t>
        </is>
      </c>
      <c r="E349" s="3452" t="inlineStr">
        <is>
          <t>0,000000000000</t>
        </is>
      </c>
    </row>
    <row outlineLevel="0" r="350">
      <c r="A350" s="3452" t="inlineStr">
        <is>
          <t>000224000202006529500</t>
        </is>
      </c>
      <c r="B350" s="3452" t="inlineStr">
        <is>
          <t>529500</t>
        </is>
      </c>
      <c r="C350" s="3452" t="inlineStr">
        <is>
          <t>000224000</t>
        </is>
      </c>
      <c r="D350" s="3452" t="inlineStr">
        <is>
          <t>202006</t>
        </is>
      </c>
      <c r="E350" s="3452" t="inlineStr">
        <is>
          <t>0,000000000000</t>
        </is>
      </c>
    </row>
    <row outlineLevel="0" r="351">
      <c r="A351" s="3452" t="inlineStr">
        <is>
          <t>000224000202006529900</t>
        </is>
      </c>
      <c r="B351" s="3452" t="inlineStr">
        <is>
          <t>529900</t>
        </is>
      </c>
      <c r="C351" s="3452" t="inlineStr">
        <is>
          <t>000224000</t>
        </is>
      </c>
      <c r="D351" s="3452" t="inlineStr">
        <is>
          <t>202006</t>
        </is>
      </c>
      <c r="E351" s="3452" t="inlineStr">
        <is>
          <t>0,000000000000</t>
        </is>
      </c>
    </row>
    <row outlineLevel="0" r="352">
      <c r="A352" s="3452" t="inlineStr">
        <is>
          <t>000224000202006530505</t>
        </is>
      </c>
      <c r="B352" s="3452" t="inlineStr">
        <is>
          <t>530505</t>
        </is>
      </c>
      <c r="C352" s="3452" t="inlineStr">
        <is>
          <t>000224000</t>
        </is>
      </c>
      <c r="D352" s="3452" t="inlineStr">
        <is>
          <t>202006</t>
        </is>
      </c>
      <c r="E352" s="3452" t="inlineStr">
        <is>
          <t>0,000000000000</t>
        </is>
      </c>
    </row>
    <row outlineLevel="0" r="353">
      <c r="A353" s="3452" t="inlineStr">
        <is>
          <t>000224000202006530515</t>
        </is>
      </c>
      <c r="B353" s="3452" t="inlineStr">
        <is>
          <t>530515</t>
        </is>
      </c>
      <c r="C353" s="3452" t="inlineStr">
        <is>
          <t>000224000</t>
        </is>
      </c>
      <c r="D353" s="3452" t="inlineStr">
        <is>
          <t>202006</t>
        </is>
      </c>
      <c r="E353" s="3452" t="inlineStr">
        <is>
          <t>0,000000000000</t>
        </is>
      </c>
    </row>
    <row outlineLevel="0" r="354">
      <c r="A354" s="3452" t="inlineStr">
        <is>
          <t>000224000202006530525</t>
        </is>
      </c>
      <c r="B354" s="3452" t="inlineStr">
        <is>
          <t>530525</t>
        </is>
      </c>
      <c r="C354" s="3452" t="inlineStr">
        <is>
          <t>000224000</t>
        </is>
      </c>
      <c r="D354" s="3452" t="inlineStr">
        <is>
          <t>202006</t>
        </is>
      </c>
      <c r="E354" s="3452" t="inlineStr">
        <is>
          <t>0,000000000000</t>
        </is>
      </c>
    </row>
    <row outlineLevel="0" r="355">
      <c r="A355" s="3452" t="inlineStr">
        <is>
          <t>000224000202006530535</t>
        </is>
      </c>
      <c r="B355" s="3452" t="inlineStr">
        <is>
          <t>530535</t>
        </is>
      </c>
      <c r="C355" s="3452" t="inlineStr">
        <is>
          <t>000224000</t>
        </is>
      </c>
      <c r="D355" s="3452" t="inlineStr">
        <is>
          <t>202006</t>
        </is>
      </c>
      <c r="E355" s="3452" t="inlineStr">
        <is>
          <t>0,000000000000</t>
        </is>
      </c>
    </row>
    <row outlineLevel="0" r="356">
      <c r="A356" s="3452" t="inlineStr">
        <is>
          <t>000224000202006531000</t>
        </is>
      </c>
      <c r="B356" s="3452" t="inlineStr">
        <is>
          <t>531000</t>
        </is>
      </c>
      <c r="C356" s="3452" t="inlineStr">
        <is>
          <t>000224000</t>
        </is>
      </c>
      <c r="D356" s="3452" t="inlineStr">
        <is>
          <t>202006</t>
        </is>
      </c>
      <c r="E356" s="3452" t="inlineStr">
        <is>
          <t>0,000000000000</t>
        </is>
      </c>
    </row>
    <row outlineLevel="0" r="357">
      <c r="A357" s="3452" t="inlineStr">
        <is>
          <t>000224000202006531300</t>
        </is>
      </c>
      <c r="B357" s="3452" t="inlineStr">
        <is>
          <t>531300</t>
        </is>
      </c>
      <c r="C357" s="3452" t="inlineStr">
        <is>
          <t>000224000</t>
        </is>
      </c>
      <c r="D357" s="3452" t="inlineStr">
        <is>
          <t>202006</t>
        </is>
      </c>
      <c r="E357" s="3452" t="inlineStr">
        <is>
          <t>0,000000000000</t>
        </is>
      </c>
    </row>
    <row outlineLevel="0" r="358">
      <c r="A358" s="3452" t="inlineStr">
        <is>
          <t>000224000202006531500</t>
        </is>
      </c>
      <c r="B358" s="3452" t="inlineStr">
        <is>
          <t>531500</t>
        </is>
      </c>
      <c r="C358" s="3452" t="inlineStr">
        <is>
          <t>000224000</t>
        </is>
      </c>
      <c r="D358" s="3452" t="inlineStr">
        <is>
          <t>202006</t>
        </is>
      </c>
      <c r="E358" s="3452" t="inlineStr">
        <is>
          <t>0,000000000000</t>
        </is>
      </c>
    </row>
    <row outlineLevel="0" r="359">
      <c r="A359" s="3452" t="inlineStr">
        <is>
          <t>000224000202006531515</t>
        </is>
      </c>
      <c r="B359" s="3452" t="inlineStr">
        <is>
          <t>531515</t>
        </is>
      </c>
      <c r="C359" s="3452" t="inlineStr">
        <is>
          <t>000224000</t>
        </is>
      </c>
      <c r="D359" s="3452" t="inlineStr">
        <is>
          <t>202006</t>
        </is>
      </c>
      <c r="E359" s="3452" t="inlineStr">
        <is>
          <t>0,000000000000</t>
        </is>
      </c>
    </row>
    <row outlineLevel="0" r="360">
      <c r="A360" s="3452" t="inlineStr">
        <is>
          <t>000224000202006531520</t>
        </is>
      </c>
      <c r="B360" s="3452" t="inlineStr">
        <is>
          <t>531520</t>
        </is>
      </c>
      <c r="C360" s="3452" t="inlineStr">
        <is>
          <t>000224000</t>
        </is>
      </c>
      <c r="D360" s="3452" t="inlineStr">
        <is>
          <t>202006</t>
        </is>
      </c>
      <c r="E360" s="3452" t="inlineStr">
        <is>
          <t>0,000000000000</t>
        </is>
      </c>
    </row>
    <row outlineLevel="0" r="361">
      <c r="A361" s="3452" t="inlineStr">
        <is>
          <t>000224000202006539525</t>
        </is>
      </c>
      <c r="B361" s="3452" t="inlineStr">
        <is>
          <t>539525</t>
        </is>
      </c>
      <c r="C361" s="3452" t="inlineStr">
        <is>
          <t>000224000</t>
        </is>
      </c>
      <c r="D361" s="3452" t="inlineStr">
        <is>
          <t>202006</t>
        </is>
      </c>
      <c r="E361" s="3452" t="inlineStr">
        <is>
          <t>0,000000000000</t>
        </is>
      </c>
    </row>
    <row outlineLevel="0" r="362">
      <c r="A362" s="3452" t="inlineStr">
        <is>
          <t>000224000202006539595</t>
        </is>
      </c>
      <c r="B362" s="3452" t="inlineStr">
        <is>
          <t>539595</t>
        </is>
      </c>
      <c r="C362" s="3452" t="inlineStr">
        <is>
          <t>000224000</t>
        </is>
      </c>
      <c r="D362" s="3452" t="inlineStr">
        <is>
          <t>202006</t>
        </is>
      </c>
      <c r="E362" s="3452" t="inlineStr">
        <is>
          <t>0,000000000000</t>
        </is>
      </c>
    </row>
    <row outlineLevel="0" r="363">
      <c r="A363" s="3452" t="inlineStr">
        <is>
          <t>000224000202006606000</t>
        </is>
      </c>
      <c r="B363" s="3452" t="inlineStr">
        <is>
          <t>606000</t>
        </is>
      </c>
      <c r="C363" s="3452" t="inlineStr">
        <is>
          <t>000224000</t>
        </is>
      </c>
      <c r="D363" s="3452" t="inlineStr">
        <is>
          <t>202006</t>
        </is>
      </c>
      <c r="E363" s="3452" t="inlineStr">
        <is>
          <t>0,000000000000</t>
        </is>
      </c>
    </row>
    <row outlineLevel="0" r="364">
      <c r="A364" s="3452" t="inlineStr">
        <is>
          <t>000224000202003606000</t>
        </is>
      </c>
      <c r="B364" s="3452" t="inlineStr">
        <is>
          <t>606000</t>
        </is>
      </c>
      <c r="C364" s="3452" t="inlineStr">
        <is>
          <t>000224000</t>
        </is>
      </c>
      <c r="D364" s="3452" t="inlineStr">
        <is>
          <t>202003</t>
        </is>
      </c>
      <c r="E364" s="3452" t="inlineStr">
        <is>
          <t>48,000000000000</t>
        </is>
      </c>
    </row>
    <row outlineLevel="0" r="365">
      <c r="A365" s="3452" t="inlineStr">
        <is>
          <t>000224000202003539525</t>
        </is>
      </c>
      <c r="B365" s="3452" t="inlineStr">
        <is>
          <t>539525</t>
        </is>
      </c>
      <c r="C365" s="3452" t="inlineStr">
        <is>
          <t>000224000</t>
        </is>
      </c>
      <c r="D365" s="3452" t="inlineStr">
        <is>
          <t>202003</t>
        </is>
      </c>
      <c r="E365" s="3452" t="inlineStr">
        <is>
          <t>0,000000000000</t>
        </is>
      </c>
    </row>
    <row outlineLevel="0" r="366">
      <c r="A366" s="3452" t="inlineStr">
        <is>
          <t>000224000202003539595</t>
        </is>
      </c>
      <c r="B366" s="3452" t="inlineStr">
        <is>
          <t>539595</t>
        </is>
      </c>
      <c r="C366" s="3452" t="inlineStr">
        <is>
          <t>000224000</t>
        </is>
      </c>
      <c r="D366" s="3452" t="inlineStr">
        <is>
          <t>202003</t>
        </is>
      </c>
      <c r="E366" s="3452" t="inlineStr">
        <is>
          <t>0,000000000000</t>
        </is>
      </c>
    </row>
    <row outlineLevel="0" r="367">
      <c r="A367" s="3452" t="inlineStr">
        <is>
          <t>000224000202003531515</t>
        </is>
      </c>
      <c r="B367" s="3452" t="inlineStr">
        <is>
          <t>531515</t>
        </is>
      </c>
      <c r="C367" s="3452" t="inlineStr">
        <is>
          <t>000224000</t>
        </is>
      </c>
      <c r="D367" s="3452" t="inlineStr">
        <is>
          <t>202003</t>
        </is>
      </c>
      <c r="E367" s="3452" t="inlineStr">
        <is>
          <t>0,000000000000</t>
        </is>
      </c>
    </row>
    <row outlineLevel="0" r="368">
      <c r="A368" s="3452" t="inlineStr">
        <is>
          <t>000224000202003531520</t>
        </is>
      </c>
      <c r="B368" s="3452" t="inlineStr">
        <is>
          <t>531520</t>
        </is>
      </c>
      <c r="C368" s="3452" t="inlineStr">
        <is>
          <t>000224000</t>
        </is>
      </c>
      <c r="D368" s="3452" t="inlineStr">
        <is>
          <t>202003</t>
        </is>
      </c>
      <c r="E368" s="3452" t="inlineStr">
        <is>
          <t>0,000000000000</t>
        </is>
      </c>
    </row>
    <row outlineLevel="0" r="369">
      <c r="A369" s="3452" t="inlineStr">
        <is>
          <t>000224000202003531300</t>
        </is>
      </c>
      <c r="B369" s="3452" t="inlineStr">
        <is>
          <t>531300</t>
        </is>
      </c>
      <c r="C369" s="3452" t="inlineStr">
        <is>
          <t>000224000</t>
        </is>
      </c>
      <c r="D369" s="3452" t="inlineStr">
        <is>
          <t>202003</t>
        </is>
      </c>
      <c r="E369" s="3452" t="inlineStr">
        <is>
          <t>0,000000000000</t>
        </is>
      </c>
    </row>
    <row outlineLevel="0" r="370">
      <c r="A370" s="3452" t="inlineStr">
        <is>
          <t>000224000202003531500</t>
        </is>
      </c>
      <c r="B370" s="3452" t="inlineStr">
        <is>
          <t>531500</t>
        </is>
      </c>
      <c r="C370" s="3452" t="inlineStr">
        <is>
          <t>000224000</t>
        </is>
      </c>
      <c r="D370" s="3452" t="inlineStr">
        <is>
          <t>202003</t>
        </is>
      </c>
      <c r="E370" s="3452" t="inlineStr">
        <is>
          <t>0,000000000000</t>
        </is>
      </c>
    </row>
    <row outlineLevel="0" r="371">
      <c r="A371" s="3452" t="inlineStr">
        <is>
          <t>000224000202003530535</t>
        </is>
      </c>
      <c r="B371" s="3452" t="inlineStr">
        <is>
          <t>530535</t>
        </is>
      </c>
      <c r="C371" s="3452" t="inlineStr">
        <is>
          <t>000224000</t>
        </is>
      </c>
      <c r="D371" s="3452" t="inlineStr">
        <is>
          <t>202003</t>
        </is>
      </c>
      <c r="E371" s="3452" t="inlineStr">
        <is>
          <t>0,000000000000</t>
        </is>
      </c>
    </row>
    <row outlineLevel="0" r="372">
      <c r="A372" s="3452" t="inlineStr">
        <is>
          <t>000224000202003531000</t>
        </is>
      </c>
      <c r="B372" s="3452" t="inlineStr">
        <is>
          <t>531000</t>
        </is>
      </c>
      <c r="C372" s="3452" t="inlineStr">
        <is>
          <t>000224000</t>
        </is>
      </c>
      <c r="D372" s="3452" t="inlineStr">
        <is>
          <t>202003</t>
        </is>
      </c>
      <c r="E372" s="3452" t="inlineStr">
        <is>
          <t>0,000000000000</t>
        </is>
      </c>
    </row>
    <row outlineLevel="0" r="373">
      <c r="A373" s="3452" t="inlineStr">
        <is>
          <t>000224000202003530515</t>
        </is>
      </c>
      <c r="B373" s="3452" t="inlineStr">
        <is>
          <t>530515</t>
        </is>
      </c>
      <c r="C373" s="3452" t="inlineStr">
        <is>
          <t>000224000</t>
        </is>
      </c>
      <c r="D373" s="3452" t="inlineStr">
        <is>
          <t>202003</t>
        </is>
      </c>
      <c r="E373" s="3452" t="inlineStr">
        <is>
          <t>0,000000000000</t>
        </is>
      </c>
    </row>
    <row outlineLevel="0" r="374">
      <c r="A374" s="3452" t="inlineStr">
        <is>
          <t>000224000202003530525</t>
        </is>
      </c>
      <c r="B374" s="3452" t="inlineStr">
        <is>
          <t>530525</t>
        </is>
      </c>
      <c r="C374" s="3452" t="inlineStr">
        <is>
          <t>000224000</t>
        </is>
      </c>
      <c r="D374" s="3452" t="inlineStr">
        <is>
          <t>202003</t>
        </is>
      </c>
      <c r="E374" s="3452" t="inlineStr">
        <is>
          <t>0,000000000000</t>
        </is>
      </c>
    </row>
    <row outlineLevel="0" r="375">
      <c r="A375" s="3452" t="inlineStr">
        <is>
          <t>000224000202003529900</t>
        </is>
      </c>
      <c r="B375" s="3452" t="inlineStr">
        <is>
          <t>529900</t>
        </is>
      </c>
      <c r="C375" s="3452" t="inlineStr">
        <is>
          <t>000224000</t>
        </is>
      </c>
      <c r="D375" s="3452" t="inlineStr">
        <is>
          <t>202003</t>
        </is>
      </c>
      <c r="E375" s="3452" t="inlineStr">
        <is>
          <t>0,000000000000</t>
        </is>
      </c>
    </row>
    <row outlineLevel="0" r="376">
      <c r="A376" s="3452" t="inlineStr">
        <is>
          <t>000224000202003530505</t>
        </is>
      </c>
      <c r="B376" s="3452" t="inlineStr">
        <is>
          <t>530505</t>
        </is>
      </c>
      <c r="C376" s="3452" t="inlineStr">
        <is>
          <t>000224000</t>
        </is>
      </c>
      <c r="D376" s="3452" t="inlineStr">
        <is>
          <t>202003</t>
        </is>
      </c>
      <c r="E376" s="3452" t="inlineStr">
        <is>
          <t>0,000000000000</t>
        </is>
      </c>
    </row>
    <row outlineLevel="0" r="377">
      <c r="A377" s="3452" t="inlineStr">
        <is>
          <t>000224000202003526500</t>
        </is>
      </c>
      <c r="B377" s="3452" t="inlineStr">
        <is>
          <t>526500</t>
        </is>
      </c>
      <c r="C377" s="3452" t="inlineStr">
        <is>
          <t>000224000</t>
        </is>
      </c>
      <c r="D377" s="3452" t="inlineStr">
        <is>
          <t>202003</t>
        </is>
      </c>
      <c r="E377" s="3452" t="inlineStr">
        <is>
          <t>0,000000000000</t>
        </is>
      </c>
    </row>
    <row outlineLevel="0" r="378">
      <c r="A378" s="3452" t="inlineStr">
        <is>
          <t>000224000202003529500</t>
        </is>
      </c>
      <c r="B378" s="3452" t="inlineStr">
        <is>
          <t>529500</t>
        </is>
      </c>
      <c r="C378" s="3452" t="inlineStr">
        <is>
          <t>000224000</t>
        </is>
      </c>
      <c r="D378" s="3452" t="inlineStr">
        <is>
          <t>202003</t>
        </is>
      </c>
      <c r="E378" s="3452" t="inlineStr">
        <is>
          <t>0,000000000000</t>
        </is>
      </c>
    </row>
    <row outlineLevel="0" r="379">
      <c r="A379" s="3452" t="inlineStr">
        <is>
          <t>000224000202003525500</t>
        </is>
      </c>
      <c r="B379" s="3452" t="inlineStr">
        <is>
          <t>525500</t>
        </is>
      </c>
      <c r="C379" s="3452" t="inlineStr">
        <is>
          <t>000224000</t>
        </is>
      </c>
      <c r="D379" s="3452" t="inlineStr">
        <is>
          <t>202003</t>
        </is>
      </c>
      <c r="E379" s="3452" t="inlineStr">
        <is>
          <t>0,000000000000</t>
        </is>
      </c>
    </row>
    <row outlineLevel="0" r="380">
      <c r="A380" s="3452" t="inlineStr">
        <is>
          <t>000224000202003526000</t>
        </is>
      </c>
      <c r="B380" s="3452" t="inlineStr">
        <is>
          <t>526000</t>
        </is>
      </c>
      <c r="C380" s="3452" t="inlineStr">
        <is>
          <t>000224000</t>
        </is>
      </c>
      <c r="D380" s="3452" t="inlineStr">
        <is>
          <t>202003</t>
        </is>
      </c>
      <c r="E380" s="3452" t="inlineStr">
        <is>
          <t>0,000000000000</t>
        </is>
      </c>
    </row>
    <row outlineLevel="0" r="381">
      <c r="A381" s="3452" t="inlineStr">
        <is>
          <t>000224000202003524500</t>
        </is>
      </c>
      <c r="B381" s="3452" t="inlineStr">
        <is>
          <t>524500</t>
        </is>
      </c>
      <c r="C381" s="3452" t="inlineStr">
        <is>
          <t>000224000</t>
        </is>
      </c>
      <c r="D381" s="3452" t="inlineStr">
        <is>
          <t>202003</t>
        </is>
      </c>
      <c r="E381" s="3452" t="inlineStr">
        <is>
          <t>0,000000000000</t>
        </is>
      </c>
    </row>
    <row outlineLevel="0" r="382">
      <c r="A382" s="3452" t="inlineStr">
        <is>
          <t>000224000202003525000</t>
        </is>
      </c>
      <c r="B382" s="3452" t="inlineStr">
        <is>
          <t>525000</t>
        </is>
      </c>
      <c r="C382" s="3452" t="inlineStr">
        <is>
          <t>000224000</t>
        </is>
      </c>
      <c r="D382" s="3452" t="inlineStr">
        <is>
          <t>202003</t>
        </is>
      </c>
      <c r="E382" s="3452" t="inlineStr">
        <is>
          <t>0,000000000000</t>
        </is>
      </c>
    </row>
    <row outlineLevel="0" r="383">
      <c r="A383" s="3452" t="inlineStr">
        <is>
          <t>000224000202003523500</t>
        </is>
      </c>
      <c r="B383" s="3452" t="inlineStr">
        <is>
          <t>523500</t>
        </is>
      </c>
      <c r="C383" s="3452" t="inlineStr">
        <is>
          <t>000224000</t>
        </is>
      </c>
      <c r="D383" s="3452" t="inlineStr">
        <is>
          <t>202003</t>
        </is>
      </c>
      <c r="E383" s="3452" t="inlineStr">
        <is>
          <t>0,000000000000</t>
        </is>
      </c>
    </row>
    <row outlineLevel="0" r="384">
      <c r="A384" s="3452" t="inlineStr">
        <is>
          <t>000224000202003524000</t>
        </is>
      </c>
      <c r="B384" s="3452" t="inlineStr">
        <is>
          <t>524000</t>
        </is>
      </c>
      <c r="C384" s="3452" t="inlineStr">
        <is>
          <t>000224000</t>
        </is>
      </c>
      <c r="D384" s="3452" t="inlineStr">
        <is>
          <t>202003</t>
        </is>
      </c>
      <c r="E384" s="3452" t="inlineStr">
        <is>
          <t>0,000000000000</t>
        </is>
      </c>
    </row>
    <row outlineLevel="0" r="385">
      <c r="A385" s="3452" t="inlineStr">
        <is>
          <t>000224000202003522500</t>
        </is>
      </c>
      <c r="B385" s="3452" t="inlineStr">
        <is>
          <t>522500</t>
        </is>
      </c>
      <c r="C385" s="3452" t="inlineStr">
        <is>
          <t>000224000</t>
        </is>
      </c>
      <c r="D385" s="3452" t="inlineStr">
        <is>
          <t>202003</t>
        </is>
      </c>
      <c r="E385" s="3452" t="inlineStr">
        <is>
          <t>0,000000000000</t>
        </is>
      </c>
    </row>
    <row outlineLevel="0" r="386">
      <c r="A386" s="3452" t="inlineStr">
        <is>
          <t>000224000202003523000</t>
        </is>
      </c>
      <c r="B386" s="3452" t="inlineStr">
        <is>
          <t>523000</t>
        </is>
      </c>
      <c r="C386" s="3452" t="inlineStr">
        <is>
          <t>000224000</t>
        </is>
      </c>
      <c r="D386" s="3452" t="inlineStr">
        <is>
          <t>202003</t>
        </is>
      </c>
      <c r="E386" s="3452" t="inlineStr">
        <is>
          <t>0,000000000000</t>
        </is>
      </c>
    </row>
    <row outlineLevel="0" r="387">
      <c r="A387" s="3452" t="inlineStr">
        <is>
          <t>000224000202003521500</t>
        </is>
      </c>
      <c r="B387" s="3452" t="inlineStr">
        <is>
          <t>521500</t>
        </is>
      </c>
      <c r="C387" s="3452" t="inlineStr">
        <is>
          <t>000224000</t>
        </is>
      </c>
      <c r="D387" s="3452" t="inlineStr">
        <is>
          <t>202003</t>
        </is>
      </c>
      <c r="E387" s="3452" t="inlineStr">
        <is>
          <t>0,000000000000</t>
        </is>
      </c>
    </row>
    <row outlineLevel="0" r="388">
      <c r="A388" s="3452" t="inlineStr">
        <is>
          <t>000224000202003522000</t>
        </is>
      </c>
      <c r="B388" s="3452" t="inlineStr">
        <is>
          <t>522000</t>
        </is>
      </c>
      <c r="C388" s="3452" t="inlineStr">
        <is>
          <t>000224000</t>
        </is>
      </c>
      <c r="D388" s="3452" t="inlineStr">
        <is>
          <t>202003</t>
        </is>
      </c>
      <c r="E388" s="3452" t="inlineStr">
        <is>
          <t>0,000000000000</t>
        </is>
      </c>
    </row>
    <row outlineLevel="0" r="389">
      <c r="A389" s="3452" t="inlineStr">
        <is>
          <t>000224000202003520500</t>
        </is>
      </c>
      <c r="B389" s="3452" t="inlineStr">
        <is>
          <t>520500</t>
        </is>
      </c>
      <c r="C389" s="3452" t="inlineStr">
        <is>
          <t>000224000</t>
        </is>
      </c>
      <c r="D389" s="3452" t="inlineStr">
        <is>
          <t>202003</t>
        </is>
      </c>
      <c r="E389" s="3452" t="inlineStr">
        <is>
          <t>0,000000000000</t>
        </is>
      </c>
    </row>
    <row outlineLevel="0" r="390">
      <c r="A390" s="3452" t="inlineStr">
        <is>
          <t>000224000202003521000</t>
        </is>
      </c>
      <c r="B390" s="3452" t="inlineStr">
        <is>
          <t>521000</t>
        </is>
      </c>
      <c r="C390" s="3452" t="inlineStr">
        <is>
          <t>000224000</t>
        </is>
      </c>
      <c r="D390" s="3452" t="inlineStr">
        <is>
          <t>202003</t>
        </is>
      </c>
      <c r="E390" s="3452" t="inlineStr">
        <is>
          <t>0,000000000000</t>
        </is>
      </c>
    </row>
    <row outlineLevel="0" r="391">
      <c r="A391" s="3452" t="inlineStr">
        <is>
          <t>000224000202003519500</t>
        </is>
      </c>
      <c r="B391" s="3452" t="inlineStr">
        <is>
          <t>519500</t>
        </is>
      </c>
      <c r="C391" s="3452" t="inlineStr">
        <is>
          <t>000224000</t>
        </is>
      </c>
      <c r="D391" s="3452" t="inlineStr">
        <is>
          <t>202003</t>
        </is>
      </c>
      <c r="E391" s="3452" t="inlineStr">
        <is>
          <t>0,000000000000</t>
        </is>
      </c>
    </row>
    <row outlineLevel="0" r="392">
      <c r="A392" s="3452" t="inlineStr">
        <is>
          <t>000224000202003519900</t>
        </is>
      </c>
      <c r="B392" s="3452" t="inlineStr">
        <is>
          <t>519900</t>
        </is>
      </c>
      <c r="C392" s="3452" t="inlineStr">
        <is>
          <t>000224000</t>
        </is>
      </c>
      <c r="D392" s="3452" t="inlineStr">
        <is>
          <t>202003</t>
        </is>
      </c>
      <c r="E392" s="3452" t="inlineStr">
        <is>
          <t>0,000000000000</t>
        </is>
      </c>
    </row>
    <row outlineLevel="0" r="393">
      <c r="A393" s="3452" t="inlineStr">
        <is>
          <t>000224000202003516000</t>
        </is>
      </c>
      <c r="B393" s="3452" t="inlineStr">
        <is>
          <t>516000</t>
        </is>
      </c>
      <c r="C393" s="3452" t="inlineStr">
        <is>
          <t>000224000</t>
        </is>
      </c>
      <c r="D393" s="3452" t="inlineStr">
        <is>
          <t>202003</t>
        </is>
      </c>
      <c r="E393" s="3452" t="inlineStr">
        <is>
          <t>0,000000000000</t>
        </is>
      </c>
    </row>
    <row outlineLevel="0" r="394">
      <c r="A394" s="3452" t="inlineStr">
        <is>
          <t>000224000202003516500</t>
        </is>
      </c>
      <c r="B394" s="3452" t="inlineStr">
        <is>
          <t>516500</t>
        </is>
      </c>
      <c r="C394" s="3452" t="inlineStr">
        <is>
          <t>000224000</t>
        </is>
      </c>
      <c r="D394" s="3452" t="inlineStr">
        <is>
          <t>202003</t>
        </is>
      </c>
      <c r="E394" s="3452" t="inlineStr">
        <is>
          <t>0,000000000000</t>
        </is>
      </c>
    </row>
    <row outlineLevel="0" r="395">
      <c r="A395" s="3452" t="inlineStr">
        <is>
          <t>000224000202003515000</t>
        </is>
      </c>
      <c r="B395" s="3452" t="inlineStr">
        <is>
          <t>515000</t>
        </is>
      </c>
      <c r="C395" s="3452" t="inlineStr">
        <is>
          <t>000224000</t>
        </is>
      </c>
      <c r="D395" s="3452" t="inlineStr">
        <is>
          <t>202003</t>
        </is>
      </c>
      <c r="E395" s="3452" t="inlineStr">
        <is>
          <t>0,000000000000</t>
        </is>
      </c>
    </row>
    <row outlineLevel="0" r="396">
      <c r="A396" s="3452" t="inlineStr">
        <is>
          <t>000224000202003515500</t>
        </is>
      </c>
      <c r="B396" s="3452" t="inlineStr">
        <is>
          <t>515500</t>
        </is>
      </c>
      <c r="C396" s="3452" t="inlineStr">
        <is>
          <t>000224000</t>
        </is>
      </c>
      <c r="D396" s="3452" t="inlineStr">
        <is>
          <t>202003</t>
        </is>
      </c>
      <c r="E396" s="3452" t="inlineStr">
        <is>
          <t>0,000000000000</t>
        </is>
      </c>
    </row>
    <row outlineLevel="0" r="397">
      <c r="A397" s="3452" t="inlineStr">
        <is>
          <t>000224000202003514000</t>
        </is>
      </c>
      <c r="B397" s="3452" t="inlineStr">
        <is>
          <t>514000</t>
        </is>
      </c>
      <c r="C397" s="3452" t="inlineStr">
        <is>
          <t>000224000</t>
        </is>
      </c>
      <c r="D397" s="3452" t="inlineStr">
        <is>
          <t>202003</t>
        </is>
      </c>
      <c r="E397" s="3452" t="inlineStr">
        <is>
          <t>0,000000000000</t>
        </is>
      </c>
    </row>
    <row outlineLevel="0" r="398">
      <c r="A398" s="3452" t="inlineStr">
        <is>
          <t>000224000202003514500</t>
        </is>
      </c>
      <c r="B398" s="3452" t="inlineStr">
        <is>
          <t>514500</t>
        </is>
      </c>
      <c r="C398" s="3452" t="inlineStr">
        <is>
          <t>000224000</t>
        </is>
      </c>
      <c r="D398" s="3452" t="inlineStr">
        <is>
          <t>202003</t>
        </is>
      </c>
      <c r="E398" s="3452" t="inlineStr">
        <is>
          <t>0,000000000000</t>
        </is>
      </c>
    </row>
    <row outlineLevel="0" r="399">
      <c r="A399" s="3452" t="inlineStr">
        <is>
          <t>000224000202003513000</t>
        </is>
      </c>
      <c r="B399" s="3452" t="inlineStr">
        <is>
          <t>513000</t>
        </is>
      </c>
      <c r="C399" s="3452" t="inlineStr">
        <is>
          <t>000224000</t>
        </is>
      </c>
      <c r="D399" s="3452" t="inlineStr">
        <is>
          <t>202003</t>
        </is>
      </c>
      <c r="E399" s="3452" t="inlineStr">
        <is>
          <t>0,000000000000</t>
        </is>
      </c>
    </row>
    <row outlineLevel="0" r="400">
      <c r="A400" s="3452" t="inlineStr">
        <is>
          <t>000224000202003513500</t>
        </is>
      </c>
      <c r="B400" s="3452" t="inlineStr">
        <is>
          <t>513500</t>
        </is>
      </c>
      <c r="C400" s="3452" t="inlineStr">
        <is>
          <t>000224000</t>
        </is>
      </c>
      <c r="D400" s="3452" t="inlineStr">
        <is>
          <t>202003</t>
        </is>
      </c>
      <c r="E400" s="3452" t="inlineStr">
        <is>
          <t>0,000000000000</t>
        </is>
      </c>
    </row>
    <row outlineLevel="0" r="401">
      <c r="A401" s="3452" t="inlineStr">
        <is>
          <t>000224000202003512000</t>
        </is>
      </c>
      <c r="B401" s="3452" t="inlineStr">
        <is>
          <t>512000</t>
        </is>
      </c>
      <c r="C401" s="3452" t="inlineStr">
        <is>
          <t>000224000</t>
        </is>
      </c>
      <c r="D401" s="3452" t="inlineStr">
        <is>
          <t>202003</t>
        </is>
      </c>
      <c r="E401" s="3452" t="inlineStr">
        <is>
          <t>0,000000000000</t>
        </is>
      </c>
    </row>
    <row outlineLevel="0" r="402">
      <c r="A402" s="3452" t="inlineStr">
        <is>
          <t>000224000202003512500</t>
        </is>
      </c>
      <c r="B402" s="3452" t="inlineStr">
        <is>
          <t>512500</t>
        </is>
      </c>
      <c r="C402" s="3452" t="inlineStr">
        <is>
          <t>000224000</t>
        </is>
      </c>
      <c r="D402" s="3452" t="inlineStr">
        <is>
          <t>202003</t>
        </is>
      </c>
      <c r="E402" s="3452" t="inlineStr">
        <is>
          <t>0,000000000000</t>
        </is>
      </c>
    </row>
    <row outlineLevel="0" r="403">
      <c r="A403" s="3452" t="inlineStr">
        <is>
          <t>000224000202003511000</t>
        </is>
      </c>
      <c r="B403" s="3452" t="inlineStr">
        <is>
          <t>511000</t>
        </is>
      </c>
      <c r="C403" s="3452" t="inlineStr">
        <is>
          <t>000224000</t>
        </is>
      </c>
      <c r="D403" s="3452" t="inlineStr">
        <is>
          <t>202003</t>
        </is>
      </c>
      <c r="E403" s="3452" t="inlineStr">
        <is>
          <t>0,000000000000</t>
        </is>
      </c>
    </row>
    <row outlineLevel="0" r="404">
      <c r="A404" s="3452" t="inlineStr">
        <is>
          <t>000224000202003511500</t>
        </is>
      </c>
      <c r="B404" s="3452" t="inlineStr">
        <is>
          <t>511500</t>
        </is>
      </c>
      <c r="C404" s="3452" t="inlineStr">
        <is>
          <t>000224000</t>
        </is>
      </c>
      <c r="D404" s="3452" t="inlineStr">
        <is>
          <t>202003</t>
        </is>
      </c>
      <c r="E404" s="3452" t="inlineStr">
        <is>
          <t>0,000000000000</t>
        </is>
      </c>
    </row>
    <row outlineLevel="0" r="405">
      <c r="A405" s="3452" t="inlineStr">
        <is>
          <t>000224000202003429500</t>
        </is>
      </c>
      <c r="B405" s="3452" t="inlineStr">
        <is>
          <t>429500</t>
        </is>
      </c>
      <c r="C405" s="3452" t="inlineStr">
        <is>
          <t>000224000</t>
        </is>
      </c>
      <c r="D405" s="3452" t="inlineStr">
        <is>
          <t>202003</t>
        </is>
      </c>
      <c r="E405" s="3452" t="inlineStr">
        <is>
          <t>0,000000000000</t>
        </is>
      </c>
    </row>
    <row outlineLevel="0" r="406">
      <c r="A406" s="3452" t="inlineStr">
        <is>
          <t>000224000202003510500</t>
        </is>
      </c>
      <c r="B406" s="3452" t="inlineStr">
        <is>
          <t>510500</t>
        </is>
      </c>
      <c r="C406" s="3452" t="inlineStr">
        <is>
          <t>000224000</t>
        </is>
      </c>
      <c r="D406" s="3452" t="inlineStr">
        <is>
          <t>202003</t>
        </is>
      </c>
      <c r="E406" s="3452" t="inlineStr">
        <is>
          <t>365,000000000000</t>
        </is>
      </c>
    </row>
    <row outlineLevel="0" r="407">
      <c r="A407" s="3452" t="inlineStr">
        <is>
          <t>000224000202003425000</t>
        </is>
      </c>
      <c r="B407" s="3452" t="inlineStr">
        <is>
          <t>425000</t>
        </is>
      </c>
      <c r="C407" s="3452" t="inlineStr">
        <is>
          <t>000224000</t>
        </is>
      </c>
      <c r="D407" s="3452" t="inlineStr">
        <is>
          <t>202003</t>
        </is>
      </c>
      <c r="E407" s="3452" t="inlineStr">
        <is>
          <t>0,000000000000</t>
        </is>
      </c>
    </row>
    <row outlineLevel="0" r="408">
      <c r="A408" s="3452" t="inlineStr">
        <is>
          <t>000224000202003426500</t>
        </is>
      </c>
      <c r="B408" s="3452" t="inlineStr">
        <is>
          <t>426500</t>
        </is>
      </c>
      <c r="C408" s="3452" t="inlineStr">
        <is>
          <t>000224000</t>
        </is>
      </c>
      <c r="D408" s="3452" t="inlineStr">
        <is>
          <t>202003</t>
        </is>
      </c>
      <c r="E408" s="3452" t="inlineStr">
        <is>
          <t>0,000000000000</t>
        </is>
      </c>
    </row>
    <row outlineLevel="0" r="409">
      <c r="A409" s="3452" t="inlineStr">
        <is>
          <t>000224000202003423500</t>
        </is>
      </c>
      <c r="B409" s="3452" t="inlineStr">
        <is>
          <t>423500</t>
        </is>
      </c>
      <c r="C409" s="3452" t="inlineStr">
        <is>
          <t>000224000</t>
        </is>
      </c>
      <c r="D409" s="3452" t="inlineStr">
        <is>
          <t>202003</t>
        </is>
      </c>
      <c r="E409" s="3452" t="inlineStr">
        <is>
          <t>0,000000000000</t>
        </is>
      </c>
    </row>
    <row outlineLevel="0" r="410">
      <c r="A410" s="3452" t="inlineStr">
        <is>
          <t>000224000202003424000</t>
        </is>
      </c>
      <c r="B410" s="3452" t="inlineStr">
        <is>
          <t>424000</t>
        </is>
      </c>
      <c r="C410" s="3452" t="inlineStr">
        <is>
          <t>000224000</t>
        </is>
      </c>
      <c r="D410" s="3452" t="inlineStr">
        <is>
          <t>202003</t>
        </is>
      </c>
      <c r="E410" s="3452" t="inlineStr">
        <is>
          <t>0,000000000000</t>
        </is>
      </c>
    </row>
    <row outlineLevel="0" r="411">
      <c r="A411" s="3452" t="inlineStr">
        <is>
          <t>000224000202003422000</t>
        </is>
      </c>
      <c r="B411" s="3452" t="inlineStr">
        <is>
          <t>422000</t>
        </is>
      </c>
      <c r="C411" s="3452" t="inlineStr">
        <is>
          <t>000224000</t>
        </is>
      </c>
      <c r="D411" s="3452" t="inlineStr">
        <is>
          <t>202003</t>
        </is>
      </c>
      <c r="E411" s="3452" t="inlineStr">
        <is>
          <t>0,000000000000</t>
        </is>
      </c>
    </row>
    <row outlineLevel="0" r="412">
      <c r="A412" s="3452" t="inlineStr">
        <is>
          <t>000224000202003422500</t>
        </is>
      </c>
      <c r="B412" s="3452" t="inlineStr">
        <is>
          <t>422500</t>
        </is>
      </c>
      <c r="C412" s="3452" t="inlineStr">
        <is>
          <t>000224000</t>
        </is>
      </c>
      <c r="D412" s="3452" t="inlineStr">
        <is>
          <t>202003</t>
        </is>
      </c>
      <c r="E412" s="3452" t="inlineStr">
        <is>
          <t>0,000000000000</t>
        </is>
      </c>
    </row>
    <row outlineLevel="0" r="413">
      <c r="A413" s="3452" t="inlineStr">
        <is>
          <t>000224000202003421040</t>
        </is>
      </c>
      <c r="B413" s="3452" t="inlineStr">
        <is>
          <t>421040</t>
        </is>
      </c>
      <c r="C413" s="3452" t="inlineStr">
        <is>
          <t>000224000</t>
        </is>
      </c>
      <c r="D413" s="3452" t="inlineStr">
        <is>
          <t>202003</t>
        </is>
      </c>
      <c r="E413" s="3452" t="inlineStr">
        <is>
          <t>0,000000000000</t>
        </is>
      </c>
    </row>
    <row outlineLevel="0" r="414">
      <c r="A414" s="3452" t="inlineStr">
        <is>
          <t>000224000202003421500</t>
        </is>
      </c>
      <c r="B414" s="3452" t="inlineStr">
        <is>
          <t>421500</t>
        </is>
      </c>
      <c r="C414" s="3452" t="inlineStr">
        <is>
          <t>000224000</t>
        </is>
      </c>
      <c r="D414" s="3452" t="inlineStr">
        <is>
          <t>202003</t>
        </is>
      </c>
      <c r="E414" s="3452" t="inlineStr">
        <is>
          <t>0,000000000000</t>
        </is>
      </c>
    </row>
    <row outlineLevel="0" r="415">
      <c r="A415" s="3452" t="inlineStr">
        <is>
          <t>000224000202003421000</t>
        </is>
      </c>
      <c r="B415" s="3452" t="inlineStr">
        <is>
          <t>421000</t>
        </is>
      </c>
      <c r="C415" s="3452" t="inlineStr">
        <is>
          <t>000224000</t>
        </is>
      </c>
      <c r="D415" s="3452" t="inlineStr">
        <is>
          <t>202003</t>
        </is>
      </c>
      <c r="E415" s="3452" t="inlineStr">
        <is>
          <t>0,000000000000</t>
        </is>
      </c>
    </row>
    <row outlineLevel="0" r="416">
      <c r="A416" s="3452" t="inlineStr">
        <is>
          <t>000224000202003421020</t>
        </is>
      </c>
      <c r="B416" s="3452" t="inlineStr">
        <is>
          <t>421020</t>
        </is>
      </c>
      <c r="C416" s="3452" t="inlineStr">
        <is>
          <t>000224000</t>
        </is>
      </c>
      <c r="D416" s="3452" t="inlineStr">
        <is>
          <t>202003</t>
        </is>
      </c>
      <c r="E416" s="3452" t="inlineStr">
        <is>
          <t>0,000000000000</t>
        </is>
      </c>
    </row>
    <row outlineLevel="0" r="417">
      <c r="A417" s="3452" t="inlineStr">
        <is>
          <t>000224000202003411000</t>
        </is>
      </c>
      <c r="B417" s="3452" t="inlineStr">
        <is>
          <t>411000</t>
        </is>
      </c>
      <c r="C417" s="3452" t="inlineStr">
        <is>
          <t>000224000</t>
        </is>
      </c>
      <c r="D417" s="3452" t="inlineStr">
        <is>
          <t>202003</t>
        </is>
      </c>
      <c r="E417" s="3452" t="inlineStr">
        <is>
          <t>0,000000000000</t>
        </is>
      </c>
    </row>
    <row outlineLevel="0" r="418">
      <c r="A418" s="3452" t="inlineStr">
        <is>
          <t>000224000202003420500</t>
        </is>
      </c>
      <c r="B418" s="3452" t="inlineStr">
        <is>
          <t>420500</t>
        </is>
      </c>
      <c r="C418" s="3452" t="inlineStr">
        <is>
          <t>000224000</t>
        </is>
      </c>
      <c r="D418" s="3452" t="inlineStr">
        <is>
          <t>202003</t>
        </is>
      </c>
      <c r="E418" s="3452" t="inlineStr">
        <is>
          <t>0,000000000000</t>
        </is>
      </c>
    </row>
    <row outlineLevel="0" r="419">
      <c r="A419" s="3452" t="inlineStr">
        <is>
          <t>000224000202003349500</t>
        </is>
      </c>
      <c r="B419" s="3452" t="inlineStr">
        <is>
          <t>349500</t>
        </is>
      </c>
      <c r="C419" s="3452" t="inlineStr">
        <is>
          <t>000224000</t>
        </is>
      </c>
      <c r="D419" s="3452" t="inlineStr">
        <is>
          <t>202003</t>
        </is>
      </c>
      <c r="E419" s="3452" t="inlineStr">
        <is>
          <t>0,000000000000</t>
        </is>
      </c>
    </row>
    <row outlineLevel="0" r="420">
      <c r="A420" s="3452" t="inlineStr">
        <is>
          <t>000224000202003410500</t>
        </is>
      </c>
      <c r="B420" s="3452" t="inlineStr">
        <is>
          <t>410500</t>
        </is>
      </c>
      <c r="C420" s="3452" t="inlineStr">
        <is>
          <t>000224000</t>
        </is>
      </c>
      <c r="D420" s="3452" t="inlineStr">
        <is>
          <t>202003</t>
        </is>
      </c>
      <c r="E420" s="3452" t="inlineStr">
        <is>
          <t>542,000000000000</t>
        </is>
      </c>
    </row>
    <row outlineLevel="0" r="421">
      <c r="A421" s="3452" t="inlineStr">
        <is>
          <t>000224000202003340505</t>
        </is>
      </c>
      <c r="B421" s="3452" t="inlineStr">
        <is>
          <t>340505</t>
        </is>
      </c>
      <c r="C421" s="3452" t="inlineStr">
        <is>
          <t>000224000</t>
        </is>
      </c>
      <c r="D421" s="3452" t="inlineStr">
        <is>
          <t>202003</t>
        </is>
      </c>
      <c r="E421" s="3452" t="inlineStr">
        <is>
          <t>0,000000000000</t>
        </is>
      </c>
    </row>
    <row outlineLevel="0" r="422">
      <c r="A422" s="3452" t="inlineStr">
        <is>
          <t>000224000202003340515</t>
        </is>
      </c>
      <c r="B422" s="3452" t="inlineStr">
        <is>
          <t>340515</t>
        </is>
      </c>
      <c r="C422" s="3452" t="inlineStr">
        <is>
          <t>000224000</t>
        </is>
      </c>
      <c r="D422" s="3452" t="inlineStr">
        <is>
          <t>202003</t>
        </is>
      </c>
      <c r="E422" s="3452" t="inlineStr">
        <is>
          <t>0,000000000000</t>
        </is>
      </c>
    </row>
    <row outlineLevel="0" r="423">
      <c r="A423" s="3452" t="inlineStr">
        <is>
          <t>000224000202003331000</t>
        </is>
      </c>
      <c r="B423" s="3452" t="inlineStr">
        <is>
          <t>331000</t>
        </is>
      </c>
      <c r="C423" s="3452" t="inlineStr">
        <is>
          <t>000224000</t>
        </is>
      </c>
      <c r="D423" s="3452" t="inlineStr">
        <is>
          <t>202003</t>
        </is>
      </c>
      <c r="E423" s="3452" t="inlineStr">
        <is>
          <t>0,000000000000</t>
        </is>
      </c>
    </row>
    <row outlineLevel="0" r="424">
      <c r="A424" s="3452" t="inlineStr">
        <is>
          <t>000224000202003331500</t>
        </is>
      </c>
      <c r="B424" s="3452" t="inlineStr">
        <is>
          <t>331500</t>
        </is>
      </c>
      <c r="C424" s="3452" t="inlineStr">
        <is>
          <t>000224000</t>
        </is>
      </c>
      <c r="D424" s="3452" t="inlineStr">
        <is>
          <t>202003</t>
        </is>
      </c>
      <c r="E424" s="3452" t="inlineStr">
        <is>
          <t>0,000000000000</t>
        </is>
      </c>
    </row>
    <row outlineLevel="0" r="425">
      <c r="A425" s="3452" t="inlineStr">
        <is>
          <t>000224000202003322500</t>
        </is>
      </c>
      <c r="B425" s="3452" t="inlineStr">
        <is>
          <t>322500</t>
        </is>
      </c>
      <c r="C425" s="3452" t="inlineStr">
        <is>
          <t>000224000</t>
        </is>
      </c>
      <c r="D425" s="3452" t="inlineStr">
        <is>
          <t>202003</t>
        </is>
      </c>
      <c r="E425" s="3452" t="inlineStr">
        <is>
          <t>0,000000000000</t>
        </is>
      </c>
    </row>
    <row outlineLevel="0" r="426">
      <c r="A426" s="3452" t="inlineStr">
        <is>
          <t>000224000202003330500</t>
        </is>
      </c>
      <c r="B426" s="3452" t="inlineStr">
        <is>
          <t>330500</t>
        </is>
      </c>
      <c r="C426" s="3452" t="inlineStr">
        <is>
          <t>000224000</t>
        </is>
      </c>
      <c r="D426" s="3452" t="inlineStr">
        <is>
          <t>202003</t>
        </is>
      </c>
      <c r="E426" s="3452" t="inlineStr">
        <is>
          <t>166,000000000000</t>
        </is>
      </c>
    </row>
    <row outlineLevel="0" r="427">
      <c r="A427" s="3452" t="inlineStr">
        <is>
          <t>000224000202003321500</t>
        </is>
      </c>
      <c r="B427" s="3452" t="inlineStr">
        <is>
          <t>321500</t>
        </is>
      </c>
      <c r="C427" s="3452" t="inlineStr">
        <is>
          <t>000224000</t>
        </is>
      </c>
      <c r="D427" s="3452" t="inlineStr">
        <is>
          <t>202003</t>
        </is>
      </c>
      <c r="E427" s="3452" t="inlineStr">
        <is>
          <t>0,000000000000</t>
        </is>
      </c>
    </row>
    <row outlineLevel="0" r="428">
      <c r="A428" s="3452" t="inlineStr">
        <is>
          <t>000224000202003322000</t>
        </is>
      </c>
      <c r="B428" s="3452" t="inlineStr">
        <is>
          <t>322000</t>
        </is>
      </c>
      <c r="C428" s="3452" t="inlineStr">
        <is>
          <t>000224000</t>
        </is>
      </c>
      <c r="D428" s="3452" t="inlineStr">
        <is>
          <t>202003</t>
        </is>
      </c>
      <c r="E428" s="3452" t="inlineStr">
        <is>
          <t>0,000000000000</t>
        </is>
      </c>
    </row>
    <row outlineLevel="0" r="429">
      <c r="A429" s="3452" t="inlineStr">
        <is>
          <t>000224000202003320500</t>
        </is>
      </c>
      <c r="B429" s="3452" t="inlineStr">
        <is>
          <t>320500</t>
        </is>
      </c>
      <c r="C429" s="3452" t="inlineStr">
        <is>
          <t>000224000</t>
        </is>
      </c>
      <c r="D429" s="3452" t="inlineStr">
        <is>
          <t>202003</t>
        </is>
      </c>
      <c r="E429" s="3452" t="inlineStr">
        <is>
          <t>0,000000000000</t>
        </is>
      </c>
    </row>
    <row outlineLevel="0" r="430">
      <c r="A430" s="3452" t="inlineStr">
        <is>
          <t>000224000202003321000</t>
        </is>
      </c>
      <c r="B430" s="3452" t="inlineStr">
        <is>
          <t>321000</t>
        </is>
      </c>
      <c r="C430" s="3452" t="inlineStr">
        <is>
          <t>000224000</t>
        </is>
      </c>
      <c r="D430" s="3452" t="inlineStr">
        <is>
          <t>202003</t>
        </is>
      </c>
      <c r="E430" s="3452" t="inlineStr">
        <is>
          <t>0,000000000000</t>
        </is>
      </c>
    </row>
    <row outlineLevel="0" r="431">
      <c r="A431" s="3452" t="inlineStr">
        <is>
          <t>000224000202003313500</t>
        </is>
      </c>
      <c r="B431" s="3452" t="inlineStr">
        <is>
          <t>313500</t>
        </is>
      </c>
      <c r="C431" s="3452" t="inlineStr">
        <is>
          <t>000224000</t>
        </is>
      </c>
      <c r="D431" s="3452" t="inlineStr">
        <is>
          <t>202003</t>
        </is>
      </c>
      <c r="E431" s="3452" t="inlineStr">
        <is>
          <t>0,000000000000</t>
        </is>
      </c>
    </row>
    <row outlineLevel="0" r="432">
      <c r="A432" s="3452" t="inlineStr">
        <is>
          <t>000224000202003314000</t>
        </is>
      </c>
      <c r="B432" s="3452" t="inlineStr">
        <is>
          <t>314000</t>
        </is>
      </c>
      <c r="C432" s="3452" t="inlineStr">
        <is>
          <t>000224000</t>
        </is>
      </c>
      <c r="D432" s="3452" t="inlineStr">
        <is>
          <t>202003</t>
        </is>
      </c>
      <c r="E432" s="3452" t="inlineStr">
        <is>
          <t>0,000000000000</t>
        </is>
      </c>
    </row>
    <row outlineLevel="0" r="433">
      <c r="A433" s="3452" t="inlineStr">
        <is>
          <t>000224000202003312500</t>
        </is>
      </c>
      <c r="B433" s="3452" t="inlineStr">
        <is>
          <t>312500</t>
        </is>
      </c>
      <c r="C433" s="3452" t="inlineStr">
        <is>
          <t>000224000</t>
        </is>
      </c>
      <c r="D433" s="3452" t="inlineStr">
        <is>
          <t>202003</t>
        </is>
      </c>
      <c r="E433" s="3452" t="inlineStr">
        <is>
          <t>0,000000000000</t>
        </is>
      </c>
    </row>
    <row outlineLevel="0" r="434">
      <c r="A434" s="3452" t="inlineStr">
        <is>
          <t>000224000202003313000</t>
        </is>
      </c>
      <c r="B434" s="3452" t="inlineStr">
        <is>
          <t>313000</t>
        </is>
      </c>
      <c r="C434" s="3452" t="inlineStr">
        <is>
          <t>000224000</t>
        </is>
      </c>
      <c r="D434" s="3452" t="inlineStr">
        <is>
          <t>202003</t>
        </is>
      </c>
      <c r="E434" s="3452" t="inlineStr">
        <is>
          <t>0,000000000000</t>
        </is>
      </c>
    </row>
    <row outlineLevel="0" r="435">
      <c r="A435" s="3452" t="inlineStr">
        <is>
          <t>000224000202003311500</t>
        </is>
      </c>
      <c r="B435" s="3452" t="inlineStr">
        <is>
          <t>311500</t>
        </is>
      </c>
      <c r="C435" s="3452" t="inlineStr">
        <is>
          <t>000224000</t>
        </is>
      </c>
      <c r="D435" s="3452" t="inlineStr">
        <is>
          <t>202003</t>
        </is>
      </c>
      <c r="E435" s="3452" t="inlineStr">
        <is>
          <t>0,000000000000</t>
        </is>
      </c>
    </row>
    <row outlineLevel="0" r="436">
      <c r="A436" s="3452" t="inlineStr">
        <is>
          <t>000224000202003312000</t>
        </is>
      </c>
      <c r="B436" s="3452" t="inlineStr">
        <is>
          <t>312000</t>
        </is>
      </c>
      <c r="C436" s="3452" t="inlineStr">
        <is>
          <t>000224000</t>
        </is>
      </c>
      <c r="D436" s="3452" t="inlineStr">
        <is>
          <t>202003</t>
        </is>
      </c>
      <c r="E436" s="3452" t="inlineStr">
        <is>
          <t>0,000000000000</t>
        </is>
      </c>
    </row>
    <row outlineLevel="0" r="437">
      <c r="A437" s="3452" t="inlineStr">
        <is>
          <t>000224000202003299501</t>
        </is>
      </c>
      <c r="B437" s="3452" t="inlineStr">
        <is>
          <t>299501</t>
        </is>
      </c>
      <c r="C437" s="3452" t="inlineStr">
        <is>
          <t>000224000</t>
        </is>
      </c>
      <c r="D437" s="3452" t="inlineStr">
        <is>
          <t>202003</t>
        </is>
      </c>
      <c r="E437" s="3452" t="inlineStr">
        <is>
          <t>0,000000000000</t>
        </is>
      </c>
    </row>
    <row outlineLevel="0" r="438">
      <c r="A438" s="3452" t="inlineStr">
        <is>
          <t>000224000202003310500</t>
        </is>
      </c>
      <c r="B438" s="3452" t="inlineStr">
        <is>
          <t>310500</t>
        </is>
      </c>
      <c r="C438" s="3452" t="inlineStr">
        <is>
          <t>000224000</t>
        </is>
      </c>
      <c r="D438" s="3452" t="inlineStr">
        <is>
          <t>202003</t>
        </is>
      </c>
      <c r="E438" s="3452" t="inlineStr">
        <is>
          <t>2267,000000000000</t>
        </is>
      </c>
    </row>
    <row outlineLevel="0" r="439">
      <c r="A439" s="3452" t="inlineStr">
        <is>
          <t>000224000202003293000</t>
        </is>
      </c>
      <c r="B439" s="3452" t="inlineStr">
        <is>
          <t>293000</t>
        </is>
      </c>
      <c r="C439" s="3452" t="inlineStr">
        <is>
          <t>000224000</t>
        </is>
      </c>
      <c r="D439" s="3452" t="inlineStr">
        <is>
          <t>202003</t>
        </is>
      </c>
      <c r="E439" s="3452" t="inlineStr">
        <is>
          <t>0,000000000000</t>
        </is>
      </c>
    </row>
    <row outlineLevel="0" r="440">
      <c r="A440" s="3452" t="inlineStr">
        <is>
          <t>000224000202003294000</t>
        </is>
      </c>
      <c r="B440" s="3452" t="inlineStr">
        <is>
          <t>294000</t>
        </is>
      </c>
      <c r="C440" s="3452" t="inlineStr">
        <is>
          <t>000224000</t>
        </is>
      </c>
      <c r="D440" s="3452" t="inlineStr">
        <is>
          <t>202003</t>
        </is>
      </c>
      <c r="E440" s="3452" t="inlineStr">
        <is>
          <t>0,000000000000</t>
        </is>
      </c>
    </row>
    <row outlineLevel="0" r="441">
      <c r="A441" s="3452" t="inlineStr">
        <is>
          <t>000224000202003292000</t>
        </is>
      </c>
      <c r="B441" s="3452" t="inlineStr">
        <is>
          <t>292000</t>
        </is>
      </c>
      <c r="C441" s="3452" t="inlineStr">
        <is>
          <t>000224000</t>
        </is>
      </c>
      <c r="D441" s="3452" t="inlineStr">
        <is>
          <t>202003</t>
        </is>
      </c>
      <c r="E441" s="3452" t="inlineStr">
        <is>
          <t>0,000000000000</t>
        </is>
      </c>
    </row>
    <row outlineLevel="0" r="442">
      <c r="A442" s="3452" t="inlineStr">
        <is>
          <t>000224000202003292001</t>
        </is>
      </c>
      <c r="B442" s="3452" t="inlineStr">
        <is>
          <t>292001</t>
        </is>
      </c>
      <c r="C442" s="3452" t="inlineStr">
        <is>
          <t>000224000</t>
        </is>
      </c>
      <c r="D442" s="3452" t="inlineStr">
        <is>
          <t>202003</t>
        </is>
      </c>
      <c r="E442" s="3452" t="inlineStr">
        <is>
          <t>0,000000000000</t>
        </is>
      </c>
    </row>
    <row outlineLevel="0" r="443">
      <c r="A443" s="3452" t="inlineStr">
        <is>
          <t>000224000202003291501</t>
        </is>
      </c>
      <c r="B443" s="3452" t="inlineStr">
        <is>
          <t>291501</t>
        </is>
      </c>
      <c r="C443" s="3452" t="inlineStr">
        <is>
          <t>000224000</t>
        </is>
      </c>
      <c r="D443" s="3452" t="inlineStr">
        <is>
          <t>202003</t>
        </is>
      </c>
      <c r="E443" s="3452" t="inlineStr">
        <is>
          <t>0,000000000000</t>
        </is>
      </c>
    </row>
    <row outlineLevel="0" r="444">
      <c r="A444" s="3452" t="inlineStr">
        <is>
          <t>000224000202003291991</t>
        </is>
      </c>
      <c r="B444" s="3452" t="inlineStr">
        <is>
          <t>291991</t>
        </is>
      </c>
      <c r="C444" s="3452" t="inlineStr">
        <is>
          <t>000224000</t>
        </is>
      </c>
      <c r="D444" s="3452" t="inlineStr">
        <is>
          <t>202003</t>
        </is>
      </c>
      <c r="E444" s="3452" t="inlineStr">
        <is>
          <t>0,000000000000</t>
        </is>
      </c>
    </row>
    <row outlineLevel="0" r="445">
      <c r="A445" s="3452" t="inlineStr">
        <is>
          <t>000224000202003290501</t>
        </is>
      </c>
      <c r="B445" s="3452" t="inlineStr">
        <is>
          <t>290501</t>
        </is>
      </c>
      <c r="C445" s="3452" t="inlineStr">
        <is>
          <t>000224000</t>
        </is>
      </c>
      <c r="D445" s="3452" t="inlineStr">
        <is>
          <t>202003</t>
        </is>
      </c>
      <c r="E445" s="3452" t="inlineStr">
        <is>
          <t>0,000000000000</t>
        </is>
      </c>
    </row>
    <row outlineLevel="0" r="446">
      <c r="A446" s="3452" t="inlineStr">
        <is>
          <t>000224000202003291000</t>
        </is>
      </c>
      <c r="B446" s="3452" t="inlineStr">
        <is>
          <t>291000</t>
        </is>
      </c>
      <c r="C446" s="3452" t="inlineStr">
        <is>
          <t>000224000</t>
        </is>
      </c>
      <c r="D446" s="3452" t="inlineStr">
        <is>
          <t>202003</t>
        </is>
      </c>
      <c r="E446" s="3452" t="inlineStr">
        <is>
          <t>0,000000000000</t>
        </is>
      </c>
    </row>
    <row outlineLevel="0" r="447">
      <c r="A447" s="3452" t="inlineStr">
        <is>
          <t>000224000202003284000</t>
        </is>
      </c>
      <c r="B447" s="3452" t="inlineStr">
        <is>
          <t>284000</t>
        </is>
      </c>
      <c r="C447" s="3452" t="inlineStr">
        <is>
          <t>000224000</t>
        </is>
      </c>
      <c r="D447" s="3452" t="inlineStr">
        <is>
          <t>202003</t>
        </is>
      </c>
      <c r="E447" s="3452" t="inlineStr">
        <is>
          <t>0,000000000000</t>
        </is>
      </c>
    </row>
    <row outlineLevel="0" r="448">
      <c r="A448" s="3452" t="inlineStr">
        <is>
          <t>000224000202003289500</t>
        </is>
      </c>
      <c r="B448" s="3452" t="inlineStr">
        <is>
          <t>289500</t>
        </is>
      </c>
      <c r="C448" s="3452" t="inlineStr">
        <is>
          <t>000224000</t>
        </is>
      </c>
      <c r="D448" s="3452" t="inlineStr">
        <is>
          <t>202003</t>
        </is>
      </c>
      <c r="E448" s="3452" t="inlineStr">
        <is>
          <t>0,000000000000</t>
        </is>
      </c>
    </row>
    <row outlineLevel="0" r="449">
      <c r="A449" s="3452" t="inlineStr">
        <is>
          <t>000224000202003282000</t>
        </is>
      </c>
      <c r="B449" s="3452" t="inlineStr">
        <is>
          <t>282000</t>
        </is>
      </c>
      <c r="C449" s="3452" t="inlineStr">
        <is>
          <t>000224000</t>
        </is>
      </c>
      <c r="D449" s="3452" t="inlineStr">
        <is>
          <t>202003</t>
        </is>
      </c>
      <c r="E449" s="3452" t="inlineStr">
        <is>
          <t>0,000000000000</t>
        </is>
      </c>
    </row>
    <row outlineLevel="0" r="450">
      <c r="A450" s="3452" t="inlineStr">
        <is>
          <t>000224000202003282500</t>
        </is>
      </c>
      <c r="B450" s="3452" t="inlineStr">
        <is>
          <t>282500</t>
        </is>
      </c>
      <c r="C450" s="3452" t="inlineStr">
        <is>
          <t>000224000</t>
        </is>
      </c>
      <c r="D450" s="3452" t="inlineStr">
        <is>
          <t>202003</t>
        </is>
      </c>
      <c r="E450" s="3452" t="inlineStr">
        <is>
          <t>0,000000000000</t>
        </is>
      </c>
    </row>
    <row outlineLevel="0" r="451">
      <c r="A451" s="3452" t="inlineStr">
        <is>
          <t>000224000202003279501</t>
        </is>
      </c>
      <c r="B451" s="3452" t="inlineStr">
        <is>
          <t>279501</t>
        </is>
      </c>
      <c r="C451" s="3452" t="inlineStr">
        <is>
          <t>000224000</t>
        </is>
      </c>
      <c r="D451" s="3452" t="inlineStr">
        <is>
          <t>202003</t>
        </is>
      </c>
      <c r="E451" s="3452" t="inlineStr">
        <is>
          <t>0,000000000000</t>
        </is>
      </c>
    </row>
    <row outlineLevel="0" r="452">
      <c r="A452" s="3452" t="inlineStr">
        <is>
          <t>000224000202003281000</t>
        </is>
      </c>
      <c r="B452" s="3452" t="inlineStr">
        <is>
          <t>281000</t>
        </is>
      </c>
      <c r="C452" s="3452" t="inlineStr">
        <is>
          <t>000224000</t>
        </is>
      </c>
      <c r="D452" s="3452" t="inlineStr">
        <is>
          <t>202003</t>
        </is>
      </c>
      <c r="E452" s="3452" t="inlineStr">
        <is>
          <t>0,000000000000</t>
        </is>
      </c>
    </row>
    <row outlineLevel="0" r="453">
      <c r="A453" s="3452" t="inlineStr">
        <is>
          <t>000224000202003272501</t>
        </is>
      </c>
      <c r="B453" s="3452" t="inlineStr">
        <is>
          <t>272501</t>
        </is>
      </c>
      <c r="C453" s="3452" t="inlineStr">
        <is>
          <t>000224000</t>
        </is>
      </c>
      <c r="D453" s="3452" t="inlineStr">
        <is>
          <t>202003</t>
        </is>
      </c>
      <c r="E453" s="3452" t="inlineStr">
        <is>
          <t>0,000000000000</t>
        </is>
      </c>
    </row>
    <row outlineLevel="0" r="454">
      <c r="A454" s="3452" t="inlineStr">
        <is>
          <t>000224000202003279500</t>
        </is>
      </c>
      <c r="B454" s="3452" t="inlineStr">
        <is>
          <t>279500</t>
        </is>
      </c>
      <c r="C454" s="3452" t="inlineStr">
        <is>
          <t>000224000</t>
        </is>
      </c>
      <c r="D454" s="3452" t="inlineStr">
        <is>
          <t>202003</t>
        </is>
      </c>
      <c r="E454" s="3452" t="inlineStr">
        <is>
          <t>0,000000000000</t>
        </is>
      </c>
    </row>
    <row outlineLevel="0" r="455">
      <c r="A455" s="3452" t="inlineStr">
        <is>
          <t>000224000202003272001</t>
        </is>
      </c>
      <c r="B455" s="3452" t="inlineStr">
        <is>
          <t>272001</t>
        </is>
      </c>
      <c r="C455" s="3452" t="inlineStr">
        <is>
          <t>000224000</t>
        </is>
      </c>
      <c r="D455" s="3452" t="inlineStr">
        <is>
          <t>202003</t>
        </is>
      </c>
      <c r="E455" s="3452" t="inlineStr">
        <is>
          <t>0,000000000000</t>
        </is>
      </c>
    </row>
    <row outlineLevel="0" r="456">
      <c r="A456" s="3452" t="inlineStr">
        <is>
          <t>000224000202003272500</t>
        </is>
      </c>
      <c r="B456" s="3452" t="inlineStr">
        <is>
          <t>272500</t>
        </is>
      </c>
      <c r="C456" s="3452" t="inlineStr">
        <is>
          <t>000224000</t>
        </is>
      </c>
      <c r="D456" s="3452" t="inlineStr">
        <is>
          <t>202003</t>
        </is>
      </c>
      <c r="E456" s="3452" t="inlineStr">
        <is>
          <t>0,000000000000</t>
        </is>
      </c>
    </row>
    <row outlineLevel="0" r="457">
      <c r="A457" s="3452" t="inlineStr">
        <is>
          <t>000224000202003271000</t>
        </is>
      </c>
      <c r="B457" s="3452" t="inlineStr">
        <is>
          <t>271000</t>
        </is>
      </c>
      <c r="C457" s="3452" t="inlineStr">
        <is>
          <t>000224000</t>
        </is>
      </c>
      <c r="D457" s="3452" t="inlineStr">
        <is>
          <t>202003</t>
        </is>
      </c>
      <c r="E457" s="3452" t="inlineStr">
        <is>
          <t>0,000000000000</t>
        </is>
      </c>
    </row>
    <row outlineLevel="0" r="458">
      <c r="A458" s="3452" t="inlineStr">
        <is>
          <t>000224000202003271001</t>
        </is>
      </c>
      <c r="B458" s="3452" t="inlineStr">
        <is>
          <t>271001</t>
        </is>
      </c>
      <c r="C458" s="3452" t="inlineStr">
        <is>
          <t>000224000</t>
        </is>
      </c>
      <c r="D458" s="3452" t="inlineStr">
        <is>
          <t>202003</t>
        </is>
      </c>
      <c r="E458" s="3452" t="inlineStr">
        <is>
          <t>0,000000000000</t>
        </is>
      </c>
    </row>
    <row outlineLevel="0" r="459">
      <c r="A459" s="3452" t="inlineStr">
        <is>
          <t>000224000202003270500</t>
        </is>
      </c>
      <c r="B459" s="3452" t="inlineStr">
        <is>
          <t>270500</t>
        </is>
      </c>
      <c r="C459" s="3452" t="inlineStr">
        <is>
          <t>000224000</t>
        </is>
      </c>
      <c r="D459" s="3452" t="inlineStr">
        <is>
          <t>202003</t>
        </is>
      </c>
      <c r="E459" s="3452" t="inlineStr">
        <is>
          <t>184,000000000000</t>
        </is>
      </c>
    </row>
    <row outlineLevel="0" r="460">
      <c r="A460" s="3452" t="inlineStr">
        <is>
          <t>000224000202003270501</t>
        </is>
      </c>
      <c r="B460" s="3452" t="inlineStr">
        <is>
          <t>270501</t>
        </is>
      </c>
      <c r="C460" s="3452" t="inlineStr">
        <is>
          <t>000224000</t>
        </is>
      </c>
      <c r="D460" s="3452" t="inlineStr">
        <is>
          <t>202003</t>
        </is>
      </c>
      <c r="E460" s="3452" t="inlineStr">
        <is>
          <t>0,000000000000</t>
        </is>
      </c>
    </row>
    <row outlineLevel="0" r="461">
      <c r="A461" s="3452" t="inlineStr">
        <is>
          <t>000224000202003269500</t>
        </is>
      </c>
      <c r="B461" s="3452" t="inlineStr">
        <is>
          <t>269500</t>
        </is>
      </c>
      <c r="C461" s="3452" t="inlineStr">
        <is>
          <t>000224000</t>
        </is>
      </c>
      <c r="D461" s="3452" t="inlineStr">
        <is>
          <t>202003</t>
        </is>
      </c>
      <c r="E461" s="3452" t="inlineStr">
        <is>
          <t>0,000000000000</t>
        </is>
      </c>
    </row>
    <row outlineLevel="0" r="462">
      <c r="A462" s="3452" t="inlineStr">
        <is>
          <t>000224000202003269501</t>
        </is>
      </c>
      <c r="B462" s="3452" t="inlineStr">
        <is>
          <t>269501</t>
        </is>
      </c>
      <c r="C462" s="3452" t="inlineStr">
        <is>
          <t>000224000</t>
        </is>
      </c>
      <c r="D462" s="3452" t="inlineStr">
        <is>
          <t>202003</t>
        </is>
      </c>
      <c r="E462" s="3452" t="inlineStr">
        <is>
          <t>0,000000000000</t>
        </is>
      </c>
    </row>
    <row outlineLevel="0" r="463">
      <c r="A463" s="3452" t="inlineStr">
        <is>
          <t>000224000202003264000</t>
        </is>
      </c>
      <c r="B463" s="3452" t="inlineStr">
        <is>
          <t>264000</t>
        </is>
      </c>
      <c r="C463" s="3452" t="inlineStr">
        <is>
          <t>000224000</t>
        </is>
      </c>
      <c r="D463" s="3452" t="inlineStr">
        <is>
          <t>202003</t>
        </is>
      </c>
      <c r="E463" s="3452" t="inlineStr">
        <is>
          <t>0,000000000000</t>
        </is>
      </c>
    </row>
    <row outlineLevel="0" r="464">
      <c r="A464" s="3452" t="inlineStr">
        <is>
          <t>000224000202003264001</t>
        </is>
      </c>
      <c r="B464" s="3452" t="inlineStr">
        <is>
          <t>264001</t>
        </is>
      </c>
      <c r="C464" s="3452" t="inlineStr">
        <is>
          <t>000224000</t>
        </is>
      </c>
      <c r="D464" s="3452" t="inlineStr">
        <is>
          <t>202003</t>
        </is>
      </c>
      <c r="E464" s="3452" t="inlineStr">
        <is>
          <t>0,000000000000</t>
        </is>
      </c>
    </row>
    <row outlineLevel="0" r="465">
      <c r="A465" s="3452" t="inlineStr">
        <is>
          <t>000224000202003263500</t>
        </is>
      </c>
      <c r="B465" s="3452" t="inlineStr">
        <is>
          <t>263500</t>
        </is>
      </c>
      <c r="C465" s="3452" t="inlineStr">
        <is>
          <t>000224000</t>
        </is>
      </c>
      <c r="D465" s="3452" t="inlineStr">
        <is>
          <t>202003</t>
        </is>
      </c>
      <c r="E465" s="3452" t="inlineStr">
        <is>
          <t>0,000000000000</t>
        </is>
      </c>
    </row>
    <row outlineLevel="0" r="466">
      <c r="A466" s="3452" t="inlineStr">
        <is>
          <t>000224000202003263501</t>
        </is>
      </c>
      <c r="B466" s="3452" t="inlineStr">
        <is>
          <t>263501</t>
        </is>
      </c>
      <c r="C466" s="3452" t="inlineStr">
        <is>
          <t>000224000</t>
        </is>
      </c>
      <c r="D466" s="3452" t="inlineStr">
        <is>
          <t>202003</t>
        </is>
      </c>
      <c r="E466" s="3452" t="inlineStr">
        <is>
          <t>0,000000000000</t>
        </is>
      </c>
    </row>
    <row outlineLevel="0" r="467">
      <c r="A467" s="3452" t="inlineStr">
        <is>
          <t>000224000202003263000</t>
        </is>
      </c>
      <c r="B467" s="3452" t="inlineStr">
        <is>
          <t>263000</t>
        </is>
      </c>
      <c r="C467" s="3452" t="inlineStr">
        <is>
          <t>000224000</t>
        </is>
      </c>
      <c r="D467" s="3452" t="inlineStr">
        <is>
          <t>202003</t>
        </is>
      </c>
      <c r="E467" s="3452" t="inlineStr">
        <is>
          <t>0,000000000000</t>
        </is>
      </c>
    </row>
    <row outlineLevel="0" r="468">
      <c r="A468" s="3452" t="inlineStr">
        <is>
          <t>000224000202003263001</t>
        </is>
      </c>
      <c r="B468" s="3452" t="inlineStr">
        <is>
          <t>263001</t>
        </is>
      </c>
      <c r="C468" s="3452" t="inlineStr">
        <is>
          <t>000224000</t>
        </is>
      </c>
      <c r="D468" s="3452" t="inlineStr">
        <is>
          <t>202003</t>
        </is>
      </c>
      <c r="E468" s="3452" t="inlineStr">
        <is>
          <t>0,000000000000</t>
        </is>
      </c>
    </row>
    <row outlineLevel="0" r="469">
      <c r="A469" s="3452" t="inlineStr">
        <is>
          <t>000224000202003262500</t>
        </is>
      </c>
      <c r="B469" s="3452" t="inlineStr">
        <is>
          <t>262500</t>
        </is>
      </c>
      <c r="C469" s="3452" t="inlineStr">
        <is>
          <t>000224000</t>
        </is>
      </c>
      <c r="D469" s="3452" t="inlineStr">
        <is>
          <t>202003</t>
        </is>
      </c>
      <c r="E469" s="3452" t="inlineStr">
        <is>
          <t>0,000000000000</t>
        </is>
      </c>
    </row>
    <row outlineLevel="0" r="470">
      <c r="A470" s="3452" t="inlineStr">
        <is>
          <t>000224000202003262501</t>
        </is>
      </c>
      <c r="B470" s="3452" t="inlineStr">
        <is>
          <t>262501</t>
        </is>
      </c>
      <c r="C470" s="3452" t="inlineStr">
        <is>
          <t>000224000</t>
        </is>
      </c>
      <c r="D470" s="3452" t="inlineStr">
        <is>
          <t>202003</t>
        </is>
      </c>
      <c r="E470" s="3452" t="inlineStr">
        <is>
          <t>0,000000000000</t>
        </is>
      </c>
    </row>
    <row outlineLevel="0" r="471">
      <c r="A471" s="3452" t="inlineStr">
        <is>
          <t>000224000202003262000</t>
        </is>
      </c>
      <c r="B471" s="3452" t="inlineStr">
        <is>
          <t>262000</t>
        </is>
      </c>
      <c r="C471" s="3452" t="inlineStr">
        <is>
          <t>000224000</t>
        </is>
      </c>
      <c r="D471" s="3452" t="inlineStr">
        <is>
          <t>202003</t>
        </is>
      </c>
      <c r="E471" s="3452" t="inlineStr">
        <is>
          <t>0,000000000000</t>
        </is>
      </c>
    </row>
    <row outlineLevel="0" r="472">
      <c r="A472" s="3452" t="inlineStr">
        <is>
          <t>000224000202003262001</t>
        </is>
      </c>
      <c r="B472" s="3452" t="inlineStr">
        <is>
          <t>262001</t>
        </is>
      </c>
      <c r="C472" s="3452" t="inlineStr">
        <is>
          <t>000224000</t>
        </is>
      </c>
      <c r="D472" s="3452" t="inlineStr">
        <is>
          <t>202003</t>
        </is>
      </c>
      <c r="E472" s="3452" t="inlineStr">
        <is>
          <t>12,000000000000</t>
        </is>
      </c>
    </row>
    <row outlineLevel="0" r="473">
      <c r="A473" s="3452" t="inlineStr">
        <is>
          <t>000224000202003261500</t>
        </is>
      </c>
      <c r="B473" s="3452" t="inlineStr">
        <is>
          <t>261500</t>
        </is>
      </c>
      <c r="C473" s="3452" t="inlineStr">
        <is>
          <t>000224000</t>
        </is>
      </c>
      <c r="D473" s="3452" t="inlineStr">
        <is>
          <t>202003</t>
        </is>
      </c>
      <c r="E473" s="3452" t="inlineStr">
        <is>
          <t>0,000000000000</t>
        </is>
      </c>
    </row>
    <row outlineLevel="0" r="474">
      <c r="A474" s="3452" t="inlineStr">
        <is>
          <t>000224000202003261501</t>
        </is>
      </c>
      <c r="B474" s="3452" t="inlineStr">
        <is>
          <t>261501</t>
        </is>
      </c>
      <c r="C474" s="3452" t="inlineStr">
        <is>
          <t>000224000</t>
        </is>
      </c>
      <c r="D474" s="3452" t="inlineStr">
        <is>
          <t>202003</t>
        </is>
      </c>
      <c r="E474" s="3452" t="inlineStr">
        <is>
          <t>0,000000000000</t>
        </is>
      </c>
    </row>
    <row outlineLevel="0" r="475">
      <c r="A475" s="3452" t="inlineStr">
        <is>
          <t>000224000202003261000</t>
        </is>
      </c>
      <c r="B475" s="3452" t="inlineStr">
        <is>
          <t>261000</t>
        </is>
      </c>
      <c r="C475" s="3452" t="inlineStr">
        <is>
          <t>000224000</t>
        </is>
      </c>
      <c r="D475" s="3452" t="inlineStr">
        <is>
          <t>202003</t>
        </is>
      </c>
      <c r="E475" s="3452" t="inlineStr">
        <is>
          <t>0,000000000000</t>
        </is>
      </c>
    </row>
    <row outlineLevel="0" r="476">
      <c r="A476" s="3452" t="inlineStr">
        <is>
          <t>000224000202003261001</t>
        </is>
      </c>
      <c r="B476" s="3452" t="inlineStr">
        <is>
          <t>261001</t>
        </is>
      </c>
      <c r="C476" s="3452" t="inlineStr">
        <is>
          <t>000224000</t>
        </is>
      </c>
      <c r="D476" s="3452" t="inlineStr">
        <is>
          <t>202003</t>
        </is>
      </c>
      <c r="E476" s="3452" t="inlineStr">
        <is>
          <t>0,000000000000</t>
        </is>
      </c>
    </row>
    <row outlineLevel="0" r="477">
      <c r="A477" s="3452" t="inlineStr">
        <is>
          <t>000224000202003260500</t>
        </is>
      </c>
      <c r="B477" s="3452" t="inlineStr">
        <is>
          <t>260500</t>
        </is>
      </c>
      <c r="C477" s="3452" t="inlineStr">
        <is>
          <t>000224000</t>
        </is>
      </c>
      <c r="D477" s="3452" t="inlineStr">
        <is>
          <t>202003</t>
        </is>
      </c>
      <c r="E477" s="3452" t="inlineStr">
        <is>
          <t>0,000000000000</t>
        </is>
      </c>
    </row>
    <row outlineLevel="0" r="478">
      <c r="A478" s="3452" t="inlineStr">
        <is>
          <t>000224000202003260501</t>
        </is>
      </c>
      <c r="B478" s="3452" t="inlineStr">
        <is>
          <t>260501</t>
        </is>
      </c>
      <c r="C478" s="3452" t="inlineStr">
        <is>
          <t>000224000</t>
        </is>
      </c>
      <c r="D478" s="3452" t="inlineStr">
        <is>
          <t>202003</t>
        </is>
      </c>
      <c r="E478" s="3452" t="inlineStr">
        <is>
          <t>0,000000000000</t>
        </is>
      </c>
    </row>
    <row outlineLevel="0" r="479">
      <c r="A479" s="3452" t="inlineStr">
        <is>
          <t>000224000202003259500</t>
        </is>
      </c>
      <c r="B479" s="3452" t="inlineStr">
        <is>
          <t>259500</t>
        </is>
      </c>
      <c r="C479" s="3452" t="inlineStr">
        <is>
          <t>000224000</t>
        </is>
      </c>
      <c r="D479" s="3452" t="inlineStr">
        <is>
          <t>202003</t>
        </is>
      </c>
      <c r="E479" s="3452" t="inlineStr">
        <is>
          <t>0,000000000000</t>
        </is>
      </c>
    </row>
    <row outlineLevel="0" r="480">
      <c r="A480" s="3452" t="inlineStr">
        <is>
          <t>000224000202003259501</t>
        </is>
      </c>
      <c r="B480" s="3452" t="inlineStr">
        <is>
          <t>259501</t>
        </is>
      </c>
      <c r="C480" s="3452" t="inlineStr">
        <is>
          <t>000224000</t>
        </is>
      </c>
      <c r="D480" s="3452" t="inlineStr">
        <is>
          <t>202003</t>
        </is>
      </c>
      <c r="E480" s="3452" t="inlineStr">
        <is>
          <t>0,000000000000</t>
        </is>
      </c>
    </row>
    <row outlineLevel="0" r="481">
      <c r="A481" s="3452" t="inlineStr">
        <is>
          <t>000224000202003253000</t>
        </is>
      </c>
      <c r="B481" s="3452" t="inlineStr">
        <is>
          <t>253000</t>
        </is>
      </c>
      <c r="C481" s="3452" t="inlineStr">
        <is>
          <t>000224000</t>
        </is>
      </c>
      <c r="D481" s="3452" t="inlineStr">
        <is>
          <t>202003</t>
        </is>
      </c>
      <c r="E481" s="3452" t="inlineStr">
        <is>
          <t>0,000000000000</t>
        </is>
      </c>
    </row>
    <row outlineLevel="0" r="482">
      <c r="A482" s="3452" t="inlineStr">
        <is>
          <t>000224000202003253001</t>
        </is>
      </c>
      <c r="B482" s="3452" t="inlineStr">
        <is>
          <t>253001</t>
        </is>
      </c>
      <c r="C482" s="3452" t="inlineStr">
        <is>
          <t>000224000</t>
        </is>
      </c>
      <c r="D482" s="3452" t="inlineStr">
        <is>
          <t>202003</t>
        </is>
      </c>
      <c r="E482" s="3452" t="inlineStr">
        <is>
          <t>0,000000000000</t>
        </is>
      </c>
    </row>
    <row outlineLevel="0" r="483">
      <c r="A483" s="3452" t="inlineStr">
        <is>
          <t>000224000202003252500</t>
        </is>
      </c>
      <c r="B483" s="3452" t="inlineStr">
        <is>
          <t>252500</t>
        </is>
      </c>
      <c r="C483" s="3452" t="inlineStr">
        <is>
          <t>000224000</t>
        </is>
      </c>
      <c r="D483" s="3452" t="inlineStr">
        <is>
          <t>202003</t>
        </is>
      </c>
      <c r="E483" s="3452" t="inlineStr">
        <is>
          <t>0,000000000000</t>
        </is>
      </c>
    </row>
    <row outlineLevel="0" r="484">
      <c r="A484" s="3452" t="inlineStr">
        <is>
          <t>000224000202003252501</t>
        </is>
      </c>
      <c r="B484" s="3452" t="inlineStr">
        <is>
          <t>252501</t>
        </is>
      </c>
      <c r="C484" s="3452" t="inlineStr">
        <is>
          <t>000224000</t>
        </is>
      </c>
      <c r="D484" s="3452" t="inlineStr">
        <is>
          <t>202003</t>
        </is>
      </c>
      <c r="E484" s="3452" t="inlineStr">
        <is>
          <t>0,000000000000</t>
        </is>
      </c>
    </row>
    <row outlineLevel="0" r="485">
      <c r="A485" s="3452" t="inlineStr">
        <is>
          <t>000224000202003251500</t>
        </is>
      </c>
      <c r="B485" s="3452" t="inlineStr">
        <is>
          <t>251500</t>
        </is>
      </c>
      <c r="C485" s="3452" t="inlineStr">
        <is>
          <t>000224000</t>
        </is>
      </c>
      <c r="D485" s="3452" t="inlineStr">
        <is>
          <t>202003</t>
        </is>
      </c>
      <c r="E485" s="3452" t="inlineStr">
        <is>
          <t>0,000000000000</t>
        </is>
      </c>
    </row>
    <row outlineLevel="0" r="486">
      <c r="A486" s="3452" t="inlineStr">
        <is>
          <t>000224000202003251501</t>
        </is>
      </c>
      <c r="B486" s="3452" t="inlineStr">
        <is>
          <t>251501</t>
        </is>
      </c>
      <c r="C486" s="3452" t="inlineStr">
        <is>
          <t>000224000</t>
        </is>
      </c>
      <c r="D486" s="3452" t="inlineStr">
        <is>
          <t>202003</t>
        </is>
      </c>
      <c r="E486" s="3452" t="inlineStr">
        <is>
          <t>0,000000000000</t>
        </is>
      </c>
    </row>
    <row outlineLevel="0" r="487">
      <c r="A487" s="3452" t="inlineStr">
        <is>
          <t>000224000202003251000</t>
        </is>
      </c>
      <c r="B487" s="3452" t="inlineStr">
        <is>
          <t>251000</t>
        </is>
      </c>
      <c r="C487" s="3452" t="inlineStr">
        <is>
          <t>000224000</t>
        </is>
      </c>
      <c r="D487" s="3452" t="inlineStr">
        <is>
          <t>202003</t>
        </is>
      </c>
      <c r="E487" s="3452" t="inlineStr">
        <is>
          <t>0,000000000000</t>
        </is>
      </c>
    </row>
    <row outlineLevel="0" r="488">
      <c r="A488" s="3452" t="inlineStr">
        <is>
          <t>000224000202003251001</t>
        </is>
      </c>
      <c r="B488" s="3452" t="inlineStr">
        <is>
          <t>251001</t>
        </is>
      </c>
      <c r="C488" s="3452" t="inlineStr">
        <is>
          <t>000224000</t>
        </is>
      </c>
      <c r="D488" s="3452" t="inlineStr">
        <is>
          <t>202003</t>
        </is>
      </c>
      <c r="E488" s="3452" t="inlineStr">
        <is>
          <t>0,000000000000</t>
        </is>
      </c>
    </row>
    <row outlineLevel="0" r="489">
      <c r="A489" s="3452" t="inlineStr">
        <is>
          <t>000224000202003250500</t>
        </is>
      </c>
      <c r="B489" s="3452" t="inlineStr">
        <is>
          <t>250500</t>
        </is>
      </c>
      <c r="C489" s="3452" t="inlineStr">
        <is>
          <t>000224000</t>
        </is>
      </c>
      <c r="D489" s="3452" t="inlineStr">
        <is>
          <t>202003</t>
        </is>
      </c>
      <c r="E489" s="3452" t="inlineStr">
        <is>
          <t>0,000000000000</t>
        </is>
      </c>
    </row>
    <row outlineLevel="0" r="490">
      <c r="A490" s="3452" t="inlineStr">
        <is>
          <t>000224000202003250501</t>
        </is>
      </c>
      <c r="B490" s="3452" t="inlineStr">
        <is>
          <t>250501</t>
        </is>
      </c>
      <c r="C490" s="3452" t="inlineStr">
        <is>
          <t>000224000</t>
        </is>
      </c>
      <c r="D490" s="3452" t="inlineStr">
        <is>
          <t>202003</t>
        </is>
      </c>
      <c r="E490" s="3452" t="inlineStr">
        <is>
          <t>0,000000000000</t>
        </is>
      </c>
    </row>
    <row outlineLevel="0" r="491">
      <c r="A491" s="3452" t="inlineStr">
        <is>
          <t>000224000202003249500</t>
        </is>
      </c>
      <c r="B491" s="3452" t="inlineStr">
        <is>
          <t>249500</t>
        </is>
      </c>
      <c r="C491" s="3452" t="inlineStr">
        <is>
          <t>000224000</t>
        </is>
      </c>
      <c r="D491" s="3452" t="inlineStr">
        <is>
          <t>202003</t>
        </is>
      </c>
      <c r="E491" s="3452" t="inlineStr">
        <is>
          <t>0,000000000000</t>
        </is>
      </c>
    </row>
    <row outlineLevel="0" r="492">
      <c r="A492" s="3452" t="inlineStr">
        <is>
          <t>000224000202003249501</t>
        </is>
      </c>
      <c r="B492" s="3452" t="inlineStr">
        <is>
          <t>249501</t>
        </is>
      </c>
      <c r="C492" s="3452" t="inlineStr">
        <is>
          <t>000224000</t>
        </is>
      </c>
      <c r="D492" s="3452" t="inlineStr">
        <is>
          <t>202003</t>
        </is>
      </c>
      <c r="E492" s="3452" t="inlineStr">
        <is>
          <t>0,000000000000</t>
        </is>
      </c>
    </row>
    <row outlineLevel="0" r="493">
      <c r="A493" s="3452" t="inlineStr">
        <is>
          <t>000224000202003241200</t>
        </is>
      </c>
      <c r="B493" s="3452" t="inlineStr">
        <is>
          <t>241200</t>
        </is>
      </c>
      <c r="C493" s="3452" t="inlineStr">
        <is>
          <t>000224000</t>
        </is>
      </c>
      <c r="D493" s="3452" t="inlineStr">
        <is>
          <t>202003</t>
        </is>
      </c>
      <c r="E493" s="3452" t="inlineStr">
        <is>
          <t>0,000000000000</t>
        </is>
      </c>
    </row>
    <row outlineLevel="0" r="494">
      <c r="A494" s="3452" t="inlineStr">
        <is>
          <t>000224000202003241201</t>
        </is>
      </c>
      <c r="B494" s="3452" t="inlineStr">
        <is>
          <t>241201</t>
        </is>
      </c>
      <c r="C494" s="3452" t="inlineStr">
        <is>
          <t>000224000</t>
        </is>
      </c>
      <c r="D494" s="3452" t="inlineStr">
        <is>
          <t>202003</t>
        </is>
      </c>
      <c r="E494" s="3452" t="inlineStr">
        <is>
          <t>0,000000000000</t>
        </is>
      </c>
    </row>
    <row outlineLevel="0" r="495">
      <c r="A495" s="3452" t="inlineStr">
        <is>
          <t>000224000202003240800</t>
        </is>
      </c>
      <c r="B495" s="3452" t="inlineStr">
        <is>
          <t>240800</t>
        </is>
      </c>
      <c r="C495" s="3452" t="inlineStr">
        <is>
          <t>000224000</t>
        </is>
      </c>
      <c r="D495" s="3452" t="inlineStr">
        <is>
          <t>202003</t>
        </is>
      </c>
      <c r="E495" s="3452" t="inlineStr">
        <is>
          <t>0,000000000000</t>
        </is>
      </c>
    </row>
    <row outlineLevel="0" r="496">
      <c r="A496" s="3452" t="inlineStr">
        <is>
          <t>000224000202003240801</t>
        </is>
      </c>
      <c r="B496" s="3452" t="inlineStr">
        <is>
          <t>240801</t>
        </is>
      </c>
      <c r="C496" s="3452" t="inlineStr">
        <is>
          <t>000224000</t>
        </is>
      </c>
      <c r="D496" s="3452" t="inlineStr">
        <is>
          <t>202003</t>
        </is>
      </c>
      <c r="E496" s="3452" t="inlineStr">
        <is>
          <t>0,000000000000</t>
        </is>
      </c>
    </row>
    <row outlineLevel="0" r="497">
      <c r="A497" s="3452" t="inlineStr">
        <is>
          <t>000224000202003240400</t>
        </is>
      </c>
      <c r="B497" s="3452" t="inlineStr">
        <is>
          <t>240400</t>
        </is>
      </c>
      <c r="C497" s="3452" t="inlineStr">
        <is>
          <t>000224000</t>
        </is>
      </c>
      <c r="D497" s="3452" t="inlineStr">
        <is>
          <t>202003</t>
        </is>
      </c>
      <c r="E497" s="3452" t="inlineStr">
        <is>
          <t>27,000000000000</t>
        </is>
      </c>
    </row>
    <row outlineLevel="0" r="498">
      <c r="A498" s="3452" t="inlineStr">
        <is>
          <t>000224000202003240401</t>
        </is>
      </c>
      <c r="B498" s="3452" t="inlineStr">
        <is>
          <t>240401</t>
        </is>
      </c>
      <c r="C498" s="3452" t="inlineStr">
        <is>
          <t>000224000</t>
        </is>
      </c>
      <c r="D498" s="3452" t="inlineStr">
        <is>
          <t>202003</t>
        </is>
      </c>
      <c r="E498" s="3452" t="inlineStr">
        <is>
          <t>0,000000000000</t>
        </is>
      </c>
    </row>
    <row outlineLevel="0" r="499">
      <c r="A499" s="3452" t="inlineStr">
        <is>
          <t>000224000202003238001</t>
        </is>
      </c>
      <c r="B499" s="3452" t="inlineStr">
        <is>
          <t>238001</t>
        </is>
      </c>
      <c r="C499" s="3452" t="inlineStr">
        <is>
          <t>000224000</t>
        </is>
      </c>
      <c r="D499" s="3452" t="inlineStr">
        <is>
          <t>202003</t>
        </is>
      </c>
      <c r="E499" s="3452" t="inlineStr">
        <is>
          <t>0,000000000000</t>
        </is>
      </c>
    </row>
    <row outlineLevel="0" r="500">
      <c r="A500" s="3452" t="inlineStr">
        <is>
          <t>000224000202003240001</t>
        </is>
      </c>
      <c r="B500" s="3452" t="inlineStr">
        <is>
          <t>240001</t>
        </is>
      </c>
      <c r="C500" s="3452" t="inlineStr">
        <is>
          <t>000224000</t>
        </is>
      </c>
      <c r="D500" s="3452" t="inlineStr">
        <is>
          <t>202003</t>
        </is>
      </c>
      <c r="E500" s="3452" t="inlineStr">
        <is>
          <t>0,000000000000</t>
        </is>
      </c>
    </row>
    <row outlineLevel="0" r="501">
      <c r="A501" s="3452" t="inlineStr">
        <is>
          <t>000224000202003237001</t>
        </is>
      </c>
      <c r="B501" s="3452" t="inlineStr">
        <is>
          <t>237001</t>
        </is>
      </c>
      <c r="C501" s="3452" t="inlineStr">
        <is>
          <t>000224000</t>
        </is>
      </c>
      <c r="D501" s="3452" t="inlineStr">
        <is>
          <t>202003</t>
        </is>
      </c>
      <c r="E501" s="3452" t="inlineStr">
        <is>
          <t>0,000000000000</t>
        </is>
      </c>
    </row>
    <row outlineLevel="0" r="502">
      <c r="A502" s="3452" t="inlineStr">
        <is>
          <t>000224000202003238000</t>
        </is>
      </c>
      <c r="B502" s="3452" t="inlineStr">
        <is>
          <t>238000</t>
        </is>
      </c>
      <c r="C502" s="3452" t="inlineStr">
        <is>
          <t>000224000</t>
        </is>
      </c>
      <c r="D502" s="3452" t="inlineStr">
        <is>
          <t>202003</t>
        </is>
      </c>
      <c r="E502" s="3452" t="inlineStr">
        <is>
          <t>1509,000000000000</t>
        </is>
      </c>
    </row>
    <row outlineLevel="0" r="503">
      <c r="A503" s="3452" t="inlineStr">
        <is>
          <t>000224000202003236800</t>
        </is>
      </c>
      <c r="B503" s="3452" t="inlineStr">
        <is>
          <t>236800</t>
        </is>
      </c>
      <c r="C503" s="3452" t="inlineStr">
        <is>
          <t>000224000</t>
        </is>
      </c>
      <c r="D503" s="3452" t="inlineStr">
        <is>
          <t>202003</t>
        </is>
      </c>
      <c r="E503" s="3452" t="inlineStr">
        <is>
          <t>0,000000000000</t>
        </is>
      </c>
    </row>
    <row outlineLevel="0" r="504">
      <c r="A504" s="3452" t="inlineStr">
        <is>
          <t>000224000202003237000</t>
        </is>
      </c>
      <c r="B504" s="3452" t="inlineStr">
        <is>
          <t>237000</t>
        </is>
      </c>
      <c r="C504" s="3452" t="inlineStr">
        <is>
          <t>000224000</t>
        </is>
      </c>
      <c r="D504" s="3452" t="inlineStr">
        <is>
          <t>202003</t>
        </is>
      </c>
      <c r="E504" s="3452" t="inlineStr">
        <is>
          <t>0,000000000000</t>
        </is>
      </c>
    </row>
    <row outlineLevel="0" r="505">
      <c r="A505" s="3452" t="inlineStr">
        <is>
          <t>000224000202003236700</t>
        </is>
      </c>
      <c r="B505" s="3452" t="inlineStr">
        <is>
          <t>236700</t>
        </is>
      </c>
      <c r="C505" s="3452" t="inlineStr">
        <is>
          <t>000224000</t>
        </is>
      </c>
      <c r="D505" s="3452" t="inlineStr">
        <is>
          <t>202003</t>
        </is>
      </c>
      <c r="E505" s="3452" t="inlineStr">
        <is>
          <t>0,000000000000</t>
        </is>
      </c>
    </row>
    <row outlineLevel="0" r="506">
      <c r="A506" s="3452" t="inlineStr">
        <is>
          <t>000224000202003236701</t>
        </is>
      </c>
      <c r="B506" s="3452" t="inlineStr">
        <is>
          <t>236701</t>
        </is>
      </c>
      <c r="C506" s="3452" t="inlineStr">
        <is>
          <t>000224000</t>
        </is>
      </c>
      <c r="D506" s="3452" t="inlineStr">
        <is>
          <t>202003</t>
        </is>
      </c>
      <c r="E506" s="3452" t="inlineStr">
        <is>
          <t>0,000000000000</t>
        </is>
      </c>
    </row>
    <row outlineLevel="0" r="507">
      <c r="A507" s="3452" t="inlineStr">
        <is>
          <t>000224000202003236500</t>
        </is>
      </c>
      <c r="B507" s="3452" t="inlineStr">
        <is>
          <t>236500</t>
        </is>
      </c>
      <c r="C507" s="3452" t="inlineStr">
        <is>
          <t>000224000</t>
        </is>
      </c>
      <c r="D507" s="3452" t="inlineStr">
        <is>
          <t>202003</t>
        </is>
      </c>
      <c r="E507" s="3452" t="inlineStr">
        <is>
          <t>0,000000000000</t>
        </is>
      </c>
    </row>
    <row outlineLevel="0" r="508">
      <c r="A508" s="3452" t="inlineStr">
        <is>
          <t>000224000202003236501</t>
        </is>
      </c>
      <c r="B508" s="3452" t="inlineStr">
        <is>
          <t>236501</t>
        </is>
      </c>
      <c r="C508" s="3452" t="inlineStr">
        <is>
          <t>000224000</t>
        </is>
      </c>
      <c r="D508" s="3452" t="inlineStr">
        <is>
          <t>202003</t>
        </is>
      </c>
      <c r="E508" s="3452" t="inlineStr">
        <is>
          <t>0,000000000000</t>
        </is>
      </c>
    </row>
    <row outlineLevel="0" r="509">
      <c r="A509" s="3452" t="inlineStr">
        <is>
          <t>000224000202003236000</t>
        </is>
      </c>
      <c r="B509" s="3452" t="inlineStr">
        <is>
          <t>236000</t>
        </is>
      </c>
      <c r="C509" s="3452" t="inlineStr">
        <is>
          <t>000224000</t>
        </is>
      </c>
      <c r="D509" s="3452" t="inlineStr">
        <is>
          <t>202003</t>
        </is>
      </c>
      <c r="E509" s="3452" t="inlineStr">
        <is>
          <t>901,000000000000</t>
        </is>
      </c>
    </row>
    <row outlineLevel="0" r="510">
      <c r="A510" s="3452" t="inlineStr">
        <is>
          <t>000224000202003236001</t>
        </is>
      </c>
      <c r="B510" s="3452" t="inlineStr">
        <is>
          <t>236001</t>
        </is>
      </c>
      <c r="C510" s="3452" t="inlineStr">
        <is>
          <t>000224000</t>
        </is>
      </c>
      <c r="D510" s="3452" t="inlineStr">
        <is>
          <t>202003</t>
        </is>
      </c>
      <c r="E510" s="3452" t="inlineStr">
        <is>
          <t>0,000000000000</t>
        </is>
      </c>
    </row>
    <row outlineLevel="0" r="511">
      <c r="A511" s="3452" t="inlineStr">
        <is>
          <t>000224000202003235500</t>
        </is>
      </c>
      <c r="B511" s="3452" t="inlineStr">
        <is>
          <t>235500</t>
        </is>
      </c>
      <c r="C511" s="3452" t="inlineStr">
        <is>
          <t>000224000</t>
        </is>
      </c>
      <c r="D511" s="3452" t="inlineStr">
        <is>
          <t>202003</t>
        </is>
      </c>
      <c r="E511" s="3452" t="inlineStr">
        <is>
          <t>0,000000000000</t>
        </is>
      </c>
    </row>
    <row outlineLevel="0" r="512">
      <c r="A512" s="3452" t="inlineStr">
        <is>
          <t>000224000202003235501</t>
        </is>
      </c>
      <c r="B512" s="3452" t="inlineStr">
        <is>
          <t>235501</t>
        </is>
      </c>
      <c r="C512" s="3452" t="inlineStr">
        <is>
          <t>000224000</t>
        </is>
      </c>
      <c r="D512" s="3452" t="inlineStr">
        <is>
          <t>202003</t>
        </is>
      </c>
      <c r="E512" s="3452" t="inlineStr">
        <is>
          <t>0,000000000000</t>
        </is>
      </c>
    </row>
    <row outlineLevel="0" r="513">
      <c r="A513" s="3452" t="inlineStr">
        <is>
          <t>000224000202003235000</t>
        </is>
      </c>
      <c r="B513" s="3452" t="inlineStr">
        <is>
          <t>235000</t>
        </is>
      </c>
      <c r="C513" s="3452" t="inlineStr">
        <is>
          <t>000224000</t>
        </is>
      </c>
      <c r="D513" s="3452" t="inlineStr">
        <is>
          <t>202003</t>
        </is>
      </c>
      <c r="E513" s="3452" t="inlineStr">
        <is>
          <t>0,000000000000</t>
        </is>
      </c>
    </row>
    <row outlineLevel="0" r="514">
      <c r="A514" s="3452" t="inlineStr">
        <is>
          <t>000224000202003235001</t>
        </is>
      </c>
      <c r="B514" s="3452" t="inlineStr">
        <is>
          <t>235001</t>
        </is>
      </c>
      <c r="C514" s="3452" t="inlineStr">
        <is>
          <t>000224000</t>
        </is>
      </c>
      <c r="D514" s="3452" t="inlineStr">
        <is>
          <t>202003</t>
        </is>
      </c>
      <c r="E514" s="3452" t="inlineStr">
        <is>
          <t>0,000000000000</t>
        </is>
      </c>
    </row>
    <row outlineLevel="0" r="515">
      <c r="A515" s="3452" t="inlineStr">
        <is>
          <t>000224000202003234500</t>
        </is>
      </c>
      <c r="B515" s="3452" t="inlineStr">
        <is>
          <t>234500</t>
        </is>
      </c>
      <c r="C515" s="3452" t="inlineStr">
        <is>
          <t>000224000</t>
        </is>
      </c>
      <c r="D515" s="3452" t="inlineStr">
        <is>
          <t>202003</t>
        </is>
      </c>
      <c r="E515" s="3452" t="inlineStr">
        <is>
          <t>0,000000000000</t>
        </is>
      </c>
    </row>
    <row outlineLevel="0" r="516">
      <c r="A516" s="3452" t="inlineStr">
        <is>
          <t>000224000202003234501</t>
        </is>
      </c>
      <c r="B516" s="3452" t="inlineStr">
        <is>
          <t>234501</t>
        </is>
      </c>
      <c r="C516" s="3452" t="inlineStr">
        <is>
          <t>000224000</t>
        </is>
      </c>
      <c r="D516" s="3452" t="inlineStr">
        <is>
          <t>202003</t>
        </is>
      </c>
      <c r="E516" s="3452" t="inlineStr">
        <is>
          <t>0,000000000000</t>
        </is>
      </c>
    </row>
    <row outlineLevel="0" r="517">
      <c r="A517" s="3452" t="inlineStr">
        <is>
          <t>000224000202003233500</t>
        </is>
      </c>
      <c r="B517" s="3452" t="inlineStr">
        <is>
          <t>233500</t>
        </is>
      </c>
      <c r="C517" s="3452" t="inlineStr">
        <is>
          <t>000224000</t>
        </is>
      </c>
      <c r="D517" s="3452" t="inlineStr">
        <is>
          <t>202003</t>
        </is>
      </c>
      <c r="E517" s="3452" t="inlineStr">
        <is>
          <t>0,000000000000</t>
        </is>
      </c>
    </row>
    <row outlineLevel="0" r="518">
      <c r="A518" s="3452" t="inlineStr">
        <is>
          <t>000224000202003233501</t>
        </is>
      </c>
      <c r="B518" s="3452" t="inlineStr">
        <is>
          <t>233501</t>
        </is>
      </c>
      <c r="C518" s="3452" t="inlineStr">
        <is>
          <t>000224000</t>
        </is>
      </c>
      <c r="D518" s="3452" t="inlineStr">
        <is>
          <t>202003</t>
        </is>
      </c>
      <c r="E518" s="3452" t="inlineStr">
        <is>
          <t>0,000000000000</t>
        </is>
      </c>
    </row>
    <row outlineLevel="0" r="519">
      <c r="A519" s="3452" t="inlineStr">
        <is>
          <t>000224000202003232000</t>
        </is>
      </c>
      <c r="B519" s="3452" t="inlineStr">
        <is>
          <t>232000</t>
        </is>
      </c>
      <c r="C519" s="3452" t="inlineStr">
        <is>
          <t>000224000</t>
        </is>
      </c>
      <c r="D519" s="3452" t="inlineStr">
        <is>
          <t>202003</t>
        </is>
      </c>
      <c r="E519" s="3452" t="inlineStr">
        <is>
          <t>0,000000000000</t>
        </is>
      </c>
    </row>
    <row outlineLevel="0" r="520">
      <c r="A520" s="3452" t="inlineStr">
        <is>
          <t>000224000202003232001</t>
        </is>
      </c>
      <c r="B520" s="3452" t="inlineStr">
        <is>
          <t>232001</t>
        </is>
      </c>
      <c r="C520" s="3452" t="inlineStr">
        <is>
          <t>000224000</t>
        </is>
      </c>
      <c r="D520" s="3452" t="inlineStr">
        <is>
          <t>202003</t>
        </is>
      </c>
      <c r="E520" s="3452" t="inlineStr">
        <is>
          <t>0,000000000000</t>
        </is>
      </c>
    </row>
    <row outlineLevel="0" r="521">
      <c r="A521" s="3452" t="inlineStr">
        <is>
          <t>000224000202003231500</t>
        </is>
      </c>
      <c r="B521" s="3452" t="inlineStr">
        <is>
          <t>231500</t>
        </is>
      </c>
      <c r="C521" s="3452" t="inlineStr">
        <is>
          <t>000224000</t>
        </is>
      </c>
      <c r="D521" s="3452" t="inlineStr">
        <is>
          <t>202003</t>
        </is>
      </c>
      <c r="E521" s="3452" t="inlineStr">
        <is>
          <t>2817,000000000000</t>
        </is>
      </c>
    </row>
    <row outlineLevel="0" r="522">
      <c r="A522" s="3452" t="inlineStr">
        <is>
          <t>000224000202003231501</t>
        </is>
      </c>
      <c r="B522" s="3452" t="inlineStr">
        <is>
          <t>231501</t>
        </is>
      </c>
      <c r="C522" s="3452" t="inlineStr">
        <is>
          <t>000224000</t>
        </is>
      </c>
      <c r="D522" s="3452" t="inlineStr">
        <is>
          <t>202003</t>
        </is>
      </c>
      <c r="E522" s="3452" t="inlineStr">
        <is>
          <t>0,000000000000</t>
        </is>
      </c>
    </row>
    <row outlineLevel="0" r="523">
      <c r="A523" s="3452" t="inlineStr">
        <is>
          <t>000224000202003231000</t>
        </is>
      </c>
      <c r="B523" s="3452" t="inlineStr">
        <is>
          <t>231000</t>
        </is>
      </c>
      <c r="C523" s="3452" t="inlineStr">
        <is>
          <t>000224000</t>
        </is>
      </c>
      <c r="D523" s="3452" t="inlineStr">
        <is>
          <t>202003</t>
        </is>
      </c>
      <c r="E523" s="3452" t="inlineStr">
        <is>
          <t>0,000000000000</t>
        </is>
      </c>
    </row>
    <row outlineLevel="0" r="524">
      <c r="A524" s="3452" t="inlineStr">
        <is>
          <t>000224000202003231001</t>
        </is>
      </c>
      <c r="B524" s="3452" t="inlineStr">
        <is>
          <t>231001</t>
        </is>
      </c>
      <c r="C524" s="3452" t="inlineStr">
        <is>
          <t>000224000</t>
        </is>
      </c>
      <c r="D524" s="3452" t="inlineStr">
        <is>
          <t>202003</t>
        </is>
      </c>
      <c r="E524" s="3452" t="inlineStr">
        <is>
          <t>0,000000000000</t>
        </is>
      </c>
    </row>
    <row outlineLevel="0" r="525">
      <c r="A525" s="3452" t="inlineStr">
        <is>
          <t>000224000202003230500</t>
        </is>
      </c>
      <c r="B525" s="3452" t="inlineStr">
        <is>
          <t>230500</t>
        </is>
      </c>
      <c r="C525" s="3452" t="inlineStr">
        <is>
          <t>000224000</t>
        </is>
      </c>
      <c r="D525" s="3452" t="inlineStr">
        <is>
          <t>202003</t>
        </is>
      </c>
      <c r="E525" s="3452" t="inlineStr">
        <is>
          <t>0,000000000000</t>
        </is>
      </c>
    </row>
    <row outlineLevel="0" r="526">
      <c r="A526" s="3452" t="inlineStr">
        <is>
          <t>000224000202003230501</t>
        </is>
      </c>
      <c r="B526" s="3452" t="inlineStr">
        <is>
          <t>230501</t>
        </is>
      </c>
      <c r="C526" s="3452" t="inlineStr">
        <is>
          <t>000224000</t>
        </is>
      </c>
      <c r="D526" s="3452" t="inlineStr">
        <is>
          <t>202003</t>
        </is>
      </c>
      <c r="E526" s="3452" t="inlineStr">
        <is>
          <t>0,000000000000</t>
        </is>
      </c>
    </row>
    <row outlineLevel="0" r="527">
      <c r="A527" s="3452" t="inlineStr">
        <is>
          <t>000224000202003221001</t>
        </is>
      </c>
      <c r="B527" s="3452" t="inlineStr">
        <is>
          <t>221001</t>
        </is>
      </c>
      <c r="C527" s="3452" t="inlineStr">
        <is>
          <t>000224000</t>
        </is>
      </c>
      <c r="D527" s="3452" t="inlineStr">
        <is>
          <t>202003</t>
        </is>
      </c>
      <c r="E527" s="3452" t="inlineStr">
        <is>
          <t>0,000000000000</t>
        </is>
      </c>
    </row>
    <row outlineLevel="0" r="528">
      <c r="A528" s="3452" t="inlineStr">
        <is>
          <t>000224000202003221500</t>
        </is>
      </c>
      <c r="B528" s="3452" t="inlineStr">
        <is>
          <t>221500</t>
        </is>
      </c>
      <c r="C528" s="3452" t="inlineStr">
        <is>
          <t>000224000</t>
        </is>
      </c>
      <c r="D528" s="3452" t="inlineStr">
        <is>
          <t>202003</t>
        </is>
      </c>
      <c r="E528" s="3452" t="inlineStr">
        <is>
          <t>0,000000000000</t>
        </is>
      </c>
    </row>
    <row outlineLevel="0" r="529">
      <c r="A529" s="3452" t="inlineStr">
        <is>
          <t>000224000202003220501</t>
        </is>
      </c>
      <c r="B529" s="3452" t="inlineStr">
        <is>
          <t>220501</t>
        </is>
      </c>
      <c r="C529" s="3452" t="inlineStr">
        <is>
          <t>000224000</t>
        </is>
      </c>
      <c r="D529" s="3452" t="inlineStr">
        <is>
          <t>202003</t>
        </is>
      </c>
      <c r="E529" s="3452" t="inlineStr">
        <is>
          <t>0,000000000000</t>
        </is>
      </c>
    </row>
    <row outlineLevel="0" r="530">
      <c r="A530" s="3452" t="inlineStr">
        <is>
          <t>000224000202003221000</t>
        </is>
      </c>
      <c r="B530" s="3452" t="inlineStr">
        <is>
          <t>221000</t>
        </is>
      </c>
      <c r="C530" s="3452" t="inlineStr">
        <is>
          <t>000224000</t>
        </is>
      </c>
      <c r="D530" s="3452" t="inlineStr">
        <is>
          <t>202003</t>
        </is>
      </c>
      <c r="E530" s="3452" t="inlineStr">
        <is>
          <t>0,000000000000</t>
        </is>
      </c>
    </row>
    <row outlineLevel="0" r="531">
      <c r="A531" s="3452" t="inlineStr">
        <is>
          <t>000224000202003219500</t>
        </is>
      </c>
      <c r="B531" s="3452" t="inlineStr">
        <is>
          <t>219500</t>
        </is>
      </c>
      <c r="C531" s="3452" t="inlineStr">
        <is>
          <t>000224000</t>
        </is>
      </c>
      <c r="D531" s="3452" t="inlineStr">
        <is>
          <t>202003</t>
        </is>
      </c>
      <c r="E531" s="3452" t="inlineStr">
        <is>
          <t>0,000000000000</t>
        </is>
      </c>
    </row>
    <row outlineLevel="0" r="532">
      <c r="A532" s="3452" t="inlineStr">
        <is>
          <t>000224000202003220500</t>
        </is>
      </c>
      <c r="B532" s="3452" t="inlineStr">
        <is>
          <t>220500</t>
        </is>
      </c>
      <c r="C532" s="3452" t="inlineStr">
        <is>
          <t>000224000</t>
        </is>
      </c>
      <c r="D532" s="3452" t="inlineStr">
        <is>
          <t>202003</t>
        </is>
      </c>
      <c r="E532" s="3452" t="inlineStr">
        <is>
          <t>0,000000000000</t>
        </is>
      </c>
    </row>
    <row outlineLevel="0" r="533">
      <c r="A533" s="3452" t="inlineStr">
        <is>
          <t>000224000202003211001</t>
        </is>
      </c>
      <c r="B533" s="3452" t="inlineStr">
        <is>
          <t>211001</t>
        </is>
      </c>
      <c r="C533" s="3452" t="inlineStr">
        <is>
          <t>000224000</t>
        </is>
      </c>
      <c r="D533" s="3452" t="inlineStr">
        <is>
          <t>202003</t>
        </is>
      </c>
      <c r="E533" s="3452" t="inlineStr">
        <is>
          <t>0,000000000000</t>
        </is>
      </c>
    </row>
    <row outlineLevel="0" r="534">
      <c r="A534" s="3452" t="inlineStr">
        <is>
          <t>000224000202003211500</t>
        </is>
      </c>
      <c r="B534" s="3452" t="inlineStr">
        <is>
          <t>211500</t>
        </is>
      </c>
      <c r="C534" s="3452" t="inlineStr">
        <is>
          <t>000224000</t>
        </is>
      </c>
      <c r="D534" s="3452" t="inlineStr">
        <is>
          <t>202003</t>
        </is>
      </c>
      <c r="E534" s="3452" t="inlineStr">
        <is>
          <t>563,000000000000</t>
        </is>
      </c>
    </row>
    <row outlineLevel="0" r="535">
      <c r="A535" s="3452" t="inlineStr">
        <is>
          <t>000224000202003210500</t>
        </is>
      </c>
      <c r="B535" s="3452" t="inlineStr">
        <is>
          <t>210500</t>
        </is>
      </c>
      <c r="C535" s="3452" t="inlineStr">
        <is>
          <t>000224000</t>
        </is>
      </c>
      <c r="D535" s="3452" t="inlineStr">
        <is>
          <t>202003</t>
        </is>
      </c>
      <c r="E535" s="3452" t="inlineStr">
        <is>
          <t>0,000000000000</t>
        </is>
      </c>
    </row>
    <row outlineLevel="0" r="536">
      <c r="A536" s="3452" t="inlineStr">
        <is>
          <t>000224000202003210501</t>
        </is>
      </c>
      <c r="B536" s="3452" t="inlineStr">
        <is>
          <t>210501</t>
        </is>
      </c>
      <c r="C536" s="3452" t="inlineStr">
        <is>
          <t>000224000</t>
        </is>
      </c>
      <c r="D536" s="3452" t="inlineStr">
        <is>
          <t>202003</t>
        </is>
      </c>
      <c r="E536" s="3452" t="inlineStr">
        <is>
          <t>10346,000000000000</t>
        </is>
      </c>
    </row>
    <row outlineLevel="0" r="537">
      <c r="A537" s="3452" t="inlineStr">
        <is>
          <t>000224000202003191001</t>
        </is>
      </c>
      <c r="B537" s="3452" t="inlineStr">
        <is>
          <t>191001</t>
        </is>
      </c>
      <c r="C537" s="3452" t="inlineStr">
        <is>
          <t>000224000</t>
        </is>
      </c>
      <c r="D537" s="3452" t="inlineStr">
        <is>
          <t>202003</t>
        </is>
      </c>
      <c r="E537" s="3452" t="inlineStr">
        <is>
          <t>0,000000000000</t>
        </is>
      </c>
    </row>
    <row outlineLevel="0" r="538">
      <c r="A538" s="3452" t="inlineStr">
        <is>
          <t>000224000202003199501</t>
        </is>
      </c>
      <c r="B538" s="3452" t="inlineStr">
        <is>
          <t>199501</t>
        </is>
      </c>
      <c r="C538" s="3452" t="inlineStr">
        <is>
          <t>000224000</t>
        </is>
      </c>
      <c r="D538" s="3452" t="inlineStr">
        <is>
          <t>202003</t>
        </is>
      </c>
      <c r="E538" s="3452" t="inlineStr">
        <is>
          <t>0,000000000000</t>
        </is>
      </c>
    </row>
    <row outlineLevel="0" r="539">
      <c r="A539" s="3452" t="inlineStr">
        <is>
          <t>000224000202003190000</t>
        </is>
      </c>
      <c r="B539" s="3452" t="inlineStr">
        <is>
          <t>190000</t>
        </is>
      </c>
      <c r="C539" s="3452" t="inlineStr">
        <is>
          <t>000224000</t>
        </is>
      </c>
      <c r="D539" s="3452" t="inlineStr">
        <is>
          <t>202003</t>
        </is>
      </c>
      <c r="E539" s="3452" t="inlineStr">
        <is>
          <t>0,000000000000</t>
        </is>
      </c>
    </row>
    <row outlineLevel="0" r="540">
      <c r="A540" s="3452" t="inlineStr">
        <is>
          <t>000224000202003190501</t>
        </is>
      </c>
      <c r="B540" s="3452" t="inlineStr">
        <is>
          <t>190501</t>
        </is>
      </c>
      <c r="C540" s="3452" t="inlineStr">
        <is>
          <t>000224000</t>
        </is>
      </c>
      <c r="D540" s="3452" t="inlineStr">
        <is>
          <t>202003</t>
        </is>
      </c>
      <c r="E540" s="3452" t="inlineStr">
        <is>
          <t>0,000000000000</t>
        </is>
      </c>
    </row>
    <row outlineLevel="0" r="541">
      <c r="A541" s="3452" t="inlineStr">
        <is>
          <t>000224000202003189701</t>
        </is>
      </c>
      <c r="B541" s="3452" t="inlineStr">
        <is>
          <t>189701</t>
        </is>
      </c>
      <c r="C541" s="3452" t="inlineStr">
        <is>
          <t>000224000</t>
        </is>
      </c>
      <c r="D541" s="3452" t="inlineStr">
        <is>
          <t>202003</t>
        </is>
      </c>
      <c r="E541" s="3452" t="inlineStr">
        <is>
          <t>0,000000000000</t>
        </is>
      </c>
    </row>
    <row outlineLevel="0" r="542">
      <c r="A542" s="3452" t="inlineStr">
        <is>
          <t>000224000202003189901</t>
        </is>
      </c>
      <c r="B542" s="3452" t="inlineStr">
        <is>
          <t>189901</t>
        </is>
      </c>
      <c r="C542" s="3452" t="inlineStr">
        <is>
          <t>000224000</t>
        </is>
      </c>
      <c r="D542" s="3452" t="inlineStr">
        <is>
          <t>202003</t>
        </is>
      </c>
      <c r="E542" s="3452" t="inlineStr">
        <is>
          <t>0,000000000000</t>
        </is>
      </c>
    </row>
    <row outlineLevel="0" r="543">
      <c r="A543" s="3452" t="inlineStr">
        <is>
          <t>000224000202003189501</t>
        </is>
      </c>
      <c r="B543" s="3452" t="inlineStr">
        <is>
          <t>189501</t>
        </is>
      </c>
      <c r="C543" s="3452" t="inlineStr">
        <is>
          <t>000224000</t>
        </is>
      </c>
      <c r="D543" s="3452" t="inlineStr">
        <is>
          <t>202003</t>
        </is>
      </c>
      <c r="E543" s="3452" t="inlineStr">
        <is>
          <t>0,000000000000</t>
        </is>
      </c>
    </row>
    <row outlineLevel="0" r="544">
      <c r="A544" s="3452" t="inlineStr">
        <is>
          <t>000224000202003189520</t>
        </is>
      </c>
      <c r="B544" s="3452" t="inlineStr">
        <is>
          <t>189520</t>
        </is>
      </c>
      <c r="C544" s="3452" t="inlineStr">
        <is>
          <t>000224000</t>
        </is>
      </c>
      <c r="D544" s="3452" t="inlineStr">
        <is>
          <t>202003</t>
        </is>
      </c>
      <c r="E544" s="3452" t="inlineStr">
        <is>
          <t>0,000000000000</t>
        </is>
      </c>
    </row>
    <row outlineLevel="0" r="545">
      <c r="A545" s="3452" t="inlineStr">
        <is>
          <t>000224000202003181000</t>
        </is>
      </c>
      <c r="B545" s="3452" t="inlineStr">
        <is>
          <t>181000</t>
        </is>
      </c>
      <c r="C545" s="3452" t="inlineStr">
        <is>
          <t>000224000</t>
        </is>
      </c>
      <c r="D545" s="3452" t="inlineStr">
        <is>
          <t>202003</t>
        </is>
      </c>
      <c r="E545" s="3452" t="inlineStr">
        <is>
          <t>0,000000000000</t>
        </is>
      </c>
    </row>
    <row outlineLevel="0" r="546">
      <c r="A546" s="3452" t="inlineStr">
        <is>
          <t>000224000202003189500</t>
        </is>
      </c>
      <c r="B546" s="3452" t="inlineStr">
        <is>
          <t>189500</t>
        </is>
      </c>
      <c r="C546" s="3452" t="inlineStr">
        <is>
          <t>000224000</t>
        </is>
      </c>
      <c r="D546" s="3452" t="inlineStr">
        <is>
          <t>202003</t>
        </is>
      </c>
      <c r="E546" s="3452" t="inlineStr">
        <is>
          <t>0,000000000000</t>
        </is>
      </c>
    </row>
    <row outlineLevel="0" r="547">
      <c r="A547" s="3452" t="inlineStr">
        <is>
          <t>000224000202003180000</t>
        </is>
      </c>
      <c r="B547" s="3452" t="inlineStr">
        <is>
          <t>180000</t>
        </is>
      </c>
      <c r="C547" s="3452" t="inlineStr">
        <is>
          <t>000224000</t>
        </is>
      </c>
      <c r="D547" s="3452" t="inlineStr">
        <is>
          <t>202003</t>
        </is>
      </c>
      <c r="E547" s="3452" t="inlineStr">
        <is>
          <t>0,000000000000</t>
        </is>
      </c>
    </row>
    <row outlineLevel="0" r="548">
      <c r="A548" s="3452" t="inlineStr">
        <is>
          <t>000224000202003180501</t>
        </is>
      </c>
      <c r="B548" s="3452" t="inlineStr">
        <is>
          <t>180501</t>
        </is>
      </c>
      <c r="C548" s="3452" t="inlineStr">
        <is>
          <t>000224000</t>
        </is>
      </c>
      <c r="D548" s="3452" t="inlineStr">
        <is>
          <t>202003</t>
        </is>
      </c>
      <c r="E548" s="3452" t="inlineStr">
        <is>
          <t>0,000000000000</t>
        </is>
      </c>
    </row>
    <row outlineLevel="0" r="549">
      <c r="A549" s="3452" t="inlineStr">
        <is>
          <t>000224000202003179701</t>
        </is>
      </c>
      <c r="B549" s="3452" t="inlineStr">
        <is>
          <t>179701</t>
        </is>
      </c>
      <c r="C549" s="3452" t="inlineStr">
        <is>
          <t>000224000</t>
        </is>
      </c>
      <c r="D549" s="3452" t="inlineStr">
        <is>
          <t>202003</t>
        </is>
      </c>
      <c r="E549" s="3452" t="inlineStr">
        <is>
          <t>828,000000000000</t>
        </is>
      </c>
    </row>
    <row outlineLevel="0" r="550">
      <c r="A550" s="3452" t="inlineStr">
        <is>
          <t>000224000202003179801</t>
        </is>
      </c>
      <c r="B550" s="3452" t="inlineStr">
        <is>
          <t>179801</t>
        </is>
      </c>
      <c r="C550" s="3452" t="inlineStr">
        <is>
          <t>000224000</t>
        </is>
      </c>
      <c r="D550" s="3452" t="inlineStr">
        <is>
          <t>202003</t>
        </is>
      </c>
      <c r="E550" s="3452" t="inlineStr">
        <is>
          <t>0,000000000000</t>
        </is>
      </c>
    </row>
    <row outlineLevel="0" r="551">
      <c r="A551" s="3452" t="inlineStr">
        <is>
          <t>000224000202003179500</t>
        </is>
      </c>
      <c r="B551" s="3452" t="inlineStr">
        <is>
          <t>179500</t>
        </is>
      </c>
      <c r="C551" s="3452" t="inlineStr">
        <is>
          <t>000224000</t>
        </is>
      </c>
      <c r="D551" s="3452" t="inlineStr">
        <is>
          <t>202003</t>
        </is>
      </c>
      <c r="E551" s="3452" t="inlineStr">
        <is>
          <t>0,000000000000</t>
        </is>
      </c>
    </row>
    <row outlineLevel="0" r="552">
      <c r="A552" s="3452" t="inlineStr">
        <is>
          <t>000224000202003179700</t>
        </is>
      </c>
      <c r="B552" s="3452" t="inlineStr">
        <is>
          <t>179700</t>
        </is>
      </c>
      <c r="C552" s="3452" t="inlineStr">
        <is>
          <t>000224000</t>
        </is>
      </c>
      <c r="D552" s="3452" t="inlineStr">
        <is>
          <t>202003</t>
        </is>
      </c>
      <c r="E552" s="3452" t="inlineStr">
        <is>
          <t>0,000000000000</t>
        </is>
      </c>
    </row>
    <row outlineLevel="0" r="553">
      <c r="A553" s="3452" t="inlineStr">
        <is>
          <t>000224000202003173000</t>
        </is>
      </c>
      <c r="B553" s="3452" t="inlineStr">
        <is>
          <t>173000</t>
        </is>
      </c>
      <c r="C553" s="3452" t="inlineStr">
        <is>
          <t>000224000</t>
        </is>
      </c>
      <c r="D553" s="3452" t="inlineStr">
        <is>
          <t>202003</t>
        </is>
      </c>
      <c r="E553" s="3452" t="inlineStr">
        <is>
          <t>0,000000000000</t>
        </is>
      </c>
    </row>
    <row outlineLevel="0" r="554">
      <c r="A554" s="3452" t="inlineStr">
        <is>
          <t>000224000202003173001</t>
        </is>
      </c>
      <c r="B554" s="3452" t="inlineStr">
        <is>
          <t>173001</t>
        </is>
      </c>
      <c r="C554" s="3452" t="inlineStr">
        <is>
          <t>000224000</t>
        </is>
      </c>
      <c r="D554" s="3452" t="inlineStr">
        <is>
          <t>202003</t>
        </is>
      </c>
      <c r="E554" s="3452" t="inlineStr">
        <is>
          <t>0,000000000000</t>
        </is>
      </c>
    </row>
    <row outlineLevel="0" r="555">
      <c r="A555" s="3452" t="inlineStr">
        <is>
          <t>000224000202003170500</t>
        </is>
      </c>
      <c r="B555" s="3452" t="inlineStr">
        <is>
          <t>170500</t>
        </is>
      </c>
      <c r="C555" s="3452" t="inlineStr">
        <is>
          <t>000224000</t>
        </is>
      </c>
      <c r="D555" s="3452" t="inlineStr">
        <is>
          <t>202003</t>
        </is>
      </c>
      <c r="E555" s="3452" t="inlineStr">
        <is>
          <t>0,000000000000</t>
        </is>
      </c>
    </row>
    <row outlineLevel="0" r="556">
      <c r="A556" s="3452" t="inlineStr">
        <is>
          <t>000224000202003171000</t>
        </is>
      </c>
      <c r="B556" s="3452" t="inlineStr">
        <is>
          <t>171000</t>
        </is>
      </c>
      <c r="C556" s="3452" t="inlineStr">
        <is>
          <t>000224000</t>
        </is>
      </c>
      <c r="D556" s="3452" t="inlineStr">
        <is>
          <t>202003</t>
        </is>
      </c>
      <c r="E556" s="3452" t="inlineStr">
        <is>
          <t>0,000000000000</t>
        </is>
      </c>
    </row>
    <row outlineLevel="0" r="557">
      <c r="A557" s="3452" t="inlineStr">
        <is>
          <t>000224000202003169899</t>
        </is>
      </c>
      <c r="B557" s="3452" t="inlineStr">
        <is>
          <t>169899</t>
        </is>
      </c>
      <c r="C557" s="3452" t="inlineStr">
        <is>
          <t>000224000</t>
        </is>
      </c>
      <c r="D557" s="3452" t="inlineStr">
        <is>
          <t>202003</t>
        </is>
      </c>
      <c r="E557" s="3452" t="inlineStr">
        <is>
          <t>0,000000000000</t>
        </is>
      </c>
    </row>
    <row outlineLevel="0" r="558">
      <c r="A558" s="3452" t="inlineStr">
        <is>
          <t>000224000202003169901</t>
        </is>
      </c>
      <c r="B558" s="3452" t="inlineStr">
        <is>
          <t>169901</t>
        </is>
      </c>
      <c r="C558" s="3452" t="inlineStr">
        <is>
          <t>000224000</t>
        </is>
      </c>
      <c r="D558" s="3452" t="inlineStr">
        <is>
          <t>202003</t>
        </is>
      </c>
      <c r="E558" s="3452" t="inlineStr">
        <is>
          <t>0,000000000000</t>
        </is>
      </c>
    </row>
    <row outlineLevel="0" r="559">
      <c r="A559" s="3452" t="inlineStr">
        <is>
          <t>000224000202003163001</t>
        </is>
      </c>
      <c r="B559" s="3452" t="inlineStr">
        <is>
          <t>163001</t>
        </is>
      </c>
      <c r="C559" s="3452" t="inlineStr">
        <is>
          <t>000224000</t>
        </is>
      </c>
      <c r="D559" s="3452" t="inlineStr">
        <is>
          <t>202003</t>
        </is>
      </c>
      <c r="E559" s="3452" t="inlineStr">
        <is>
          <t>0,000000000000</t>
        </is>
      </c>
    </row>
    <row outlineLevel="0" r="560">
      <c r="A560" s="3452" t="inlineStr">
        <is>
          <t>000224000202003164001</t>
        </is>
      </c>
      <c r="B560" s="3452" t="inlineStr">
        <is>
          <t>164001</t>
        </is>
      </c>
      <c r="C560" s="3452" t="inlineStr">
        <is>
          <t>000224000</t>
        </is>
      </c>
      <c r="D560" s="3452" t="inlineStr">
        <is>
          <t>202003</t>
        </is>
      </c>
      <c r="E560" s="3452" t="inlineStr">
        <is>
          <t>0,000000000000</t>
        </is>
      </c>
    </row>
    <row outlineLevel="0" r="561">
      <c r="A561" s="3452" t="inlineStr">
        <is>
          <t>000224000202003160501</t>
        </is>
      </c>
      <c r="B561" s="3452" t="inlineStr">
        <is>
          <t>160501</t>
        </is>
      </c>
      <c r="C561" s="3452" t="inlineStr">
        <is>
          <t>000224000</t>
        </is>
      </c>
      <c r="D561" s="3452" t="inlineStr">
        <is>
          <t>202003</t>
        </is>
      </c>
      <c r="E561" s="3452" t="inlineStr">
        <is>
          <t>0,000000000000</t>
        </is>
      </c>
    </row>
    <row outlineLevel="0" r="562">
      <c r="A562" s="3452" t="inlineStr">
        <is>
          <t>000224000202003161001</t>
        </is>
      </c>
      <c r="B562" s="3452" t="inlineStr">
        <is>
          <t>161001</t>
        </is>
      </c>
      <c r="C562" s="3452" t="inlineStr">
        <is>
          <t>000224000</t>
        </is>
      </c>
      <c r="D562" s="3452" t="inlineStr">
        <is>
          <t>202003</t>
        </is>
      </c>
      <c r="E562" s="3452" t="inlineStr">
        <is>
          <t>0,000000000000</t>
        </is>
      </c>
    </row>
    <row outlineLevel="0" r="563">
      <c r="A563" s="3452" t="inlineStr">
        <is>
          <t>000224000202003159899</t>
        </is>
      </c>
      <c r="B563" s="3452" t="inlineStr">
        <is>
          <t>159899</t>
        </is>
      </c>
      <c r="C563" s="3452" t="inlineStr">
        <is>
          <t>000224000</t>
        </is>
      </c>
      <c r="D563" s="3452" t="inlineStr">
        <is>
          <t>202003</t>
        </is>
      </c>
      <c r="E563" s="3452" t="inlineStr">
        <is>
          <t>0,000000000000</t>
        </is>
      </c>
    </row>
    <row outlineLevel="0" r="564">
      <c r="A564" s="3452" t="inlineStr">
        <is>
          <t>000224000202003159901</t>
        </is>
      </c>
      <c r="B564" s="3452" t="inlineStr">
        <is>
          <t>159901</t>
        </is>
      </c>
      <c r="C564" s="3452" t="inlineStr">
        <is>
          <t>000224000</t>
        </is>
      </c>
      <c r="D564" s="3452" t="inlineStr">
        <is>
          <t>202003</t>
        </is>
      </c>
      <c r="E564" s="3452" t="inlineStr">
        <is>
          <t>0,000000000000</t>
        </is>
      </c>
    </row>
    <row outlineLevel="0" r="565">
      <c r="A565" s="3452" t="inlineStr">
        <is>
          <t>000224000202003158801</t>
        </is>
      </c>
      <c r="B565" s="3452" t="inlineStr">
        <is>
          <t>158801</t>
        </is>
      </c>
      <c r="C565" s="3452" t="inlineStr">
        <is>
          <t>000224000</t>
        </is>
      </c>
      <c r="D565" s="3452" t="inlineStr">
        <is>
          <t>202003</t>
        </is>
      </c>
      <c r="E565" s="3452" t="inlineStr">
        <is>
          <t>0,000000000000</t>
        </is>
      </c>
    </row>
    <row outlineLevel="0" r="566">
      <c r="A566" s="3452" t="inlineStr">
        <is>
          <t>000224000202003159701</t>
        </is>
      </c>
      <c r="B566" s="3452" t="inlineStr">
        <is>
          <t>159701</t>
        </is>
      </c>
      <c r="C566" s="3452" t="inlineStr">
        <is>
          <t>000224000</t>
        </is>
      </c>
      <c r="D566" s="3452" t="inlineStr">
        <is>
          <t>202003</t>
        </is>
      </c>
      <c r="E566" s="3452" t="inlineStr">
        <is>
          <t>0,000000000000</t>
        </is>
      </c>
    </row>
    <row outlineLevel="0" r="567">
      <c r="A567" s="3452" t="inlineStr">
        <is>
          <t>000224000202003157601</t>
        </is>
      </c>
      <c r="B567" s="3452" t="inlineStr">
        <is>
          <t>157601</t>
        </is>
      </c>
      <c r="C567" s="3452" t="inlineStr">
        <is>
          <t>000224000</t>
        </is>
      </c>
      <c r="D567" s="3452" t="inlineStr">
        <is>
          <t>202003</t>
        </is>
      </c>
      <c r="E567" s="3452" t="inlineStr">
        <is>
          <t>0,000000000000</t>
        </is>
      </c>
    </row>
    <row outlineLevel="0" r="568">
      <c r="A568" s="3452" t="inlineStr">
        <is>
          <t>000224000202003158401</t>
        </is>
      </c>
      <c r="B568" s="3452" t="inlineStr">
        <is>
          <t>158401</t>
        </is>
      </c>
      <c r="C568" s="3452" t="inlineStr">
        <is>
          <t>000224000</t>
        </is>
      </c>
      <c r="D568" s="3452" t="inlineStr">
        <is>
          <t>202003</t>
        </is>
      </c>
      <c r="E568" s="3452" t="inlineStr">
        <is>
          <t>0,000000000000</t>
        </is>
      </c>
    </row>
    <row outlineLevel="0" r="569">
      <c r="A569" s="3452" t="inlineStr">
        <is>
          <t>000224000202003156401</t>
        </is>
      </c>
      <c r="B569" s="3452" t="inlineStr">
        <is>
          <t>156401</t>
        </is>
      </c>
      <c r="C569" s="3452" t="inlineStr">
        <is>
          <t>000224000</t>
        </is>
      </c>
      <c r="D569" s="3452" t="inlineStr">
        <is>
          <t>202003</t>
        </is>
      </c>
      <c r="E569" s="3452" t="inlineStr">
        <is>
          <t>0,000000000000</t>
        </is>
      </c>
    </row>
    <row outlineLevel="0" r="570">
      <c r="A570" s="3452" t="inlineStr">
        <is>
          <t>000224000202003157201</t>
        </is>
      </c>
      <c r="B570" s="3452" t="inlineStr">
        <is>
          <t>157201</t>
        </is>
      </c>
      <c r="C570" s="3452" t="inlineStr">
        <is>
          <t>000224000</t>
        </is>
      </c>
      <c r="D570" s="3452" t="inlineStr">
        <is>
          <t>202003</t>
        </is>
      </c>
      <c r="E570" s="3452" t="inlineStr">
        <is>
          <t>0,000000000000</t>
        </is>
      </c>
    </row>
    <row outlineLevel="0" r="571">
      <c r="A571" s="3452" t="inlineStr">
        <is>
          <t>000224000202003155601</t>
        </is>
      </c>
      <c r="B571" s="3452" t="inlineStr">
        <is>
          <t>155601</t>
        </is>
      </c>
      <c r="C571" s="3452" t="inlineStr">
        <is>
          <t>000224000</t>
        </is>
      </c>
      <c r="D571" s="3452" t="inlineStr">
        <is>
          <t>202003</t>
        </is>
      </c>
      <c r="E571" s="3452" t="inlineStr">
        <is>
          <t>0,000000000000</t>
        </is>
      </c>
    </row>
    <row outlineLevel="0" r="572">
      <c r="A572" s="3452" t="inlineStr">
        <is>
          <t>000224000202003156001</t>
        </is>
      </c>
      <c r="B572" s="3452" t="inlineStr">
        <is>
          <t>156001</t>
        </is>
      </c>
      <c r="C572" s="3452" t="inlineStr">
        <is>
          <t>000224000</t>
        </is>
      </c>
      <c r="D572" s="3452" t="inlineStr">
        <is>
          <t>202003</t>
        </is>
      </c>
      <c r="E572" s="3452" t="inlineStr">
        <is>
          <t>0,000000000000</t>
        </is>
      </c>
    </row>
    <row outlineLevel="0" r="573">
      <c r="A573" s="3452" t="inlineStr">
        <is>
          <t>000224000202003149910</t>
        </is>
      </c>
      <c r="B573" s="3452" t="inlineStr">
        <is>
          <t>149910</t>
        </is>
      </c>
      <c r="C573" s="3452" t="inlineStr">
        <is>
          <t>000224000</t>
        </is>
      </c>
      <c r="D573" s="3452" t="inlineStr">
        <is>
          <t>202003</t>
        </is>
      </c>
      <c r="E573" s="3452" t="inlineStr">
        <is>
          <t>0,000000000000</t>
        </is>
      </c>
    </row>
    <row outlineLevel="0" r="574">
      <c r="A574" s="3452" t="inlineStr">
        <is>
          <t>000224000202003151201</t>
        </is>
      </c>
      <c r="B574" s="3452" t="inlineStr">
        <is>
          <t>151201</t>
        </is>
      </c>
      <c r="C574" s="3452" t="inlineStr">
        <is>
          <t>000224000</t>
        </is>
      </c>
      <c r="D574" s="3452" t="inlineStr">
        <is>
          <t>202003</t>
        </is>
      </c>
      <c r="E574" s="3452" t="inlineStr">
        <is>
          <t>0,000000000000</t>
        </is>
      </c>
    </row>
    <row outlineLevel="0" r="575">
      <c r="A575" s="3452" t="inlineStr">
        <is>
          <t>000224000202003149901</t>
        </is>
      </c>
      <c r="B575" s="3452" t="inlineStr">
        <is>
          <t>149901</t>
        </is>
      </c>
      <c r="C575" s="3452" t="inlineStr">
        <is>
          <t>000224000</t>
        </is>
      </c>
      <c r="D575" s="3452" t="inlineStr">
        <is>
          <t>202003</t>
        </is>
      </c>
      <c r="E575" s="3452" t="inlineStr">
        <is>
          <t>0,000000000000</t>
        </is>
      </c>
    </row>
    <row outlineLevel="0" r="576">
      <c r="A576" s="3452" t="inlineStr">
        <is>
          <t>000224000202003149902</t>
        </is>
      </c>
      <c r="B576" s="3452" t="inlineStr">
        <is>
          <t>149902</t>
        </is>
      </c>
      <c r="C576" s="3452" t="inlineStr">
        <is>
          <t>000224000</t>
        </is>
      </c>
      <c r="D576" s="3452" t="inlineStr">
        <is>
          <t>202003</t>
        </is>
      </c>
      <c r="E576" s="3452" t="inlineStr">
        <is>
          <t>0,000000000000</t>
        </is>
      </c>
    </row>
    <row outlineLevel="0" r="577">
      <c r="A577" s="3452" t="inlineStr">
        <is>
          <t>000224000202003149510</t>
        </is>
      </c>
      <c r="B577" s="3452" t="inlineStr">
        <is>
          <t>149510</t>
        </is>
      </c>
      <c r="C577" s="3452" t="inlineStr">
        <is>
          <t>000224000</t>
        </is>
      </c>
      <c r="D577" s="3452" t="inlineStr">
        <is>
          <t>202003</t>
        </is>
      </c>
      <c r="E577" s="3452" t="inlineStr">
        <is>
          <t>0,000000000000</t>
        </is>
      </c>
    </row>
    <row outlineLevel="0" r="578">
      <c r="A578" s="3452" t="inlineStr">
        <is>
          <t>000224000202003149900</t>
        </is>
      </c>
      <c r="B578" s="3452" t="inlineStr">
        <is>
          <t>149900</t>
        </is>
      </c>
      <c r="C578" s="3452" t="inlineStr">
        <is>
          <t>000224000</t>
        </is>
      </c>
      <c r="D578" s="3452" t="inlineStr">
        <is>
          <t>202003</t>
        </is>
      </c>
      <c r="E578" s="3452" t="inlineStr">
        <is>
          <t>0,000000000000</t>
        </is>
      </c>
    </row>
    <row outlineLevel="0" r="579">
      <c r="A579" s="3452" t="inlineStr">
        <is>
          <t>000224000202003145500</t>
        </is>
      </c>
      <c r="B579" s="3452" t="inlineStr">
        <is>
          <t>145500</t>
        </is>
      </c>
      <c r="C579" s="3452" t="inlineStr">
        <is>
          <t>000224000</t>
        </is>
      </c>
      <c r="D579" s="3452" t="inlineStr">
        <is>
          <t>202003</t>
        </is>
      </c>
      <c r="E579" s="3452" t="inlineStr">
        <is>
          <t>0,000000000000</t>
        </is>
      </c>
    </row>
    <row outlineLevel="0" r="580">
      <c r="A580" s="3452" t="inlineStr">
        <is>
          <t>000224000202003146000</t>
        </is>
      </c>
      <c r="B580" s="3452" t="inlineStr">
        <is>
          <t>146000</t>
        </is>
      </c>
      <c r="C580" s="3452" t="inlineStr">
        <is>
          <t>000224000</t>
        </is>
      </c>
      <c r="D580" s="3452" t="inlineStr">
        <is>
          <t>202003</t>
        </is>
      </c>
      <c r="E580" s="3452" t="inlineStr">
        <is>
          <t>0,000000000000</t>
        </is>
      </c>
    </row>
    <row outlineLevel="0" r="581">
      <c r="A581" s="3452" t="inlineStr">
        <is>
          <t>000224000202003142500</t>
        </is>
      </c>
      <c r="B581" s="3452" t="inlineStr">
        <is>
          <t>142500</t>
        </is>
      </c>
      <c r="C581" s="3452" t="inlineStr">
        <is>
          <t>000224000</t>
        </is>
      </c>
      <c r="D581" s="3452" t="inlineStr">
        <is>
          <t>202003</t>
        </is>
      </c>
      <c r="E581" s="3452" t="inlineStr">
        <is>
          <t>0,000000000000</t>
        </is>
      </c>
    </row>
    <row outlineLevel="0" r="582">
      <c r="A582" s="3452" t="inlineStr">
        <is>
          <t>000224000202003143500</t>
        </is>
      </c>
      <c r="B582" s="3452" t="inlineStr">
        <is>
          <t>143500</t>
        </is>
      </c>
      <c r="C582" s="3452" t="inlineStr">
        <is>
          <t>000224000</t>
        </is>
      </c>
      <c r="D582" s="3452" t="inlineStr">
        <is>
          <t>202003</t>
        </is>
      </c>
      <c r="E582" s="3452" t="inlineStr">
        <is>
          <t>0,000000000000</t>
        </is>
      </c>
    </row>
    <row outlineLevel="0" r="583">
      <c r="A583" s="3452" t="inlineStr">
        <is>
          <t>000224000202003140005</t>
        </is>
      </c>
      <c r="B583" s="3452" t="inlineStr">
        <is>
          <t>140005</t>
        </is>
      </c>
      <c r="C583" s="3452" t="inlineStr">
        <is>
          <t>000224000</t>
        </is>
      </c>
      <c r="D583" s="3452" t="inlineStr">
        <is>
          <t>202003</t>
        </is>
      </c>
      <c r="E583" s="3452" t="inlineStr">
        <is>
          <t>0,000000000000</t>
        </is>
      </c>
    </row>
    <row outlineLevel="0" r="584">
      <c r="A584" s="3452" t="inlineStr">
        <is>
          <t>000224000202003140010</t>
        </is>
      </c>
      <c r="B584" s="3452" t="inlineStr">
        <is>
          <t>140010</t>
        </is>
      </c>
      <c r="C584" s="3452" t="inlineStr">
        <is>
          <t>000224000</t>
        </is>
      </c>
      <c r="D584" s="3452" t="inlineStr">
        <is>
          <t>202003</t>
        </is>
      </c>
      <c r="E584" s="3452" t="inlineStr">
        <is>
          <t>0,000000000000</t>
        </is>
      </c>
    </row>
    <row outlineLevel="0" r="585">
      <c r="A585" s="3452" t="inlineStr">
        <is>
          <t>000224000202003139901</t>
        </is>
      </c>
      <c r="B585" s="3452" t="inlineStr">
        <is>
          <t>139901</t>
        </is>
      </c>
      <c r="C585" s="3452" t="inlineStr">
        <is>
          <t>000224000</t>
        </is>
      </c>
      <c r="D585" s="3452" t="inlineStr">
        <is>
          <t>202003</t>
        </is>
      </c>
      <c r="E585" s="3452" t="inlineStr">
        <is>
          <t>0,000000000000</t>
        </is>
      </c>
    </row>
    <row outlineLevel="0" r="586">
      <c r="A586" s="3452" t="inlineStr">
        <is>
          <t>000224000202003139905</t>
        </is>
      </c>
      <c r="B586" s="3452" t="inlineStr">
        <is>
          <t>139905</t>
        </is>
      </c>
      <c r="C586" s="3452" t="inlineStr">
        <is>
          <t>000224000</t>
        </is>
      </c>
      <c r="D586" s="3452" t="inlineStr">
        <is>
          <t>202003</t>
        </is>
      </c>
      <c r="E586" s="3452" t="inlineStr">
        <is>
          <t>0,000000000000</t>
        </is>
      </c>
    </row>
    <row outlineLevel="0" r="587">
      <c r="A587" s="3452" t="inlineStr">
        <is>
          <t>000224000202003139001</t>
        </is>
      </c>
      <c r="B587" s="3452" t="inlineStr">
        <is>
          <t>139001</t>
        </is>
      </c>
      <c r="C587" s="3452" t="inlineStr">
        <is>
          <t>000224000</t>
        </is>
      </c>
      <c r="D587" s="3452" t="inlineStr">
        <is>
          <t>202003</t>
        </is>
      </c>
      <c r="E587" s="3452" t="inlineStr">
        <is>
          <t>0,000000000000</t>
        </is>
      </c>
    </row>
    <row outlineLevel="0" r="588">
      <c r="A588" s="3452" t="inlineStr">
        <is>
          <t>000224000202003139500</t>
        </is>
      </c>
      <c r="B588" s="3452" t="inlineStr">
        <is>
          <t>139500</t>
        </is>
      </c>
      <c r="C588" s="3452" t="inlineStr">
        <is>
          <t>000224000</t>
        </is>
      </c>
      <c r="D588" s="3452" t="inlineStr">
        <is>
          <t>202003</t>
        </is>
      </c>
      <c r="E588" s="3452" t="inlineStr">
        <is>
          <t>51,000000000000</t>
        </is>
      </c>
    </row>
    <row outlineLevel="0" r="589">
      <c r="A589" s="3452" t="inlineStr">
        <is>
          <t>000224000202003138501</t>
        </is>
      </c>
      <c r="B589" s="3452" t="inlineStr">
        <is>
          <t>138501</t>
        </is>
      </c>
      <c r="C589" s="3452" t="inlineStr">
        <is>
          <t>000224000</t>
        </is>
      </c>
      <c r="D589" s="3452" t="inlineStr">
        <is>
          <t>202003</t>
        </is>
      </c>
      <c r="E589" s="3452" t="inlineStr">
        <is>
          <t>0,000000000000</t>
        </is>
      </c>
    </row>
    <row outlineLevel="0" r="590">
      <c r="A590" s="3452" t="inlineStr">
        <is>
          <t>000224000202003139000</t>
        </is>
      </c>
      <c r="B590" s="3452" t="inlineStr">
        <is>
          <t>139000</t>
        </is>
      </c>
      <c r="C590" s="3452" t="inlineStr">
        <is>
          <t>000224000</t>
        </is>
      </c>
      <c r="D590" s="3452" t="inlineStr">
        <is>
          <t>202003</t>
        </is>
      </c>
      <c r="E590" s="3452" t="inlineStr">
        <is>
          <t>0,000000000000</t>
        </is>
      </c>
    </row>
    <row outlineLevel="0" r="591">
      <c r="A591" s="3452" t="inlineStr">
        <is>
          <t>000224000202003137001</t>
        </is>
      </c>
      <c r="B591" s="3452" t="inlineStr">
        <is>
          <t>137001</t>
        </is>
      </c>
      <c r="C591" s="3452" t="inlineStr">
        <is>
          <t>000224000</t>
        </is>
      </c>
      <c r="D591" s="3452" t="inlineStr">
        <is>
          <t>202003</t>
        </is>
      </c>
      <c r="E591" s="3452" t="inlineStr">
        <is>
          <t>0,000000000000</t>
        </is>
      </c>
    </row>
    <row outlineLevel="0" r="592">
      <c r="A592" s="3452" t="inlineStr">
        <is>
          <t>000224000202003138001</t>
        </is>
      </c>
      <c r="B592" s="3452" t="inlineStr">
        <is>
          <t>138001</t>
        </is>
      </c>
      <c r="C592" s="3452" t="inlineStr">
        <is>
          <t>000224000</t>
        </is>
      </c>
      <c r="D592" s="3452" t="inlineStr">
        <is>
          <t>202003</t>
        </is>
      </c>
      <c r="E592" s="3452" t="inlineStr">
        <is>
          <t>0,000000000000</t>
        </is>
      </c>
    </row>
    <row outlineLevel="0" r="593">
      <c r="A593" s="3452" t="inlineStr">
        <is>
          <t>000224000202003136501</t>
        </is>
      </c>
      <c r="B593" s="3452" t="inlineStr">
        <is>
          <t>136501</t>
        </is>
      </c>
      <c r="C593" s="3452" t="inlineStr">
        <is>
          <t>000224000</t>
        </is>
      </c>
      <c r="D593" s="3452" t="inlineStr">
        <is>
          <t>202003</t>
        </is>
      </c>
      <c r="E593" s="3452" t="inlineStr">
        <is>
          <t>0,000000000000</t>
        </is>
      </c>
    </row>
    <row outlineLevel="0" r="594">
      <c r="A594" s="3452" t="inlineStr">
        <is>
          <t>000224000202003137000</t>
        </is>
      </c>
      <c r="B594" s="3452" t="inlineStr">
        <is>
          <t>137000</t>
        </is>
      </c>
      <c r="C594" s="3452" t="inlineStr">
        <is>
          <t>000224000</t>
        </is>
      </c>
      <c r="D594" s="3452" t="inlineStr">
        <is>
          <t>202003</t>
        </is>
      </c>
      <c r="E594" s="3452" t="inlineStr">
        <is>
          <t>0,000000000000</t>
        </is>
      </c>
    </row>
    <row outlineLevel="0" r="595">
      <c r="A595" s="3452" t="inlineStr">
        <is>
          <t>000224000202003136001</t>
        </is>
      </c>
      <c r="B595" s="3452" t="inlineStr">
        <is>
          <t>136001</t>
        </is>
      </c>
      <c r="C595" s="3452" t="inlineStr">
        <is>
          <t>000224000</t>
        </is>
      </c>
      <c r="D595" s="3452" t="inlineStr">
        <is>
          <t>202003</t>
        </is>
      </c>
      <c r="E595" s="3452" t="inlineStr">
        <is>
          <t>0,000000000000</t>
        </is>
      </c>
    </row>
    <row outlineLevel="0" r="596">
      <c r="A596" s="3452" t="inlineStr">
        <is>
          <t>000224000202003136500</t>
        </is>
      </c>
      <c r="B596" s="3452" t="inlineStr">
        <is>
          <t>136500</t>
        </is>
      </c>
      <c r="C596" s="3452" t="inlineStr">
        <is>
          <t>000224000</t>
        </is>
      </c>
      <c r="D596" s="3452" t="inlineStr">
        <is>
          <t>202003</t>
        </is>
      </c>
      <c r="E596" s="3452" t="inlineStr">
        <is>
          <t>0,000000000000</t>
        </is>
      </c>
    </row>
    <row outlineLevel="0" r="597">
      <c r="A597" s="3452" t="inlineStr">
        <is>
          <t>000224000202003135501</t>
        </is>
      </c>
      <c r="B597" s="3452" t="inlineStr">
        <is>
          <t>135501</t>
        </is>
      </c>
      <c r="C597" s="3452" t="inlineStr">
        <is>
          <t>000224000</t>
        </is>
      </c>
      <c r="D597" s="3452" t="inlineStr">
        <is>
          <t>202003</t>
        </is>
      </c>
      <c r="E597" s="3452" t="inlineStr">
        <is>
          <t>0,000000000000</t>
        </is>
      </c>
    </row>
    <row outlineLevel="0" r="598">
      <c r="A598" s="3452" t="inlineStr">
        <is>
          <t>000224000202003136000</t>
        </is>
      </c>
      <c r="B598" s="3452" t="inlineStr">
        <is>
          <t>136000</t>
        </is>
      </c>
      <c r="C598" s="3452" t="inlineStr">
        <is>
          <t>000224000</t>
        </is>
      </c>
      <c r="D598" s="3452" t="inlineStr">
        <is>
          <t>202003</t>
        </is>
      </c>
      <c r="E598" s="3452" t="inlineStr">
        <is>
          <t>179,000000000000</t>
        </is>
      </c>
    </row>
    <row outlineLevel="0" r="599">
      <c r="A599" s="3452" t="inlineStr">
        <is>
          <t>000224000202003135001</t>
        </is>
      </c>
      <c r="B599" s="3452" t="inlineStr">
        <is>
          <t>135001</t>
        </is>
      </c>
      <c r="C599" s="3452" t="inlineStr">
        <is>
          <t>000224000</t>
        </is>
      </c>
      <c r="D599" s="3452" t="inlineStr">
        <is>
          <t>202003</t>
        </is>
      </c>
      <c r="E599" s="3452" t="inlineStr">
        <is>
          <t>0,000000000000</t>
        </is>
      </c>
    </row>
    <row outlineLevel="0" r="600">
      <c r="A600" s="3452" t="inlineStr">
        <is>
          <t>000224000202003135500</t>
        </is>
      </c>
      <c r="B600" s="3452" t="inlineStr">
        <is>
          <t>135500</t>
        </is>
      </c>
      <c r="C600" s="3452" t="inlineStr">
        <is>
          <t>000224000</t>
        </is>
      </c>
      <c r="D600" s="3452" t="inlineStr">
        <is>
          <t>202003</t>
        </is>
      </c>
      <c r="E600" s="3452" t="inlineStr">
        <is>
          <t>0,000000000000</t>
        </is>
      </c>
    </row>
    <row outlineLevel="0" r="601">
      <c r="A601" s="3452" t="inlineStr">
        <is>
          <t>000224000202003134501</t>
        </is>
      </c>
      <c r="B601" s="3452" t="inlineStr">
        <is>
          <t>134501</t>
        </is>
      </c>
      <c r="C601" s="3452" t="inlineStr">
        <is>
          <t>000224000</t>
        </is>
      </c>
      <c r="D601" s="3452" t="inlineStr">
        <is>
          <t>202003</t>
        </is>
      </c>
      <c r="E601" s="3452" t="inlineStr">
        <is>
          <t>0,000000000000</t>
        </is>
      </c>
    </row>
    <row outlineLevel="0" r="602">
      <c r="A602" s="3452" t="inlineStr">
        <is>
          <t>000224000202003135000</t>
        </is>
      </c>
      <c r="B602" s="3452" t="inlineStr">
        <is>
          <t>135000</t>
        </is>
      </c>
      <c r="C602" s="3452" t="inlineStr">
        <is>
          <t>000224000</t>
        </is>
      </c>
      <c r="D602" s="3452" t="inlineStr">
        <is>
          <t>202003</t>
        </is>
      </c>
      <c r="E602" s="3452" t="inlineStr">
        <is>
          <t>0,000000000000</t>
        </is>
      </c>
    </row>
    <row outlineLevel="0" r="603">
      <c r="A603" s="3452" t="inlineStr">
        <is>
          <t>000224000202003134001</t>
        </is>
      </c>
      <c r="B603" s="3452" t="inlineStr">
        <is>
          <t>134001</t>
        </is>
      </c>
      <c r="C603" s="3452" t="inlineStr">
        <is>
          <t>000224000</t>
        </is>
      </c>
      <c r="D603" s="3452" t="inlineStr">
        <is>
          <t>202003</t>
        </is>
      </c>
      <c r="E603" s="3452" t="inlineStr">
        <is>
          <t>0,000000000000</t>
        </is>
      </c>
    </row>
    <row outlineLevel="0" r="604">
      <c r="A604" s="3452" t="inlineStr">
        <is>
          <t>000224000202003134500</t>
        </is>
      </c>
      <c r="B604" s="3452" t="inlineStr">
        <is>
          <t>134500</t>
        </is>
      </c>
      <c r="C604" s="3452" t="inlineStr">
        <is>
          <t>000224000</t>
        </is>
      </c>
      <c r="D604" s="3452" t="inlineStr">
        <is>
          <t>202003</t>
        </is>
      </c>
      <c r="E604" s="3452" t="inlineStr">
        <is>
          <t>0,000000000000</t>
        </is>
      </c>
    </row>
    <row outlineLevel="0" r="605">
      <c r="A605" s="3452" t="inlineStr">
        <is>
          <t>000224000202003133501</t>
        </is>
      </c>
      <c r="B605" s="3452" t="inlineStr">
        <is>
          <t>133501</t>
        </is>
      </c>
      <c r="C605" s="3452" t="inlineStr">
        <is>
          <t>000224000</t>
        </is>
      </c>
      <c r="D605" s="3452" t="inlineStr">
        <is>
          <t>202003</t>
        </is>
      </c>
      <c r="E605" s="3452" t="inlineStr">
        <is>
          <t>0,000000000000</t>
        </is>
      </c>
    </row>
    <row outlineLevel="0" r="606">
      <c r="A606" s="3452" t="inlineStr">
        <is>
          <t>000224000202003134000</t>
        </is>
      </c>
      <c r="B606" s="3452" t="inlineStr">
        <is>
          <t>134000</t>
        </is>
      </c>
      <c r="C606" s="3452" t="inlineStr">
        <is>
          <t>000224000</t>
        </is>
      </c>
      <c r="D606" s="3452" t="inlineStr">
        <is>
          <t>202003</t>
        </is>
      </c>
      <c r="E606" s="3452" t="inlineStr">
        <is>
          <t>0,000000000000</t>
        </is>
      </c>
    </row>
    <row outlineLevel="0" r="607">
      <c r="A607" s="3452" t="inlineStr">
        <is>
          <t>000224000202003133001</t>
        </is>
      </c>
      <c r="B607" s="3452" t="inlineStr">
        <is>
          <t>133001</t>
        </is>
      </c>
      <c r="C607" s="3452" t="inlineStr">
        <is>
          <t>000224000</t>
        </is>
      </c>
      <c r="D607" s="3452" t="inlineStr">
        <is>
          <t>202003</t>
        </is>
      </c>
      <c r="E607" s="3452" t="inlineStr">
        <is>
          <t>0,000000000000</t>
        </is>
      </c>
    </row>
    <row outlineLevel="0" r="608">
      <c r="A608" s="3452" t="inlineStr">
        <is>
          <t>000224000202003133500</t>
        </is>
      </c>
      <c r="B608" s="3452" t="inlineStr">
        <is>
          <t>133500</t>
        </is>
      </c>
      <c r="C608" s="3452" t="inlineStr">
        <is>
          <t>000224000</t>
        </is>
      </c>
      <c r="D608" s="3452" t="inlineStr">
        <is>
          <t>202003</t>
        </is>
      </c>
      <c r="E608" s="3452" t="inlineStr">
        <is>
          <t>0,000000000000</t>
        </is>
      </c>
    </row>
    <row outlineLevel="0" r="609">
      <c r="A609" s="3452" t="inlineStr">
        <is>
          <t>000224000202003132501</t>
        </is>
      </c>
      <c r="B609" s="3452" t="inlineStr">
        <is>
          <t>132501</t>
        </is>
      </c>
      <c r="C609" s="3452" t="inlineStr">
        <is>
          <t>000224000</t>
        </is>
      </c>
      <c r="D609" s="3452" t="inlineStr">
        <is>
          <t>202003</t>
        </is>
      </c>
      <c r="E609" s="3452" t="inlineStr">
        <is>
          <t>0,000000000000</t>
        </is>
      </c>
    </row>
    <row outlineLevel="0" r="610">
      <c r="A610" s="3452" t="inlineStr">
        <is>
          <t>000224000202003133000</t>
        </is>
      </c>
      <c r="B610" s="3452" t="inlineStr">
        <is>
          <t>133000</t>
        </is>
      </c>
      <c r="C610" s="3452" t="inlineStr">
        <is>
          <t>000224000</t>
        </is>
      </c>
      <c r="D610" s="3452" t="inlineStr">
        <is>
          <t>202003</t>
        </is>
      </c>
      <c r="E610" s="3452" t="inlineStr">
        <is>
          <t>0,000000000000</t>
        </is>
      </c>
    </row>
    <row outlineLevel="0" r="611">
      <c r="A611" s="3452" t="inlineStr">
        <is>
          <t>000224000202003132001</t>
        </is>
      </c>
      <c r="B611" s="3452" t="inlineStr">
        <is>
          <t>132001</t>
        </is>
      </c>
      <c r="C611" s="3452" t="inlineStr">
        <is>
          <t>000224000</t>
        </is>
      </c>
      <c r="D611" s="3452" t="inlineStr">
        <is>
          <t>202003</t>
        </is>
      </c>
      <c r="E611" s="3452" t="inlineStr">
        <is>
          <t>0,000000000000</t>
        </is>
      </c>
    </row>
    <row outlineLevel="0" r="612">
      <c r="A612" s="3452" t="inlineStr">
        <is>
          <t>000224000202003132500</t>
        </is>
      </c>
      <c r="B612" s="3452" t="inlineStr">
        <is>
          <t>132500</t>
        </is>
      </c>
      <c r="C612" s="3452" t="inlineStr">
        <is>
          <t>000224000</t>
        </is>
      </c>
      <c r="D612" s="3452" t="inlineStr">
        <is>
          <t>202003</t>
        </is>
      </c>
      <c r="E612" s="3452" t="inlineStr">
        <is>
          <t>0,000000000000</t>
        </is>
      </c>
    </row>
    <row outlineLevel="0" r="613">
      <c r="A613" s="3452" t="inlineStr">
        <is>
          <t>000224000202003131501</t>
        </is>
      </c>
      <c r="B613" s="3452" t="inlineStr">
        <is>
          <t>131501</t>
        </is>
      </c>
      <c r="C613" s="3452" t="inlineStr">
        <is>
          <t>000224000</t>
        </is>
      </c>
      <c r="D613" s="3452" t="inlineStr">
        <is>
          <t>202003</t>
        </is>
      </c>
      <c r="E613" s="3452" t="inlineStr">
        <is>
          <t>0,000000000000</t>
        </is>
      </c>
    </row>
    <row outlineLevel="0" r="614">
      <c r="A614" s="3452" t="inlineStr">
        <is>
          <t>000224000202003132000</t>
        </is>
      </c>
      <c r="B614" s="3452" t="inlineStr">
        <is>
          <t>132000</t>
        </is>
      </c>
      <c r="C614" s="3452" t="inlineStr">
        <is>
          <t>000224000</t>
        </is>
      </c>
      <c r="D614" s="3452" t="inlineStr">
        <is>
          <t>202003</t>
        </is>
      </c>
      <c r="E614" s="3452" t="inlineStr">
        <is>
          <t>0,000000000000</t>
        </is>
      </c>
    </row>
    <row outlineLevel="0" r="615">
      <c r="A615" s="3452" t="inlineStr">
        <is>
          <t>000224000202003131000</t>
        </is>
      </c>
      <c r="B615" s="3452" t="inlineStr">
        <is>
          <t>131000</t>
        </is>
      </c>
      <c r="C615" s="3452" t="inlineStr">
        <is>
          <t>000224000</t>
        </is>
      </c>
      <c r="D615" s="3452" t="inlineStr">
        <is>
          <t>202003</t>
        </is>
      </c>
      <c r="E615" s="3452" t="inlineStr">
        <is>
          <t>0,000000000000</t>
        </is>
      </c>
    </row>
    <row outlineLevel="0" r="616">
      <c r="A616" s="3452" t="inlineStr">
        <is>
          <t>000224000202003131001</t>
        </is>
      </c>
      <c r="B616" s="3452" t="inlineStr">
        <is>
          <t>131001</t>
        </is>
      </c>
      <c r="C616" s="3452" t="inlineStr">
        <is>
          <t>000224000</t>
        </is>
      </c>
      <c r="D616" s="3452" t="inlineStr">
        <is>
          <t>202003</t>
        </is>
      </c>
      <c r="E616" s="3452" t="inlineStr">
        <is>
          <t>0,000000000000</t>
        </is>
      </c>
    </row>
    <row outlineLevel="0" r="617">
      <c r="A617" s="3452" t="inlineStr">
        <is>
          <t>000224000202003130510</t>
        </is>
      </c>
      <c r="B617" s="3452" t="inlineStr">
        <is>
          <t>130510</t>
        </is>
      </c>
      <c r="C617" s="3452" t="inlineStr">
        <is>
          <t>000224000</t>
        </is>
      </c>
      <c r="D617" s="3452" t="inlineStr">
        <is>
          <t>202003</t>
        </is>
      </c>
      <c r="E617" s="3452" t="inlineStr">
        <is>
          <t>0,000000000000</t>
        </is>
      </c>
    </row>
    <row outlineLevel="0" r="618">
      <c r="A618" s="3452" t="inlineStr">
        <is>
          <t>000224000202003130511</t>
        </is>
      </c>
      <c r="B618" s="3452" t="inlineStr">
        <is>
          <t>130511</t>
        </is>
      </c>
      <c r="C618" s="3452" t="inlineStr">
        <is>
          <t>000224000</t>
        </is>
      </c>
      <c r="D618" s="3452" t="inlineStr">
        <is>
          <t>202003</t>
        </is>
      </c>
      <c r="E618" s="3452" t="inlineStr">
        <is>
          <t>0,000000000000</t>
        </is>
      </c>
    </row>
    <row outlineLevel="0" r="619">
      <c r="A619" s="3452" t="inlineStr">
        <is>
          <t>000224000202003129901</t>
        </is>
      </c>
      <c r="B619" s="3452" t="inlineStr">
        <is>
          <t>129901</t>
        </is>
      </c>
      <c r="C619" s="3452" t="inlineStr">
        <is>
          <t>000224000</t>
        </is>
      </c>
      <c r="D619" s="3452" t="inlineStr">
        <is>
          <t>202003</t>
        </is>
      </c>
      <c r="E619" s="3452" t="inlineStr">
        <is>
          <t>0,000000000000</t>
        </is>
      </c>
    </row>
    <row outlineLevel="0" r="620">
      <c r="A620" s="3452" t="inlineStr">
        <is>
          <t>000224000202003130506</t>
        </is>
      </c>
      <c r="B620" s="3452" t="inlineStr">
        <is>
          <t>130506</t>
        </is>
      </c>
      <c r="C620" s="3452" t="inlineStr">
        <is>
          <t>000224000</t>
        </is>
      </c>
      <c r="D620" s="3452" t="inlineStr">
        <is>
          <t>202003</t>
        </is>
      </c>
      <c r="E620" s="3452" t="inlineStr">
        <is>
          <t>0,000000000000</t>
        </is>
      </c>
    </row>
    <row outlineLevel="0" r="621">
      <c r="A621" s="3452" t="inlineStr">
        <is>
          <t>000224000202003129700</t>
        </is>
      </c>
      <c r="B621" s="3452" t="inlineStr">
        <is>
          <t>129700</t>
        </is>
      </c>
      <c r="C621" s="3452" t="inlineStr">
        <is>
          <t>000224000</t>
        </is>
      </c>
      <c r="D621" s="3452" t="inlineStr">
        <is>
          <t>202003</t>
        </is>
      </c>
      <c r="E621" s="3452" t="inlineStr">
        <is>
          <t>0,000000000000</t>
        </is>
      </c>
    </row>
    <row outlineLevel="0" r="622">
      <c r="A622" s="3452" t="inlineStr">
        <is>
          <t>000224000202003129701</t>
        </is>
      </c>
      <c r="B622" s="3452" t="inlineStr">
        <is>
          <t>129701</t>
        </is>
      </c>
      <c r="C622" s="3452" t="inlineStr">
        <is>
          <t>000224000</t>
        </is>
      </c>
      <c r="D622" s="3452" t="inlineStr">
        <is>
          <t>202003</t>
        </is>
      </c>
      <c r="E622" s="3452" t="inlineStr">
        <is>
          <t>3750,000000000000</t>
        </is>
      </c>
    </row>
    <row outlineLevel="0" r="623">
      <c r="A623" s="3452" t="inlineStr">
        <is>
          <t>000224000202003126001</t>
        </is>
      </c>
      <c r="B623" s="3452" t="inlineStr">
        <is>
          <t>126001</t>
        </is>
      </c>
      <c r="C623" s="3452" t="inlineStr">
        <is>
          <t>000224000</t>
        </is>
      </c>
      <c r="D623" s="3452" t="inlineStr">
        <is>
          <t>202003</t>
        </is>
      </c>
      <c r="E623" s="3452" t="inlineStr">
        <is>
          <t>0,000000000000</t>
        </is>
      </c>
    </row>
    <row outlineLevel="0" r="624">
      <c r="A624" s="3452" t="inlineStr">
        <is>
          <t>000224000202003129501</t>
        </is>
      </c>
      <c r="B624" s="3452" t="inlineStr">
        <is>
          <t>129501</t>
        </is>
      </c>
      <c r="C624" s="3452" t="inlineStr">
        <is>
          <t>000224000</t>
        </is>
      </c>
      <c r="D624" s="3452" t="inlineStr">
        <is>
          <t>202003</t>
        </is>
      </c>
      <c r="E624" s="3452" t="inlineStr">
        <is>
          <t>0,000000000000</t>
        </is>
      </c>
    </row>
    <row outlineLevel="0" r="625">
      <c r="A625" s="3452" t="inlineStr">
        <is>
          <t>000224000202003123501</t>
        </is>
      </c>
      <c r="B625" s="3452" t="inlineStr">
        <is>
          <t>123501</t>
        </is>
      </c>
      <c r="C625" s="3452" t="inlineStr">
        <is>
          <t>000224000</t>
        </is>
      </c>
      <c r="D625" s="3452" t="inlineStr">
        <is>
          <t>202003</t>
        </is>
      </c>
      <c r="E625" s="3452" t="inlineStr">
        <is>
          <t>0,000000000000</t>
        </is>
      </c>
    </row>
    <row outlineLevel="0" r="626">
      <c r="A626" s="3452" t="inlineStr">
        <is>
          <t>000224000202003125501</t>
        </is>
      </c>
      <c r="B626" s="3452" t="inlineStr">
        <is>
          <t>125501</t>
        </is>
      </c>
      <c r="C626" s="3452" t="inlineStr">
        <is>
          <t>000224000</t>
        </is>
      </c>
      <c r="D626" s="3452" t="inlineStr">
        <is>
          <t>202003</t>
        </is>
      </c>
      <c r="E626" s="3452" t="inlineStr">
        <is>
          <t>0,000000000000</t>
        </is>
      </c>
    </row>
    <row outlineLevel="0" r="627">
      <c r="A627" s="3452" t="inlineStr">
        <is>
          <t>000224000202003121001</t>
        </is>
      </c>
      <c r="B627" s="3452" t="inlineStr">
        <is>
          <t>121001</t>
        </is>
      </c>
      <c r="C627" s="3452" t="inlineStr">
        <is>
          <t>000224000</t>
        </is>
      </c>
      <c r="D627" s="3452" t="inlineStr">
        <is>
          <t>202003</t>
        </is>
      </c>
      <c r="E627" s="3452" t="inlineStr">
        <is>
          <t>0,000000000000</t>
        </is>
      </c>
    </row>
    <row outlineLevel="0" r="628">
      <c r="A628" s="3452" t="inlineStr">
        <is>
          <t>000224000202003121501</t>
        </is>
      </c>
      <c r="B628" s="3452" t="inlineStr">
        <is>
          <t>121501</t>
        </is>
      </c>
      <c r="C628" s="3452" t="inlineStr">
        <is>
          <t>000224000</t>
        </is>
      </c>
      <c r="D628" s="3452" t="inlineStr">
        <is>
          <t>202003</t>
        </is>
      </c>
      <c r="E628" s="3452" t="inlineStr">
        <is>
          <t>0,000000000000</t>
        </is>
      </c>
    </row>
    <row outlineLevel="0" r="629">
      <c r="A629" s="3452" t="inlineStr">
        <is>
          <t>000224000202003120615</t>
        </is>
      </c>
      <c r="B629" s="3452" t="inlineStr">
        <is>
          <t>120615</t>
        </is>
      </c>
      <c r="C629" s="3452" t="inlineStr">
        <is>
          <t>000224000</t>
        </is>
      </c>
      <c r="D629" s="3452" t="inlineStr">
        <is>
          <t>202003</t>
        </is>
      </c>
      <c r="E629" s="3452" t="inlineStr">
        <is>
          <t>0,000000000000</t>
        </is>
      </c>
    </row>
    <row outlineLevel="0" r="630">
      <c r="A630" s="3452" t="inlineStr">
        <is>
          <t>000224000202003120620</t>
        </is>
      </c>
      <c r="B630" s="3452" t="inlineStr">
        <is>
          <t>120620</t>
        </is>
      </c>
      <c r="C630" s="3452" t="inlineStr">
        <is>
          <t>000224000</t>
        </is>
      </c>
      <c r="D630" s="3452" t="inlineStr">
        <is>
          <t>202003</t>
        </is>
      </c>
      <c r="E630" s="3452" t="inlineStr">
        <is>
          <t>0,000000000000</t>
        </is>
      </c>
    </row>
    <row outlineLevel="0" r="631">
      <c r="A631" s="3452" t="inlineStr">
        <is>
          <t>000224000202003120501</t>
        </is>
      </c>
      <c r="B631" s="3452" t="inlineStr">
        <is>
          <t>120501</t>
        </is>
      </c>
      <c r="C631" s="3452" t="inlineStr">
        <is>
          <t>000224000</t>
        </is>
      </c>
      <c r="D631" s="3452" t="inlineStr">
        <is>
          <t>202003</t>
        </is>
      </c>
      <c r="E631" s="3452" t="inlineStr">
        <is>
          <t>0,000000000000</t>
        </is>
      </c>
    </row>
    <row outlineLevel="0" r="632">
      <c r="A632" s="3452" t="inlineStr">
        <is>
          <t>000224000202003120610</t>
        </is>
      </c>
      <c r="B632" s="3452" t="inlineStr">
        <is>
          <t>120610</t>
        </is>
      </c>
      <c r="C632" s="3452" t="inlineStr">
        <is>
          <t>000224000</t>
        </is>
      </c>
      <c r="D632" s="3452" t="inlineStr">
        <is>
          <t>202003</t>
        </is>
      </c>
      <c r="E632" s="3452" t="inlineStr">
        <is>
          <t>0,000000000000</t>
        </is>
      </c>
    </row>
    <row outlineLevel="0" r="633">
      <c r="A633" s="3452" t="inlineStr">
        <is>
          <t>000224000202003120145</t>
        </is>
      </c>
      <c r="B633" s="3452" t="inlineStr">
        <is>
          <t>120145</t>
        </is>
      </c>
      <c r="C633" s="3452" t="inlineStr">
        <is>
          <t>000224000</t>
        </is>
      </c>
      <c r="D633" s="3452" t="inlineStr">
        <is>
          <t>202003</t>
        </is>
      </c>
      <c r="E633" s="3452" t="inlineStr">
        <is>
          <t>0,000000000000</t>
        </is>
      </c>
    </row>
    <row outlineLevel="0" r="634">
      <c r="A634" s="3452" t="inlineStr">
        <is>
          <t>000224000202003120195</t>
        </is>
      </c>
      <c r="B634" s="3452" t="inlineStr">
        <is>
          <t>120195</t>
        </is>
      </c>
      <c r="C634" s="3452" t="inlineStr">
        <is>
          <t>000224000</t>
        </is>
      </c>
      <c r="D634" s="3452" t="inlineStr">
        <is>
          <t>202003</t>
        </is>
      </c>
      <c r="E634" s="3452" t="inlineStr">
        <is>
          <t>-5577,000000000000</t>
        </is>
      </c>
    </row>
    <row outlineLevel="0" r="635">
      <c r="A635" s="3452" t="inlineStr">
        <is>
          <t>000224000202003120128</t>
        </is>
      </c>
      <c r="B635" s="3452" t="inlineStr">
        <is>
          <t>120128</t>
        </is>
      </c>
      <c r="C635" s="3452" t="inlineStr">
        <is>
          <t>000224000</t>
        </is>
      </c>
      <c r="D635" s="3452" t="inlineStr">
        <is>
          <t>202003</t>
        </is>
      </c>
      <c r="E635" s="3452" t="inlineStr">
        <is>
          <t>0,000000000000</t>
        </is>
      </c>
    </row>
    <row outlineLevel="0" r="636">
      <c r="A636" s="3452" t="inlineStr">
        <is>
          <t>000224000202003120140</t>
        </is>
      </c>
      <c r="B636" s="3452" t="inlineStr">
        <is>
          <t>120140</t>
        </is>
      </c>
      <c r="C636" s="3452" t="inlineStr">
        <is>
          <t>000224000</t>
        </is>
      </c>
      <c r="D636" s="3452" t="inlineStr">
        <is>
          <t>202003</t>
        </is>
      </c>
      <c r="E636" s="3452" t="inlineStr">
        <is>
          <t>362,000000000000</t>
        </is>
      </c>
    </row>
    <row outlineLevel="0" r="637">
      <c r="A637" s="3452" t="inlineStr">
        <is>
          <t>000224000202003120120</t>
        </is>
      </c>
      <c r="B637" s="3452" t="inlineStr">
        <is>
          <t>120120</t>
        </is>
      </c>
      <c r="C637" s="3452" t="inlineStr">
        <is>
          <t>000224000</t>
        </is>
      </c>
      <c r="D637" s="3452" t="inlineStr">
        <is>
          <t>202003</t>
        </is>
      </c>
      <c r="E637" s="3452" t="inlineStr">
        <is>
          <t>0,000000000000</t>
        </is>
      </c>
    </row>
    <row outlineLevel="0" r="638">
      <c r="A638" s="3452" t="inlineStr">
        <is>
          <t>000224000202003120124</t>
        </is>
      </c>
      <c r="B638" s="3452" t="inlineStr">
        <is>
          <t>120124</t>
        </is>
      </c>
      <c r="C638" s="3452" t="inlineStr">
        <is>
          <t>000224000</t>
        </is>
      </c>
      <c r="D638" s="3452" t="inlineStr">
        <is>
          <t>202003</t>
        </is>
      </c>
      <c r="E638" s="3452" t="inlineStr">
        <is>
          <t>438,000000000000</t>
        </is>
      </c>
    </row>
    <row outlineLevel="0" r="639">
      <c r="A639" s="3452" t="inlineStr">
        <is>
          <t>000224000202003120108</t>
        </is>
      </c>
      <c r="B639" s="3452" t="inlineStr">
        <is>
          <t>120108</t>
        </is>
      </c>
      <c r="C639" s="3452" t="inlineStr">
        <is>
          <t>000224000</t>
        </is>
      </c>
      <c r="D639" s="3452" t="inlineStr">
        <is>
          <t>202003</t>
        </is>
      </c>
      <c r="E639" s="3452" t="inlineStr">
        <is>
          <t>0,000000000000</t>
        </is>
      </c>
    </row>
    <row outlineLevel="0" r="640">
      <c r="A640" s="3452" t="inlineStr">
        <is>
          <t>000224000202003120116</t>
        </is>
      </c>
      <c r="B640" s="3452" t="inlineStr">
        <is>
          <t>120116</t>
        </is>
      </c>
      <c r="C640" s="3452" t="inlineStr">
        <is>
          <t>000224000</t>
        </is>
      </c>
      <c r="D640" s="3452" t="inlineStr">
        <is>
          <t>202003</t>
        </is>
      </c>
      <c r="E640" s="3452" t="inlineStr">
        <is>
          <t>9086,000000000000</t>
        </is>
      </c>
    </row>
    <row outlineLevel="0" r="641">
      <c r="A641" s="3452" t="inlineStr">
        <is>
          <t>000224000202003111010</t>
        </is>
      </c>
      <c r="B641" s="3452" t="inlineStr">
        <is>
          <t>111010</t>
        </is>
      </c>
      <c r="C641" s="3452" t="inlineStr">
        <is>
          <t>000224000</t>
        </is>
      </c>
      <c r="D641" s="3452" t="inlineStr">
        <is>
          <t>202003</t>
        </is>
      </c>
      <c r="E641" s="3452" t="inlineStr">
        <is>
          <t>0,000000000000</t>
        </is>
      </c>
    </row>
    <row outlineLevel="0" r="642">
      <c r="A642" s="3452" t="inlineStr">
        <is>
          <t>000224000202003120104</t>
        </is>
      </c>
      <c r="B642" s="3452" t="inlineStr">
        <is>
          <t>120104</t>
        </is>
      </c>
      <c r="C642" s="3452" t="inlineStr">
        <is>
          <t>000224000</t>
        </is>
      </c>
      <c r="D642" s="3452" t="inlineStr">
        <is>
          <t>202003</t>
        </is>
      </c>
      <c r="E642" s="3452" t="inlineStr">
        <is>
          <t>9978,000000000000</t>
        </is>
      </c>
    </row>
    <row outlineLevel="0" r="643">
      <c r="A643" s="3452" t="inlineStr">
        <is>
          <t>000224000202003110491</t>
        </is>
      </c>
      <c r="B643" s="3452" t="inlineStr">
        <is>
          <t>110491</t>
        </is>
      </c>
      <c r="C643" s="3452" t="inlineStr">
        <is>
          <t>000224000</t>
        </is>
      </c>
      <c r="D643" s="3452" t="inlineStr">
        <is>
          <t>202003</t>
        </is>
      </c>
      <c r="E643" s="3452" t="inlineStr">
        <is>
          <t>0,000000000000</t>
        </is>
      </c>
    </row>
    <row outlineLevel="0" r="644">
      <c r="A644" s="3452" t="inlineStr">
        <is>
          <t>000224000202003110495</t>
        </is>
      </c>
      <c r="B644" s="3452" t="inlineStr">
        <is>
          <t>110495</t>
        </is>
      </c>
      <c r="C644" s="3452" t="inlineStr">
        <is>
          <t>000224000</t>
        </is>
      </c>
      <c r="D644" s="3452" t="inlineStr">
        <is>
          <t>202003</t>
        </is>
      </c>
      <c r="E644" s="3452" t="inlineStr">
        <is>
          <t>0,000000000000</t>
        </is>
      </c>
    </row>
    <row outlineLevel="0" r="645">
      <c r="A645" s="3452" t="inlineStr">
        <is>
          <t>000224000202003110420</t>
        </is>
      </c>
      <c r="B645" s="3452" t="inlineStr">
        <is>
          <t>110420</t>
        </is>
      </c>
      <c r="C645" s="3452" t="inlineStr">
        <is>
          <t>000224000</t>
        </is>
      </c>
      <c r="D645" s="3452" t="inlineStr">
        <is>
          <t>202003</t>
        </is>
      </c>
      <c r="E645" s="3452" t="inlineStr">
        <is>
          <t>0,000000000000</t>
        </is>
      </c>
    </row>
    <row outlineLevel="0" r="646">
      <c r="A646" s="3452" t="inlineStr">
        <is>
          <t>000224000202003110490</t>
        </is>
      </c>
      <c r="B646" s="3452" t="inlineStr">
        <is>
          <t>110490</t>
        </is>
      </c>
      <c r="C646" s="3452" t="inlineStr">
        <is>
          <t>000224000</t>
        </is>
      </c>
      <c r="D646" s="3452" t="inlineStr">
        <is>
          <t>202003</t>
        </is>
      </c>
      <c r="E646" s="3452" t="inlineStr">
        <is>
          <t>0,000000000000</t>
        </is>
      </c>
    </row>
    <row outlineLevel="0" r="647">
      <c r="A647" s="3452" t="inlineStr">
        <is>
          <t>000224000202003110410</t>
        </is>
      </c>
      <c r="B647" s="3452" t="inlineStr">
        <is>
          <t>110410</t>
        </is>
      </c>
      <c r="C647" s="3452" t="inlineStr">
        <is>
          <t>000224000</t>
        </is>
      </c>
      <c r="D647" s="3452" t="inlineStr">
        <is>
          <t>202003</t>
        </is>
      </c>
      <c r="E647" s="3452" t="inlineStr">
        <is>
          <t>0,000000000000</t>
        </is>
      </c>
    </row>
    <row outlineLevel="0" r="648">
      <c r="A648" s="3452" t="inlineStr">
        <is>
          <t>000224000202003110415</t>
        </is>
      </c>
      <c r="B648" s="3452" t="inlineStr">
        <is>
          <t>110415</t>
        </is>
      </c>
      <c r="C648" s="3452" t="inlineStr">
        <is>
          <t>000224000</t>
        </is>
      </c>
      <c r="D648" s="3452" t="inlineStr">
        <is>
          <t>202003</t>
        </is>
      </c>
      <c r="E648" s="3452" t="inlineStr">
        <is>
          <t>0,000000000000</t>
        </is>
      </c>
    </row>
    <row outlineLevel="0" r="649">
      <c r="A649" s="3452" t="inlineStr">
        <is>
          <t>000224000202003110395</t>
        </is>
      </c>
      <c r="B649" s="3452" t="inlineStr">
        <is>
          <t>110395</t>
        </is>
      </c>
      <c r="C649" s="3452" t="inlineStr">
        <is>
          <t>000224000</t>
        </is>
      </c>
      <c r="D649" s="3452" t="inlineStr">
        <is>
          <t>202003</t>
        </is>
      </c>
      <c r="E649" s="3452" t="inlineStr">
        <is>
          <t>0,000000000000</t>
        </is>
      </c>
    </row>
    <row outlineLevel="0" r="650">
      <c r="A650" s="3452" t="inlineStr">
        <is>
          <t>000224000202003110405</t>
        </is>
      </c>
      <c r="B650" s="3452" t="inlineStr">
        <is>
          <t>110405</t>
        </is>
      </c>
      <c r="C650" s="3452" t="inlineStr">
        <is>
          <t>000224000</t>
        </is>
      </c>
      <c r="D650" s="3452" t="inlineStr">
        <is>
          <t>202003</t>
        </is>
      </c>
      <c r="E650" s="3452" t="inlineStr">
        <is>
          <t>0,000000000000</t>
        </is>
      </c>
    </row>
    <row outlineLevel="0" r="651">
      <c r="A651" s="3452" t="inlineStr">
        <is>
          <t>000224000202003110305</t>
        </is>
      </c>
      <c r="B651" s="3452" t="inlineStr">
        <is>
          <t>110305</t>
        </is>
      </c>
      <c r="C651" s="3452" t="inlineStr">
        <is>
          <t>000224000</t>
        </is>
      </c>
      <c r="D651" s="3452" t="inlineStr">
        <is>
          <t>202003</t>
        </is>
      </c>
      <c r="E651" s="3452" t="inlineStr">
        <is>
          <t>287,000000000000</t>
        </is>
      </c>
    </row>
    <row outlineLevel="0" r="652">
      <c r="A652" s="3452" t="inlineStr">
        <is>
          <t>000224000202003110390</t>
        </is>
      </c>
      <c r="B652" s="3452" t="inlineStr">
        <is>
          <t>110390</t>
        </is>
      </c>
      <c r="C652" s="3452" t="inlineStr">
        <is>
          <t>000224000</t>
        </is>
      </c>
      <c r="D652" s="3452" t="inlineStr">
        <is>
          <t>202003</t>
        </is>
      </c>
      <c r="E652" s="3452" t="inlineStr">
        <is>
          <t>0,000000000000</t>
        </is>
      </c>
    </row>
    <row outlineLevel="0" r="653">
      <c r="A653" s="3452" t="inlineStr">
        <is>
          <t>000224000202003110255</t>
        </is>
      </c>
      <c r="B653" s="3452" t="inlineStr">
        <is>
          <t>110255</t>
        </is>
      </c>
      <c r="C653" s="3452" t="inlineStr">
        <is>
          <t>000224000</t>
        </is>
      </c>
      <c r="D653" s="3452" t="inlineStr">
        <is>
          <t>202003</t>
        </is>
      </c>
      <c r="E653" s="3452" t="inlineStr">
        <is>
          <t>0,000000000000</t>
        </is>
      </c>
    </row>
    <row outlineLevel="0" r="654">
      <c r="A654" s="3452" t="inlineStr">
        <is>
          <t>000224000202003110260</t>
        </is>
      </c>
      <c r="B654" s="3452" t="inlineStr">
        <is>
          <t>110260</t>
        </is>
      </c>
      <c r="C654" s="3452" t="inlineStr">
        <is>
          <t>000224000</t>
        </is>
      </c>
      <c r="D654" s="3452" t="inlineStr">
        <is>
          <t>202003</t>
        </is>
      </c>
      <c r="E654" s="3452" t="inlineStr">
        <is>
          <t>0,000000000000</t>
        </is>
      </c>
    </row>
    <row outlineLevel="0" r="655">
      <c r="A655" s="3452" t="inlineStr">
        <is>
          <t>000224000202003110225</t>
        </is>
      </c>
      <c r="B655" s="3452" t="inlineStr">
        <is>
          <t>110225</t>
        </is>
      </c>
      <c r="C655" s="3452" t="inlineStr">
        <is>
          <t>000224000</t>
        </is>
      </c>
      <c r="D655" s="3452" t="inlineStr">
        <is>
          <t>202003</t>
        </is>
      </c>
      <c r="E655" s="3452" t="inlineStr">
        <is>
          <t>0,000000000000</t>
        </is>
      </c>
    </row>
    <row outlineLevel="0" r="656">
      <c r="A656" s="3452" t="inlineStr">
        <is>
          <t>000224000202003110235</t>
        </is>
      </c>
      <c r="B656" s="3452" t="inlineStr">
        <is>
          <t>110235</t>
        </is>
      </c>
      <c r="C656" s="3452" t="inlineStr">
        <is>
          <t>000224000</t>
        </is>
      </c>
      <c r="D656" s="3452" t="inlineStr">
        <is>
          <t>202003</t>
        </is>
      </c>
      <c r="E656" s="3452" t="inlineStr">
        <is>
          <t>0,000000000000</t>
        </is>
      </c>
    </row>
    <row outlineLevel="0" r="657">
      <c r="A657" s="3452" t="inlineStr">
        <is>
          <t>000224000202003110210</t>
        </is>
      </c>
      <c r="B657" s="3452" t="inlineStr">
        <is>
          <t>110210</t>
        </is>
      </c>
      <c r="C657" s="3452" t="inlineStr">
        <is>
          <t>000224000</t>
        </is>
      </c>
      <c r="D657" s="3452" t="inlineStr">
        <is>
          <t>202003</t>
        </is>
      </c>
      <c r="E657" s="3452" t="inlineStr">
        <is>
          <t>0,000000000000</t>
        </is>
      </c>
    </row>
    <row outlineLevel="0" r="658">
      <c r="A658" s="3452" t="inlineStr">
        <is>
          <t>000224000202003110215</t>
        </is>
      </c>
      <c r="B658" s="3452" t="inlineStr">
        <is>
          <t>110215</t>
        </is>
      </c>
      <c r="C658" s="3452" t="inlineStr">
        <is>
          <t>000224000</t>
        </is>
      </c>
      <c r="D658" s="3452" t="inlineStr">
        <is>
          <t>202003</t>
        </is>
      </c>
      <c r="E658" s="3452" t="inlineStr">
        <is>
          <t>0,000000000000</t>
        </is>
      </c>
    </row>
    <row outlineLevel="0" r="659">
      <c r="A659" s="3452" t="inlineStr">
        <is>
          <t>000224000202003110130</t>
        </is>
      </c>
      <c r="B659" s="3452" t="inlineStr">
        <is>
          <t>110130</t>
        </is>
      </c>
      <c r="C659" s="3452" t="inlineStr">
        <is>
          <t>000224000</t>
        </is>
      </c>
      <c r="D659" s="3452" t="inlineStr">
        <is>
          <t>202003</t>
        </is>
      </c>
      <c r="E659" s="3452" t="inlineStr">
        <is>
          <t>0,000000000000</t>
        </is>
      </c>
    </row>
    <row outlineLevel="0" r="660">
      <c r="A660" s="3452" t="inlineStr">
        <is>
          <t>000224000202003110205</t>
        </is>
      </c>
      <c r="B660" s="3452" t="inlineStr">
        <is>
          <t>110205</t>
        </is>
      </c>
      <c r="C660" s="3452" t="inlineStr">
        <is>
          <t>000224000</t>
        </is>
      </c>
      <c r="D660" s="3452" t="inlineStr">
        <is>
          <t>202003</t>
        </is>
      </c>
      <c r="E660" s="3452" t="inlineStr">
        <is>
          <t>0,000000000000</t>
        </is>
      </c>
    </row>
    <row outlineLevel="0" r="661">
      <c r="A661" s="3452" t="inlineStr">
        <is>
          <t>000224000202003110110</t>
        </is>
      </c>
      <c r="B661" s="3452" t="inlineStr">
        <is>
          <t>110110</t>
        </is>
      </c>
      <c r="C661" s="3452" t="inlineStr">
        <is>
          <t>000224000</t>
        </is>
      </c>
      <c r="D661" s="3452" t="inlineStr">
        <is>
          <t>202003</t>
        </is>
      </c>
      <c r="E661" s="3452" t="inlineStr">
        <is>
          <t>0,000000000000</t>
        </is>
      </c>
    </row>
    <row outlineLevel="0" r="662">
      <c r="A662" s="3452" t="inlineStr">
        <is>
          <t>000224000202003110125</t>
        </is>
      </c>
      <c r="B662" s="3452" t="inlineStr">
        <is>
          <t>110125</t>
        </is>
      </c>
      <c r="C662" s="3452" t="inlineStr">
        <is>
          <t>000224000</t>
        </is>
      </c>
      <c r="D662" s="3452" t="inlineStr">
        <is>
          <t>202003</t>
        </is>
      </c>
      <c r="E662" s="3452" t="inlineStr">
        <is>
          <t>0,000000000000</t>
        </is>
      </c>
    </row>
    <row outlineLevel="0" r="663">
      <c r="A663" s="3452" t="inlineStr">
        <is>
          <t>000224000202003109801</t>
        </is>
      </c>
      <c r="B663" s="3452" t="inlineStr">
        <is>
          <t>109801</t>
        </is>
      </c>
      <c r="C663" s="3452" t="inlineStr">
        <is>
          <t>000224000</t>
        </is>
      </c>
      <c r="D663" s="3452" t="inlineStr">
        <is>
          <t>202003</t>
        </is>
      </c>
      <c r="E663" s="3452" t="inlineStr">
        <is>
          <t>0,000000000000</t>
        </is>
      </c>
    </row>
    <row outlineLevel="0" r="664">
      <c r="A664" s="3452" t="inlineStr">
        <is>
          <t>000224000202003110105</t>
        </is>
      </c>
      <c r="B664" s="3452" t="inlineStr">
        <is>
          <t>110105</t>
        </is>
      </c>
      <c r="C664" s="3452" t="inlineStr">
        <is>
          <t>000224000</t>
        </is>
      </c>
      <c r="D664" s="3452" t="inlineStr">
        <is>
          <t>202003</t>
        </is>
      </c>
      <c r="E664" s="3452" t="inlineStr">
        <is>
          <t>328,000000000000</t>
        </is>
      </c>
    </row>
    <row outlineLevel="0" r="665">
      <c r="A665" s="3452" t="inlineStr">
        <is>
          <t>000224000202003108300</t>
        </is>
      </c>
      <c r="B665" s="3452" t="inlineStr">
        <is>
          <t>108300</t>
        </is>
      </c>
      <c r="C665" s="3452" t="inlineStr">
        <is>
          <t>000224000</t>
        </is>
      </c>
      <c r="D665" s="3452" t="inlineStr">
        <is>
          <t>202003</t>
        </is>
      </c>
      <c r="E665" s="3452" t="inlineStr">
        <is>
          <t>0,000000000000</t>
        </is>
      </c>
    </row>
    <row outlineLevel="0" r="666">
      <c r="A666" s="3452" t="inlineStr">
        <is>
          <t>000224000202003108400</t>
        </is>
      </c>
      <c r="B666" s="3452" t="inlineStr">
        <is>
          <t>108400</t>
        </is>
      </c>
      <c r="C666" s="3452" t="inlineStr">
        <is>
          <t>000224000</t>
        </is>
      </c>
      <c r="D666" s="3452" t="inlineStr">
        <is>
          <t>202003</t>
        </is>
      </c>
      <c r="E666" s="3452" t="inlineStr">
        <is>
          <t>0,000000000000</t>
        </is>
      </c>
    </row>
    <row outlineLevel="0" r="667">
      <c r="A667" s="3452" t="inlineStr">
        <is>
          <t>000224000202003108100</t>
        </is>
      </c>
      <c r="B667" s="3452" t="inlineStr">
        <is>
          <t>108100</t>
        </is>
      </c>
      <c r="C667" s="3452" t="inlineStr">
        <is>
          <t>000224000</t>
        </is>
      </c>
      <c r="D667" s="3452" t="inlineStr">
        <is>
          <t>202003</t>
        </is>
      </c>
      <c r="E667" s="3452" t="inlineStr">
        <is>
          <t>0,000000000000</t>
        </is>
      </c>
    </row>
    <row outlineLevel="0" r="668">
      <c r="A668" s="3452" t="inlineStr">
        <is>
          <t>000224000202003108200</t>
        </is>
      </c>
      <c r="B668" s="3452" t="inlineStr">
        <is>
          <t>108200</t>
        </is>
      </c>
      <c r="C668" s="3452" t="inlineStr">
        <is>
          <t>000224000</t>
        </is>
      </c>
      <c r="D668" s="3452" t="inlineStr">
        <is>
          <t>202003</t>
        </is>
      </c>
      <c r="E668" s="3452" t="inlineStr">
        <is>
          <t>0,000000000000</t>
        </is>
      </c>
    </row>
    <row outlineLevel="0" r="669">
      <c r="A669" s="3452" t="inlineStr">
        <is>
          <t>0002240002020035301</t>
        </is>
      </c>
      <c r="B669" s="3452" t="inlineStr">
        <is>
          <t>5301</t>
        </is>
      </c>
      <c r="C669" s="3452" t="inlineStr">
        <is>
          <t>000224000</t>
        </is>
      </c>
      <c r="D669" s="3452" t="inlineStr">
        <is>
          <t>202003</t>
        </is>
      </c>
      <c r="E669" s="3452" t="inlineStr">
        <is>
          <t>162,000000000000</t>
        </is>
      </c>
    </row>
    <row outlineLevel="0" r="670">
      <c r="A670" s="3452" t="inlineStr">
        <is>
          <t>000224000202003108000</t>
        </is>
      </c>
      <c r="B670" s="3452" t="inlineStr">
        <is>
          <t>108000</t>
        </is>
      </c>
      <c r="C670" s="3452" t="inlineStr">
        <is>
          <t>000224000</t>
        </is>
      </c>
      <c r="D670" s="3452" t="inlineStr">
        <is>
          <t>202003</t>
        </is>
      </c>
      <c r="E670" s="3452" t="inlineStr">
        <is>
          <t>0,000000000000</t>
        </is>
      </c>
    </row>
    <row outlineLevel="0" r="671">
      <c r="A671" s="3452" t="inlineStr">
        <is>
          <t>0002240002020032207</t>
        </is>
      </c>
      <c r="B671" s="3452" t="inlineStr">
        <is>
          <t>2207</t>
        </is>
      </c>
      <c r="C671" s="3452" t="inlineStr">
        <is>
          <t>000224000</t>
        </is>
      </c>
      <c r="D671" s="3452" t="inlineStr">
        <is>
          <t>202003</t>
        </is>
      </c>
      <c r="E671" s="3452" t="inlineStr">
        <is>
          <t>0,000000000000</t>
        </is>
      </c>
    </row>
    <row outlineLevel="0" r="672">
      <c r="A672" s="3452" t="inlineStr">
        <is>
          <t>0002240002020032209</t>
        </is>
      </c>
      <c r="B672" s="3452" t="inlineStr">
        <is>
          <t>2209</t>
        </is>
      </c>
      <c r="C672" s="3452" t="inlineStr">
        <is>
          <t>000224000</t>
        </is>
      </c>
      <c r="D672" s="3452" t="inlineStr">
        <is>
          <t>202003</t>
        </is>
      </c>
      <c r="E672" s="3452" t="inlineStr">
        <is>
          <t>0,000000000000</t>
        </is>
      </c>
    </row>
    <row outlineLevel="0" r="673">
      <c r="A673" s="3452" t="inlineStr">
        <is>
          <t>0002240002020032204</t>
        </is>
      </c>
      <c r="B673" s="3452" t="inlineStr">
        <is>
          <t>2204</t>
        </is>
      </c>
      <c r="C673" s="3452" t="inlineStr">
        <is>
          <t>000224000</t>
        </is>
      </c>
      <c r="D673" s="3452" t="inlineStr">
        <is>
          <t>202003</t>
        </is>
      </c>
      <c r="E673" s="3452" t="inlineStr">
        <is>
          <t>0,000000000000</t>
        </is>
      </c>
    </row>
    <row outlineLevel="0" r="674">
      <c r="A674" s="3452" t="inlineStr">
        <is>
          <t>0002240002020032206</t>
        </is>
      </c>
      <c r="B674" s="3452" t="inlineStr">
        <is>
          <t>2206</t>
        </is>
      </c>
      <c r="C674" s="3452" t="inlineStr">
        <is>
          <t>000224000</t>
        </is>
      </c>
      <c r="D674" s="3452" t="inlineStr">
        <is>
          <t>202003</t>
        </is>
      </c>
      <c r="E674" s="3452" t="inlineStr">
        <is>
          <t>12,000000000000</t>
        </is>
      </c>
    </row>
    <row outlineLevel="0" r="675">
      <c r="A675" s="3452" t="inlineStr">
        <is>
          <t>0002240002020032201</t>
        </is>
      </c>
      <c r="B675" s="3452" t="inlineStr">
        <is>
          <t>2201</t>
        </is>
      </c>
      <c r="C675" s="3452" t="inlineStr">
        <is>
          <t>000224000</t>
        </is>
      </c>
      <c r="D675" s="3452" t="inlineStr">
        <is>
          <t>202003</t>
        </is>
      </c>
      <c r="E675" s="3452" t="inlineStr">
        <is>
          <t>10346,000000000000</t>
        </is>
      </c>
    </row>
    <row outlineLevel="0" r="676">
      <c r="A676" s="3452" t="inlineStr">
        <is>
          <t>0002240002020032203</t>
        </is>
      </c>
      <c r="B676" s="3452" t="inlineStr">
        <is>
          <t>2203</t>
        </is>
      </c>
      <c r="C676" s="3452" t="inlineStr">
        <is>
          <t>000224000</t>
        </is>
      </c>
      <c r="D676" s="3452" t="inlineStr">
        <is>
          <t>202003</t>
        </is>
      </c>
      <c r="E676" s="3452" t="inlineStr">
        <is>
          <t>0,000000000000</t>
        </is>
      </c>
    </row>
    <row outlineLevel="0" r="677">
      <c r="A677" s="3452" t="inlineStr">
        <is>
          <t>0002240002020032107</t>
        </is>
      </c>
      <c r="B677" s="3452" t="inlineStr">
        <is>
          <t>2107</t>
        </is>
      </c>
      <c r="C677" s="3452" t="inlineStr">
        <is>
          <t>000224000</t>
        </is>
      </c>
      <c r="D677" s="3452" t="inlineStr">
        <is>
          <t>202003</t>
        </is>
      </c>
      <c r="E677" s="3452" t="inlineStr">
        <is>
          <t>184,000000000000</t>
        </is>
      </c>
    </row>
    <row outlineLevel="0" r="678">
      <c r="A678" s="3452" t="inlineStr">
        <is>
          <t>0002240002020032109</t>
        </is>
      </c>
      <c r="B678" s="3452" t="inlineStr">
        <is>
          <t>2109</t>
        </is>
      </c>
      <c r="C678" s="3452" t="inlineStr">
        <is>
          <t>000224000</t>
        </is>
      </c>
      <c r="D678" s="3452" t="inlineStr">
        <is>
          <t>202003</t>
        </is>
      </c>
      <c r="E678" s="3452" t="inlineStr">
        <is>
          <t>0,000000000000</t>
        </is>
      </c>
    </row>
    <row outlineLevel="0" r="679">
      <c r="A679" s="3452" t="inlineStr">
        <is>
          <t>0002240002020032105</t>
        </is>
      </c>
      <c r="B679" s="3452" t="inlineStr">
        <is>
          <t>2105</t>
        </is>
      </c>
      <c r="C679" s="3452" t="inlineStr">
        <is>
          <t>000224000</t>
        </is>
      </c>
      <c r="D679" s="3452" t="inlineStr">
        <is>
          <t>202003</t>
        </is>
      </c>
      <c r="E679" s="3452" t="inlineStr">
        <is>
          <t>27,000000000000</t>
        </is>
      </c>
    </row>
    <row outlineLevel="0" r="680">
      <c r="A680" s="3452" t="inlineStr">
        <is>
          <t>0002240002020032106</t>
        </is>
      </c>
      <c r="B680" s="3452" t="inlineStr">
        <is>
          <t>2106</t>
        </is>
      </c>
      <c r="C680" s="3452" t="inlineStr">
        <is>
          <t>000224000</t>
        </is>
      </c>
      <c r="D680" s="3452" t="inlineStr">
        <is>
          <t>202003</t>
        </is>
      </c>
      <c r="E680" s="3452" t="inlineStr">
        <is>
          <t>0,000000000000</t>
        </is>
      </c>
    </row>
    <row outlineLevel="0" r="681">
      <c r="A681" s="3452" t="inlineStr">
        <is>
          <t>0002240002020032103</t>
        </is>
      </c>
      <c r="B681" s="3452" t="inlineStr">
        <is>
          <t>2103</t>
        </is>
      </c>
      <c r="C681" s="3452" t="inlineStr">
        <is>
          <t>000224000</t>
        </is>
      </c>
      <c r="D681" s="3452" t="inlineStr">
        <is>
          <t>202003</t>
        </is>
      </c>
      <c r="E681" s="3452" t="inlineStr">
        <is>
          <t>5227,000000000000</t>
        </is>
      </c>
    </row>
    <row outlineLevel="0" r="682">
      <c r="A682" s="3452" t="inlineStr">
        <is>
          <t>0002240002020032104</t>
        </is>
      </c>
      <c r="B682" s="3452" t="inlineStr">
        <is>
          <t>2104</t>
        </is>
      </c>
      <c r="C682" s="3452" t="inlineStr">
        <is>
          <t>000224000</t>
        </is>
      </c>
      <c r="D682" s="3452" t="inlineStr">
        <is>
          <t>202003</t>
        </is>
      </c>
      <c r="E682" s="3452" t="inlineStr">
        <is>
          <t>0,000000000000</t>
        </is>
      </c>
    </row>
    <row outlineLevel="0" r="683">
      <c r="A683" s="3452" t="inlineStr">
        <is>
          <t>0002240002020032101</t>
        </is>
      </c>
      <c r="B683" s="3452" t="inlineStr">
        <is>
          <t>2101</t>
        </is>
      </c>
      <c r="C683" s="3452" t="inlineStr">
        <is>
          <t>000224000</t>
        </is>
      </c>
      <c r="D683" s="3452" t="inlineStr">
        <is>
          <t>202003</t>
        </is>
      </c>
      <c r="E683" s="3452" t="inlineStr">
        <is>
          <t>563,000000000000</t>
        </is>
      </c>
    </row>
    <row outlineLevel="0" r="684">
      <c r="A684" s="3452" t="inlineStr">
        <is>
          <t>0002240002020032102</t>
        </is>
      </c>
      <c r="B684" s="3452" t="inlineStr">
        <is>
          <t>2102</t>
        </is>
      </c>
      <c r="C684" s="3452" t="inlineStr">
        <is>
          <t>000224000</t>
        </is>
      </c>
      <c r="D684" s="3452" t="inlineStr">
        <is>
          <t>202003</t>
        </is>
      </c>
      <c r="E684" s="3452" t="inlineStr">
        <is>
          <t>0,000000000000</t>
        </is>
      </c>
    </row>
    <row outlineLevel="0" r="685">
      <c r="A685" s="3452" t="inlineStr">
        <is>
          <t>0002240002020031207</t>
        </is>
      </c>
      <c r="B685" s="3452" t="inlineStr">
        <is>
          <t>1207</t>
        </is>
      </c>
      <c r="C685" s="3452" t="inlineStr">
        <is>
          <t>000224000</t>
        </is>
      </c>
      <c r="D685" s="3452" t="inlineStr">
        <is>
          <t>202003</t>
        </is>
      </c>
      <c r="E685" s="3452" t="inlineStr">
        <is>
          <t>0,000000000000</t>
        </is>
      </c>
    </row>
    <row outlineLevel="0" r="686">
      <c r="A686" s="3452" t="inlineStr">
        <is>
          <t>0002240002020031208</t>
        </is>
      </c>
      <c r="B686" s="3452" t="inlineStr">
        <is>
          <t>1208</t>
        </is>
      </c>
      <c r="C686" s="3452" t="inlineStr">
        <is>
          <t>000224000</t>
        </is>
      </c>
      <c r="D686" s="3452" t="inlineStr">
        <is>
          <t>202003</t>
        </is>
      </c>
      <c r="E686" s="3452" t="inlineStr">
        <is>
          <t>0,000000000000</t>
        </is>
      </c>
    </row>
    <row outlineLevel="0" r="687">
      <c r="A687" s="3452" t="inlineStr">
        <is>
          <t>0002240002020031205</t>
        </is>
      </c>
      <c r="B687" s="3452" t="inlineStr">
        <is>
          <t>1205</t>
        </is>
      </c>
      <c r="C687" s="3452" t="inlineStr">
        <is>
          <t>000224000</t>
        </is>
      </c>
      <c r="D687" s="3452" t="inlineStr">
        <is>
          <t>202003</t>
        </is>
      </c>
      <c r="E687" s="3452" t="inlineStr">
        <is>
          <t>0,000000000000</t>
        </is>
      </c>
    </row>
    <row outlineLevel="0" r="688">
      <c r="A688" s="3452" t="inlineStr">
        <is>
          <t>0002240002020031206</t>
        </is>
      </c>
      <c r="B688" s="3452" t="inlineStr">
        <is>
          <t>1206</t>
        </is>
      </c>
      <c r="C688" s="3452" t="inlineStr">
        <is>
          <t>000224000</t>
        </is>
      </c>
      <c r="D688" s="3452" t="inlineStr">
        <is>
          <t>202003</t>
        </is>
      </c>
      <c r="E688" s="3452" t="inlineStr">
        <is>
          <t>828,000000000000</t>
        </is>
      </c>
    </row>
    <row outlineLevel="0" r="689">
      <c r="A689" s="3452" t="inlineStr">
        <is>
          <t>0002240002020031202</t>
        </is>
      </c>
      <c r="B689" s="3452" t="inlineStr">
        <is>
          <t>1202</t>
        </is>
      </c>
      <c r="C689" s="3452" t="inlineStr">
        <is>
          <t>000224000</t>
        </is>
      </c>
      <c r="D689" s="3452" t="inlineStr">
        <is>
          <t>202003</t>
        </is>
      </c>
      <c r="E689" s="3452" t="inlineStr">
        <is>
          <t>0,000000000000</t>
        </is>
      </c>
    </row>
    <row outlineLevel="0" r="690">
      <c r="A690" s="3452" t="inlineStr">
        <is>
          <t>0002240002020031203</t>
        </is>
      </c>
      <c r="B690" s="3452" t="inlineStr">
        <is>
          <t>1203</t>
        </is>
      </c>
      <c r="C690" s="3452" t="inlineStr">
        <is>
          <t>000224000</t>
        </is>
      </c>
      <c r="D690" s="3452" t="inlineStr">
        <is>
          <t>202003</t>
        </is>
      </c>
      <c r="E690" s="3452" t="inlineStr">
        <is>
          <t>3750,000000000000</t>
        </is>
      </c>
    </row>
    <row outlineLevel="0" r="691">
      <c r="A691" s="3452" t="inlineStr">
        <is>
          <t>0002240002020031107</t>
        </is>
      </c>
      <c r="B691" s="3452" t="inlineStr">
        <is>
          <t>1107</t>
        </is>
      </c>
      <c r="C691" s="3452" t="inlineStr">
        <is>
          <t>000224000</t>
        </is>
      </c>
      <c r="D691" s="3452" t="inlineStr">
        <is>
          <t>202003</t>
        </is>
      </c>
      <c r="E691" s="3452" t="inlineStr">
        <is>
          <t>0,000000000000</t>
        </is>
      </c>
    </row>
    <row outlineLevel="0" r="692">
      <c r="A692" s="3452" t="inlineStr">
        <is>
          <t>0002240002020031201</t>
        </is>
      </c>
      <c r="B692" s="3452" t="inlineStr">
        <is>
          <t>1201</t>
        </is>
      </c>
      <c r="C692" s="3452" t="inlineStr">
        <is>
          <t>000224000</t>
        </is>
      </c>
      <c r="D692" s="3452" t="inlineStr">
        <is>
          <t>202003</t>
        </is>
      </c>
      <c r="E692" s="3452" t="inlineStr">
        <is>
          <t>14287,000000000000</t>
        </is>
      </c>
    </row>
    <row outlineLevel="0" r="693">
      <c r="A693" s="3452" t="inlineStr">
        <is>
          <t>0002240002020031104</t>
        </is>
      </c>
      <c r="B693" s="3452" t="inlineStr">
        <is>
          <t>1104</t>
        </is>
      </c>
      <c r="C693" s="3452" t="inlineStr">
        <is>
          <t>000224000</t>
        </is>
      </c>
      <c r="D693" s="3452" t="inlineStr">
        <is>
          <t>202003</t>
        </is>
      </c>
      <c r="E693" s="3452" t="inlineStr">
        <is>
          <t>0,000000000000</t>
        </is>
      </c>
    </row>
    <row outlineLevel="0" r="694">
      <c r="A694" s="3452" t="inlineStr">
        <is>
          <t>0002240002020031106</t>
        </is>
      </c>
      <c r="B694" s="3452" t="inlineStr">
        <is>
          <t>1106</t>
        </is>
      </c>
      <c r="C694" s="3452" t="inlineStr">
        <is>
          <t>000224000</t>
        </is>
      </c>
      <c r="D694" s="3452" t="inlineStr">
        <is>
          <t>202003</t>
        </is>
      </c>
      <c r="E694" s="3452" t="inlineStr">
        <is>
          <t>230,000000000000</t>
        </is>
      </c>
    </row>
    <row outlineLevel="0" r="695">
      <c r="A695" s="3452" t="inlineStr">
        <is>
          <t>0002240002020031102</t>
        </is>
      </c>
      <c r="B695" s="3452" t="inlineStr">
        <is>
          <t>1102</t>
        </is>
      </c>
      <c r="C695" s="3452" t="inlineStr">
        <is>
          <t>000224000</t>
        </is>
      </c>
      <c r="D695" s="3452" t="inlineStr">
        <is>
          <t>202003</t>
        </is>
      </c>
      <c r="E695" s="3452" t="inlineStr">
        <is>
          <t>0,000000000000</t>
        </is>
      </c>
    </row>
    <row outlineLevel="0" r="696">
      <c r="A696" s="3452" t="inlineStr">
        <is>
          <t>0002240002020031103</t>
        </is>
      </c>
      <c r="B696" s="3452" t="inlineStr">
        <is>
          <t>1103</t>
        </is>
      </c>
      <c r="C696" s="3452" t="inlineStr">
        <is>
          <t>000224000</t>
        </is>
      </c>
      <c r="D696" s="3452" t="inlineStr">
        <is>
          <t>202003</t>
        </is>
      </c>
      <c r="E696" s="3452" t="inlineStr">
        <is>
          <t>287,000000000000</t>
        </is>
      </c>
    </row>
    <row outlineLevel="0" r="697">
      <c r="A697" s="3452" t="inlineStr">
        <is>
          <t>00022400020200399</t>
        </is>
      </c>
      <c r="B697" s="3452" t="inlineStr">
        <is>
          <t>99</t>
        </is>
      </c>
      <c r="C697" s="3452" t="inlineStr">
        <is>
          <t>000224000</t>
        </is>
      </c>
      <c r="D697" s="3452" t="inlineStr">
        <is>
          <t>202003</t>
        </is>
      </c>
      <c r="E697" s="3452" t="inlineStr">
        <is>
          <t>15,000000000000</t>
        </is>
      </c>
    </row>
    <row outlineLevel="0" r="698">
      <c r="A698" s="3452" t="inlineStr">
        <is>
          <t>0002240002020031101</t>
        </is>
      </c>
      <c r="B698" s="3452" t="inlineStr">
        <is>
          <t>1101</t>
        </is>
      </c>
      <c r="C698" s="3452" t="inlineStr">
        <is>
          <t>000224000</t>
        </is>
      </c>
      <c r="D698" s="3452" t="inlineStr">
        <is>
          <t>202003</t>
        </is>
      </c>
      <c r="E698" s="3452" t="inlineStr">
        <is>
          <t>328,000000000000</t>
        </is>
      </c>
    </row>
    <row outlineLevel="0" r="699">
      <c r="A699" s="3452" t="inlineStr">
        <is>
          <t>00022400020200397</t>
        </is>
      </c>
      <c r="B699" s="3452" t="inlineStr">
        <is>
          <t>97</t>
        </is>
      </c>
      <c r="C699" s="3452" t="inlineStr">
        <is>
          <t>000224000</t>
        </is>
      </c>
      <c r="D699" s="3452" t="inlineStr">
        <is>
          <t>202003</t>
        </is>
      </c>
      <c r="E699" s="3452" t="inlineStr">
        <is>
          <t>15,000000000000</t>
        </is>
      </c>
    </row>
    <row outlineLevel="0" r="700">
      <c r="A700" s="3452" t="inlineStr">
        <is>
          <t>00022400020200398</t>
        </is>
      </c>
      <c r="B700" s="3452" t="inlineStr">
        <is>
          <t>98</t>
        </is>
      </c>
      <c r="C700" s="3452" t="inlineStr">
        <is>
          <t>000224000</t>
        </is>
      </c>
      <c r="D700" s="3452" t="inlineStr">
        <is>
          <t>202003</t>
        </is>
      </c>
      <c r="E700" s="3452" t="inlineStr">
        <is>
          <t>0,000000000000</t>
        </is>
      </c>
    </row>
    <row outlineLevel="0" r="701">
      <c r="A701" s="3452" t="inlineStr">
        <is>
          <t>00022400020200395</t>
        </is>
      </c>
      <c r="B701" s="3452" t="inlineStr">
        <is>
          <t>95</t>
        </is>
      </c>
      <c r="C701" s="3452" t="inlineStr">
        <is>
          <t>000224000</t>
        </is>
      </c>
      <c r="D701" s="3452" t="inlineStr">
        <is>
          <t>202003</t>
        </is>
      </c>
      <c r="E701" s="3452" t="inlineStr">
        <is>
          <t>542,000000000000</t>
        </is>
      </c>
    </row>
    <row outlineLevel="0" r="702">
      <c r="A702" s="3452" t="inlineStr">
        <is>
          <t>00022400020200396</t>
        </is>
      </c>
      <c r="B702" s="3452" t="inlineStr">
        <is>
          <t>96</t>
        </is>
      </c>
      <c r="C702" s="3452" t="inlineStr">
        <is>
          <t>000224000</t>
        </is>
      </c>
      <c r="D702" s="3452" t="inlineStr">
        <is>
          <t>202003</t>
        </is>
      </c>
      <c r="E702" s="3452" t="inlineStr">
        <is>
          <t>177,000000000000</t>
        </is>
      </c>
    </row>
    <row outlineLevel="0" r="703">
      <c r="A703" s="3452" t="inlineStr">
        <is>
          <t>00022400020200354</t>
        </is>
      </c>
      <c r="B703" s="3452" t="inlineStr">
        <is>
          <t>54</t>
        </is>
      </c>
      <c r="C703" s="3452" t="inlineStr">
        <is>
          <t>000224000</t>
        </is>
      </c>
      <c r="D703" s="3452" t="inlineStr">
        <is>
          <t>202003</t>
        </is>
      </c>
      <c r="E703" s="3452" t="inlineStr">
        <is>
          <t>0,000000000000</t>
        </is>
      </c>
    </row>
    <row outlineLevel="0" r="704">
      <c r="A704" s="3452" t="inlineStr">
        <is>
          <t>00022400020200361</t>
        </is>
      </c>
      <c r="B704" s="3452" t="inlineStr">
        <is>
          <t>61</t>
        </is>
      </c>
      <c r="C704" s="3452" t="inlineStr">
        <is>
          <t>000224000</t>
        </is>
      </c>
      <c r="D704" s="3452" t="inlineStr">
        <is>
          <t>202003</t>
        </is>
      </c>
      <c r="E704" s="3452" t="inlineStr">
        <is>
          <t>0,000000000000</t>
        </is>
      </c>
    </row>
    <row outlineLevel="0" r="705">
      <c r="A705" s="3452" t="inlineStr">
        <is>
          <t>00022400020200352</t>
        </is>
      </c>
      <c r="B705" s="3452" t="inlineStr">
        <is>
          <t>52</t>
        </is>
      </c>
      <c r="C705" s="3452" t="inlineStr">
        <is>
          <t>000224000</t>
        </is>
      </c>
      <c r="D705" s="3452" t="inlineStr">
        <is>
          <t>202003</t>
        </is>
      </c>
      <c r="E705" s="3452" t="inlineStr">
        <is>
          <t>0,000000000000</t>
        </is>
      </c>
    </row>
    <row outlineLevel="0" r="706">
      <c r="A706" s="3452" t="inlineStr">
        <is>
          <t>00022400020200353</t>
        </is>
      </c>
      <c r="B706" s="3452" t="inlineStr">
        <is>
          <t>53</t>
        </is>
      </c>
      <c r="C706" s="3452" t="inlineStr">
        <is>
          <t>000224000</t>
        </is>
      </c>
      <c r="D706" s="3452" t="inlineStr">
        <is>
          <t>202003</t>
        </is>
      </c>
      <c r="E706" s="3452" t="inlineStr">
        <is>
          <t>162,000000000000</t>
        </is>
      </c>
    </row>
    <row outlineLevel="0" r="707">
      <c r="A707" s="3452" t="inlineStr">
        <is>
          <t>00022400020200342</t>
        </is>
      </c>
      <c r="B707" s="3452" t="inlineStr">
        <is>
          <t>42</t>
        </is>
      </c>
      <c r="C707" s="3452" t="inlineStr">
        <is>
          <t>000224000</t>
        </is>
      </c>
      <c r="D707" s="3452" t="inlineStr">
        <is>
          <t>202003</t>
        </is>
      </c>
      <c r="E707" s="3452" t="inlineStr">
        <is>
          <t>0,000000000000</t>
        </is>
      </c>
    </row>
    <row outlineLevel="0" r="708">
      <c r="A708" s="3452" t="inlineStr">
        <is>
          <t>00022400020200351</t>
        </is>
      </c>
      <c r="B708" s="3452" t="inlineStr">
        <is>
          <t>51</t>
        </is>
      </c>
      <c r="C708" s="3452" t="inlineStr">
        <is>
          <t>000224000</t>
        </is>
      </c>
      <c r="D708" s="3452" t="inlineStr">
        <is>
          <t>202003</t>
        </is>
      </c>
      <c r="E708" s="3452" t="inlineStr">
        <is>
          <t>365,000000000000</t>
        </is>
      </c>
    </row>
    <row outlineLevel="0" r="709">
      <c r="A709" s="3452" t="inlineStr">
        <is>
          <t>00022400020200338</t>
        </is>
      </c>
      <c r="B709" s="3452" t="inlineStr">
        <is>
          <t>38</t>
        </is>
      </c>
      <c r="C709" s="3452" t="inlineStr">
        <is>
          <t>000224000</t>
        </is>
      </c>
      <c r="D709" s="3452" t="inlineStr">
        <is>
          <t>202003</t>
        </is>
      </c>
      <c r="E709" s="3452" t="inlineStr">
        <is>
          <t>0,000000000000</t>
        </is>
      </c>
    </row>
    <row outlineLevel="0" r="710">
      <c r="A710" s="3452" t="inlineStr">
        <is>
          <t>00022400020200341</t>
        </is>
      </c>
      <c r="B710" s="3452" t="inlineStr">
        <is>
          <t>41</t>
        </is>
      </c>
      <c r="C710" s="3452" t="inlineStr">
        <is>
          <t>000224000</t>
        </is>
      </c>
      <c r="D710" s="3452" t="inlineStr">
        <is>
          <t>202003</t>
        </is>
      </c>
      <c r="E710" s="3452" t="inlineStr">
        <is>
          <t>542,000000000000</t>
        </is>
      </c>
    </row>
    <row outlineLevel="0" r="711">
      <c r="A711" s="3452" t="inlineStr">
        <is>
          <t>00022400020200336</t>
        </is>
      </c>
      <c r="B711" s="3452" t="inlineStr">
        <is>
          <t>36</t>
        </is>
      </c>
      <c r="C711" s="3452" t="inlineStr">
        <is>
          <t>000224000</t>
        </is>
      </c>
      <c r="D711" s="3452" t="inlineStr">
        <is>
          <t>202003</t>
        </is>
      </c>
      <c r="E711" s="3452" t="inlineStr">
        <is>
          <t>15,000000000000</t>
        </is>
      </c>
    </row>
    <row outlineLevel="0" r="712">
      <c r="A712" s="3452" t="inlineStr">
        <is>
          <t>00022400020200337</t>
        </is>
      </c>
      <c r="B712" s="3452" t="inlineStr">
        <is>
          <t>37</t>
        </is>
      </c>
      <c r="C712" s="3452" t="inlineStr">
        <is>
          <t>000224000</t>
        </is>
      </c>
      <c r="D712" s="3452" t="inlineStr">
        <is>
          <t>202003</t>
        </is>
      </c>
      <c r="E712" s="3452" t="inlineStr">
        <is>
          <t>903,000000000000</t>
        </is>
      </c>
    </row>
    <row outlineLevel="0" r="713">
      <c r="A713" s="3452" t="inlineStr">
        <is>
          <t>00022400020200334</t>
        </is>
      </c>
      <c r="B713" s="3452" t="inlineStr">
        <is>
          <t>34</t>
        </is>
      </c>
      <c r="C713" s="3452" t="inlineStr">
        <is>
          <t>000224000</t>
        </is>
      </c>
      <c r="D713" s="3452" t="inlineStr">
        <is>
          <t>202003</t>
        </is>
      </c>
      <c r="E713" s="3452" t="inlineStr">
        <is>
          <t>0,000000000000</t>
        </is>
      </c>
    </row>
    <row outlineLevel="0" r="714">
      <c r="A714" s="3452" t="inlineStr">
        <is>
          <t>00022400020200335</t>
        </is>
      </c>
      <c r="B714" s="3452" t="inlineStr">
        <is>
          <t>35</t>
        </is>
      </c>
      <c r="C714" s="3452" t="inlineStr">
        <is>
          <t>000224000</t>
        </is>
      </c>
      <c r="D714" s="3452" t="inlineStr">
        <is>
          <t>202003</t>
        </is>
      </c>
      <c r="E714" s="3452" t="inlineStr">
        <is>
          <t>0,000000000000</t>
        </is>
      </c>
    </row>
    <row outlineLevel="0" r="715">
      <c r="A715" s="3452" t="inlineStr">
        <is>
          <t>00022400020200332</t>
        </is>
      </c>
      <c r="B715" s="3452" t="inlineStr">
        <is>
          <t>32</t>
        </is>
      </c>
      <c r="C715" s="3452" t="inlineStr">
        <is>
          <t>000224000</t>
        </is>
      </c>
      <c r="D715" s="3452" t="inlineStr">
        <is>
          <t>202003</t>
        </is>
      </c>
      <c r="E715" s="3452" t="inlineStr">
        <is>
          <t>0,000000000000</t>
        </is>
      </c>
    </row>
    <row outlineLevel="0" r="716">
      <c r="A716" s="3452" t="inlineStr">
        <is>
          <t>00022400020200333</t>
        </is>
      </c>
      <c r="B716" s="3452" t="inlineStr">
        <is>
          <t>33</t>
        </is>
      </c>
      <c r="C716" s="3452" t="inlineStr">
        <is>
          <t>000224000</t>
        </is>
      </c>
      <c r="D716" s="3452" t="inlineStr">
        <is>
          <t>202003</t>
        </is>
      </c>
      <c r="E716" s="3452" t="inlineStr">
        <is>
          <t>166,000000000000</t>
        </is>
      </c>
    </row>
    <row outlineLevel="0" r="717">
      <c r="A717" s="3452" t="inlineStr">
        <is>
          <t>00022400020200322</t>
        </is>
      </c>
      <c r="B717" s="3452" t="inlineStr">
        <is>
          <t>22</t>
        </is>
      </c>
      <c r="C717" s="3452" t="inlineStr">
        <is>
          <t>000224000</t>
        </is>
      </c>
      <c r="D717" s="3452" t="inlineStr">
        <is>
          <t>202003</t>
        </is>
      </c>
      <c r="E717" s="3452" t="inlineStr">
        <is>
          <t>10358,000000000000</t>
        </is>
      </c>
    </row>
    <row outlineLevel="0" r="718">
      <c r="A718" s="3452" t="inlineStr">
        <is>
          <t>00022400020200331</t>
        </is>
      </c>
      <c r="B718" s="3452" t="inlineStr">
        <is>
          <t>31</t>
        </is>
      </c>
      <c r="C718" s="3452" t="inlineStr">
        <is>
          <t>000224000</t>
        </is>
      </c>
      <c r="D718" s="3452" t="inlineStr">
        <is>
          <t>202003</t>
        </is>
      </c>
      <c r="E718" s="3452" t="inlineStr">
        <is>
          <t>2267,000000000000</t>
        </is>
      </c>
    </row>
    <row outlineLevel="0" r="719">
      <c r="A719" s="3452" t="inlineStr">
        <is>
          <t>00022400020200312</t>
        </is>
      </c>
      <c r="B719" s="3452" t="inlineStr">
        <is>
          <t>12</t>
        </is>
      </c>
      <c r="C719" s="3452" t="inlineStr">
        <is>
          <t>000224000</t>
        </is>
      </c>
      <c r="D719" s="3452" t="inlineStr">
        <is>
          <t>202003</t>
        </is>
      </c>
      <c r="E719" s="3452" t="inlineStr">
        <is>
          <t>18865,000000000000</t>
        </is>
      </c>
    </row>
    <row outlineLevel="0" r="720">
      <c r="A720" s="3452" t="inlineStr">
        <is>
          <t>00022400020200321</t>
        </is>
      </c>
      <c r="B720" s="3452" t="inlineStr">
        <is>
          <t>21</t>
        </is>
      </c>
      <c r="C720" s="3452" t="inlineStr">
        <is>
          <t>000224000</t>
        </is>
      </c>
      <c r="D720" s="3452" t="inlineStr">
        <is>
          <t>202003</t>
        </is>
      </c>
      <c r="E720" s="3452" t="inlineStr">
        <is>
          <t>6001,000000000000</t>
        </is>
      </c>
    </row>
    <row outlineLevel="0" r="721">
      <c r="A721" s="3452" t="inlineStr">
        <is>
          <t>0002240002020033</t>
        </is>
      </c>
      <c r="B721" s="3452" t="inlineStr">
        <is>
          <t>3</t>
        </is>
      </c>
      <c r="C721" s="3452" t="inlineStr">
        <is>
          <t>000224000</t>
        </is>
      </c>
      <c r="D721" s="3452" t="inlineStr">
        <is>
          <t>202003</t>
        </is>
      </c>
      <c r="E721" s="3452" t="inlineStr">
        <is>
          <t>3351,000000000000</t>
        </is>
      </c>
    </row>
    <row outlineLevel="0" r="722">
      <c r="A722" s="3452" t="inlineStr">
        <is>
          <t>00022400020200311</t>
        </is>
      </c>
      <c r="B722" s="3452" t="inlineStr">
        <is>
          <t>11</t>
        </is>
      </c>
      <c r="C722" s="3452" t="inlineStr">
        <is>
          <t>000224000</t>
        </is>
      </c>
      <c r="D722" s="3452" t="inlineStr">
        <is>
          <t>202003</t>
        </is>
      </c>
      <c r="E722" s="3452" t="inlineStr">
        <is>
          <t>845,000000000000</t>
        </is>
      </c>
    </row>
    <row outlineLevel="0" r="723">
      <c r="A723" s="3452" t="inlineStr">
        <is>
          <t>0002240002020031</t>
        </is>
      </c>
      <c r="B723" s="3452" t="inlineStr">
        <is>
          <t>1</t>
        </is>
      </c>
      <c r="C723" s="3452" t="inlineStr">
        <is>
          <t>000224000</t>
        </is>
      </c>
      <c r="D723" s="3452" t="inlineStr">
        <is>
          <t>202003</t>
        </is>
      </c>
      <c r="E723" s="3452" t="inlineStr">
        <is>
          <t>19710,000000000000</t>
        </is>
      </c>
    </row>
    <row outlineLevel="0" r="724">
      <c r="A724" s="3452" t="inlineStr">
        <is>
          <t>0002240002020032</t>
        </is>
      </c>
      <c r="B724" s="3452" t="inlineStr">
        <is>
          <t>2</t>
        </is>
      </c>
      <c r="C724" s="3452" t="inlineStr">
        <is>
          <t>000224000</t>
        </is>
      </c>
      <c r="D724" s="3452" t="inlineStr">
        <is>
          <t>202003</t>
        </is>
      </c>
      <c r="E724" s="3452" t="inlineStr">
        <is>
          <t>16359,000000000000</t>
        </is>
      </c>
    </row>
    <row outlineLevel="0" r="725">
      <c r="A725" s="3452" t="inlineStr">
        <is>
          <t>0002240002020030</t>
        </is>
      </c>
      <c r="B725" s="3452" t="inlineStr">
        <is>
          <t>0</t>
        </is>
      </c>
      <c r="C725" s="3452" t="inlineStr">
        <is>
          <t>000224000</t>
        </is>
      </c>
      <c r="D725" s="3452" t="inlineStr">
        <is>
          <t>202003</t>
        </is>
      </c>
      <c r="E725" s="3452" t="inlineStr">
        <is>
          <t>19710,000000000000</t>
        </is>
      </c>
    </row>
    <row outlineLevel="0" r="726">
      <c r="A726" s="3452" t="inlineStr">
        <is>
          <t>0002240002019060</t>
        </is>
      </c>
      <c r="B726" s="3452" t="inlineStr">
        <is>
          <t>0</t>
        </is>
      </c>
      <c r="C726" s="3452" t="inlineStr">
        <is>
          <t>000224000</t>
        </is>
      </c>
      <c r="D726" s="3452" t="inlineStr">
        <is>
          <t>201906</t>
        </is>
      </c>
      <c r="E726" s="3452" t="inlineStr">
        <is>
          <t>420000,000000000000</t>
        </is>
      </c>
    </row>
    <row outlineLevel="0" r="727">
      <c r="A727" s="3452" t="inlineStr">
        <is>
          <t>0002240002019061</t>
        </is>
      </c>
      <c r="B727" s="3452" t="inlineStr">
        <is>
          <t>1</t>
        </is>
      </c>
      <c r="C727" s="3452" t="inlineStr">
        <is>
          <t>000224000</t>
        </is>
      </c>
      <c r="D727" s="3452" t="inlineStr">
        <is>
          <t>201906</t>
        </is>
      </c>
      <c r="E727" s="3452" t="inlineStr">
        <is>
          <t>420000,000000000000</t>
        </is>
      </c>
    </row>
    <row outlineLevel="0" r="728">
      <c r="A728" s="3452" t="inlineStr">
        <is>
          <t>0002240002019062</t>
        </is>
      </c>
      <c r="B728" s="3452" t="inlineStr">
        <is>
          <t>2</t>
        </is>
      </c>
      <c r="C728" s="3452" t="inlineStr">
        <is>
          <t>000224000</t>
        </is>
      </c>
      <c r="D728" s="3452" t="inlineStr">
        <is>
          <t>201906</t>
        </is>
      </c>
      <c r="E728" s="3452" t="inlineStr">
        <is>
          <t>150000,000000000000</t>
        </is>
      </c>
    </row>
    <row outlineLevel="0" r="729">
      <c r="A729" s="3452" t="inlineStr">
        <is>
          <t>00022400020190612</t>
        </is>
      </c>
      <c r="B729" s="3452" t="inlineStr">
        <is>
          <t>12</t>
        </is>
      </c>
      <c r="C729" s="3452" t="inlineStr">
        <is>
          <t>000224000</t>
        </is>
      </c>
      <c r="D729" s="3452" t="inlineStr">
        <is>
          <t>201906</t>
        </is>
      </c>
      <c r="E729" s="3452" t="inlineStr">
        <is>
          <t>400000,000000000000</t>
        </is>
      </c>
    </row>
    <row outlineLevel="0" r="730">
      <c r="A730" s="3452" t="inlineStr">
        <is>
          <t>00022400020190611</t>
        </is>
      </c>
      <c r="B730" s="3452" t="inlineStr">
        <is>
          <t>11</t>
        </is>
      </c>
      <c r="C730" s="3452" t="inlineStr">
        <is>
          <t>000224000</t>
        </is>
      </c>
      <c r="D730" s="3452" t="inlineStr">
        <is>
          <t>201906</t>
        </is>
      </c>
      <c r="E730" s="3452" t="inlineStr">
        <is>
          <t>20000,000000000000</t>
        </is>
      </c>
    </row>
    <row outlineLevel="0" r="731">
      <c r="A731" s="3452" t="inlineStr">
        <is>
          <t>0002240002019063</t>
        </is>
      </c>
      <c r="B731" s="3452" t="inlineStr">
        <is>
          <t>3</t>
        </is>
      </c>
      <c r="C731" s="3452" t="inlineStr">
        <is>
          <t>000224000</t>
        </is>
      </c>
      <c r="D731" s="3452" t="inlineStr">
        <is>
          <t>201906</t>
        </is>
      </c>
      <c r="E731" s="3452" t="inlineStr">
        <is>
          <t>270000,000000000000</t>
        </is>
      </c>
    </row>
    <row outlineLevel="0" r="732">
      <c r="A732" s="3452" t="inlineStr">
        <is>
          <t>00022400020190621</t>
        </is>
      </c>
      <c r="B732" s="3452" t="inlineStr">
        <is>
          <t>21</t>
        </is>
      </c>
      <c r="C732" s="3452" t="inlineStr">
        <is>
          <t>000224000</t>
        </is>
      </c>
      <c r="D732" s="3452" t="inlineStr">
        <is>
          <t>201906</t>
        </is>
      </c>
      <c r="E732" s="3452" t="inlineStr">
        <is>
          <t>150000,000000000000</t>
        </is>
      </c>
    </row>
    <row outlineLevel="0" r="733">
      <c r="A733" s="3452" t="inlineStr">
        <is>
          <t>00022400020190631</t>
        </is>
      </c>
      <c r="B733" s="3452" t="inlineStr">
        <is>
          <t>31</t>
        </is>
      </c>
      <c r="C733" s="3452" t="inlineStr">
        <is>
          <t>000224000</t>
        </is>
      </c>
      <c r="D733" s="3452" t="inlineStr">
        <is>
          <t>201906</t>
        </is>
      </c>
      <c r="E733" s="3452" t="inlineStr">
        <is>
          <t>270000,000000000000</t>
        </is>
      </c>
    </row>
    <row outlineLevel="0" r="734">
      <c r="A734" s="3452" t="inlineStr">
        <is>
          <t>00022400020190622</t>
        </is>
      </c>
      <c r="B734" s="3452" t="inlineStr">
        <is>
          <t>22</t>
        </is>
      </c>
      <c r="C734" s="3452" t="inlineStr">
        <is>
          <t>000224000</t>
        </is>
      </c>
      <c r="D734" s="3452" t="inlineStr">
        <is>
          <t>201906</t>
        </is>
      </c>
      <c r="E734" s="3452" t="inlineStr">
        <is>
          <t>0,000000000000</t>
        </is>
      </c>
    </row>
    <row outlineLevel="0" r="735">
      <c r="A735" s="3452" t="inlineStr">
        <is>
          <t>00022400020190632</t>
        </is>
      </c>
      <c r="B735" s="3452" t="inlineStr">
        <is>
          <t>32</t>
        </is>
      </c>
      <c r="C735" s="3452" t="inlineStr">
        <is>
          <t>000224000</t>
        </is>
      </c>
      <c r="D735" s="3452" t="inlineStr">
        <is>
          <t>201906</t>
        </is>
      </c>
      <c r="E735" s="3452" t="inlineStr">
        <is>
          <t>0,000000000000</t>
        </is>
      </c>
    </row>
    <row outlineLevel="0" r="736">
      <c r="A736" s="3452" t="inlineStr">
        <is>
          <t>00022400020190633</t>
        </is>
      </c>
      <c r="B736" s="3452" t="inlineStr">
        <is>
          <t>33</t>
        </is>
      </c>
      <c r="C736" s="3452" t="inlineStr">
        <is>
          <t>000224000</t>
        </is>
      </c>
      <c r="D736" s="3452" t="inlineStr">
        <is>
          <t>201906</t>
        </is>
      </c>
      <c r="E736" s="3452" t="inlineStr">
        <is>
          <t>0,000000000000</t>
        </is>
      </c>
    </row>
    <row outlineLevel="0" r="737">
      <c r="A737" s="3452" t="inlineStr">
        <is>
          <t>00022400020190636</t>
        </is>
      </c>
      <c r="B737" s="3452" t="inlineStr">
        <is>
          <t>36</t>
        </is>
      </c>
      <c r="C737" s="3452" t="inlineStr">
        <is>
          <t>000224000</t>
        </is>
      </c>
      <c r="D737" s="3452" t="inlineStr">
        <is>
          <t>201906</t>
        </is>
      </c>
      <c r="E737" s="3452" t="inlineStr">
        <is>
          <t>114,000000000000</t>
        </is>
      </c>
    </row>
    <row outlineLevel="0" r="738">
      <c r="A738" s="3452" t="inlineStr">
        <is>
          <t>00022400020190635</t>
        </is>
      </c>
      <c r="B738" s="3452" t="inlineStr">
        <is>
          <t>35</t>
        </is>
      </c>
      <c r="C738" s="3452" t="inlineStr">
        <is>
          <t>000224000</t>
        </is>
      </c>
      <c r="D738" s="3452" t="inlineStr">
        <is>
          <t>201906</t>
        </is>
      </c>
      <c r="E738" s="3452" t="inlineStr">
        <is>
          <t>0,000000000000</t>
        </is>
      </c>
    </row>
    <row outlineLevel="0" r="739">
      <c r="A739" s="3452" t="inlineStr">
        <is>
          <t>00022400020190634</t>
        </is>
      </c>
      <c r="B739" s="3452" t="inlineStr">
        <is>
          <t>34</t>
        </is>
      </c>
      <c r="C739" s="3452" t="inlineStr">
        <is>
          <t>000224000</t>
        </is>
      </c>
      <c r="D739" s="3452" t="inlineStr">
        <is>
          <t>201906</t>
        </is>
      </c>
      <c r="E739" s="3452" t="inlineStr">
        <is>
          <t>0,000000000000</t>
        </is>
      </c>
    </row>
    <row outlineLevel="0" r="740">
      <c r="A740" s="3452" t="inlineStr">
        <is>
          <t>00022400020190637</t>
        </is>
      </c>
      <c r="B740" s="3452" t="inlineStr">
        <is>
          <t>37</t>
        </is>
      </c>
      <c r="C740" s="3452" t="inlineStr">
        <is>
          <t>000224000</t>
        </is>
      </c>
      <c r="D740" s="3452" t="inlineStr">
        <is>
          <t>201906</t>
        </is>
      </c>
      <c r="E740" s="3452" t="inlineStr">
        <is>
          <t>-114,000000000000</t>
        </is>
      </c>
    </row>
    <row outlineLevel="0" r="741">
      <c r="A741" s="3452" t="inlineStr">
        <is>
          <t>00022400020190641</t>
        </is>
      </c>
      <c r="B741" s="3452" t="inlineStr">
        <is>
          <t>41</t>
        </is>
      </c>
      <c r="C741" s="3452" t="inlineStr">
        <is>
          <t>000224000</t>
        </is>
      </c>
      <c r="D741" s="3452" t="inlineStr">
        <is>
          <t>201906</t>
        </is>
      </c>
      <c r="E741" s="3452" t="inlineStr">
        <is>
          <t>214,000000000000</t>
        </is>
      </c>
    </row>
    <row outlineLevel="0" r="742">
      <c r="A742" s="3452" t="inlineStr">
        <is>
          <t>00022400020190638</t>
        </is>
      </c>
      <c r="B742" s="3452" t="inlineStr">
        <is>
          <t>38</t>
        </is>
      </c>
      <c r="C742" s="3452" t="inlineStr">
        <is>
          <t>000224000</t>
        </is>
      </c>
      <c r="D742" s="3452" t="inlineStr">
        <is>
          <t>201906</t>
        </is>
      </c>
      <c r="E742" s="3452" t="inlineStr">
        <is>
          <t>0,000000000000</t>
        </is>
      </c>
    </row>
    <row outlineLevel="0" r="743">
      <c r="A743" s="3452" t="inlineStr">
        <is>
          <t>00022400020190642</t>
        </is>
      </c>
      <c r="B743" s="3452" t="inlineStr">
        <is>
          <t>42</t>
        </is>
      </c>
      <c r="C743" s="3452" t="inlineStr">
        <is>
          <t>000224000</t>
        </is>
      </c>
      <c r="D743" s="3452" t="inlineStr">
        <is>
          <t>201906</t>
        </is>
      </c>
      <c r="E743" s="3452" t="inlineStr">
        <is>
          <t>0,000000000000</t>
        </is>
      </c>
    </row>
    <row outlineLevel="0" r="744">
      <c r="A744" s="3452" t="inlineStr">
        <is>
          <t>00022400020190651</t>
        </is>
      </c>
      <c r="B744" s="3452" t="inlineStr">
        <is>
          <t>51</t>
        </is>
      </c>
      <c r="C744" s="3452" t="inlineStr">
        <is>
          <t>000224000</t>
        </is>
      </c>
      <c r="D744" s="3452" t="inlineStr">
        <is>
          <t>201906</t>
        </is>
      </c>
      <c r="E744" s="3452" t="inlineStr">
        <is>
          <t>0,000000000000</t>
        </is>
      </c>
    </row>
    <row outlineLevel="0" r="745">
      <c r="A745" s="3452" t="inlineStr">
        <is>
          <t>00022400020190654</t>
        </is>
      </c>
      <c r="B745" s="3452" t="inlineStr">
        <is>
          <t>54</t>
        </is>
      </c>
      <c r="C745" s="3452" t="inlineStr">
        <is>
          <t>000224000</t>
        </is>
      </c>
      <c r="D745" s="3452" t="inlineStr">
        <is>
          <t>201906</t>
        </is>
      </c>
      <c r="E745" s="3452" t="inlineStr">
        <is>
          <t>0,000000000000</t>
        </is>
      </c>
    </row>
    <row outlineLevel="0" r="746">
      <c r="A746" s="3452" t="inlineStr">
        <is>
          <t>00022400020190653</t>
        </is>
      </c>
      <c r="B746" s="3452" t="inlineStr">
        <is>
          <t>53</t>
        </is>
      </c>
      <c r="C746" s="3452" t="inlineStr">
        <is>
          <t>000224000</t>
        </is>
      </c>
      <c r="D746" s="3452" t="inlineStr">
        <is>
          <t>201906</t>
        </is>
      </c>
      <c r="E746" s="3452" t="inlineStr">
        <is>
          <t>0,000000000000</t>
        </is>
      </c>
    </row>
    <row outlineLevel="0" r="747">
      <c r="A747" s="3452" t="inlineStr">
        <is>
          <t>00022400020190652</t>
        </is>
      </c>
      <c r="B747" s="3452" t="inlineStr">
        <is>
          <t>52</t>
        </is>
      </c>
      <c r="C747" s="3452" t="inlineStr">
        <is>
          <t>000224000</t>
        </is>
      </c>
      <c r="D747" s="3452" t="inlineStr">
        <is>
          <t>201906</t>
        </is>
      </c>
      <c r="E747" s="3452" t="inlineStr">
        <is>
          <t>100,000000000000</t>
        </is>
      </c>
    </row>
    <row outlineLevel="0" r="748">
      <c r="A748" s="3452" t="inlineStr">
        <is>
          <t>00022400020190661</t>
        </is>
      </c>
      <c r="B748" s="3452" t="inlineStr">
        <is>
          <t>61</t>
        </is>
      </c>
      <c r="C748" s="3452" t="inlineStr">
        <is>
          <t>000224000</t>
        </is>
      </c>
      <c r="D748" s="3452" t="inlineStr">
        <is>
          <t>201906</t>
        </is>
      </c>
      <c r="E748" s="3452" t="inlineStr">
        <is>
          <t>0,000000000000</t>
        </is>
      </c>
    </row>
    <row outlineLevel="0" r="749">
      <c r="A749" s="3452" t="inlineStr">
        <is>
          <t>00022400020190696</t>
        </is>
      </c>
      <c r="B749" s="3452" t="inlineStr">
        <is>
          <t>96</t>
        </is>
      </c>
      <c r="C749" s="3452" t="inlineStr">
        <is>
          <t>000224000</t>
        </is>
      </c>
      <c r="D749" s="3452" t="inlineStr">
        <is>
          <t>201906</t>
        </is>
      </c>
      <c r="E749" s="3452" t="inlineStr">
        <is>
          <t>114,000000000000</t>
        </is>
      </c>
    </row>
    <row outlineLevel="0" r="750">
      <c r="A750" s="3452" t="inlineStr">
        <is>
          <t>00022400020190695</t>
        </is>
      </c>
      <c r="B750" s="3452" t="inlineStr">
        <is>
          <t>95</t>
        </is>
      </c>
      <c r="C750" s="3452" t="inlineStr">
        <is>
          <t>000224000</t>
        </is>
      </c>
      <c r="D750" s="3452" t="inlineStr">
        <is>
          <t>201906</t>
        </is>
      </c>
      <c r="E750" s="3452" t="inlineStr">
        <is>
          <t>214,000000000000</t>
        </is>
      </c>
    </row>
    <row outlineLevel="0" r="751">
      <c r="A751" s="3452" t="inlineStr">
        <is>
          <t>00022400020190697</t>
        </is>
      </c>
      <c r="B751" s="3452" t="inlineStr">
        <is>
          <t>97</t>
        </is>
      </c>
      <c r="C751" s="3452" t="inlineStr">
        <is>
          <t>000224000</t>
        </is>
      </c>
      <c r="D751" s="3452" t="inlineStr">
        <is>
          <t>201906</t>
        </is>
      </c>
      <c r="E751" s="3452" t="inlineStr">
        <is>
          <t>114,000000000000</t>
        </is>
      </c>
    </row>
    <row outlineLevel="0" r="752">
      <c r="A752" s="3452" t="inlineStr">
        <is>
          <t>00022400020190698</t>
        </is>
      </c>
      <c r="B752" s="3452" t="inlineStr">
        <is>
          <t>98</t>
        </is>
      </c>
      <c r="C752" s="3452" t="inlineStr">
        <is>
          <t>000224000</t>
        </is>
      </c>
      <c r="D752" s="3452" t="inlineStr">
        <is>
          <t>201906</t>
        </is>
      </c>
      <c r="E752" s="3452" t="inlineStr">
        <is>
          <t>0,000000000000</t>
        </is>
      </c>
    </row>
    <row outlineLevel="0" r="753">
      <c r="A753" s="3452" t="inlineStr">
        <is>
          <t>0002240002019061102</t>
        </is>
      </c>
      <c r="B753" s="3452" t="inlineStr">
        <is>
          <t>1102</t>
        </is>
      </c>
      <c r="C753" s="3452" t="inlineStr">
        <is>
          <t>000224000</t>
        </is>
      </c>
      <c r="D753" s="3452" t="inlineStr">
        <is>
          <t>201906</t>
        </is>
      </c>
      <c r="E753" s="3452" t="inlineStr">
        <is>
          <t>0,000000000000</t>
        </is>
      </c>
    </row>
    <row outlineLevel="0" r="754">
      <c r="A754" s="3452" t="inlineStr">
        <is>
          <t>0002240002019061101</t>
        </is>
      </c>
      <c r="B754" s="3452" t="inlineStr">
        <is>
          <t>1101</t>
        </is>
      </c>
      <c r="C754" s="3452" t="inlineStr">
        <is>
          <t>000224000</t>
        </is>
      </c>
      <c r="D754" s="3452" t="inlineStr">
        <is>
          <t>201906</t>
        </is>
      </c>
      <c r="E754" s="3452" t="inlineStr">
        <is>
          <t>20000,000000000000</t>
        </is>
      </c>
    </row>
    <row outlineLevel="0" r="755">
      <c r="A755" s="3452" t="inlineStr">
        <is>
          <t>00022400020190699</t>
        </is>
      </c>
      <c r="B755" s="3452" t="inlineStr">
        <is>
          <t>99</t>
        </is>
      </c>
      <c r="C755" s="3452" t="inlineStr">
        <is>
          <t>000224000</t>
        </is>
      </c>
      <c r="D755" s="3452" t="inlineStr">
        <is>
          <t>201906</t>
        </is>
      </c>
      <c r="E755" s="3452" t="inlineStr">
        <is>
          <t>114,000000000000</t>
        </is>
      </c>
    </row>
    <row outlineLevel="0" r="756">
      <c r="A756" s="3452" t="inlineStr">
        <is>
          <t>0002240002019061103</t>
        </is>
      </c>
      <c r="B756" s="3452" t="inlineStr">
        <is>
          <t>1103</t>
        </is>
      </c>
      <c r="C756" s="3452" t="inlineStr">
        <is>
          <t>000224000</t>
        </is>
      </c>
      <c r="D756" s="3452" t="inlineStr">
        <is>
          <t>201906</t>
        </is>
      </c>
      <c r="E756" s="3452" t="inlineStr">
        <is>
          <t>0,000000000000</t>
        </is>
      </c>
    </row>
    <row outlineLevel="0" r="757">
      <c r="A757" s="3452" t="inlineStr">
        <is>
          <t>0002240002019061106</t>
        </is>
      </c>
      <c r="B757" s="3452" t="inlineStr">
        <is>
          <t>1106</t>
        </is>
      </c>
      <c r="C757" s="3452" t="inlineStr">
        <is>
          <t>000224000</t>
        </is>
      </c>
      <c r="D757" s="3452" t="inlineStr">
        <is>
          <t>201906</t>
        </is>
      </c>
      <c r="E757" s="3452" t="inlineStr">
        <is>
          <t>0,000000000000</t>
        </is>
      </c>
    </row>
    <row outlineLevel="0" r="758">
      <c r="A758" s="3452" t="inlineStr">
        <is>
          <t>0002240002019061104</t>
        </is>
      </c>
      <c r="B758" s="3452" t="inlineStr">
        <is>
          <t>1104</t>
        </is>
      </c>
      <c r="C758" s="3452" t="inlineStr">
        <is>
          <t>000224000</t>
        </is>
      </c>
      <c r="D758" s="3452" t="inlineStr">
        <is>
          <t>201906</t>
        </is>
      </c>
      <c r="E758" s="3452" t="inlineStr">
        <is>
          <t>0,000000000000</t>
        </is>
      </c>
    </row>
    <row outlineLevel="0" r="759">
      <c r="A759" s="3452" t="inlineStr">
        <is>
          <t>0002240002019061107</t>
        </is>
      </c>
      <c r="B759" s="3452" t="inlineStr">
        <is>
          <t>1107</t>
        </is>
      </c>
      <c r="C759" s="3452" t="inlineStr">
        <is>
          <t>000224000</t>
        </is>
      </c>
      <c r="D759" s="3452" t="inlineStr">
        <is>
          <t>201906</t>
        </is>
      </c>
      <c r="E759" s="3452" t="inlineStr">
        <is>
          <t>0,000000000000</t>
        </is>
      </c>
    </row>
    <row outlineLevel="0" r="760">
      <c r="A760" s="3452" t="inlineStr">
        <is>
          <t>0002240002019061201</t>
        </is>
      </c>
      <c r="B760" s="3452" t="inlineStr">
        <is>
          <t>1201</t>
        </is>
      </c>
      <c r="C760" s="3452" t="inlineStr">
        <is>
          <t>000224000</t>
        </is>
      </c>
      <c r="D760" s="3452" t="inlineStr">
        <is>
          <t>201906</t>
        </is>
      </c>
      <c r="E760" s="3452" t="inlineStr">
        <is>
          <t>400000,000000000000</t>
        </is>
      </c>
    </row>
    <row outlineLevel="0" r="761">
      <c r="A761" s="3452" t="inlineStr">
        <is>
          <t>0002240002019061205</t>
        </is>
      </c>
      <c r="B761" s="3452" t="inlineStr">
        <is>
          <t>1205</t>
        </is>
      </c>
      <c r="C761" s="3452" t="inlineStr">
        <is>
          <t>000224000</t>
        </is>
      </c>
      <c r="D761" s="3452" t="inlineStr">
        <is>
          <t>201906</t>
        </is>
      </c>
      <c r="E761" s="3452" t="inlineStr">
        <is>
          <t>0,000000000000</t>
        </is>
      </c>
    </row>
    <row outlineLevel="0" r="762">
      <c r="A762" s="3452" t="inlineStr">
        <is>
          <t>0002240002019061203</t>
        </is>
      </c>
      <c r="B762" s="3452" t="inlineStr">
        <is>
          <t>1203</t>
        </is>
      </c>
      <c r="C762" s="3452" t="inlineStr">
        <is>
          <t>000224000</t>
        </is>
      </c>
      <c r="D762" s="3452" t="inlineStr">
        <is>
          <t>201906</t>
        </is>
      </c>
      <c r="E762" s="3452" t="inlineStr">
        <is>
          <t>0,000000000000</t>
        </is>
      </c>
    </row>
    <row outlineLevel="0" r="763">
      <c r="A763" s="3452" t="inlineStr">
        <is>
          <t>0002240002019061202</t>
        </is>
      </c>
      <c r="B763" s="3452" t="inlineStr">
        <is>
          <t>1202</t>
        </is>
      </c>
      <c r="C763" s="3452" t="inlineStr">
        <is>
          <t>000224000</t>
        </is>
      </c>
      <c r="D763" s="3452" t="inlineStr">
        <is>
          <t>201906</t>
        </is>
      </c>
      <c r="E763" s="3452" t="inlineStr">
        <is>
          <t>0,000000000000</t>
        </is>
      </c>
    </row>
    <row outlineLevel="0" r="764">
      <c r="A764" s="3452" t="inlineStr">
        <is>
          <t>0002240002019061206</t>
        </is>
      </c>
      <c r="B764" s="3452" t="inlineStr">
        <is>
          <t>1206</t>
        </is>
      </c>
      <c r="C764" s="3452" t="inlineStr">
        <is>
          <t>000224000</t>
        </is>
      </c>
      <c r="D764" s="3452" t="inlineStr">
        <is>
          <t>201906</t>
        </is>
      </c>
      <c r="E764" s="3452" t="inlineStr">
        <is>
          <t>0,000000000000</t>
        </is>
      </c>
    </row>
    <row outlineLevel="0" r="765">
      <c r="A765" s="3452" t="inlineStr">
        <is>
          <t>0002240002019061208</t>
        </is>
      </c>
      <c r="B765" s="3452" t="inlineStr">
        <is>
          <t>1208</t>
        </is>
      </c>
      <c r="C765" s="3452" t="inlineStr">
        <is>
          <t>000224000</t>
        </is>
      </c>
      <c r="D765" s="3452" t="inlineStr">
        <is>
          <t>201906</t>
        </is>
      </c>
      <c r="E765" s="3452" t="inlineStr">
        <is>
          <t>0,000000000000</t>
        </is>
      </c>
    </row>
    <row outlineLevel="0" r="766">
      <c r="A766" s="3452" t="inlineStr">
        <is>
          <t>0002240002019061207</t>
        </is>
      </c>
      <c r="B766" s="3452" t="inlineStr">
        <is>
          <t>1207</t>
        </is>
      </c>
      <c r="C766" s="3452" t="inlineStr">
        <is>
          <t>000224000</t>
        </is>
      </c>
      <c r="D766" s="3452" t="inlineStr">
        <is>
          <t>201906</t>
        </is>
      </c>
      <c r="E766" s="3452" t="inlineStr">
        <is>
          <t>0,000000000000</t>
        </is>
      </c>
    </row>
    <row outlineLevel="0" r="767">
      <c r="A767" s="3452" t="inlineStr">
        <is>
          <t>0002240002019062101</t>
        </is>
      </c>
      <c r="B767" s="3452" t="inlineStr">
        <is>
          <t>2101</t>
        </is>
      </c>
      <c r="C767" s="3452" t="inlineStr">
        <is>
          <t>000224000</t>
        </is>
      </c>
      <c r="D767" s="3452" t="inlineStr">
        <is>
          <t>201906</t>
        </is>
      </c>
      <c r="E767" s="3452" t="inlineStr">
        <is>
          <t>150000,000000000000</t>
        </is>
      </c>
    </row>
    <row outlineLevel="0" r="768">
      <c r="A768" s="3452" t="inlineStr">
        <is>
          <t>0002240002019062102</t>
        </is>
      </c>
      <c r="B768" s="3452" t="inlineStr">
        <is>
          <t>2102</t>
        </is>
      </c>
      <c r="C768" s="3452" t="inlineStr">
        <is>
          <t>000224000</t>
        </is>
      </c>
      <c r="D768" s="3452" t="inlineStr">
        <is>
          <t>201906</t>
        </is>
      </c>
      <c r="E768" s="3452" t="inlineStr">
        <is>
          <t>0,000000000000</t>
        </is>
      </c>
    </row>
    <row outlineLevel="0" r="769">
      <c r="A769" s="3452" t="inlineStr">
        <is>
          <t>0002240002019062105</t>
        </is>
      </c>
      <c r="B769" s="3452" t="inlineStr">
        <is>
          <t>2105</t>
        </is>
      </c>
      <c r="C769" s="3452" t="inlineStr">
        <is>
          <t>000224000</t>
        </is>
      </c>
      <c r="D769" s="3452" t="inlineStr">
        <is>
          <t>201906</t>
        </is>
      </c>
      <c r="E769" s="3452" t="inlineStr">
        <is>
          <t>0,000000000000</t>
        </is>
      </c>
    </row>
    <row outlineLevel="0" r="770">
      <c r="A770" s="3452" t="inlineStr">
        <is>
          <t>0002240002019062104</t>
        </is>
      </c>
      <c r="B770" s="3452" t="inlineStr">
        <is>
          <t>2104</t>
        </is>
      </c>
      <c r="C770" s="3452" t="inlineStr">
        <is>
          <t>000224000</t>
        </is>
      </c>
      <c r="D770" s="3452" t="inlineStr">
        <is>
          <t>201906</t>
        </is>
      </c>
      <c r="E770" s="3452" t="inlineStr">
        <is>
          <t>0,000000000000</t>
        </is>
      </c>
    </row>
    <row outlineLevel="0" r="771">
      <c r="A771" s="3452" t="inlineStr">
        <is>
          <t>0002240002019062103</t>
        </is>
      </c>
      <c r="B771" s="3452" t="inlineStr">
        <is>
          <t>2103</t>
        </is>
      </c>
      <c r="C771" s="3452" t="inlineStr">
        <is>
          <t>000224000</t>
        </is>
      </c>
      <c r="D771" s="3452" t="inlineStr">
        <is>
          <t>201906</t>
        </is>
      </c>
      <c r="E771" s="3452" t="inlineStr">
        <is>
          <t>0,000000000000</t>
        </is>
      </c>
    </row>
    <row outlineLevel="0" r="772">
      <c r="A772" s="3452" t="inlineStr">
        <is>
          <t>0002240002019062106</t>
        </is>
      </c>
      <c r="B772" s="3452" t="inlineStr">
        <is>
          <t>2106</t>
        </is>
      </c>
      <c r="C772" s="3452" t="inlineStr">
        <is>
          <t>000224000</t>
        </is>
      </c>
      <c r="D772" s="3452" t="inlineStr">
        <is>
          <t>201906</t>
        </is>
      </c>
      <c r="E772" s="3452" t="inlineStr">
        <is>
          <t>0,000000000000</t>
        </is>
      </c>
    </row>
    <row outlineLevel="0" r="773">
      <c r="A773" s="3452" t="inlineStr">
        <is>
          <t>0002240002019062109</t>
        </is>
      </c>
      <c r="B773" s="3452" t="inlineStr">
        <is>
          <t>2109</t>
        </is>
      </c>
      <c r="C773" s="3452" t="inlineStr">
        <is>
          <t>000224000</t>
        </is>
      </c>
      <c r="D773" s="3452" t="inlineStr">
        <is>
          <t>201906</t>
        </is>
      </c>
      <c r="E773" s="3452" t="inlineStr">
        <is>
          <t>0,000000000000</t>
        </is>
      </c>
    </row>
    <row outlineLevel="0" r="774">
      <c r="A774" s="3452" t="inlineStr">
        <is>
          <t>0002240002019062107</t>
        </is>
      </c>
      <c r="B774" s="3452" t="inlineStr">
        <is>
          <t>2107</t>
        </is>
      </c>
      <c r="C774" s="3452" t="inlineStr">
        <is>
          <t>000224000</t>
        </is>
      </c>
      <c r="D774" s="3452" t="inlineStr">
        <is>
          <t>201906</t>
        </is>
      </c>
      <c r="E774" s="3452" t="inlineStr">
        <is>
          <t>0,000000000000</t>
        </is>
      </c>
    </row>
    <row outlineLevel="0" r="775">
      <c r="A775" s="3452" t="inlineStr">
        <is>
          <t>0002240002019062201</t>
        </is>
      </c>
      <c r="B775" s="3452" t="inlineStr">
        <is>
          <t>2201</t>
        </is>
      </c>
      <c r="C775" s="3452" t="inlineStr">
        <is>
          <t>000224000</t>
        </is>
      </c>
      <c r="D775" s="3452" t="inlineStr">
        <is>
          <t>201906</t>
        </is>
      </c>
      <c r="E775" s="3452" t="inlineStr">
        <is>
          <t>0,000000000000</t>
        </is>
      </c>
    </row>
    <row outlineLevel="0" r="776">
      <c r="A776" s="3452" t="inlineStr">
        <is>
          <t>0002240002019062203</t>
        </is>
      </c>
      <c r="B776" s="3452" t="inlineStr">
        <is>
          <t>2203</t>
        </is>
      </c>
      <c r="C776" s="3452" t="inlineStr">
        <is>
          <t>000224000</t>
        </is>
      </c>
      <c r="D776" s="3452" t="inlineStr">
        <is>
          <t>201906</t>
        </is>
      </c>
      <c r="E776" s="3452" t="inlineStr">
        <is>
          <t>0,000000000000</t>
        </is>
      </c>
    </row>
    <row outlineLevel="0" r="777">
      <c r="A777" s="3452" t="inlineStr">
        <is>
          <t>0002240002019062207</t>
        </is>
      </c>
      <c r="B777" s="3452" t="inlineStr">
        <is>
          <t>2207</t>
        </is>
      </c>
      <c r="C777" s="3452" t="inlineStr">
        <is>
          <t>000224000</t>
        </is>
      </c>
      <c r="D777" s="3452" t="inlineStr">
        <is>
          <t>201906</t>
        </is>
      </c>
      <c r="E777" s="3452" t="inlineStr">
        <is>
          <t>0,000000000000</t>
        </is>
      </c>
    </row>
    <row outlineLevel="0" r="778">
      <c r="A778" s="3452" t="inlineStr">
        <is>
          <t>0002240002019062206</t>
        </is>
      </c>
      <c r="B778" s="3452" t="inlineStr">
        <is>
          <t>2206</t>
        </is>
      </c>
      <c r="C778" s="3452" t="inlineStr">
        <is>
          <t>000224000</t>
        </is>
      </c>
      <c r="D778" s="3452" t="inlineStr">
        <is>
          <t>201906</t>
        </is>
      </c>
      <c r="E778" s="3452" t="inlineStr">
        <is>
          <t>0,000000000000</t>
        </is>
      </c>
    </row>
    <row outlineLevel="0" r="779">
      <c r="A779" s="3452" t="inlineStr">
        <is>
          <t>0002240002019062204</t>
        </is>
      </c>
      <c r="B779" s="3452" t="inlineStr">
        <is>
          <t>2204</t>
        </is>
      </c>
      <c r="C779" s="3452" t="inlineStr">
        <is>
          <t>000224000</t>
        </is>
      </c>
      <c r="D779" s="3452" t="inlineStr">
        <is>
          <t>201906</t>
        </is>
      </c>
      <c r="E779" s="3452" t="inlineStr">
        <is>
          <t>0,000000000000</t>
        </is>
      </c>
    </row>
    <row outlineLevel="0" r="780">
      <c r="A780" s="3452" t="inlineStr">
        <is>
          <t>0002240002019062209</t>
        </is>
      </c>
      <c r="B780" s="3452" t="inlineStr">
        <is>
          <t>2209</t>
        </is>
      </c>
      <c r="C780" s="3452" t="inlineStr">
        <is>
          <t>000224000</t>
        </is>
      </c>
      <c r="D780" s="3452" t="inlineStr">
        <is>
          <t>201906</t>
        </is>
      </c>
      <c r="E780" s="3452" t="inlineStr">
        <is>
          <t>0,000000000000</t>
        </is>
      </c>
    </row>
    <row outlineLevel="0" r="781">
      <c r="A781" s="3452" t="inlineStr">
        <is>
          <t>000224000201906108000</t>
        </is>
      </c>
      <c r="B781" s="3452" t="inlineStr">
        <is>
          <t>108000</t>
        </is>
      </c>
      <c r="C781" s="3452" t="inlineStr">
        <is>
          <t>000224000</t>
        </is>
      </c>
      <c r="D781" s="3452" t="inlineStr">
        <is>
          <t>201906</t>
        </is>
      </c>
      <c r="E781" s="3452" t="inlineStr">
        <is>
          <t>0,000000000000</t>
        </is>
      </c>
    </row>
    <row outlineLevel="0" r="782">
      <c r="A782" s="3452" t="inlineStr">
        <is>
          <t>0002240002019065301</t>
        </is>
      </c>
      <c r="B782" s="3452" t="inlineStr">
        <is>
          <t>5301</t>
        </is>
      </c>
      <c r="C782" s="3452" t="inlineStr">
        <is>
          <t>000224000</t>
        </is>
      </c>
      <c r="D782" s="3452" t="inlineStr">
        <is>
          <t>201906</t>
        </is>
      </c>
      <c r="E782" s="3452" t="inlineStr">
        <is>
          <t>0,000000000000</t>
        </is>
      </c>
    </row>
    <row outlineLevel="0" r="783">
      <c r="A783" s="3452" t="inlineStr">
        <is>
          <t>000224000201906108100</t>
        </is>
      </c>
      <c r="B783" s="3452" t="inlineStr">
        <is>
          <t>108100</t>
        </is>
      </c>
      <c r="C783" s="3452" t="inlineStr">
        <is>
          <t>000224000</t>
        </is>
      </c>
      <c r="D783" s="3452" t="inlineStr">
        <is>
          <t>201906</t>
        </is>
      </c>
      <c r="E783" s="3452" t="inlineStr">
        <is>
          <t>0,000000000000</t>
        </is>
      </c>
    </row>
    <row outlineLevel="0" r="784">
      <c r="A784" s="3452" t="inlineStr">
        <is>
          <t>000224000201906108200</t>
        </is>
      </c>
      <c r="B784" s="3452" t="inlineStr">
        <is>
          <t>108200</t>
        </is>
      </c>
      <c r="C784" s="3452" t="inlineStr">
        <is>
          <t>000224000</t>
        </is>
      </c>
      <c r="D784" s="3452" t="inlineStr">
        <is>
          <t>201906</t>
        </is>
      </c>
      <c r="E784" s="3452" t="inlineStr">
        <is>
          <t>0,000000000000</t>
        </is>
      </c>
    </row>
    <row outlineLevel="0" r="785">
      <c r="A785" s="3452" t="inlineStr">
        <is>
          <t>000224000201906109801</t>
        </is>
      </c>
      <c r="B785" s="3452" t="inlineStr">
        <is>
          <t>109801</t>
        </is>
      </c>
      <c r="C785" s="3452" t="inlineStr">
        <is>
          <t>000224000</t>
        </is>
      </c>
      <c r="D785" s="3452" t="inlineStr">
        <is>
          <t>201906</t>
        </is>
      </c>
      <c r="E785" s="3452" t="inlineStr">
        <is>
          <t>0,000000000000</t>
        </is>
      </c>
    </row>
    <row outlineLevel="0" r="786">
      <c r="A786" s="3452" t="inlineStr">
        <is>
          <t>000224000201906108400</t>
        </is>
      </c>
      <c r="B786" s="3452" t="inlineStr">
        <is>
          <t>108400</t>
        </is>
      </c>
      <c r="C786" s="3452" t="inlineStr">
        <is>
          <t>000224000</t>
        </is>
      </c>
      <c r="D786" s="3452" t="inlineStr">
        <is>
          <t>201906</t>
        </is>
      </c>
      <c r="E786" s="3452" t="inlineStr">
        <is>
          <t>0,000000000000</t>
        </is>
      </c>
    </row>
    <row outlineLevel="0" r="787">
      <c r="A787" s="3452" t="inlineStr">
        <is>
          <t>000224000201906108300</t>
        </is>
      </c>
      <c r="B787" s="3452" t="inlineStr">
        <is>
          <t>108300</t>
        </is>
      </c>
      <c r="C787" s="3452" t="inlineStr">
        <is>
          <t>000224000</t>
        </is>
      </c>
      <c r="D787" s="3452" t="inlineStr">
        <is>
          <t>201906</t>
        </is>
      </c>
      <c r="E787" s="3452" t="inlineStr">
        <is>
          <t>0,000000000000</t>
        </is>
      </c>
    </row>
    <row outlineLevel="0" r="788">
      <c r="A788" s="3452" t="inlineStr">
        <is>
          <t>000224000201906110105</t>
        </is>
      </c>
      <c r="B788" s="3452" t="inlineStr">
        <is>
          <t>110105</t>
        </is>
      </c>
      <c r="C788" s="3452" t="inlineStr">
        <is>
          <t>000224000</t>
        </is>
      </c>
      <c r="D788" s="3452" t="inlineStr">
        <is>
          <t>201906</t>
        </is>
      </c>
      <c r="E788" s="3452" t="inlineStr">
        <is>
          <t>0,000000000000</t>
        </is>
      </c>
    </row>
    <row outlineLevel="0" r="789">
      <c r="A789" s="3452" t="inlineStr">
        <is>
          <t>000224000201906110125</t>
        </is>
      </c>
      <c r="B789" s="3452" t="inlineStr">
        <is>
          <t>110125</t>
        </is>
      </c>
      <c r="C789" s="3452" t="inlineStr">
        <is>
          <t>000224000</t>
        </is>
      </c>
      <c r="D789" s="3452" t="inlineStr">
        <is>
          <t>201906</t>
        </is>
      </c>
      <c r="E789" s="3452" t="inlineStr">
        <is>
          <t>0,000000000000</t>
        </is>
      </c>
    </row>
    <row outlineLevel="0" r="790">
      <c r="A790" s="3452" t="inlineStr">
        <is>
          <t>000224000201906110110</t>
        </is>
      </c>
      <c r="B790" s="3452" t="inlineStr">
        <is>
          <t>110110</t>
        </is>
      </c>
      <c r="C790" s="3452" t="inlineStr">
        <is>
          <t>000224000</t>
        </is>
      </c>
      <c r="D790" s="3452" t="inlineStr">
        <is>
          <t>201906</t>
        </is>
      </c>
      <c r="E790" s="3452" t="inlineStr">
        <is>
          <t>20000,000000000000</t>
        </is>
      </c>
    </row>
    <row outlineLevel="0" r="791">
      <c r="A791" s="3452" t="inlineStr">
        <is>
          <t>000224000201906110130</t>
        </is>
      </c>
      <c r="B791" s="3452" t="inlineStr">
        <is>
          <t>110130</t>
        </is>
      </c>
      <c r="C791" s="3452" t="inlineStr">
        <is>
          <t>000224000</t>
        </is>
      </c>
      <c r="D791" s="3452" t="inlineStr">
        <is>
          <t>201906</t>
        </is>
      </c>
      <c r="E791" s="3452" t="inlineStr">
        <is>
          <t>0,000000000000</t>
        </is>
      </c>
    </row>
    <row outlineLevel="0" r="792">
      <c r="A792" s="3452" t="inlineStr">
        <is>
          <t>000224000201906110205</t>
        </is>
      </c>
      <c r="B792" s="3452" t="inlineStr">
        <is>
          <t>110205</t>
        </is>
      </c>
      <c r="C792" s="3452" t="inlineStr">
        <is>
          <t>000224000</t>
        </is>
      </c>
      <c r="D792" s="3452" t="inlineStr">
        <is>
          <t>201906</t>
        </is>
      </c>
      <c r="E792" s="3452" t="inlineStr">
        <is>
          <t>0,000000000000</t>
        </is>
      </c>
    </row>
    <row outlineLevel="0" r="793">
      <c r="A793" s="3452" t="inlineStr">
        <is>
          <t>000224000201906110225</t>
        </is>
      </c>
      <c r="B793" s="3452" t="inlineStr">
        <is>
          <t>110225</t>
        </is>
      </c>
      <c r="C793" s="3452" t="inlineStr">
        <is>
          <t>000224000</t>
        </is>
      </c>
      <c r="D793" s="3452" t="inlineStr">
        <is>
          <t>201906</t>
        </is>
      </c>
      <c r="E793" s="3452" t="inlineStr">
        <is>
          <t>0,000000000000</t>
        </is>
      </c>
    </row>
    <row outlineLevel="0" r="794">
      <c r="A794" s="3452" t="inlineStr">
        <is>
          <t>000224000201906110215</t>
        </is>
      </c>
      <c r="B794" s="3452" t="inlineStr">
        <is>
          <t>110215</t>
        </is>
      </c>
      <c r="C794" s="3452" t="inlineStr">
        <is>
          <t>000224000</t>
        </is>
      </c>
      <c r="D794" s="3452" t="inlineStr">
        <is>
          <t>201906</t>
        </is>
      </c>
      <c r="E794" s="3452" t="inlineStr">
        <is>
          <t>0,000000000000</t>
        </is>
      </c>
    </row>
    <row outlineLevel="0" r="795">
      <c r="A795" s="3452" t="inlineStr">
        <is>
          <t>000224000201906110210</t>
        </is>
      </c>
      <c r="B795" s="3452" t="inlineStr">
        <is>
          <t>110210</t>
        </is>
      </c>
      <c r="C795" s="3452" t="inlineStr">
        <is>
          <t>000224000</t>
        </is>
      </c>
      <c r="D795" s="3452" t="inlineStr">
        <is>
          <t>201906</t>
        </is>
      </c>
      <c r="E795" s="3452" t="inlineStr">
        <is>
          <t>0,000000000000</t>
        </is>
      </c>
    </row>
    <row outlineLevel="0" r="796">
      <c r="A796" s="3452" t="inlineStr">
        <is>
          <t>000224000201906110235</t>
        </is>
      </c>
      <c r="B796" s="3452" t="inlineStr">
        <is>
          <t>110235</t>
        </is>
      </c>
      <c r="C796" s="3452" t="inlineStr">
        <is>
          <t>000224000</t>
        </is>
      </c>
      <c r="D796" s="3452" t="inlineStr">
        <is>
          <t>201906</t>
        </is>
      </c>
      <c r="E796" s="3452" t="inlineStr">
        <is>
          <t>0,000000000000</t>
        </is>
      </c>
    </row>
    <row outlineLevel="0" r="797">
      <c r="A797" s="3452" t="inlineStr">
        <is>
          <t>000224000201906110260</t>
        </is>
      </c>
      <c r="B797" s="3452" t="inlineStr">
        <is>
          <t>110260</t>
        </is>
      </c>
      <c r="C797" s="3452" t="inlineStr">
        <is>
          <t>000224000</t>
        </is>
      </c>
      <c r="D797" s="3452" t="inlineStr">
        <is>
          <t>201906</t>
        </is>
      </c>
      <c r="E797" s="3452" t="inlineStr">
        <is>
          <t>0,000000000000</t>
        </is>
      </c>
    </row>
    <row outlineLevel="0" r="798">
      <c r="A798" s="3452" t="inlineStr">
        <is>
          <t>000224000201906110255</t>
        </is>
      </c>
      <c r="B798" s="3452" t="inlineStr">
        <is>
          <t>110255</t>
        </is>
      </c>
      <c r="C798" s="3452" t="inlineStr">
        <is>
          <t>000224000</t>
        </is>
      </c>
      <c r="D798" s="3452" t="inlineStr">
        <is>
          <t>201906</t>
        </is>
      </c>
      <c r="E798" s="3452" t="inlineStr">
        <is>
          <t>0,000000000000</t>
        </is>
      </c>
    </row>
    <row outlineLevel="0" r="799">
      <c r="A799" s="3452" t="inlineStr">
        <is>
          <t>000224000201906110305</t>
        </is>
      </c>
      <c r="B799" s="3452" t="inlineStr">
        <is>
          <t>110305</t>
        </is>
      </c>
      <c r="C799" s="3452" t="inlineStr">
        <is>
          <t>000224000</t>
        </is>
      </c>
      <c r="D799" s="3452" t="inlineStr">
        <is>
          <t>201906</t>
        </is>
      </c>
      <c r="E799" s="3452" t="inlineStr">
        <is>
          <t>0,000000000000</t>
        </is>
      </c>
    </row>
    <row outlineLevel="0" r="800">
      <c r="A800" s="3452" t="inlineStr">
        <is>
          <t>000224000201906110390</t>
        </is>
      </c>
      <c r="B800" s="3452" t="inlineStr">
        <is>
          <t>110390</t>
        </is>
      </c>
      <c r="C800" s="3452" t="inlineStr">
        <is>
          <t>000224000</t>
        </is>
      </c>
      <c r="D800" s="3452" t="inlineStr">
        <is>
          <t>201906</t>
        </is>
      </c>
      <c r="E800" s="3452" t="inlineStr">
        <is>
          <t>0,000000000000</t>
        </is>
      </c>
    </row>
    <row outlineLevel="0" r="801">
      <c r="A801" s="3452" t="inlineStr">
        <is>
          <t>000224000201906110410</t>
        </is>
      </c>
      <c r="B801" s="3452" t="inlineStr">
        <is>
          <t>110410</t>
        </is>
      </c>
      <c r="C801" s="3452" t="inlineStr">
        <is>
          <t>000224000</t>
        </is>
      </c>
      <c r="D801" s="3452" t="inlineStr">
        <is>
          <t>201906</t>
        </is>
      </c>
      <c r="E801" s="3452" t="inlineStr">
        <is>
          <t>0,000000000000</t>
        </is>
      </c>
    </row>
    <row outlineLevel="0" r="802">
      <c r="A802" s="3452" t="inlineStr">
        <is>
          <t>000224000201906110405</t>
        </is>
      </c>
      <c r="B802" s="3452" t="inlineStr">
        <is>
          <t>110405</t>
        </is>
      </c>
      <c r="C802" s="3452" t="inlineStr">
        <is>
          <t>000224000</t>
        </is>
      </c>
      <c r="D802" s="3452" t="inlineStr">
        <is>
          <t>201906</t>
        </is>
      </c>
      <c r="E802" s="3452" t="inlineStr">
        <is>
          <t>0,000000000000</t>
        </is>
      </c>
    </row>
    <row outlineLevel="0" r="803">
      <c r="A803" s="3452" t="inlineStr">
        <is>
          <t>000224000201906110395</t>
        </is>
      </c>
      <c r="B803" s="3452" t="inlineStr">
        <is>
          <t>110395</t>
        </is>
      </c>
      <c r="C803" s="3452" t="inlineStr">
        <is>
          <t>000224000</t>
        </is>
      </c>
      <c r="D803" s="3452" t="inlineStr">
        <is>
          <t>201906</t>
        </is>
      </c>
      <c r="E803" s="3452" t="inlineStr">
        <is>
          <t>0,000000000000</t>
        </is>
      </c>
    </row>
    <row outlineLevel="0" r="804">
      <c r="A804" s="3452" t="inlineStr">
        <is>
          <t>000224000201906110415</t>
        </is>
      </c>
      <c r="B804" s="3452" t="inlineStr">
        <is>
          <t>110415</t>
        </is>
      </c>
      <c r="C804" s="3452" t="inlineStr">
        <is>
          <t>000224000</t>
        </is>
      </c>
      <c r="D804" s="3452" t="inlineStr">
        <is>
          <t>201906</t>
        </is>
      </c>
      <c r="E804" s="3452" t="inlineStr">
        <is>
          <t>0,000000000000</t>
        </is>
      </c>
    </row>
    <row outlineLevel="0" r="805">
      <c r="A805" s="3452" t="inlineStr">
        <is>
          <t>000224000201906110490</t>
        </is>
      </c>
      <c r="B805" s="3452" t="inlineStr">
        <is>
          <t>110490</t>
        </is>
      </c>
      <c r="C805" s="3452" t="inlineStr">
        <is>
          <t>000224000</t>
        </is>
      </c>
      <c r="D805" s="3452" t="inlineStr">
        <is>
          <t>201906</t>
        </is>
      </c>
      <c r="E805" s="3452" t="inlineStr">
        <is>
          <t>0,000000000000</t>
        </is>
      </c>
    </row>
    <row outlineLevel="0" r="806">
      <c r="A806" s="3452" t="inlineStr">
        <is>
          <t>000224000201906110420</t>
        </is>
      </c>
      <c r="B806" s="3452" t="inlineStr">
        <is>
          <t>110420</t>
        </is>
      </c>
      <c r="C806" s="3452" t="inlineStr">
        <is>
          <t>000224000</t>
        </is>
      </c>
      <c r="D806" s="3452" t="inlineStr">
        <is>
          <t>201906</t>
        </is>
      </c>
      <c r="E806" s="3452" t="inlineStr">
        <is>
          <t>0,000000000000</t>
        </is>
      </c>
    </row>
    <row outlineLevel="0" r="807">
      <c r="A807" s="3452" t="inlineStr">
        <is>
          <t>000224000201906110491</t>
        </is>
      </c>
      <c r="B807" s="3452" t="inlineStr">
        <is>
          <t>110491</t>
        </is>
      </c>
      <c r="C807" s="3452" t="inlineStr">
        <is>
          <t>000224000</t>
        </is>
      </c>
      <c r="D807" s="3452" t="inlineStr">
        <is>
          <t>201906</t>
        </is>
      </c>
      <c r="E807" s="3452" t="inlineStr">
        <is>
          <t>0,000000000000</t>
        </is>
      </c>
    </row>
    <row outlineLevel="0" r="808">
      <c r="A808" s="3452" t="inlineStr">
        <is>
          <t>000224000201906110495</t>
        </is>
      </c>
      <c r="B808" s="3452" t="inlineStr">
        <is>
          <t>110495</t>
        </is>
      </c>
      <c r="C808" s="3452" t="inlineStr">
        <is>
          <t>000224000</t>
        </is>
      </c>
      <c r="D808" s="3452" t="inlineStr">
        <is>
          <t>201906</t>
        </is>
      </c>
      <c r="E808" s="3452" t="inlineStr">
        <is>
          <t>0,000000000000</t>
        </is>
      </c>
    </row>
    <row outlineLevel="0" r="809">
      <c r="A809" s="3452" t="inlineStr">
        <is>
          <t>000224000201906120108</t>
        </is>
      </c>
      <c r="B809" s="3452" t="inlineStr">
        <is>
          <t>120108</t>
        </is>
      </c>
      <c r="C809" s="3452" t="inlineStr">
        <is>
          <t>000224000</t>
        </is>
      </c>
      <c r="D809" s="3452" t="inlineStr">
        <is>
          <t>201906</t>
        </is>
      </c>
      <c r="E809" s="3452" t="inlineStr">
        <is>
          <t>0,000000000000</t>
        </is>
      </c>
    </row>
    <row outlineLevel="0" r="810">
      <c r="A810" s="3452" t="inlineStr">
        <is>
          <t>000224000201906120104</t>
        </is>
      </c>
      <c r="B810" s="3452" t="inlineStr">
        <is>
          <t>120104</t>
        </is>
      </c>
      <c r="C810" s="3452" t="inlineStr">
        <is>
          <t>000224000</t>
        </is>
      </c>
      <c r="D810" s="3452" t="inlineStr">
        <is>
          <t>201906</t>
        </is>
      </c>
      <c r="E810" s="3452" t="inlineStr">
        <is>
          <t>0,000000000000</t>
        </is>
      </c>
    </row>
    <row outlineLevel="0" r="811">
      <c r="A811" s="3452" t="inlineStr">
        <is>
          <t>000224000201906111010</t>
        </is>
      </c>
      <c r="B811" s="3452" t="inlineStr">
        <is>
          <t>111010</t>
        </is>
      </c>
      <c r="C811" s="3452" t="inlineStr">
        <is>
          <t>000224000</t>
        </is>
      </c>
      <c r="D811" s="3452" t="inlineStr">
        <is>
          <t>201906</t>
        </is>
      </c>
      <c r="E811" s="3452" t="inlineStr">
        <is>
          <t>0,000000000000</t>
        </is>
      </c>
    </row>
    <row outlineLevel="0" r="812">
      <c r="A812" s="3452" t="inlineStr">
        <is>
          <t>000224000201906120116</t>
        </is>
      </c>
      <c r="B812" s="3452" t="inlineStr">
        <is>
          <t>120116</t>
        </is>
      </c>
      <c r="C812" s="3452" t="inlineStr">
        <is>
          <t>000224000</t>
        </is>
      </c>
      <c r="D812" s="3452" t="inlineStr">
        <is>
          <t>201906</t>
        </is>
      </c>
      <c r="E812" s="3452" t="inlineStr">
        <is>
          <t>0,000000000000</t>
        </is>
      </c>
    </row>
    <row outlineLevel="0" r="813">
      <c r="A813" s="3452" t="inlineStr">
        <is>
          <t>000224000201906120124</t>
        </is>
      </c>
      <c r="B813" s="3452" t="inlineStr">
        <is>
          <t>120124</t>
        </is>
      </c>
      <c r="C813" s="3452" t="inlineStr">
        <is>
          <t>000224000</t>
        </is>
      </c>
      <c r="D813" s="3452" t="inlineStr">
        <is>
          <t>201906</t>
        </is>
      </c>
      <c r="E813" s="3452" t="inlineStr">
        <is>
          <t>400000,000000000000</t>
        </is>
      </c>
    </row>
    <row outlineLevel="0" r="814">
      <c r="A814" s="3452" t="inlineStr">
        <is>
          <t>000224000201906120120</t>
        </is>
      </c>
      <c r="B814" s="3452" t="inlineStr">
        <is>
          <t>120120</t>
        </is>
      </c>
      <c r="C814" s="3452" t="inlineStr">
        <is>
          <t>000224000</t>
        </is>
      </c>
      <c r="D814" s="3452" t="inlineStr">
        <is>
          <t>201906</t>
        </is>
      </c>
      <c r="E814" s="3452" t="inlineStr">
        <is>
          <t>0,000000000000</t>
        </is>
      </c>
    </row>
    <row outlineLevel="0" r="815">
      <c r="A815" s="3452" t="inlineStr">
        <is>
          <t>000224000201906120128</t>
        </is>
      </c>
      <c r="B815" s="3452" t="inlineStr">
        <is>
          <t>120128</t>
        </is>
      </c>
      <c r="C815" s="3452" t="inlineStr">
        <is>
          <t>000224000</t>
        </is>
      </c>
      <c r="D815" s="3452" t="inlineStr">
        <is>
          <t>201906</t>
        </is>
      </c>
      <c r="E815" s="3452" t="inlineStr">
        <is>
          <t>0,000000000000</t>
        </is>
      </c>
    </row>
    <row outlineLevel="0" r="816">
      <c r="A816" s="3452" t="inlineStr">
        <is>
          <t>000224000201906120140</t>
        </is>
      </c>
      <c r="B816" s="3452" t="inlineStr">
        <is>
          <t>120140</t>
        </is>
      </c>
      <c r="C816" s="3452" t="inlineStr">
        <is>
          <t>000224000</t>
        </is>
      </c>
      <c r="D816" s="3452" t="inlineStr">
        <is>
          <t>201906</t>
        </is>
      </c>
      <c r="E816" s="3452" t="inlineStr">
        <is>
          <t>0,000000000000</t>
        </is>
      </c>
    </row>
    <row outlineLevel="0" r="817">
      <c r="A817" s="3452" t="inlineStr">
        <is>
          <t>000224000201906120501</t>
        </is>
      </c>
      <c r="B817" s="3452" t="inlineStr">
        <is>
          <t>120501</t>
        </is>
      </c>
      <c r="C817" s="3452" t="inlineStr">
        <is>
          <t>000224000</t>
        </is>
      </c>
      <c r="D817" s="3452" t="inlineStr">
        <is>
          <t>201906</t>
        </is>
      </c>
      <c r="E817" s="3452" t="inlineStr">
        <is>
          <t>0,000000000000</t>
        </is>
      </c>
    </row>
    <row outlineLevel="0" r="818">
      <c r="A818" s="3452" t="inlineStr">
        <is>
          <t>000224000201906120195</t>
        </is>
      </c>
      <c r="B818" s="3452" t="inlineStr">
        <is>
          <t>120195</t>
        </is>
      </c>
      <c r="C818" s="3452" t="inlineStr">
        <is>
          <t>000224000</t>
        </is>
      </c>
      <c r="D818" s="3452" t="inlineStr">
        <is>
          <t>201906</t>
        </is>
      </c>
      <c r="E818" s="3452" t="inlineStr">
        <is>
          <t>0,000000000000</t>
        </is>
      </c>
    </row>
    <row outlineLevel="0" r="819">
      <c r="A819" s="3452" t="inlineStr">
        <is>
          <t>000224000201906120145</t>
        </is>
      </c>
      <c r="B819" s="3452" t="inlineStr">
        <is>
          <t>120145</t>
        </is>
      </c>
      <c r="C819" s="3452" t="inlineStr">
        <is>
          <t>000224000</t>
        </is>
      </c>
      <c r="D819" s="3452" t="inlineStr">
        <is>
          <t>201906</t>
        </is>
      </c>
      <c r="E819" s="3452" t="inlineStr">
        <is>
          <t>0,000000000000</t>
        </is>
      </c>
    </row>
    <row outlineLevel="0" r="820">
      <c r="A820" s="3452" t="inlineStr">
        <is>
          <t>000224000201906120610</t>
        </is>
      </c>
      <c r="B820" s="3452" t="inlineStr">
        <is>
          <t>120610</t>
        </is>
      </c>
      <c r="C820" s="3452" t="inlineStr">
        <is>
          <t>000224000</t>
        </is>
      </c>
      <c r="D820" s="3452" t="inlineStr">
        <is>
          <t>201906</t>
        </is>
      </c>
      <c r="E820" s="3452" t="inlineStr">
        <is>
          <t>0,000000000000</t>
        </is>
      </c>
    </row>
    <row outlineLevel="0" r="821">
      <c r="A821" s="3452" t="inlineStr">
        <is>
          <t>000224000201906120620</t>
        </is>
      </c>
      <c r="B821" s="3452" t="inlineStr">
        <is>
          <t>120620</t>
        </is>
      </c>
      <c r="C821" s="3452" t="inlineStr">
        <is>
          <t>000224000</t>
        </is>
      </c>
      <c r="D821" s="3452" t="inlineStr">
        <is>
          <t>201906</t>
        </is>
      </c>
      <c r="E821" s="3452" t="inlineStr">
        <is>
          <t>0,000000000000</t>
        </is>
      </c>
    </row>
    <row outlineLevel="0" r="822">
      <c r="A822" s="3452" t="inlineStr">
        <is>
          <t>000224000201906120615</t>
        </is>
      </c>
      <c r="B822" s="3452" t="inlineStr">
        <is>
          <t>120615</t>
        </is>
      </c>
      <c r="C822" s="3452" t="inlineStr">
        <is>
          <t>000224000</t>
        </is>
      </c>
      <c r="D822" s="3452" t="inlineStr">
        <is>
          <t>201906</t>
        </is>
      </c>
      <c r="E822" s="3452" t="inlineStr">
        <is>
          <t>0,000000000000</t>
        </is>
      </c>
    </row>
    <row outlineLevel="0" r="823">
      <c r="A823" s="3452" t="inlineStr">
        <is>
          <t>000224000201906121001</t>
        </is>
      </c>
      <c r="B823" s="3452" t="inlineStr">
        <is>
          <t>121001</t>
        </is>
      </c>
      <c r="C823" s="3452" t="inlineStr">
        <is>
          <t>000224000</t>
        </is>
      </c>
      <c r="D823" s="3452" t="inlineStr">
        <is>
          <t>201906</t>
        </is>
      </c>
      <c r="E823" s="3452" t="inlineStr">
        <is>
          <t>0,000000000000</t>
        </is>
      </c>
    </row>
    <row outlineLevel="0" r="824">
      <c r="A824" s="3452" t="inlineStr">
        <is>
          <t>000224000201906121501</t>
        </is>
      </c>
      <c r="B824" s="3452" t="inlineStr">
        <is>
          <t>121501</t>
        </is>
      </c>
      <c r="C824" s="3452" t="inlineStr">
        <is>
          <t>000224000</t>
        </is>
      </c>
      <c r="D824" s="3452" t="inlineStr">
        <is>
          <t>201906</t>
        </is>
      </c>
      <c r="E824" s="3452" t="inlineStr">
        <is>
          <t>0,000000000000</t>
        </is>
      </c>
    </row>
    <row outlineLevel="0" r="825">
      <c r="A825" s="3452" t="inlineStr">
        <is>
          <t>000224000201906126001</t>
        </is>
      </c>
      <c r="B825" s="3452" t="inlineStr">
        <is>
          <t>126001</t>
        </is>
      </c>
      <c r="C825" s="3452" t="inlineStr">
        <is>
          <t>000224000</t>
        </is>
      </c>
      <c r="D825" s="3452" t="inlineStr">
        <is>
          <t>201906</t>
        </is>
      </c>
      <c r="E825" s="3452" t="inlineStr">
        <is>
          <t>0,000000000000</t>
        </is>
      </c>
    </row>
    <row outlineLevel="0" r="826">
      <c r="A826" s="3452" t="inlineStr">
        <is>
          <t>000224000201906125501</t>
        </is>
      </c>
      <c r="B826" s="3452" t="inlineStr">
        <is>
          <t>125501</t>
        </is>
      </c>
      <c r="C826" s="3452" t="inlineStr">
        <is>
          <t>000224000</t>
        </is>
      </c>
      <c r="D826" s="3452" t="inlineStr">
        <is>
          <t>201906</t>
        </is>
      </c>
      <c r="E826" s="3452" t="inlineStr">
        <is>
          <t>0,000000000000</t>
        </is>
      </c>
    </row>
    <row outlineLevel="0" r="827">
      <c r="A827" s="3452" t="inlineStr">
        <is>
          <t>000224000201906123501</t>
        </is>
      </c>
      <c r="B827" s="3452" t="inlineStr">
        <is>
          <t>123501</t>
        </is>
      </c>
      <c r="C827" s="3452" t="inlineStr">
        <is>
          <t>000224000</t>
        </is>
      </c>
      <c r="D827" s="3452" t="inlineStr">
        <is>
          <t>201906</t>
        </is>
      </c>
      <c r="E827" s="3452" t="inlineStr">
        <is>
          <t>0,000000000000</t>
        </is>
      </c>
    </row>
    <row outlineLevel="0" r="828">
      <c r="A828" s="3452" t="inlineStr">
        <is>
          <t>000224000201906129501</t>
        </is>
      </c>
      <c r="B828" s="3452" t="inlineStr">
        <is>
          <t>129501</t>
        </is>
      </c>
      <c r="C828" s="3452" t="inlineStr">
        <is>
          <t>000224000</t>
        </is>
      </c>
      <c r="D828" s="3452" t="inlineStr">
        <is>
          <t>201906</t>
        </is>
      </c>
      <c r="E828" s="3452" t="inlineStr">
        <is>
          <t>0,000000000000</t>
        </is>
      </c>
    </row>
    <row outlineLevel="0" r="829">
      <c r="A829" s="3452" t="inlineStr">
        <is>
          <t>000224000201906129701</t>
        </is>
      </c>
      <c r="B829" s="3452" t="inlineStr">
        <is>
          <t>129701</t>
        </is>
      </c>
      <c r="C829" s="3452" t="inlineStr">
        <is>
          <t>000224000</t>
        </is>
      </c>
      <c r="D829" s="3452" t="inlineStr">
        <is>
          <t>201906</t>
        </is>
      </c>
      <c r="E829" s="3452" t="inlineStr">
        <is>
          <t>0,000000000000</t>
        </is>
      </c>
    </row>
    <row outlineLevel="0" r="830">
      <c r="A830" s="3452" t="inlineStr">
        <is>
          <t>000224000201906129700</t>
        </is>
      </c>
      <c r="B830" s="3452" t="inlineStr">
        <is>
          <t>129700</t>
        </is>
      </c>
      <c r="C830" s="3452" t="inlineStr">
        <is>
          <t>000224000</t>
        </is>
      </c>
      <c r="D830" s="3452" t="inlineStr">
        <is>
          <t>201906</t>
        </is>
      </c>
      <c r="E830" s="3452" t="inlineStr">
        <is>
          <t>0,000000000000</t>
        </is>
      </c>
    </row>
    <row outlineLevel="0" r="831">
      <c r="A831" s="3452" t="inlineStr">
        <is>
          <t>000224000201906129901</t>
        </is>
      </c>
      <c r="B831" s="3452" t="inlineStr">
        <is>
          <t>129901</t>
        </is>
      </c>
      <c r="C831" s="3452" t="inlineStr">
        <is>
          <t>000224000</t>
        </is>
      </c>
      <c r="D831" s="3452" t="inlineStr">
        <is>
          <t>201906</t>
        </is>
      </c>
      <c r="E831" s="3452" t="inlineStr">
        <is>
          <t>0,000000000000</t>
        </is>
      </c>
    </row>
    <row outlineLevel="0" r="832">
      <c r="A832" s="3452" t="inlineStr">
        <is>
          <t>000224000201906130506</t>
        </is>
      </c>
      <c r="B832" s="3452" t="inlineStr">
        <is>
          <t>130506</t>
        </is>
      </c>
      <c r="C832" s="3452" t="inlineStr">
        <is>
          <t>000224000</t>
        </is>
      </c>
      <c r="D832" s="3452" t="inlineStr">
        <is>
          <t>201906</t>
        </is>
      </c>
      <c r="E832" s="3452" t="inlineStr">
        <is>
          <t>0,000000000000</t>
        </is>
      </c>
    </row>
    <row outlineLevel="0" r="833">
      <c r="A833" s="3452" t="inlineStr">
        <is>
          <t>000224000201906131000</t>
        </is>
      </c>
      <c r="B833" s="3452" t="inlineStr">
        <is>
          <t>131000</t>
        </is>
      </c>
      <c r="C833" s="3452" t="inlineStr">
        <is>
          <t>000224000</t>
        </is>
      </c>
      <c r="D833" s="3452" t="inlineStr">
        <is>
          <t>201906</t>
        </is>
      </c>
      <c r="E833" s="3452" t="inlineStr">
        <is>
          <t>0,000000000000</t>
        </is>
      </c>
    </row>
    <row outlineLevel="0" r="834">
      <c r="A834" s="3452" t="inlineStr">
        <is>
          <t>000224000201906130511</t>
        </is>
      </c>
      <c r="B834" s="3452" t="inlineStr">
        <is>
          <t>130511</t>
        </is>
      </c>
      <c r="C834" s="3452" t="inlineStr">
        <is>
          <t>000224000</t>
        </is>
      </c>
      <c r="D834" s="3452" t="inlineStr">
        <is>
          <t>201906</t>
        </is>
      </c>
      <c r="E834" s="3452" t="inlineStr">
        <is>
          <t>0,000000000000</t>
        </is>
      </c>
    </row>
    <row outlineLevel="0" r="835">
      <c r="A835" s="3452" t="inlineStr">
        <is>
          <t>000224000201906130510</t>
        </is>
      </c>
      <c r="B835" s="3452" t="inlineStr">
        <is>
          <t>130510</t>
        </is>
      </c>
      <c r="C835" s="3452" t="inlineStr">
        <is>
          <t>000224000</t>
        </is>
      </c>
      <c r="D835" s="3452" t="inlineStr">
        <is>
          <t>201906</t>
        </is>
      </c>
      <c r="E835" s="3452" t="inlineStr">
        <is>
          <t>0,000000000000</t>
        </is>
      </c>
    </row>
    <row outlineLevel="0" r="836">
      <c r="A836" s="3452" t="inlineStr">
        <is>
          <t>000224000201906131001</t>
        </is>
      </c>
      <c r="B836" s="3452" t="inlineStr">
        <is>
          <t>131001</t>
        </is>
      </c>
      <c r="C836" s="3452" t="inlineStr">
        <is>
          <t>000224000</t>
        </is>
      </c>
      <c r="D836" s="3452" t="inlineStr">
        <is>
          <t>201906</t>
        </is>
      </c>
      <c r="E836" s="3452" t="inlineStr">
        <is>
          <t>0,000000000000</t>
        </is>
      </c>
    </row>
    <row outlineLevel="0" r="837">
      <c r="A837" s="3452" t="inlineStr">
        <is>
          <t>000224000201906132000</t>
        </is>
      </c>
      <c r="B837" s="3452" t="inlineStr">
        <is>
          <t>132000</t>
        </is>
      </c>
      <c r="C837" s="3452" t="inlineStr">
        <is>
          <t>000224000</t>
        </is>
      </c>
      <c r="D837" s="3452" t="inlineStr">
        <is>
          <t>201906</t>
        </is>
      </c>
      <c r="E837" s="3452" t="inlineStr">
        <is>
          <t>0,000000000000</t>
        </is>
      </c>
    </row>
    <row outlineLevel="0" r="838">
      <c r="A838" s="3452" t="inlineStr">
        <is>
          <t>000224000201906131501</t>
        </is>
      </c>
      <c r="B838" s="3452" t="inlineStr">
        <is>
          <t>131501</t>
        </is>
      </c>
      <c r="C838" s="3452" t="inlineStr">
        <is>
          <t>000224000</t>
        </is>
      </c>
      <c r="D838" s="3452" t="inlineStr">
        <is>
          <t>201906</t>
        </is>
      </c>
      <c r="E838" s="3452" t="inlineStr">
        <is>
          <t>0,000000000000</t>
        </is>
      </c>
    </row>
    <row outlineLevel="0" r="839">
      <c r="A839" s="3452" t="inlineStr">
        <is>
          <t>000224000201906132001</t>
        </is>
      </c>
      <c r="B839" s="3452" t="inlineStr">
        <is>
          <t>132001</t>
        </is>
      </c>
      <c r="C839" s="3452" t="inlineStr">
        <is>
          <t>000224000</t>
        </is>
      </c>
      <c r="D839" s="3452" t="inlineStr">
        <is>
          <t>201906</t>
        </is>
      </c>
      <c r="E839" s="3452" t="inlineStr">
        <is>
          <t>0,000000000000</t>
        </is>
      </c>
    </row>
    <row outlineLevel="0" r="840">
      <c r="A840" s="3452" t="inlineStr">
        <is>
          <t>000224000201906132500</t>
        </is>
      </c>
      <c r="B840" s="3452" t="inlineStr">
        <is>
          <t>132500</t>
        </is>
      </c>
      <c r="C840" s="3452" t="inlineStr">
        <is>
          <t>000224000</t>
        </is>
      </c>
      <c r="D840" s="3452" t="inlineStr">
        <is>
          <t>201906</t>
        </is>
      </c>
      <c r="E840" s="3452" t="inlineStr">
        <is>
          <t>0,000000000000</t>
        </is>
      </c>
    </row>
    <row outlineLevel="0" r="841">
      <c r="A841" s="3452" t="inlineStr">
        <is>
          <t>000224000201906133001</t>
        </is>
      </c>
      <c r="B841" s="3452" t="inlineStr">
        <is>
          <t>133001</t>
        </is>
      </c>
      <c r="C841" s="3452" t="inlineStr">
        <is>
          <t>000224000</t>
        </is>
      </c>
      <c r="D841" s="3452" t="inlineStr">
        <is>
          <t>201906</t>
        </is>
      </c>
      <c r="E841" s="3452" t="inlineStr">
        <is>
          <t>0,000000000000</t>
        </is>
      </c>
    </row>
    <row outlineLevel="0" r="842">
      <c r="A842" s="3452" t="inlineStr">
        <is>
          <t>000224000201906133000</t>
        </is>
      </c>
      <c r="B842" s="3452" t="inlineStr">
        <is>
          <t>133000</t>
        </is>
      </c>
      <c r="C842" s="3452" t="inlineStr">
        <is>
          <t>000224000</t>
        </is>
      </c>
      <c r="D842" s="3452" t="inlineStr">
        <is>
          <t>201906</t>
        </is>
      </c>
      <c r="E842" s="3452" t="inlineStr">
        <is>
          <t>0,000000000000</t>
        </is>
      </c>
    </row>
    <row outlineLevel="0" r="843">
      <c r="A843" s="3452" t="inlineStr">
        <is>
          <t>000224000201906132501</t>
        </is>
      </c>
      <c r="B843" s="3452" t="inlineStr">
        <is>
          <t>132501</t>
        </is>
      </c>
      <c r="C843" s="3452" t="inlineStr">
        <is>
          <t>000224000</t>
        </is>
      </c>
      <c r="D843" s="3452" t="inlineStr">
        <is>
          <t>201906</t>
        </is>
      </c>
      <c r="E843" s="3452" t="inlineStr">
        <is>
          <t>0,000000000000</t>
        </is>
      </c>
    </row>
    <row outlineLevel="0" r="844">
      <c r="A844" s="3452" t="inlineStr">
        <is>
          <t>000224000201906133500</t>
        </is>
      </c>
      <c r="B844" s="3452" t="inlineStr">
        <is>
          <t>133500</t>
        </is>
      </c>
      <c r="C844" s="3452" t="inlineStr">
        <is>
          <t>000224000</t>
        </is>
      </c>
      <c r="D844" s="3452" t="inlineStr">
        <is>
          <t>201906</t>
        </is>
      </c>
      <c r="E844" s="3452" t="inlineStr">
        <is>
          <t>0,000000000000</t>
        </is>
      </c>
    </row>
    <row outlineLevel="0" r="845">
      <c r="A845" s="3452" t="inlineStr">
        <is>
          <t>000224000201906134000</t>
        </is>
      </c>
      <c r="B845" s="3452" t="inlineStr">
        <is>
          <t>134000</t>
        </is>
      </c>
      <c r="C845" s="3452" t="inlineStr">
        <is>
          <t>000224000</t>
        </is>
      </c>
      <c r="D845" s="3452" t="inlineStr">
        <is>
          <t>201906</t>
        </is>
      </c>
      <c r="E845" s="3452" t="inlineStr">
        <is>
          <t>0,000000000000</t>
        </is>
      </c>
    </row>
    <row outlineLevel="0" r="846">
      <c r="A846" s="3452" t="inlineStr">
        <is>
          <t>000224000201906133501</t>
        </is>
      </c>
      <c r="B846" s="3452" t="inlineStr">
        <is>
          <t>133501</t>
        </is>
      </c>
      <c r="C846" s="3452" t="inlineStr">
        <is>
          <t>000224000</t>
        </is>
      </c>
      <c r="D846" s="3452" t="inlineStr">
        <is>
          <t>201906</t>
        </is>
      </c>
      <c r="E846" s="3452" t="inlineStr">
        <is>
          <t>0,000000000000</t>
        </is>
      </c>
    </row>
    <row outlineLevel="0" r="847">
      <c r="A847" s="3452" t="inlineStr">
        <is>
          <t>000224000201906134001</t>
        </is>
      </c>
      <c r="B847" s="3452" t="inlineStr">
        <is>
          <t>134001</t>
        </is>
      </c>
      <c r="C847" s="3452" t="inlineStr">
        <is>
          <t>000224000</t>
        </is>
      </c>
      <c r="D847" s="3452" t="inlineStr">
        <is>
          <t>201906</t>
        </is>
      </c>
      <c r="E847" s="3452" t="inlineStr">
        <is>
          <t>0,000000000000</t>
        </is>
      </c>
    </row>
    <row outlineLevel="0" r="848">
      <c r="A848" s="3452" t="inlineStr">
        <is>
          <t>000224000201906134500</t>
        </is>
      </c>
      <c r="B848" s="3452" t="inlineStr">
        <is>
          <t>134500</t>
        </is>
      </c>
      <c r="C848" s="3452" t="inlineStr">
        <is>
          <t>000224000</t>
        </is>
      </c>
      <c r="D848" s="3452" t="inlineStr">
        <is>
          <t>201906</t>
        </is>
      </c>
      <c r="E848" s="3452" t="inlineStr">
        <is>
          <t>0,000000000000</t>
        </is>
      </c>
    </row>
    <row outlineLevel="0" r="849">
      <c r="A849" s="3452" t="inlineStr">
        <is>
          <t>000224000201906135001</t>
        </is>
      </c>
      <c r="B849" s="3452" t="inlineStr">
        <is>
          <t>135001</t>
        </is>
      </c>
      <c r="C849" s="3452" t="inlineStr">
        <is>
          <t>000224000</t>
        </is>
      </c>
      <c r="D849" s="3452" t="inlineStr">
        <is>
          <t>201906</t>
        </is>
      </c>
      <c r="E849" s="3452" t="inlineStr">
        <is>
          <t>0,000000000000</t>
        </is>
      </c>
    </row>
    <row outlineLevel="0" r="850">
      <c r="A850" s="3452" t="inlineStr">
        <is>
          <t>000224000201906135000</t>
        </is>
      </c>
      <c r="B850" s="3452" t="inlineStr">
        <is>
          <t>135000</t>
        </is>
      </c>
      <c r="C850" s="3452" t="inlineStr">
        <is>
          <t>000224000</t>
        </is>
      </c>
      <c r="D850" s="3452" t="inlineStr">
        <is>
          <t>201906</t>
        </is>
      </c>
      <c r="E850" s="3452" t="inlineStr">
        <is>
          <t>0,000000000000</t>
        </is>
      </c>
    </row>
    <row outlineLevel="0" r="851">
      <c r="A851" s="3452" t="inlineStr">
        <is>
          <t>000224000201906134501</t>
        </is>
      </c>
      <c r="B851" s="3452" t="inlineStr">
        <is>
          <t>134501</t>
        </is>
      </c>
      <c r="C851" s="3452" t="inlineStr">
        <is>
          <t>000224000</t>
        </is>
      </c>
      <c r="D851" s="3452" t="inlineStr">
        <is>
          <t>201906</t>
        </is>
      </c>
      <c r="E851" s="3452" t="inlineStr">
        <is>
          <t>0,000000000000</t>
        </is>
      </c>
    </row>
    <row outlineLevel="0" r="852">
      <c r="A852" s="3452" t="inlineStr">
        <is>
          <t>000224000201906135500</t>
        </is>
      </c>
      <c r="B852" s="3452" t="inlineStr">
        <is>
          <t>135500</t>
        </is>
      </c>
      <c r="C852" s="3452" t="inlineStr">
        <is>
          <t>000224000</t>
        </is>
      </c>
      <c r="D852" s="3452" t="inlineStr">
        <is>
          <t>201906</t>
        </is>
      </c>
      <c r="E852" s="3452" t="inlineStr">
        <is>
          <t>0,000000000000</t>
        </is>
      </c>
    </row>
    <row outlineLevel="0" r="853">
      <c r="A853" s="3452" t="inlineStr">
        <is>
          <t>000224000201906136000</t>
        </is>
      </c>
      <c r="B853" s="3452" t="inlineStr">
        <is>
          <t>136000</t>
        </is>
      </c>
      <c r="C853" s="3452" t="inlineStr">
        <is>
          <t>000224000</t>
        </is>
      </c>
      <c r="D853" s="3452" t="inlineStr">
        <is>
          <t>201906</t>
        </is>
      </c>
      <c r="E853" s="3452" t="inlineStr">
        <is>
          <t>0,000000000000</t>
        </is>
      </c>
    </row>
    <row outlineLevel="0" r="854">
      <c r="A854" s="3452" t="inlineStr">
        <is>
          <t>000224000201906135501</t>
        </is>
      </c>
      <c r="B854" s="3452" t="inlineStr">
        <is>
          <t>135501</t>
        </is>
      </c>
      <c r="C854" s="3452" t="inlineStr">
        <is>
          <t>000224000</t>
        </is>
      </c>
      <c r="D854" s="3452" t="inlineStr">
        <is>
          <t>201906</t>
        </is>
      </c>
      <c r="E854" s="3452" t="inlineStr">
        <is>
          <t>0,000000000000</t>
        </is>
      </c>
    </row>
    <row outlineLevel="0" r="855">
      <c r="A855" s="3452" t="inlineStr">
        <is>
          <t>000224000201906136001</t>
        </is>
      </c>
      <c r="B855" s="3452" t="inlineStr">
        <is>
          <t>136001</t>
        </is>
      </c>
      <c r="C855" s="3452" t="inlineStr">
        <is>
          <t>000224000</t>
        </is>
      </c>
      <c r="D855" s="3452" t="inlineStr">
        <is>
          <t>201906</t>
        </is>
      </c>
      <c r="E855" s="3452" t="inlineStr">
        <is>
          <t>0,000000000000</t>
        </is>
      </c>
    </row>
    <row outlineLevel="0" r="856">
      <c r="A856" s="3452" t="inlineStr">
        <is>
          <t>000224000201906136500</t>
        </is>
      </c>
      <c r="B856" s="3452" t="inlineStr">
        <is>
          <t>136500</t>
        </is>
      </c>
      <c r="C856" s="3452" t="inlineStr">
        <is>
          <t>000224000</t>
        </is>
      </c>
      <c r="D856" s="3452" t="inlineStr">
        <is>
          <t>201906</t>
        </is>
      </c>
      <c r="E856" s="3452" t="inlineStr">
        <is>
          <t>0,000000000000</t>
        </is>
      </c>
    </row>
    <row outlineLevel="0" r="857">
      <c r="A857" s="3452" t="inlineStr">
        <is>
          <t>000224000201906137001</t>
        </is>
      </c>
      <c r="B857" s="3452" t="inlineStr">
        <is>
          <t>137001</t>
        </is>
      </c>
      <c r="C857" s="3452" t="inlineStr">
        <is>
          <t>000224000</t>
        </is>
      </c>
      <c r="D857" s="3452" t="inlineStr">
        <is>
          <t>201906</t>
        </is>
      </c>
      <c r="E857" s="3452" t="inlineStr">
        <is>
          <t>0,000000000000</t>
        </is>
      </c>
    </row>
    <row outlineLevel="0" r="858">
      <c r="A858" s="3452" t="inlineStr">
        <is>
          <t>000224000201906137000</t>
        </is>
      </c>
      <c r="B858" s="3452" t="inlineStr">
        <is>
          <t>137000</t>
        </is>
      </c>
      <c r="C858" s="3452" t="inlineStr">
        <is>
          <t>000224000</t>
        </is>
      </c>
      <c r="D858" s="3452" t="inlineStr">
        <is>
          <t>201906</t>
        </is>
      </c>
      <c r="E858" s="3452" t="inlineStr">
        <is>
          <t>0,000000000000</t>
        </is>
      </c>
    </row>
    <row outlineLevel="0" r="859">
      <c r="A859" s="3452" t="inlineStr">
        <is>
          <t>000224000201906136501</t>
        </is>
      </c>
      <c r="B859" s="3452" t="inlineStr">
        <is>
          <t>136501</t>
        </is>
      </c>
      <c r="C859" s="3452" t="inlineStr">
        <is>
          <t>000224000</t>
        </is>
      </c>
      <c r="D859" s="3452" t="inlineStr">
        <is>
          <t>201906</t>
        </is>
      </c>
      <c r="E859" s="3452" t="inlineStr">
        <is>
          <t>0,000000000000</t>
        </is>
      </c>
    </row>
    <row outlineLevel="0" r="860">
      <c r="A860" s="3452" t="inlineStr">
        <is>
          <t>000224000201906138001</t>
        </is>
      </c>
      <c r="B860" s="3452" t="inlineStr">
        <is>
          <t>138001</t>
        </is>
      </c>
      <c r="C860" s="3452" t="inlineStr">
        <is>
          <t>000224000</t>
        </is>
      </c>
      <c r="D860" s="3452" t="inlineStr">
        <is>
          <t>201906</t>
        </is>
      </c>
      <c r="E860" s="3452" t="inlineStr">
        <is>
          <t>0,000000000000</t>
        </is>
      </c>
    </row>
    <row outlineLevel="0" r="861">
      <c r="A861" s="3452" t="inlineStr">
        <is>
          <t>000224000201906139000</t>
        </is>
      </c>
      <c r="B861" s="3452" t="inlineStr">
        <is>
          <t>139000</t>
        </is>
      </c>
      <c r="C861" s="3452" t="inlineStr">
        <is>
          <t>000224000</t>
        </is>
      </c>
      <c r="D861" s="3452" t="inlineStr">
        <is>
          <t>201906</t>
        </is>
      </c>
      <c r="E861" s="3452" t="inlineStr">
        <is>
          <t>0,000000000000</t>
        </is>
      </c>
    </row>
    <row outlineLevel="0" r="862">
      <c r="A862" s="3452" t="inlineStr">
        <is>
          <t>000224000201906138501</t>
        </is>
      </c>
      <c r="B862" s="3452" t="inlineStr">
        <is>
          <t>138501</t>
        </is>
      </c>
      <c r="C862" s="3452" t="inlineStr">
        <is>
          <t>000224000</t>
        </is>
      </c>
      <c r="D862" s="3452" t="inlineStr">
        <is>
          <t>201906</t>
        </is>
      </c>
      <c r="E862" s="3452" t="inlineStr">
        <is>
          <t>0,000000000000</t>
        </is>
      </c>
    </row>
    <row outlineLevel="0" r="863">
      <c r="A863" s="3452" t="inlineStr">
        <is>
          <t>000224000201906139001</t>
        </is>
      </c>
      <c r="B863" s="3452" t="inlineStr">
        <is>
          <t>139001</t>
        </is>
      </c>
      <c r="C863" s="3452" t="inlineStr">
        <is>
          <t>000224000</t>
        </is>
      </c>
      <c r="D863" s="3452" t="inlineStr">
        <is>
          <t>201906</t>
        </is>
      </c>
      <c r="E863" s="3452" t="inlineStr">
        <is>
          <t>0,000000000000</t>
        </is>
      </c>
    </row>
    <row outlineLevel="0" r="864">
      <c r="A864" s="3452" t="inlineStr">
        <is>
          <t>000224000201906139500</t>
        </is>
      </c>
      <c r="B864" s="3452" t="inlineStr">
        <is>
          <t>139500</t>
        </is>
      </c>
      <c r="C864" s="3452" t="inlineStr">
        <is>
          <t>000224000</t>
        </is>
      </c>
      <c r="D864" s="3452" t="inlineStr">
        <is>
          <t>201906</t>
        </is>
      </c>
      <c r="E864" s="3452" t="inlineStr">
        <is>
          <t>0,000000000000</t>
        </is>
      </c>
    </row>
    <row outlineLevel="0" r="865">
      <c r="A865" s="3452" t="inlineStr">
        <is>
          <t>000224000201906140005</t>
        </is>
      </c>
      <c r="B865" s="3452" t="inlineStr">
        <is>
          <t>140005</t>
        </is>
      </c>
      <c r="C865" s="3452" t="inlineStr">
        <is>
          <t>000224000</t>
        </is>
      </c>
      <c r="D865" s="3452" t="inlineStr">
        <is>
          <t>201906</t>
        </is>
      </c>
      <c r="E865" s="3452" t="inlineStr">
        <is>
          <t>0,000000000000</t>
        </is>
      </c>
    </row>
    <row outlineLevel="0" r="866">
      <c r="A866" s="3452" t="inlineStr">
        <is>
          <t>000224000201906139905</t>
        </is>
      </c>
      <c r="B866" s="3452" t="inlineStr">
        <is>
          <t>139905</t>
        </is>
      </c>
      <c r="C866" s="3452" t="inlineStr">
        <is>
          <t>000224000</t>
        </is>
      </c>
      <c r="D866" s="3452" t="inlineStr">
        <is>
          <t>201906</t>
        </is>
      </c>
      <c r="E866" s="3452" t="inlineStr">
        <is>
          <t>0,000000000000</t>
        </is>
      </c>
    </row>
    <row outlineLevel="0" r="867">
      <c r="A867" s="3452" t="inlineStr">
        <is>
          <t>000224000201906139901</t>
        </is>
      </c>
      <c r="B867" s="3452" t="inlineStr">
        <is>
          <t>139901</t>
        </is>
      </c>
      <c r="C867" s="3452" t="inlineStr">
        <is>
          <t>000224000</t>
        </is>
      </c>
      <c r="D867" s="3452" t="inlineStr">
        <is>
          <t>201906</t>
        </is>
      </c>
      <c r="E867" s="3452" t="inlineStr">
        <is>
          <t>0,000000000000</t>
        </is>
      </c>
    </row>
    <row outlineLevel="0" r="868">
      <c r="A868" s="3452" t="inlineStr">
        <is>
          <t>000224000201906140010</t>
        </is>
      </c>
      <c r="B868" s="3452" t="inlineStr">
        <is>
          <t>140010</t>
        </is>
      </c>
      <c r="C868" s="3452" t="inlineStr">
        <is>
          <t>000224000</t>
        </is>
      </c>
      <c r="D868" s="3452" t="inlineStr">
        <is>
          <t>201906</t>
        </is>
      </c>
      <c r="E868" s="3452" t="inlineStr">
        <is>
          <t>0,000000000000</t>
        </is>
      </c>
    </row>
    <row outlineLevel="0" r="869">
      <c r="A869" s="3452" t="inlineStr">
        <is>
          <t>000224000201906143500</t>
        </is>
      </c>
      <c r="B869" s="3452" t="inlineStr">
        <is>
          <t>143500</t>
        </is>
      </c>
      <c r="C869" s="3452" t="inlineStr">
        <is>
          <t>000224000</t>
        </is>
      </c>
      <c r="D869" s="3452" t="inlineStr">
        <is>
          <t>201906</t>
        </is>
      </c>
      <c r="E869" s="3452" t="inlineStr">
        <is>
          <t>0,000000000000</t>
        </is>
      </c>
    </row>
    <row outlineLevel="0" r="870">
      <c r="A870" s="3452" t="inlineStr">
        <is>
          <t>000224000201906142500</t>
        </is>
      </c>
      <c r="B870" s="3452" t="inlineStr">
        <is>
          <t>142500</t>
        </is>
      </c>
      <c r="C870" s="3452" t="inlineStr">
        <is>
          <t>000224000</t>
        </is>
      </c>
      <c r="D870" s="3452" t="inlineStr">
        <is>
          <t>201906</t>
        </is>
      </c>
      <c r="E870" s="3452" t="inlineStr">
        <is>
          <t>0,000000000000</t>
        </is>
      </c>
    </row>
    <row outlineLevel="0" r="871">
      <c r="A871" s="3452" t="inlineStr">
        <is>
          <t>000224000201906145500</t>
        </is>
      </c>
      <c r="B871" s="3452" t="inlineStr">
        <is>
          <t>145500</t>
        </is>
      </c>
      <c r="C871" s="3452" t="inlineStr">
        <is>
          <t>000224000</t>
        </is>
      </c>
      <c r="D871" s="3452" t="inlineStr">
        <is>
          <t>201906</t>
        </is>
      </c>
      <c r="E871" s="3452" t="inlineStr">
        <is>
          <t>0,000000000000</t>
        </is>
      </c>
    </row>
    <row outlineLevel="0" r="872">
      <c r="A872" s="3452" t="inlineStr">
        <is>
          <t>000224000201906146000</t>
        </is>
      </c>
      <c r="B872" s="3452" t="inlineStr">
        <is>
          <t>146000</t>
        </is>
      </c>
      <c r="C872" s="3452" t="inlineStr">
        <is>
          <t>000224000</t>
        </is>
      </c>
      <c r="D872" s="3452" t="inlineStr">
        <is>
          <t>201906</t>
        </is>
      </c>
      <c r="E872" s="3452" t="inlineStr">
        <is>
          <t>0,000000000000</t>
        </is>
      </c>
    </row>
    <row outlineLevel="0" r="873">
      <c r="A873" s="3452" t="inlineStr">
        <is>
          <t>000224000201906149901</t>
        </is>
      </c>
      <c r="B873" s="3452" t="inlineStr">
        <is>
          <t>149901</t>
        </is>
      </c>
      <c r="C873" s="3452" t="inlineStr">
        <is>
          <t>000224000</t>
        </is>
      </c>
      <c r="D873" s="3452" t="inlineStr">
        <is>
          <t>201906</t>
        </is>
      </c>
      <c r="E873" s="3452" t="inlineStr">
        <is>
          <t>0,000000000000</t>
        </is>
      </c>
    </row>
    <row outlineLevel="0" r="874">
      <c r="A874" s="3452" t="inlineStr">
        <is>
          <t>000224000201906149900</t>
        </is>
      </c>
      <c r="B874" s="3452" t="inlineStr">
        <is>
          <t>149900</t>
        </is>
      </c>
      <c r="C874" s="3452" t="inlineStr">
        <is>
          <t>000224000</t>
        </is>
      </c>
      <c r="D874" s="3452" t="inlineStr">
        <is>
          <t>201906</t>
        </is>
      </c>
      <c r="E874" s="3452" t="inlineStr">
        <is>
          <t>0,000000000000</t>
        </is>
      </c>
    </row>
    <row outlineLevel="0" r="875">
      <c r="A875" s="3452" t="inlineStr">
        <is>
          <t>000224000201906149510</t>
        </is>
      </c>
      <c r="B875" s="3452" t="inlineStr">
        <is>
          <t>149510</t>
        </is>
      </c>
      <c r="C875" s="3452" t="inlineStr">
        <is>
          <t>000224000</t>
        </is>
      </c>
      <c r="D875" s="3452" t="inlineStr">
        <is>
          <t>201906</t>
        </is>
      </c>
      <c r="E875" s="3452" t="inlineStr">
        <is>
          <t>0,000000000000</t>
        </is>
      </c>
    </row>
    <row outlineLevel="0" r="876">
      <c r="A876" s="3452" t="inlineStr">
        <is>
          <t>000224000201906149902</t>
        </is>
      </c>
      <c r="B876" s="3452" t="inlineStr">
        <is>
          <t>149902</t>
        </is>
      </c>
      <c r="C876" s="3452" t="inlineStr">
        <is>
          <t>000224000</t>
        </is>
      </c>
      <c r="D876" s="3452" t="inlineStr">
        <is>
          <t>201906</t>
        </is>
      </c>
      <c r="E876" s="3452" t="inlineStr">
        <is>
          <t>0,000000000000</t>
        </is>
      </c>
    </row>
    <row outlineLevel="0" r="877">
      <c r="A877" s="3452" t="inlineStr">
        <is>
          <t>000224000201906151201</t>
        </is>
      </c>
      <c r="B877" s="3452" t="inlineStr">
        <is>
          <t>151201</t>
        </is>
      </c>
      <c r="C877" s="3452" t="inlineStr">
        <is>
          <t>000224000</t>
        </is>
      </c>
      <c r="D877" s="3452" t="inlineStr">
        <is>
          <t>201906</t>
        </is>
      </c>
      <c r="E877" s="3452" t="inlineStr">
        <is>
          <t>0,000000000000</t>
        </is>
      </c>
    </row>
    <row outlineLevel="0" r="878">
      <c r="A878" s="3452" t="inlineStr">
        <is>
          <t>000224000201906149910</t>
        </is>
      </c>
      <c r="B878" s="3452" t="inlineStr">
        <is>
          <t>149910</t>
        </is>
      </c>
      <c r="C878" s="3452" t="inlineStr">
        <is>
          <t>000224000</t>
        </is>
      </c>
      <c r="D878" s="3452" t="inlineStr">
        <is>
          <t>201906</t>
        </is>
      </c>
      <c r="E878" s="3452" t="inlineStr">
        <is>
          <t>0,000000000000</t>
        </is>
      </c>
    </row>
    <row outlineLevel="0" r="879">
      <c r="A879" s="3452" t="inlineStr">
        <is>
          <t>000224000201906155601</t>
        </is>
      </c>
      <c r="B879" s="3452" t="inlineStr">
        <is>
          <t>155601</t>
        </is>
      </c>
      <c r="C879" s="3452" t="inlineStr">
        <is>
          <t>000224000</t>
        </is>
      </c>
      <c r="D879" s="3452" t="inlineStr">
        <is>
          <t>201906</t>
        </is>
      </c>
      <c r="E879" s="3452" t="inlineStr">
        <is>
          <t>0,000000000000</t>
        </is>
      </c>
    </row>
    <row outlineLevel="0" r="880">
      <c r="A880" s="3452" t="inlineStr">
        <is>
          <t>000224000201906156001</t>
        </is>
      </c>
      <c r="B880" s="3452" t="inlineStr">
        <is>
          <t>156001</t>
        </is>
      </c>
      <c r="C880" s="3452" t="inlineStr">
        <is>
          <t>000224000</t>
        </is>
      </c>
      <c r="D880" s="3452" t="inlineStr">
        <is>
          <t>201906</t>
        </is>
      </c>
      <c r="E880" s="3452" t="inlineStr">
        <is>
          <t>0,000000000000</t>
        </is>
      </c>
    </row>
    <row outlineLevel="0" r="881">
      <c r="A881" s="3452" t="inlineStr">
        <is>
          <t>000224000201906157601</t>
        </is>
      </c>
      <c r="B881" s="3452" t="inlineStr">
        <is>
          <t>157601</t>
        </is>
      </c>
      <c r="C881" s="3452" t="inlineStr">
        <is>
          <t>000224000</t>
        </is>
      </c>
      <c r="D881" s="3452" t="inlineStr">
        <is>
          <t>201906</t>
        </is>
      </c>
      <c r="E881" s="3452" t="inlineStr">
        <is>
          <t>0,000000000000</t>
        </is>
      </c>
    </row>
    <row outlineLevel="0" r="882">
      <c r="A882" s="3452" t="inlineStr">
        <is>
          <t>000224000201906157201</t>
        </is>
      </c>
      <c r="B882" s="3452" t="inlineStr">
        <is>
          <t>157201</t>
        </is>
      </c>
      <c r="C882" s="3452" t="inlineStr">
        <is>
          <t>000224000</t>
        </is>
      </c>
      <c r="D882" s="3452" t="inlineStr">
        <is>
          <t>201906</t>
        </is>
      </c>
      <c r="E882" s="3452" t="inlineStr">
        <is>
          <t>0,000000000000</t>
        </is>
      </c>
    </row>
    <row outlineLevel="0" r="883">
      <c r="A883" s="3452" t="inlineStr">
        <is>
          <t>000224000201906156401</t>
        </is>
      </c>
      <c r="B883" s="3452" t="inlineStr">
        <is>
          <t>156401</t>
        </is>
      </c>
      <c r="C883" s="3452" t="inlineStr">
        <is>
          <t>000224000</t>
        </is>
      </c>
      <c r="D883" s="3452" t="inlineStr">
        <is>
          <t>201906</t>
        </is>
      </c>
      <c r="E883" s="3452" t="inlineStr">
        <is>
          <t>0,000000000000</t>
        </is>
      </c>
    </row>
    <row outlineLevel="0" r="884">
      <c r="A884" s="3452" t="inlineStr">
        <is>
          <t>000224000201906158401</t>
        </is>
      </c>
      <c r="B884" s="3452" t="inlineStr">
        <is>
          <t>158401</t>
        </is>
      </c>
      <c r="C884" s="3452" t="inlineStr">
        <is>
          <t>000224000</t>
        </is>
      </c>
      <c r="D884" s="3452" t="inlineStr">
        <is>
          <t>201906</t>
        </is>
      </c>
      <c r="E884" s="3452" t="inlineStr">
        <is>
          <t>0,000000000000</t>
        </is>
      </c>
    </row>
    <row outlineLevel="0" r="885">
      <c r="A885" s="3452" t="inlineStr">
        <is>
          <t>000224000201906159701</t>
        </is>
      </c>
      <c r="B885" s="3452" t="inlineStr">
        <is>
          <t>159701</t>
        </is>
      </c>
      <c r="C885" s="3452" t="inlineStr">
        <is>
          <t>000224000</t>
        </is>
      </c>
      <c r="D885" s="3452" t="inlineStr">
        <is>
          <t>201906</t>
        </is>
      </c>
      <c r="E885" s="3452" t="inlineStr">
        <is>
          <t>0,000000000000</t>
        </is>
      </c>
    </row>
    <row outlineLevel="0" r="886">
      <c r="A886" s="3452" t="inlineStr">
        <is>
          <t>000224000201906158801</t>
        </is>
      </c>
      <c r="B886" s="3452" t="inlineStr">
        <is>
          <t>158801</t>
        </is>
      </c>
      <c r="C886" s="3452" t="inlineStr">
        <is>
          <t>000224000</t>
        </is>
      </c>
      <c r="D886" s="3452" t="inlineStr">
        <is>
          <t>201906</t>
        </is>
      </c>
      <c r="E886" s="3452" t="inlineStr">
        <is>
          <t>0,000000000000</t>
        </is>
      </c>
    </row>
    <row outlineLevel="0" r="887">
      <c r="A887" s="3452" t="inlineStr">
        <is>
          <t>000224000201906159899</t>
        </is>
      </c>
      <c r="B887" s="3452" t="inlineStr">
        <is>
          <t>159899</t>
        </is>
      </c>
      <c r="C887" s="3452" t="inlineStr">
        <is>
          <t>000224000</t>
        </is>
      </c>
      <c r="D887" s="3452" t="inlineStr">
        <is>
          <t>201906</t>
        </is>
      </c>
      <c r="E887" s="3452" t="inlineStr">
        <is>
          <t>0,000000000000</t>
        </is>
      </c>
    </row>
    <row outlineLevel="0" r="888">
      <c r="A888" s="3452" t="inlineStr">
        <is>
          <t>000224000201906159901</t>
        </is>
      </c>
      <c r="B888" s="3452" t="inlineStr">
        <is>
          <t>159901</t>
        </is>
      </c>
      <c r="C888" s="3452" t="inlineStr">
        <is>
          <t>000224000</t>
        </is>
      </c>
      <c r="D888" s="3452" t="inlineStr">
        <is>
          <t>201906</t>
        </is>
      </c>
      <c r="E888" s="3452" t="inlineStr">
        <is>
          <t>0,000000000000</t>
        </is>
      </c>
    </row>
    <row outlineLevel="0" r="889">
      <c r="A889" s="3452" t="inlineStr">
        <is>
          <t>000224000201906163001</t>
        </is>
      </c>
      <c r="B889" s="3452" t="inlineStr">
        <is>
          <t>163001</t>
        </is>
      </c>
      <c r="C889" s="3452" t="inlineStr">
        <is>
          <t>000224000</t>
        </is>
      </c>
      <c r="D889" s="3452" t="inlineStr">
        <is>
          <t>201906</t>
        </is>
      </c>
      <c r="E889" s="3452" t="inlineStr">
        <is>
          <t>0,000000000000</t>
        </is>
      </c>
    </row>
    <row outlineLevel="0" r="890">
      <c r="A890" s="3452" t="inlineStr">
        <is>
          <t>000224000201906161001</t>
        </is>
      </c>
      <c r="B890" s="3452" t="inlineStr">
        <is>
          <t>161001</t>
        </is>
      </c>
      <c r="C890" s="3452" t="inlineStr">
        <is>
          <t>000224000</t>
        </is>
      </c>
      <c r="D890" s="3452" t="inlineStr">
        <is>
          <t>201906</t>
        </is>
      </c>
      <c r="E890" s="3452" t="inlineStr">
        <is>
          <t>0,000000000000</t>
        </is>
      </c>
    </row>
    <row outlineLevel="0" r="891">
      <c r="A891" s="3452" t="inlineStr">
        <is>
          <t>000224000201906160501</t>
        </is>
      </c>
      <c r="B891" s="3452" t="inlineStr">
        <is>
          <t>160501</t>
        </is>
      </c>
      <c r="C891" s="3452" t="inlineStr">
        <is>
          <t>000224000</t>
        </is>
      </c>
      <c r="D891" s="3452" t="inlineStr">
        <is>
          <t>201906</t>
        </is>
      </c>
      <c r="E891" s="3452" t="inlineStr">
        <is>
          <t>0,000000000000</t>
        </is>
      </c>
    </row>
    <row outlineLevel="0" r="892">
      <c r="A892" s="3452" t="inlineStr">
        <is>
          <t>000224000201906164001</t>
        </is>
      </c>
      <c r="B892" s="3452" t="inlineStr">
        <is>
          <t>164001</t>
        </is>
      </c>
      <c r="C892" s="3452" t="inlineStr">
        <is>
          <t>000224000</t>
        </is>
      </c>
      <c r="D892" s="3452" t="inlineStr">
        <is>
          <t>201906</t>
        </is>
      </c>
      <c r="E892" s="3452" t="inlineStr">
        <is>
          <t>0,000000000000</t>
        </is>
      </c>
    </row>
    <row outlineLevel="0" r="893">
      <c r="A893" s="3452" t="inlineStr">
        <is>
          <t>000224000201906169901</t>
        </is>
      </c>
      <c r="B893" s="3452" t="inlineStr">
        <is>
          <t>169901</t>
        </is>
      </c>
      <c r="C893" s="3452" t="inlineStr">
        <is>
          <t>000224000</t>
        </is>
      </c>
      <c r="D893" s="3452" t="inlineStr">
        <is>
          <t>201906</t>
        </is>
      </c>
      <c r="E893" s="3452" t="inlineStr">
        <is>
          <t>0,000000000000</t>
        </is>
      </c>
    </row>
    <row outlineLevel="0" r="894">
      <c r="A894" s="3452" t="inlineStr">
        <is>
          <t>000224000201906169899</t>
        </is>
      </c>
      <c r="B894" s="3452" t="inlineStr">
        <is>
          <t>169899</t>
        </is>
      </c>
      <c r="C894" s="3452" t="inlineStr">
        <is>
          <t>000224000</t>
        </is>
      </c>
      <c r="D894" s="3452" t="inlineStr">
        <is>
          <t>201906</t>
        </is>
      </c>
      <c r="E894" s="3452" t="inlineStr">
        <is>
          <t>0,000000000000</t>
        </is>
      </c>
    </row>
    <row outlineLevel="0" r="895">
      <c r="A895" s="3452" t="inlineStr">
        <is>
          <t>000224000201906170500</t>
        </is>
      </c>
      <c r="B895" s="3452" t="inlineStr">
        <is>
          <t>170500</t>
        </is>
      </c>
      <c r="C895" s="3452" t="inlineStr">
        <is>
          <t>000224000</t>
        </is>
      </c>
      <c r="D895" s="3452" t="inlineStr">
        <is>
          <t>201906</t>
        </is>
      </c>
      <c r="E895" s="3452" t="inlineStr">
        <is>
          <t>0,000000000000</t>
        </is>
      </c>
    </row>
    <row outlineLevel="0" r="896">
      <c r="A896" s="3452" t="inlineStr">
        <is>
          <t>000224000201906171000</t>
        </is>
      </c>
      <c r="B896" s="3452" t="inlineStr">
        <is>
          <t>171000</t>
        </is>
      </c>
      <c r="C896" s="3452" t="inlineStr">
        <is>
          <t>000224000</t>
        </is>
      </c>
      <c r="D896" s="3452" t="inlineStr">
        <is>
          <t>201906</t>
        </is>
      </c>
      <c r="E896" s="3452" t="inlineStr">
        <is>
          <t>0,000000000000</t>
        </is>
      </c>
    </row>
    <row outlineLevel="0" r="897">
      <c r="A897" s="3452" t="inlineStr">
        <is>
          <t>000224000201906179500</t>
        </is>
      </c>
      <c r="B897" s="3452" t="inlineStr">
        <is>
          <t>179500</t>
        </is>
      </c>
      <c r="C897" s="3452" t="inlineStr">
        <is>
          <t>000224000</t>
        </is>
      </c>
      <c r="D897" s="3452" t="inlineStr">
        <is>
          <t>201906</t>
        </is>
      </c>
      <c r="E897" s="3452" t="inlineStr">
        <is>
          <t>0,000000000000</t>
        </is>
      </c>
    </row>
    <row outlineLevel="0" r="898">
      <c r="A898" s="3452" t="inlineStr">
        <is>
          <t>000224000201906173001</t>
        </is>
      </c>
      <c r="B898" s="3452" t="inlineStr">
        <is>
          <t>173001</t>
        </is>
      </c>
      <c r="C898" s="3452" t="inlineStr">
        <is>
          <t>000224000</t>
        </is>
      </c>
      <c r="D898" s="3452" t="inlineStr">
        <is>
          <t>201906</t>
        </is>
      </c>
      <c r="E898" s="3452" t="inlineStr">
        <is>
          <t>0,000000000000</t>
        </is>
      </c>
    </row>
    <row outlineLevel="0" r="899">
      <c r="A899" s="3452" t="inlineStr">
        <is>
          <t>000224000201906173000</t>
        </is>
      </c>
      <c r="B899" s="3452" t="inlineStr">
        <is>
          <t>173000</t>
        </is>
      </c>
      <c r="C899" s="3452" t="inlineStr">
        <is>
          <t>000224000</t>
        </is>
      </c>
      <c r="D899" s="3452" t="inlineStr">
        <is>
          <t>201906</t>
        </is>
      </c>
      <c r="E899" s="3452" t="inlineStr">
        <is>
          <t>0,000000000000</t>
        </is>
      </c>
    </row>
    <row outlineLevel="0" r="900">
      <c r="A900" s="3452" t="inlineStr">
        <is>
          <t>000224000201906179700</t>
        </is>
      </c>
      <c r="B900" s="3452" t="inlineStr">
        <is>
          <t>179700</t>
        </is>
      </c>
      <c r="C900" s="3452" t="inlineStr">
        <is>
          <t>000224000</t>
        </is>
      </c>
      <c r="D900" s="3452" t="inlineStr">
        <is>
          <t>201906</t>
        </is>
      </c>
      <c r="E900" s="3452" t="inlineStr">
        <is>
          <t>0,000000000000</t>
        </is>
      </c>
    </row>
    <row outlineLevel="0" r="901">
      <c r="A901" s="3452" t="inlineStr">
        <is>
          <t>000224000201906179801</t>
        </is>
      </c>
      <c r="B901" s="3452" t="inlineStr">
        <is>
          <t>179801</t>
        </is>
      </c>
      <c r="C901" s="3452" t="inlineStr">
        <is>
          <t>000224000</t>
        </is>
      </c>
      <c r="D901" s="3452" t="inlineStr">
        <is>
          <t>201906</t>
        </is>
      </c>
      <c r="E901" s="3452" t="inlineStr">
        <is>
          <t>0,000000000000</t>
        </is>
      </c>
    </row>
    <row outlineLevel="0" r="902">
      <c r="A902" s="3452" t="inlineStr">
        <is>
          <t>000224000201906179701</t>
        </is>
      </c>
      <c r="B902" s="3452" t="inlineStr">
        <is>
          <t>179701</t>
        </is>
      </c>
      <c r="C902" s="3452" t="inlineStr">
        <is>
          <t>000224000</t>
        </is>
      </c>
      <c r="D902" s="3452" t="inlineStr">
        <is>
          <t>201906</t>
        </is>
      </c>
      <c r="E902" s="3452" t="inlineStr">
        <is>
          <t>0,000000000000</t>
        </is>
      </c>
    </row>
    <row outlineLevel="0" r="903">
      <c r="A903" s="3452" t="inlineStr">
        <is>
          <t>000224000201906180000</t>
        </is>
      </c>
      <c r="B903" s="3452" t="inlineStr">
        <is>
          <t>180000</t>
        </is>
      </c>
      <c r="C903" s="3452" t="inlineStr">
        <is>
          <t>000224000</t>
        </is>
      </c>
      <c r="D903" s="3452" t="inlineStr">
        <is>
          <t>201906</t>
        </is>
      </c>
      <c r="E903" s="3452" t="inlineStr">
        <is>
          <t>0,000000000000</t>
        </is>
      </c>
    </row>
    <row outlineLevel="0" r="904">
      <c r="A904" s="3452" t="inlineStr">
        <is>
          <t>000224000201906180501</t>
        </is>
      </c>
      <c r="B904" s="3452" t="inlineStr">
        <is>
          <t>180501</t>
        </is>
      </c>
      <c r="C904" s="3452" t="inlineStr">
        <is>
          <t>000224000</t>
        </is>
      </c>
      <c r="D904" s="3452" t="inlineStr">
        <is>
          <t>201906</t>
        </is>
      </c>
      <c r="E904" s="3452" t="inlineStr">
        <is>
          <t>0,000000000000</t>
        </is>
      </c>
    </row>
    <row outlineLevel="0" r="905">
      <c r="A905" s="3452" t="inlineStr">
        <is>
          <t>000224000201906189501</t>
        </is>
      </c>
      <c r="B905" s="3452" t="inlineStr">
        <is>
          <t>189501</t>
        </is>
      </c>
      <c r="C905" s="3452" t="inlineStr">
        <is>
          <t>000224000</t>
        </is>
      </c>
      <c r="D905" s="3452" t="inlineStr">
        <is>
          <t>201906</t>
        </is>
      </c>
      <c r="E905" s="3452" t="inlineStr">
        <is>
          <t>0,000000000000</t>
        </is>
      </c>
    </row>
    <row outlineLevel="0" r="906">
      <c r="A906" s="3452" t="inlineStr">
        <is>
          <t>000224000201906189500</t>
        </is>
      </c>
      <c r="B906" s="3452" t="inlineStr">
        <is>
          <t>189500</t>
        </is>
      </c>
      <c r="C906" s="3452" t="inlineStr">
        <is>
          <t>000224000</t>
        </is>
      </c>
      <c r="D906" s="3452" t="inlineStr">
        <is>
          <t>201906</t>
        </is>
      </c>
      <c r="E906" s="3452" t="inlineStr">
        <is>
          <t>0,000000000000</t>
        </is>
      </c>
    </row>
    <row outlineLevel="0" r="907">
      <c r="A907" s="3452" t="inlineStr">
        <is>
          <t>000224000201906181000</t>
        </is>
      </c>
      <c r="B907" s="3452" t="inlineStr">
        <is>
          <t>181000</t>
        </is>
      </c>
      <c r="C907" s="3452" t="inlineStr">
        <is>
          <t>000224000</t>
        </is>
      </c>
      <c r="D907" s="3452" t="inlineStr">
        <is>
          <t>201906</t>
        </is>
      </c>
      <c r="E907" s="3452" t="inlineStr">
        <is>
          <t>0,000000000000</t>
        </is>
      </c>
    </row>
    <row outlineLevel="0" r="908">
      <c r="A908" s="3452" t="inlineStr">
        <is>
          <t>000224000201906189520</t>
        </is>
      </c>
      <c r="B908" s="3452" t="inlineStr">
        <is>
          <t>189520</t>
        </is>
      </c>
      <c r="C908" s="3452" t="inlineStr">
        <is>
          <t>000224000</t>
        </is>
      </c>
      <c r="D908" s="3452" t="inlineStr">
        <is>
          <t>201906</t>
        </is>
      </c>
      <c r="E908" s="3452" t="inlineStr">
        <is>
          <t>0,000000000000</t>
        </is>
      </c>
    </row>
    <row outlineLevel="0" r="909">
      <c r="A909" s="3452" t="inlineStr">
        <is>
          <t>000224000201906189901</t>
        </is>
      </c>
      <c r="B909" s="3452" t="inlineStr">
        <is>
          <t>189901</t>
        </is>
      </c>
      <c r="C909" s="3452" t="inlineStr">
        <is>
          <t>000224000</t>
        </is>
      </c>
      <c r="D909" s="3452" t="inlineStr">
        <is>
          <t>201906</t>
        </is>
      </c>
      <c r="E909" s="3452" t="inlineStr">
        <is>
          <t>0,000000000000</t>
        </is>
      </c>
    </row>
    <row outlineLevel="0" r="910">
      <c r="A910" s="3452" t="inlineStr">
        <is>
          <t>000224000201906189701</t>
        </is>
      </c>
      <c r="B910" s="3452" t="inlineStr">
        <is>
          <t>189701</t>
        </is>
      </c>
      <c r="C910" s="3452" t="inlineStr">
        <is>
          <t>000224000</t>
        </is>
      </c>
      <c r="D910" s="3452" t="inlineStr">
        <is>
          <t>201906</t>
        </is>
      </c>
      <c r="E910" s="3452" t="inlineStr">
        <is>
          <t>0,000000000000</t>
        </is>
      </c>
    </row>
    <row outlineLevel="0" r="911">
      <c r="A911" s="3452" t="inlineStr">
        <is>
          <t>000224000201906190000</t>
        </is>
      </c>
      <c r="B911" s="3452" t="inlineStr">
        <is>
          <t>190000</t>
        </is>
      </c>
      <c r="C911" s="3452" t="inlineStr">
        <is>
          <t>000224000</t>
        </is>
      </c>
      <c r="D911" s="3452" t="inlineStr">
        <is>
          <t>201906</t>
        </is>
      </c>
      <c r="E911" s="3452" t="inlineStr">
        <is>
          <t>0,000000000000</t>
        </is>
      </c>
    </row>
    <row outlineLevel="0" r="912">
      <c r="A912" s="3452" t="inlineStr">
        <is>
          <t>000224000201906190501</t>
        </is>
      </c>
      <c r="B912" s="3452" t="inlineStr">
        <is>
          <t>190501</t>
        </is>
      </c>
      <c r="C912" s="3452" t="inlineStr">
        <is>
          <t>000224000</t>
        </is>
      </c>
      <c r="D912" s="3452" t="inlineStr">
        <is>
          <t>201906</t>
        </is>
      </c>
      <c r="E912" s="3452" t="inlineStr">
        <is>
          <t>0,000000000000</t>
        </is>
      </c>
    </row>
    <row outlineLevel="0" r="913">
      <c r="A913" s="3452" t="inlineStr">
        <is>
          <t>000224000201906210500</t>
        </is>
      </c>
      <c r="B913" s="3452" t="inlineStr">
        <is>
          <t>210500</t>
        </is>
      </c>
      <c r="C913" s="3452" t="inlineStr">
        <is>
          <t>000224000</t>
        </is>
      </c>
      <c r="D913" s="3452" t="inlineStr">
        <is>
          <t>201906</t>
        </is>
      </c>
      <c r="E913" s="3452" t="inlineStr">
        <is>
          <t>150000,000000000000</t>
        </is>
      </c>
    </row>
    <row outlineLevel="0" r="914">
      <c r="A914" s="3452" t="inlineStr">
        <is>
          <t>000224000201906199501</t>
        </is>
      </c>
      <c r="B914" s="3452" t="inlineStr">
        <is>
          <t>199501</t>
        </is>
      </c>
      <c r="C914" s="3452" t="inlineStr">
        <is>
          <t>000224000</t>
        </is>
      </c>
      <c r="D914" s="3452" t="inlineStr">
        <is>
          <t>201906</t>
        </is>
      </c>
      <c r="E914" s="3452" t="inlineStr">
        <is>
          <t>0,000000000000</t>
        </is>
      </c>
    </row>
    <row outlineLevel="0" r="915">
      <c r="A915" s="3452" t="inlineStr">
        <is>
          <t>000224000201906191001</t>
        </is>
      </c>
      <c r="B915" s="3452" t="inlineStr">
        <is>
          <t>191001</t>
        </is>
      </c>
      <c r="C915" s="3452" t="inlineStr">
        <is>
          <t>000224000</t>
        </is>
      </c>
      <c r="D915" s="3452" t="inlineStr">
        <is>
          <t>201906</t>
        </is>
      </c>
      <c r="E915" s="3452" t="inlineStr">
        <is>
          <t>0,000000000000</t>
        </is>
      </c>
    </row>
    <row outlineLevel="0" r="916">
      <c r="A916" s="3452" t="inlineStr">
        <is>
          <t>000224000201906210501</t>
        </is>
      </c>
      <c r="B916" s="3452" t="inlineStr">
        <is>
          <t>210501</t>
        </is>
      </c>
      <c r="C916" s="3452" t="inlineStr">
        <is>
          <t>000224000</t>
        </is>
      </c>
      <c r="D916" s="3452" t="inlineStr">
        <is>
          <t>201906</t>
        </is>
      </c>
      <c r="E916" s="3452" t="inlineStr">
        <is>
          <t>0,000000000000</t>
        </is>
      </c>
    </row>
    <row outlineLevel="0" r="917">
      <c r="A917" s="3452" t="inlineStr">
        <is>
          <t>000224000201906211500</t>
        </is>
      </c>
      <c r="B917" s="3452" t="inlineStr">
        <is>
          <t>211500</t>
        </is>
      </c>
      <c r="C917" s="3452" t="inlineStr">
        <is>
          <t>000224000</t>
        </is>
      </c>
      <c r="D917" s="3452" t="inlineStr">
        <is>
          <t>201906</t>
        </is>
      </c>
      <c r="E917" s="3452" t="inlineStr">
        <is>
          <t>0,000000000000</t>
        </is>
      </c>
    </row>
    <row outlineLevel="0" r="918">
      <c r="A918" s="3452" t="inlineStr">
        <is>
          <t>000224000201906211001</t>
        </is>
      </c>
      <c r="B918" s="3452" t="inlineStr">
        <is>
          <t>211001</t>
        </is>
      </c>
      <c r="C918" s="3452" t="inlineStr">
        <is>
          <t>000224000</t>
        </is>
      </c>
      <c r="D918" s="3452" t="inlineStr">
        <is>
          <t>201906</t>
        </is>
      </c>
      <c r="E918" s="3452" t="inlineStr">
        <is>
          <t>0,000000000000</t>
        </is>
      </c>
    </row>
    <row outlineLevel="0" r="919">
      <c r="A919" s="3452" t="inlineStr">
        <is>
          <t>000224000201906219500</t>
        </is>
      </c>
      <c r="B919" s="3452" t="inlineStr">
        <is>
          <t>219500</t>
        </is>
      </c>
      <c r="C919" s="3452" t="inlineStr">
        <is>
          <t>000224000</t>
        </is>
      </c>
      <c r="D919" s="3452" t="inlineStr">
        <is>
          <t>201906</t>
        </is>
      </c>
      <c r="E919" s="3452" t="inlineStr">
        <is>
          <t>0,000000000000</t>
        </is>
      </c>
    </row>
    <row outlineLevel="0" r="920">
      <c r="A920" s="3452" t="inlineStr">
        <is>
          <t>000224000201906220500</t>
        </is>
      </c>
      <c r="B920" s="3452" t="inlineStr">
        <is>
          <t>220500</t>
        </is>
      </c>
      <c r="C920" s="3452" t="inlineStr">
        <is>
          <t>000224000</t>
        </is>
      </c>
      <c r="D920" s="3452" t="inlineStr">
        <is>
          <t>201906</t>
        </is>
      </c>
      <c r="E920" s="3452" t="inlineStr">
        <is>
          <t>0,000000000000</t>
        </is>
      </c>
    </row>
    <row outlineLevel="0" r="921">
      <c r="A921" s="3452" t="inlineStr">
        <is>
          <t>000224000201906221001</t>
        </is>
      </c>
      <c r="B921" s="3452" t="inlineStr">
        <is>
          <t>221001</t>
        </is>
      </c>
      <c r="C921" s="3452" t="inlineStr">
        <is>
          <t>000224000</t>
        </is>
      </c>
      <c r="D921" s="3452" t="inlineStr">
        <is>
          <t>201906</t>
        </is>
      </c>
      <c r="E921" s="3452" t="inlineStr">
        <is>
          <t>0,000000000000</t>
        </is>
      </c>
    </row>
    <row outlineLevel="0" r="922">
      <c r="A922" s="3452" t="inlineStr">
        <is>
          <t>000224000201906221000</t>
        </is>
      </c>
      <c r="B922" s="3452" t="inlineStr">
        <is>
          <t>221000</t>
        </is>
      </c>
      <c r="C922" s="3452" t="inlineStr">
        <is>
          <t>000224000</t>
        </is>
      </c>
      <c r="D922" s="3452" t="inlineStr">
        <is>
          <t>201906</t>
        </is>
      </c>
      <c r="E922" s="3452" t="inlineStr">
        <is>
          <t>0,000000000000</t>
        </is>
      </c>
    </row>
    <row outlineLevel="0" r="923">
      <c r="A923" s="3452" t="inlineStr">
        <is>
          <t>000224000201906220501</t>
        </is>
      </c>
      <c r="B923" s="3452" t="inlineStr">
        <is>
          <t>220501</t>
        </is>
      </c>
      <c r="C923" s="3452" t="inlineStr">
        <is>
          <t>000224000</t>
        </is>
      </c>
      <c r="D923" s="3452" t="inlineStr">
        <is>
          <t>201906</t>
        </is>
      </c>
      <c r="E923" s="3452" t="inlineStr">
        <is>
          <t>0,000000000000</t>
        </is>
      </c>
    </row>
    <row outlineLevel="0" r="924">
      <c r="A924" s="3452" t="inlineStr">
        <is>
          <t>000224000201906221500</t>
        </is>
      </c>
      <c r="B924" s="3452" t="inlineStr">
        <is>
          <t>221500</t>
        </is>
      </c>
      <c r="C924" s="3452" t="inlineStr">
        <is>
          <t>000224000</t>
        </is>
      </c>
      <c r="D924" s="3452" t="inlineStr">
        <is>
          <t>201906</t>
        </is>
      </c>
      <c r="E924" s="3452" t="inlineStr">
        <is>
          <t>0,000000000000</t>
        </is>
      </c>
    </row>
    <row outlineLevel="0" r="925">
      <c r="A925" s="3452" t="inlineStr">
        <is>
          <t>000224000201906230501</t>
        </is>
      </c>
      <c r="B925" s="3452" t="inlineStr">
        <is>
          <t>230501</t>
        </is>
      </c>
      <c r="C925" s="3452" t="inlineStr">
        <is>
          <t>000224000</t>
        </is>
      </c>
      <c r="D925" s="3452" t="inlineStr">
        <is>
          <t>201906</t>
        </is>
      </c>
      <c r="E925" s="3452" t="inlineStr">
        <is>
          <t>0,000000000000</t>
        </is>
      </c>
    </row>
    <row outlineLevel="0" r="926">
      <c r="A926" s="3452" t="inlineStr">
        <is>
          <t>000224000201906230500</t>
        </is>
      </c>
      <c r="B926" s="3452" t="inlineStr">
        <is>
          <t>230500</t>
        </is>
      </c>
      <c r="C926" s="3452" t="inlineStr">
        <is>
          <t>000224000</t>
        </is>
      </c>
      <c r="D926" s="3452" t="inlineStr">
        <is>
          <t>201906</t>
        </is>
      </c>
      <c r="E926" s="3452" t="inlineStr">
        <is>
          <t>0,000000000000</t>
        </is>
      </c>
    </row>
    <row outlineLevel="0" r="927">
      <c r="A927" s="3452" t="inlineStr">
        <is>
          <t>000224000201906231000</t>
        </is>
      </c>
      <c r="B927" s="3452" t="inlineStr">
        <is>
          <t>231000</t>
        </is>
      </c>
      <c r="C927" s="3452" t="inlineStr">
        <is>
          <t>000224000</t>
        </is>
      </c>
      <c r="D927" s="3452" t="inlineStr">
        <is>
          <t>201906</t>
        </is>
      </c>
      <c r="E927" s="3452" t="inlineStr">
        <is>
          <t>0,000000000000</t>
        </is>
      </c>
    </row>
    <row outlineLevel="0" r="928">
      <c r="A928" s="3452" t="inlineStr">
        <is>
          <t>000224000201906231001</t>
        </is>
      </c>
      <c r="B928" s="3452" t="inlineStr">
        <is>
          <t>231001</t>
        </is>
      </c>
      <c r="C928" s="3452" t="inlineStr">
        <is>
          <t>000224000</t>
        </is>
      </c>
      <c r="D928" s="3452" t="inlineStr">
        <is>
          <t>201906</t>
        </is>
      </c>
      <c r="E928" s="3452" t="inlineStr">
        <is>
          <t>0,000000000000</t>
        </is>
      </c>
    </row>
    <row outlineLevel="0" r="929">
      <c r="A929" s="3452" t="inlineStr">
        <is>
          <t>000224000201906232000</t>
        </is>
      </c>
      <c r="B929" s="3452" t="inlineStr">
        <is>
          <t>232000</t>
        </is>
      </c>
      <c r="C929" s="3452" t="inlineStr">
        <is>
          <t>000224000</t>
        </is>
      </c>
      <c r="D929" s="3452" t="inlineStr">
        <is>
          <t>201906</t>
        </is>
      </c>
      <c r="E929" s="3452" t="inlineStr">
        <is>
          <t>0,000000000000</t>
        </is>
      </c>
    </row>
    <row outlineLevel="0" r="930">
      <c r="A930" s="3452" t="inlineStr">
        <is>
          <t>000224000201906231501</t>
        </is>
      </c>
      <c r="B930" s="3452" t="inlineStr">
        <is>
          <t>231501</t>
        </is>
      </c>
      <c r="C930" s="3452" t="inlineStr">
        <is>
          <t>000224000</t>
        </is>
      </c>
      <c r="D930" s="3452" t="inlineStr">
        <is>
          <t>201906</t>
        </is>
      </c>
      <c r="E930" s="3452" t="inlineStr">
        <is>
          <t>0,000000000000</t>
        </is>
      </c>
    </row>
    <row outlineLevel="0" r="931">
      <c r="A931" s="3452" t="inlineStr">
        <is>
          <t>000224000201906231500</t>
        </is>
      </c>
      <c r="B931" s="3452" t="inlineStr">
        <is>
          <t>231500</t>
        </is>
      </c>
      <c r="C931" s="3452" t="inlineStr">
        <is>
          <t>000224000</t>
        </is>
      </c>
      <c r="D931" s="3452" t="inlineStr">
        <is>
          <t>201906</t>
        </is>
      </c>
      <c r="E931" s="3452" t="inlineStr">
        <is>
          <t>0,000000000000</t>
        </is>
      </c>
    </row>
    <row outlineLevel="0" r="932">
      <c r="A932" s="3452" t="inlineStr">
        <is>
          <t>000224000201906232001</t>
        </is>
      </c>
      <c r="B932" s="3452" t="inlineStr">
        <is>
          <t>232001</t>
        </is>
      </c>
      <c r="C932" s="3452" t="inlineStr">
        <is>
          <t>000224000</t>
        </is>
      </c>
      <c r="D932" s="3452" t="inlineStr">
        <is>
          <t>201906</t>
        </is>
      </c>
      <c r="E932" s="3452" t="inlineStr">
        <is>
          <t>0,000000000000</t>
        </is>
      </c>
    </row>
    <row outlineLevel="0" r="933">
      <c r="A933" s="3452" t="inlineStr">
        <is>
          <t>000224000201906233501</t>
        </is>
      </c>
      <c r="B933" s="3452" t="inlineStr">
        <is>
          <t>233501</t>
        </is>
      </c>
      <c r="C933" s="3452" t="inlineStr">
        <is>
          <t>000224000</t>
        </is>
      </c>
      <c r="D933" s="3452" t="inlineStr">
        <is>
          <t>201906</t>
        </is>
      </c>
      <c r="E933" s="3452" t="inlineStr">
        <is>
          <t>0,000000000000</t>
        </is>
      </c>
    </row>
    <row outlineLevel="0" r="934">
      <c r="A934" s="3452" t="inlineStr">
        <is>
          <t>000224000201906233500</t>
        </is>
      </c>
      <c r="B934" s="3452" t="inlineStr">
        <is>
          <t>233500</t>
        </is>
      </c>
      <c r="C934" s="3452" t="inlineStr">
        <is>
          <t>000224000</t>
        </is>
      </c>
      <c r="D934" s="3452" t="inlineStr">
        <is>
          <t>201906</t>
        </is>
      </c>
      <c r="E934" s="3452" t="inlineStr">
        <is>
          <t>0,000000000000</t>
        </is>
      </c>
    </row>
    <row outlineLevel="0" r="935">
      <c r="A935" s="3452" t="inlineStr">
        <is>
          <t>000224000201906234500</t>
        </is>
      </c>
      <c r="B935" s="3452" t="inlineStr">
        <is>
          <t>234500</t>
        </is>
      </c>
      <c r="C935" s="3452" t="inlineStr">
        <is>
          <t>000224000</t>
        </is>
      </c>
      <c r="D935" s="3452" t="inlineStr">
        <is>
          <t>201906</t>
        </is>
      </c>
      <c r="E935" s="3452" t="inlineStr">
        <is>
          <t>0,000000000000</t>
        </is>
      </c>
    </row>
    <row outlineLevel="0" r="936">
      <c r="A936" s="3452" t="inlineStr">
        <is>
          <t>000224000201906234501</t>
        </is>
      </c>
      <c r="B936" s="3452" t="inlineStr">
        <is>
          <t>234501</t>
        </is>
      </c>
      <c r="C936" s="3452" t="inlineStr">
        <is>
          <t>000224000</t>
        </is>
      </c>
      <c r="D936" s="3452" t="inlineStr">
        <is>
          <t>201906</t>
        </is>
      </c>
      <c r="E936" s="3452" t="inlineStr">
        <is>
          <t>0,000000000000</t>
        </is>
      </c>
    </row>
    <row outlineLevel="0" r="937">
      <c r="A937" s="3452" t="inlineStr">
        <is>
          <t>000224000201906235500</t>
        </is>
      </c>
      <c r="B937" s="3452" t="inlineStr">
        <is>
          <t>235500</t>
        </is>
      </c>
      <c r="C937" s="3452" t="inlineStr">
        <is>
          <t>000224000</t>
        </is>
      </c>
      <c r="D937" s="3452" t="inlineStr">
        <is>
          <t>201906</t>
        </is>
      </c>
      <c r="E937" s="3452" t="inlineStr">
        <is>
          <t>0,000000000000</t>
        </is>
      </c>
    </row>
    <row outlineLevel="0" r="938">
      <c r="A938" s="3452" t="inlineStr">
        <is>
          <t>000224000201906235001</t>
        </is>
      </c>
      <c r="B938" s="3452" t="inlineStr">
        <is>
          <t>235001</t>
        </is>
      </c>
      <c r="C938" s="3452" t="inlineStr">
        <is>
          <t>000224000</t>
        </is>
      </c>
      <c r="D938" s="3452" t="inlineStr">
        <is>
          <t>201906</t>
        </is>
      </c>
      <c r="E938" s="3452" t="inlineStr">
        <is>
          <t>0,000000000000</t>
        </is>
      </c>
    </row>
    <row outlineLevel="0" r="939">
      <c r="A939" s="3452" t="inlineStr">
        <is>
          <t>000224000201906235000</t>
        </is>
      </c>
      <c r="B939" s="3452" t="inlineStr">
        <is>
          <t>235000</t>
        </is>
      </c>
      <c r="C939" s="3452" t="inlineStr">
        <is>
          <t>000224000</t>
        </is>
      </c>
      <c r="D939" s="3452" t="inlineStr">
        <is>
          <t>201906</t>
        </is>
      </c>
      <c r="E939" s="3452" t="inlineStr">
        <is>
          <t>0,000000000000</t>
        </is>
      </c>
    </row>
    <row outlineLevel="0" r="940">
      <c r="A940" s="3452" t="inlineStr">
        <is>
          <t>000224000201906235501</t>
        </is>
      </c>
      <c r="B940" s="3452" t="inlineStr">
        <is>
          <t>235501</t>
        </is>
      </c>
      <c r="C940" s="3452" t="inlineStr">
        <is>
          <t>000224000</t>
        </is>
      </c>
      <c r="D940" s="3452" t="inlineStr">
        <is>
          <t>201906</t>
        </is>
      </c>
      <c r="E940" s="3452" t="inlineStr">
        <is>
          <t>0,000000000000</t>
        </is>
      </c>
    </row>
    <row outlineLevel="0" r="941">
      <c r="A941" s="3452" t="inlineStr">
        <is>
          <t>000224000201906236001</t>
        </is>
      </c>
      <c r="B941" s="3452" t="inlineStr">
        <is>
          <t>236001</t>
        </is>
      </c>
      <c r="C941" s="3452" t="inlineStr">
        <is>
          <t>000224000</t>
        </is>
      </c>
      <c r="D941" s="3452" t="inlineStr">
        <is>
          <t>201906</t>
        </is>
      </c>
      <c r="E941" s="3452" t="inlineStr">
        <is>
          <t>0,000000000000</t>
        </is>
      </c>
    </row>
    <row outlineLevel="0" r="942">
      <c r="A942" s="3452" t="inlineStr">
        <is>
          <t>000224000201906236000</t>
        </is>
      </c>
      <c r="B942" s="3452" t="inlineStr">
        <is>
          <t>236000</t>
        </is>
      </c>
      <c r="C942" s="3452" t="inlineStr">
        <is>
          <t>000224000</t>
        </is>
      </c>
      <c r="D942" s="3452" t="inlineStr">
        <is>
          <t>201906</t>
        </is>
      </c>
      <c r="E942" s="3452" t="inlineStr">
        <is>
          <t>0,000000000000</t>
        </is>
      </c>
    </row>
    <row outlineLevel="0" r="943">
      <c r="A943" s="3452" t="inlineStr">
        <is>
          <t>000224000201906236500</t>
        </is>
      </c>
      <c r="B943" s="3452" t="inlineStr">
        <is>
          <t>236500</t>
        </is>
      </c>
      <c r="C943" s="3452" t="inlineStr">
        <is>
          <t>000224000</t>
        </is>
      </c>
      <c r="D943" s="3452" t="inlineStr">
        <is>
          <t>201906</t>
        </is>
      </c>
      <c r="E943" s="3452" t="inlineStr">
        <is>
          <t>0,000000000000</t>
        </is>
      </c>
    </row>
    <row outlineLevel="0" r="944">
      <c r="A944" s="3452" t="inlineStr">
        <is>
          <t>000224000201906236501</t>
        </is>
      </c>
      <c r="B944" s="3452" t="inlineStr">
        <is>
          <t>236501</t>
        </is>
      </c>
      <c r="C944" s="3452" t="inlineStr">
        <is>
          <t>000224000</t>
        </is>
      </c>
      <c r="D944" s="3452" t="inlineStr">
        <is>
          <t>201906</t>
        </is>
      </c>
      <c r="E944" s="3452" t="inlineStr">
        <is>
          <t>0,000000000000</t>
        </is>
      </c>
    </row>
    <row outlineLevel="0" r="945">
      <c r="A945" s="3452" t="inlineStr">
        <is>
          <t>000224000201906236800</t>
        </is>
      </c>
      <c r="B945" s="3452" t="inlineStr">
        <is>
          <t>236800</t>
        </is>
      </c>
      <c r="C945" s="3452" t="inlineStr">
        <is>
          <t>000224000</t>
        </is>
      </c>
      <c r="D945" s="3452" t="inlineStr">
        <is>
          <t>201906</t>
        </is>
      </c>
      <c r="E945" s="3452" t="inlineStr">
        <is>
          <t>0,000000000000</t>
        </is>
      </c>
    </row>
    <row outlineLevel="0" r="946">
      <c r="A946" s="3452" t="inlineStr">
        <is>
          <t>000224000201906236701</t>
        </is>
      </c>
      <c r="B946" s="3452" t="inlineStr">
        <is>
          <t>236701</t>
        </is>
      </c>
      <c r="C946" s="3452" t="inlineStr">
        <is>
          <t>000224000</t>
        </is>
      </c>
      <c r="D946" s="3452" t="inlineStr">
        <is>
          <t>201906</t>
        </is>
      </c>
      <c r="E946" s="3452" t="inlineStr">
        <is>
          <t>0,000000000000</t>
        </is>
      </c>
    </row>
    <row outlineLevel="0" r="947">
      <c r="A947" s="3452" t="inlineStr">
        <is>
          <t>000224000201906236700</t>
        </is>
      </c>
      <c r="B947" s="3452" t="inlineStr">
        <is>
          <t>236700</t>
        </is>
      </c>
      <c r="C947" s="3452" t="inlineStr">
        <is>
          <t>000224000</t>
        </is>
      </c>
      <c r="D947" s="3452" t="inlineStr">
        <is>
          <t>201906</t>
        </is>
      </c>
      <c r="E947" s="3452" t="inlineStr">
        <is>
          <t>0,000000000000</t>
        </is>
      </c>
    </row>
    <row outlineLevel="0" r="948">
      <c r="A948" s="3452" t="inlineStr">
        <is>
          <t>000224000201906237000</t>
        </is>
      </c>
      <c r="B948" s="3452" t="inlineStr">
        <is>
          <t>237000</t>
        </is>
      </c>
      <c r="C948" s="3452" t="inlineStr">
        <is>
          <t>000224000</t>
        </is>
      </c>
      <c r="D948" s="3452" t="inlineStr">
        <is>
          <t>201906</t>
        </is>
      </c>
      <c r="E948" s="3452" t="inlineStr">
        <is>
          <t>0,000000000000</t>
        </is>
      </c>
    </row>
    <row outlineLevel="0" r="949">
      <c r="A949" s="3452" t="inlineStr">
        <is>
          <t>000224000201906238000</t>
        </is>
      </c>
      <c r="B949" s="3452" t="inlineStr">
        <is>
          <t>238000</t>
        </is>
      </c>
      <c r="C949" s="3452" t="inlineStr">
        <is>
          <t>000224000</t>
        </is>
      </c>
      <c r="D949" s="3452" t="inlineStr">
        <is>
          <t>201906</t>
        </is>
      </c>
      <c r="E949" s="3452" t="inlineStr">
        <is>
          <t>0,000000000000</t>
        </is>
      </c>
    </row>
    <row outlineLevel="0" r="950">
      <c r="A950" s="3452" t="inlineStr">
        <is>
          <t>000224000201906237001</t>
        </is>
      </c>
      <c r="B950" s="3452" t="inlineStr">
        <is>
          <t>237001</t>
        </is>
      </c>
      <c r="C950" s="3452" t="inlineStr">
        <is>
          <t>000224000</t>
        </is>
      </c>
      <c r="D950" s="3452" t="inlineStr">
        <is>
          <t>201906</t>
        </is>
      </c>
      <c r="E950" s="3452" t="inlineStr">
        <is>
          <t>0,000000000000</t>
        </is>
      </c>
    </row>
    <row outlineLevel="0" r="951">
      <c r="A951" s="3452" t="inlineStr">
        <is>
          <t>000224000201906238001</t>
        </is>
      </c>
      <c r="B951" s="3452" t="inlineStr">
        <is>
          <t>238001</t>
        </is>
      </c>
      <c r="C951" s="3452" t="inlineStr">
        <is>
          <t>000224000</t>
        </is>
      </c>
      <c r="D951" s="3452" t="inlineStr">
        <is>
          <t>201906</t>
        </is>
      </c>
      <c r="E951" s="3452" t="inlineStr">
        <is>
          <t>0,000000000000</t>
        </is>
      </c>
    </row>
    <row outlineLevel="0" r="952">
      <c r="A952" s="3452" t="inlineStr">
        <is>
          <t>000224000201906240001</t>
        </is>
      </c>
      <c r="B952" s="3452" t="inlineStr">
        <is>
          <t>240001</t>
        </is>
      </c>
      <c r="C952" s="3452" t="inlineStr">
        <is>
          <t>000224000</t>
        </is>
      </c>
      <c r="D952" s="3452" t="inlineStr">
        <is>
          <t>201906</t>
        </is>
      </c>
      <c r="E952" s="3452" t="inlineStr">
        <is>
          <t>0,000000000000</t>
        </is>
      </c>
    </row>
    <row outlineLevel="0" r="953">
      <c r="A953" s="3452" t="inlineStr">
        <is>
          <t>000224000201906240800</t>
        </is>
      </c>
      <c r="B953" s="3452" t="inlineStr">
        <is>
          <t>240800</t>
        </is>
      </c>
      <c r="C953" s="3452" t="inlineStr">
        <is>
          <t>000224000</t>
        </is>
      </c>
      <c r="D953" s="3452" t="inlineStr">
        <is>
          <t>201906</t>
        </is>
      </c>
      <c r="E953" s="3452" t="inlineStr">
        <is>
          <t>0,000000000000</t>
        </is>
      </c>
    </row>
    <row outlineLevel="0" r="954">
      <c r="A954" s="3452" t="inlineStr">
        <is>
          <t>000224000201906240401</t>
        </is>
      </c>
      <c r="B954" s="3452" t="inlineStr">
        <is>
          <t>240401</t>
        </is>
      </c>
      <c r="C954" s="3452" t="inlineStr">
        <is>
          <t>000224000</t>
        </is>
      </c>
      <c r="D954" s="3452" t="inlineStr">
        <is>
          <t>201906</t>
        </is>
      </c>
      <c r="E954" s="3452" t="inlineStr">
        <is>
          <t>0,000000000000</t>
        </is>
      </c>
    </row>
    <row outlineLevel="0" r="955">
      <c r="A955" s="3452" t="inlineStr">
        <is>
          <t>000224000201906240400</t>
        </is>
      </c>
      <c r="B955" s="3452" t="inlineStr">
        <is>
          <t>240400</t>
        </is>
      </c>
      <c r="C955" s="3452" t="inlineStr">
        <is>
          <t>000224000</t>
        </is>
      </c>
      <c r="D955" s="3452" t="inlineStr">
        <is>
          <t>201906</t>
        </is>
      </c>
      <c r="E955" s="3452" t="inlineStr">
        <is>
          <t>0,000000000000</t>
        </is>
      </c>
    </row>
    <row outlineLevel="0" r="956">
      <c r="A956" s="3452" t="inlineStr">
        <is>
          <t>000224000201906240801</t>
        </is>
      </c>
      <c r="B956" s="3452" t="inlineStr">
        <is>
          <t>240801</t>
        </is>
      </c>
      <c r="C956" s="3452" t="inlineStr">
        <is>
          <t>000224000</t>
        </is>
      </c>
      <c r="D956" s="3452" t="inlineStr">
        <is>
          <t>201906</t>
        </is>
      </c>
      <c r="E956" s="3452" t="inlineStr">
        <is>
          <t>0,000000000000</t>
        </is>
      </c>
    </row>
    <row outlineLevel="0" r="957">
      <c r="A957" s="3452" t="inlineStr">
        <is>
          <t>000224000201906241201</t>
        </is>
      </c>
      <c r="B957" s="3452" t="inlineStr">
        <is>
          <t>241201</t>
        </is>
      </c>
      <c r="C957" s="3452" t="inlineStr">
        <is>
          <t>000224000</t>
        </is>
      </c>
      <c r="D957" s="3452" t="inlineStr">
        <is>
          <t>201906</t>
        </is>
      </c>
      <c r="E957" s="3452" t="inlineStr">
        <is>
          <t>0,000000000000</t>
        </is>
      </c>
    </row>
    <row outlineLevel="0" r="958">
      <c r="A958" s="3452" t="inlineStr">
        <is>
          <t>000224000201906241200</t>
        </is>
      </c>
      <c r="B958" s="3452" t="inlineStr">
        <is>
          <t>241200</t>
        </is>
      </c>
      <c r="C958" s="3452" t="inlineStr">
        <is>
          <t>000224000</t>
        </is>
      </c>
      <c r="D958" s="3452" t="inlineStr">
        <is>
          <t>201906</t>
        </is>
      </c>
      <c r="E958" s="3452" t="inlineStr">
        <is>
          <t>0,000000000000</t>
        </is>
      </c>
    </row>
    <row outlineLevel="0" r="959">
      <c r="A959" s="3452" t="inlineStr">
        <is>
          <t>000224000201906249500</t>
        </is>
      </c>
      <c r="B959" s="3452" t="inlineStr">
        <is>
          <t>249500</t>
        </is>
      </c>
      <c r="C959" s="3452" t="inlineStr">
        <is>
          <t>000224000</t>
        </is>
      </c>
      <c r="D959" s="3452" t="inlineStr">
        <is>
          <t>201906</t>
        </is>
      </c>
      <c r="E959" s="3452" t="inlineStr">
        <is>
          <t>0,000000000000</t>
        </is>
      </c>
    </row>
    <row outlineLevel="0" r="960">
      <c r="A960" s="3452" t="inlineStr">
        <is>
          <t>000224000201906249501</t>
        </is>
      </c>
      <c r="B960" s="3452" t="inlineStr">
        <is>
          <t>249501</t>
        </is>
      </c>
      <c r="C960" s="3452" t="inlineStr">
        <is>
          <t>000224000</t>
        </is>
      </c>
      <c r="D960" s="3452" t="inlineStr">
        <is>
          <t>201906</t>
        </is>
      </c>
      <c r="E960" s="3452" t="inlineStr">
        <is>
          <t>0,000000000000</t>
        </is>
      </c>
    </row>
    <row outlineLevel="0" r="961">
      <c r="A961" s="3452" t="inlineStr">
        <is>
          <t>000224000201906251000</t>
        </is>
      </c>
      <c r="B961" s="3452" t="inlineStr">
        <is>
          <t>251000</t>
        </is>
      </c>
      <c r="C961" s="3452" t="inlineStr">
        <is>
          <t>000224000</t>
        </is>
      </c>
      <c r="D961" s="3452" t="inlineStr">
        <is>
          <t>201906</t>
        </is>
      </c>
      <c r="E961" s="3452" t="inlineStr">
        <is>
          <t>0,000000000000</t>
        </is>
      </c>
    </row>
    <row outlineLevel="0" r="962">
      <c r="A962" s="3452" t="inlineStr">
        <is>
          <t>000224000201906250501</t>
        </is>
      </c>
      <c r="B962" s="3452" t="inlineStr">
        <is>
          <t>250501</t>
        </is>
      </c>
      <c r="C962" s="3452" t="inlineStr">
        <is>
          <t>000224000</t>
        </is>
      </c>
      <c r="D962" s="3452" t="inlineStr">
        <is>
          <t>201906</t>
        </is>
      </c>
      <c r="E962" s="3452" t="inlineStr">
        <is>
          <t>0,000000000000</t>
        </is>
      </c>
    </row>
    <row outlineLevel="0" r="963">
      <c r="A963" s="3452" t="inlineStr">
        <is>
          <t>000224000201906250500</t>
        </is>
      </c>
      <c r="B963" s="3452" t="inlineStr">
        <is>
          <t>250500</t>
        </is>
      </c>
      <c r="C963" s="3452" t="inlineStr">
        <is>
          <t>000224000</t>
        </is>
      </c>
      <c r="D963" s="3452" t="inlineStr">
        <is>
          <t>201906</t>
        </is>
      </c>
      <c r="E963" s="3452" t="inlineStr">
        <is>
          <t>0,000000000000</t>
        </is>
      </c>
    </row>
    <row outlineLevel="0" r="964">
      <c r="A964" s="3452" t="inlineStr">
        <is>
          <t>000224000201906251001</t>
        </is>
      </c>
      <c r="B964" s="3452" t="inlineStr">
        <is>
          <t>251001</t>
        </is>
      </c>
      <c r="C964" s="3452" t="inlineStr">
        <is>
          <t>000224000</t>
        </is>
      </c>
      <c r="D964" s="3452" t="inlineStr">
        <is>
          <t>201906</t>
        </is>
      </c>
      <c r="E964" s="3452" t="inlineStr">
        <is>
          <t>0,000000000000</t>
        </is>
      </c>
    </row>
    <row outlineLevel="0" r="965">
      <c r="A965" s="3452" t="inlineStr">
        <is>
          <t>000224000201906251501</t>
        </is>
      </c>
      <c r="B965" s="3452" t="inlineStr">
        <is>
          <t>251501</t>
        </is>
      </c>
      <c r="C965" s="3452" t="inlineStr">
        <is>
          <t>000224000</t>
        </is>
      </c>
      <c r="D965" s="3452" t="inlineStr">
        <is>
          <t>201906</t>
        </is>
      </c>
      <c r="E965" s="3452" t="inlineStr">
        <is>
          <t>0,000000000000</t>
        </is>
      </c>
    </row>
    <row outlineLevel="0" r="966">
      <c r="A966" s="3452" t="inlineStr">
        <is>
          <t>000224000201906251500</t>
        </is>
      </c>
      <c r="B966" s="3452" t="inlineStr">
        <is>
          <t>251500</t>
        </is>
      </c>
      <c r="C966" s="3452" t="inlineStr">
        <is>
          <t>000224000</t>
        </is>
      </c>
      <c r="D966" s="3452" t="inlineStr">
        <is>
          <t>201906</t>
        </is>
      </c>
      <c r="E966" s="3452" t="inlineStr">
        <is>
          <t>0,000000000000</t>
        </is>
      </c>
    </row>
    <row outlineLevel="0" r="967">
      <c r="A967" s="3452" t="inlineStr">
        <is>
          <t>000224000201906252500</t>
        </is>
      </c>
      <c r="B967" s="3452" t="inlineStr">
        <is>
          <t>252500</t>
        </is>
      </c>
      <c r="C967" s="3452" t="inlineStr">
        <is>
          <t>000224000</t>
        </is>
      </c>
      <c r="D967" s="3452" t="inlineStr">
        <is>
          <t>201906</t>
        </is>
      </c>
      <c r="E967" s="3452" t="inlineStr">
        <is>
          <t>0,000000000000</t>
        </is>
      </c>
    </row>
    <row outlineLevel="0" r="968">
      <c r="A968" s="3452" t="inlineStr">
        <is>
          <t>000224000201906252501</t>
        </is>
      </c>
      <c r="B968" s="3452" t="inlineStr">
        <is>
          <t>252501</t>
        </is>
      </c>
      <c r="C968" s="3452" t="inlineStr">
        <is>
          <t>000224000</t>
        </is>
      </c>
      <c r="D968" s="3452" t="inlineStr">
        <is>
          <t>201906</t>
        </is>
      </c>
      <c r="E968" s="3452" t="inlineStr">
        <is>
          <t>0,000000000000</t>
        </is>
      </c>
    </row>
    <row outlineLevel="0" r="969">
      <c r="A969" s="3452" t="inlineStr">
        <is>
          <t>000224000201906259500</t>
        </is>
      </c>
      <c r="B969" s="3452" t="inlineStr">
        <is>
          <t>259500</t>
        </is>
      </c>
      <c r="C969" s="3452" t="inlineStr">
        <is>
          <t>000224000</t>
        </is>
      </c>
      <c r="D969" s="3452" t="inlineStr">
        <is>
          <t>201906</t>
        </is>
      </c>
      <c r="E969" s="3452" t="inlineStr">
        <is>
          <t>0,000000000000</t>
        </is>
      </c>
    </row>
    <row outlineLevel="0" r="970">
      <c r="A970" s="3452" t="inlineStr">
        <is>
          <t>000224000201906253001</t>
        </is>
      </c>
      <c r="B970" s="3452" t="inlineStr">
        <is>
          <t>253001</t>
        </is>
      </c>
      <c r="C970" s="3452" t="inlineStr">
        <is>
          <t>000224000</t>
        </is>
      </c>
      <c r="D970" s="3452" t="inlineStr">
        <is>
          <t>201906</t>
        </is>
      </c>
      <c r="E970" s="3452" t="inlineStr">
        <is>
          <t>0,000000000000</t>
        </is>
      </c>
    </row>
    <row outlineLevel="0" r="971">
      <c r="A971" s="3452" t="inlineStr">
        <is>
          <t>000224000201906253000</t>
        </is>
      </c>
      <c r="B971" s="3452" t="inlineStr">
        <is>
          <t>253000</t>
        </is>
      </c>
      <c r="C971" s="3452" t="inlineStr">
        <is>
          <t>000224000</t>
        </is>
      </c>
      <c r="D971" s="3452" t="inlineStr">
        <is>
          <t>201906</t>
        </is>
      </c>
      <c r="E971" s="3452" t="inlineStr">
        <is>
          <t>0,000000000000</t>
        </is>
      </c>
    </row>
    <row outlineLevel="0" r="972">
      <c r="A972" s="3452" t="inlineStr">
        <is>
          <t>000224000201906259501</t>
        </is>
      </c>
      <c r="B972" s="3452" t="inlineStr">
        <is>
          <t>259501</t>
        </is>
      </c>
      <c r="C972" s="3452" t="inlineStr">
        <is>
          <t>000224000</t>
        </is>
      </c>
      <c r="D972" s="3452" t="inlineStr">
        <is>
          <t>201906</t>
        </is>
      </c>
      <c r="E972" s="3452" t="inlineStr">
        <is>
          <t>0,000000000000</t>
        </is>
      </c>
    </row>
    <row outlineLevel="0" r="973">
      <c r="A973" s="3452" t="inlineStr">
        <is>
          <t>000224000201906260501</t>
        </is>
      </c>
      <c r="B973" s="3452" t="inlineStr">
        <is>
          <t>260501</t>
        </is>
      </c>
      <c r="C973" s="3452" t="inlineStr">
        <is>
          <t>000224000</t>
        </is>
      </c>
      <c r="D973" s="3452" t="inlineStr">
        <is>
          <t>201906</t>
        </is>
      </c>
      <c r="E973" s="3452" t="inlineStr">
        <is>
          <t>0,000000000000</t>
        </is>
      </c>
    </row>
    <row outlineLevel="0" r="974">
      <c r="A974" s="3452" t="inlineStr">
        <is>
          <t>000224000201906260500</t>
        </is>
      </c>
      <c r="B974" s="3452" t="inlineStr">
        <is>
          <t>260500</t>
        </is>
      </c>
      <c r="C974" s="3452" t="inlineStr">
        <is>
          <t>000224000</t>
        </is>
      </c>
      <c r="D974" s="3452" t="inlineStr">
        <is>
          <t>201906</t>
        </is>
      </c>
      <c r="E974" s="3452" t="inlineStr">
        <is>
          <t>0,000000000000</t>
        </is>
      </c>
    </row>
    <row outlineLevel="0" r="975">
      <c r="A975" s="3452" t="inlineStr">
        <is>
          <t>000224000201906261000</t>
        </is>
      </c>
      <c r="B975" s="3452" t="inlineStr">
        <is>
          <t>261000</t>
        </is>
      </c>
      <c r="C975" s="3452" t="inlineStr">
        <is>
          <t>000224000</t>
        </is>
      </c>
      <c r="D975" s="3452" t="inlineStr">
        <is>
          <t>201906</t>
        </is>
      </c>
      <c r="E975" s="3452" t="inlineStr">
        <is>
          <t>0,000000000000</t>
        </is>
      </c>
    </row>
    <row outlineLevel="0" r="976">
      <c r="A976" s="3452" t="inlineStr">
        <is>
          <t>000224000201906261001</t>
        </is>
      </c>
      <c r="B976" s="3452" t="inlineStr">
        <is>
          <t>261001</t>
        </is>
      </c>
      <c r="C976" s="3452" t="inlineStr">
        <is>
          <t>000224000</t>
        </is>
      </c>
      <c r="D976" s="3452" t="inlineStr">
        <is>
          <t>201906</t>
        </is>
      </c>
      <c r="E976" s="3452" t="inlineStr">
        <is>
          <t>0,000000000000</t>
        </is>
      </c>
    </row>
    <row outlineLevel="0" r="977">
      <c r="A977" s="3452" t="inlineStr">
        <is>
          <t>000224000201906262000</t>
        </is>
      </c>
      <c r="B977" s="3452" t="inlineStr">
        <is>
          <t>262000</t>
        </is>
      </c>
      <c r="C977" s="3452" t="inlineStr">
        <is>
          <t>000224000</t>
        </is>
      </c>
      <c r="D977" s="3452" t="inlineStr">
        <is>
          <t>201906</t>
        </is>
      </c>
      <c r="E977" s="3452" t="inlineStr">
        <is>
          <t>0,000000000000</t>
        </is>
      </c>
    </row>
    <row outlineLevel="0" r="978">
      <c r="A978" s="3452" t="inlineStr">
        <is>
          <t>000224000201906261501</t>
        </is>
      </c>
      <c r="B978" s="3452" t="inlineStr">
        <is>
          <t>261501</t>
        </is>
      </c>
      <c r="C978" s="3452" t="inlineStr">
        <is>
          <t>000224000</t>
        </is>
      </c>
      <c r="D978" s="3452" t="inlineStr">
        <is>
          <t>201906</t>
        </is>
      </c>
      <c r="E978" s="3452" t="inlineStr">
        <is>
          <t>0,000000000000</t>
        </is>
      </c>
    </row>
    <row outlineLevel="0" r="979">
      <c r="A979" s="3452" t="inlineStr">
        <is>
          <t>000224000201906261500</t>
        </is>
      </c>
      <c r="B979" s="3452" t="inlineStr">
        <is>
          <t>261500</t>
        </is>
      </c>
      <c r="C979" s="3452" t="inlineStr">
        <is>
          <t>000224000</t>
        </is>
      </c>
      <c r="D979" s="3452" t="inlineStr">
        <is>
          <t>201906</t>
        </is>
      </c>
      <c r="E979" s="3452" t="inlineStr">
        <is>
          <t>0,000000000000</t>
        </is>
      </c>
    </row>
    <row outlineLevel="0" r="980">
      <c r="A980" s="3452" t="inlineStr">
        <is>
          <t>000224000201906262001</t>
        </is>
      </c>
      <c r="B980" s="3452" t="inlineStr">
        <is>
          <t>262001</t>
        </is>
      </c>
      <c r="C980" s="3452" t="inlineStr">
        <is>
          <t>000224000</t>
        </is>
      </c>
      <c r="D980" s="3452" t="inlineStr">
        <is>
          <t>201906</t>
        </is>
      </c>
      <c r="E980" s="3452" t="inlineStr">
        <is>
          <t>0,000000000000</t>
        </is>
      </c>
    </row>
    <row outlineLevel="0" r="981">
      <c r="A981" s="3452" t="inlineStr">
        <is>
          <t>000224000201906262501</t>
        </is>
      </c>
      <c r="B981" s="3452" t="inlineStr">
        <is>
          <t>262501</t>
        </is>
      </c>
      <c r="C981" s="3452" t="inlineStr">
        <is>
          <t>000224000</t>
        </is>
      </c>
      <c r="D981" s="3452" t="inlineStr">
        <is>
          <t>201906</t>
        </is>
      </c>
      <c r="E981" s="3452" t="inlineStr">
        <is>
          <t>0,000000000000</t>
        </is>
      </c>
    </row>
    <row outlineLevel="0" r="982">
      <c r="A982" s="3452" t="inlineStr">
        <is>
          <t>000224000201906262500</t>
        </is>
      </c>
      <c r="B982" s="3452" t="inlineStr">
        <is>
          <t>262500</t>
        </is>
      </c>
      <c r="C982" s="3452" t="inlineStr">
        <is>
          <t>000224000</t>
        </is>
      </c>
      <c r="D982" s="3452" t="inlineStr">
        <is>
          <t>201906</t>
        </is>
      </c>
      <c r="E982" s="3452" t="inlineStr">
        <is>
          <t>0,000000000000</t>
        </is>
      </c>
    </row>
    <row outlineLevel="0" r="983">
      <c r="A983" s="3452" t="inlineStr">
        <is>
          <t>000224000201906263000</t>
        </is>
      </c>
      <c r="B983" s="3452" t="inlineStr">
        <is>
          <t>263000</t>
        </is>
      </c>
      <c r="C983" s="3452" t="inlineStr">
        <is>
          <t>000224000</t>
        </is>
      </c>
      <c r="D983" s="3452" t="inlineStr">
        <is>
          <t>201906</t>
        </is>
      </c>
      <c r="E983" s="3452" t="inlineStr">
        <is>
          <t>0,000000000000</t>
        </is>
      </c>
    </row>
    <row outlineLevel="0" r="984">
      <c r="A984" s="3452" t="inlineStr">
        <is>
          <t>000224000201906263001</t>
        </is>
      </c>
      <c r="B984" s="3452" t="inlineStr">
        <is>
          <t>263001</t>
        </is>
      </c>
      <c r="C984" s="3452" t="inlineStr">
        <is>
          <t>000224000</t>
        </is>
      </c>
      <c r="D984" s="3452" t="inlineStr">
        <is>
          <t>201906</t>
        </is>
      </c>
      <c r="E984" s="3452" t="inlineStr">
        <is>
          <t>0,000000000000</t>
        </is>
      </c>
    </row>
    <row outlineLevel="0" r="985">
      <c r="A985" s="3452" t="inlineStr">
        <is>
          <t>000224000201906264000</t>
        </is>
      </c>
      <c r="B985" s="3452" t="inlineStr">
        <is>
          <t>264000</t>
        </is>
      </c>
      <c r="C985" s="3452" t="inlineStr">
        <is>
          <t>000224000</t>
        </is>
      </c>
      <c r="D985" s="3452" t="inlineStr">
        <is>
          <t>201906</t>
        </is>
      </c>
      <c r="E985" s="3452" t="inlineStr">
        <is>
          <t>0,000000000000</t>
        </is>
      </c>
    </row>
    <row outlineLevel="0" r="986">
      <c r="A986" s="3452" t="inlineStr">
        <is>
          <t>000224000201906263501</t>
        </is>
      </c>
      <c r="B986" s="3452" t="inlineStr">
        <is>
          <t>263501</t>
        </is>
      </c>
      <c r="C986" s="3452" t="inlineStr">
        <is>
          <t>000224000</t>
        </is>
      </c>
      <c r="D986" s="3452" t="inlineStr">
        <is>
          <t>201906</t>
        </is>
      </c>
      <c r="E986" s="3452" t="inlineStr">
        <is>
          <t>0,000000000000</t>
        </is>
      </c>
    </row>
    <row outlineLevel="0" r="987">
      <c r="A987" s="3452" t="inlineStr">
        <is>
          <t>000224000201906263500</t>
        </is>
      </c>
      <c r="B987" s="3452" t="inlineStr">
        <is>
          <t>263500</t>
        </is>
      </c>
      <c r="C987" s="3452" t="inlineStr">
        <is>
          <t>000224000</t>
        </is>
      </c>
      <c r="D987" s="3452" t="inlineStr">
        <is>
          <t>201906</t>
        </is>
      </c>
      <c r="E987" s="3452" t="inlineStr">
        <is>
          <t>0,000000000000</t>
        </is>
      </c>
    </row>
    <row outlineLevel="0" r="988">
      <c r="A988" s="3452" t="inlineStr">
        <is>
          <t>000224000201906264001</t>
        </is>
      </c>
      <c r="B988" s="3452" t="inlineStr">
        <is>
          <t>264001</t>
        </is>
      </c>
      <c r="C988" s="3452" t="inlineStr">
        <is>
          <t>000224000</t>
        </is>
      </c>
      <c r="D988" s="3452" t="inlineStr">
        <is>
          <t>201906</t>
        </is>
      </c>
      <c r="E988" s="3452" t="inlineStr">
        <is>
          <t>0,000000000000</t>
        </is>
      </c>
    </row>
    <row outlineLevel="0" r="989">
      <c r="A989" s="3452" t="inlineStr">
        <is>
          <t>000224000201906269501</t>
        </is>
      </c>
      <c r="B989" s="3452" t="inlineStr">
        <is>
          <t>269501</t>
        </is>
      </c>
      <c r="C989" s="3452" t="inlineStr">
        <is>
          <t>000224000</t>
        </is>
      </c>
      <c r="D989" s="3452" t="inlineStr">
        <is>
          <t>201906</t>
        </is>
      </c>
      <c r="E989" s="3452" t="inlineStr">
        <is>
          <t>0,000000000000</t>
        </is>
      </c>
    </row>
    <row outlineLevel="0" r="990">
      <c r="A990" s="3452" t="inlineStr">
        <is>
          <t>000224000201906269500</t>
        </is>
      </c>
      <c r="B990" s="3452" t="inlineStr">
        <is>
          <t>269500</t>
        </is>
      </c>
      <c r="C990" s="3452" t="inlineStr">
        <is>
          <t>000224000</t>
        </is>
      </c>
      <c r="D990" s="3452" t="inlineStr">
        <is>
          <t>201906</t>
        </is>
      </c>
      <c r="E990" s="3452" t="inlineStr">
        <is>
          <t>0,000000000000</t>
        </is>
      </c>
    </row>
    <row outlineLevel="0" r="991">
      <c r="A991" s="3452" t="inlineStr">
        <is>
          <t>000224000201906270500</t>
        </is>
      </c>
      <c r="B991" s="3452" t="inlineStr">
        <is>
          <t>270500</t>
        </is>
      </c>
      <c r="C991" s="3452" t="inlineStr">
        <is>
          <t>000224000</t>
        </is>
      </c>
      <c r="D991" s="3452" t="inlineStr">
        <is>
          <t>201906</t>
        </is>
      </c>
      <c r="E991" s="3452" t="inlineStr">
        <is>
          <t>0,000000000000</t>
        </is>
      </c>
    </row>
    <row outlineLevel="0" r="992">
      <c r="A992" s="3452" t="inlineStr">
        <is>
          <t>000224000201906270501</t>
        </is>
      </c>
      <c r="B992" s="3452" t="inlineStr">
        <is>
          <t>270501</t>
        </is>
      </c>
      <c r="C992" s="3452" t="inlineStr">
        <is>
          <t>000224000</t>
        </is>
      </c>
      <c r="D992" s="3452" t="inlineStr">
        <is>
          <t>201906</t>
        </is>
      </c>
      <c r="E992" s="3452" t="inlineStr">
        <is>
          <t>0,000000000000</t>
        </is>
      </c>
    </row>
    <row outlineLevel="0" r="993">
      <c r="A993" s="3452" t="inlineStr">
        <is>
          <t>000224000201906272001</t>
        </is>
      </c>
      <c r="B993" s="3452" t="inlineStr">
        <is>
          <t>272001</t>
        </is>
      </c>
      <c r="C993" s="3452" t="inlineStr">
        <is>
          <t>000224000</t>
        </is>
      </c>
      <c r="D993" s="3452" t="inlineStr">
        <is>
          <t>201906</t>
        </is>
      </c>
      <c r="E993" s="3452" t="inlineStr">
        <is>
          <t>0,000000000000</t>
        </is>
      </c>
    </row>
    <row outlineLevel="0" r="994">
      <c r="A994" s="3452" t="inlineStr">
        <is>
          <t>000224000201906271001</t>
        </is>
      </c>
      <c r="B994" s="3452" t="inlineStr">
        <is>
          <t>271001</t>
        </is>
      </c>
      <c r="C994" s="3452" t="inlineStr">
        <is>
          <t>000224000</t>
        </is>
      </c>
      <c r="D994" s="3452" t="inlineStr">
        <is>
          <t>201906</t>
        </is>
      </c>
      <c r="E994" s="3452" t="inlineStr">
        <is>
          <t>0,000000000000</t>
        </is>
      </c>
    </row>
    <row outlineLevel="0" r="995">
      <c r="A995" s="3452" t="inlineStr">
        <is>
          <t>000224000201906271000</t>
        </is>
      </c>
      <c r="B995" s="3452" t="inlineStr">
        <is>
          <t>271000</t>
        </is>
      </c>
      <c r="C995" s="3452" t="inlineStr">
        <is>
          <t>000224000</t>
        </is>
      </c>
      <c r="D995" s="3452" t="inlineStr">
        <is>
          <t>201906</t>
        </is>
      </c>
      <c r="E995" s="3452" t="inlineStr">
        <is>
          <t>0,000000000000</t>
        </is>
      </c>
    </row>
    <row outlineLevel="0" r="996">
      <c r="A996" s="3452" t="inlineStr">
        <is>
          <t>000224000201906272500</t>
        </is>
      </c>
      <c r="B996" s="3452" t="inlineStr">
        <is>
          <t>272500</t>
        </is>
      </c>
      <c r="C996" s="3452" t="inlineStr">
        <is>
          <t>000224000</t>
        </is>
      </c>
      <c r="D996" s="3452" t="inlineStr">
        <is>
          <t>201906</t>
        </is>
      </c>
      <c r="E996" s="3452" t="inlineStr">
        <is>
          <t>0,000000000000</t>
        </is>
      </c>
    </row>
    <row outlineLevel="0" r="997">
      <c r="A997" s="3452" t="inlineStr">
        <is>
          <t>000224000201906279500</t>
        </is>
      </c>
      <c r="B997" s="3452" t="inlineStr">
        <is>
          <t>279500</t>
        </is>
      </c>
      <c r="C997" s="3452" t="inlineStr">
        <is>
          <t>000224000</t>
        </is>
      </c>
      <c r="D997" s="3452" t="inlineStr">
        <is>
          <t>201906</t>
        </is>
      </c>
      <c r="E997" s="3452" t="inlineStr">
        <is>
          <t>0,000000000000</t>
        </is>
      </c>
    </row>
    <row outlineLevel="0" r="998">
      <c r="A998" s="3452" t="inlineStr">
        <is>
          <t>000224000201906272501</t>
        </is>
      </c>
      <c r="B998" s="3452" t="inlineStr">
        <is>
          <t>272501</t>
        </is>
      </c>
      <c r="C998" s="3452" t="inlineStr">
        <is>
          <t>000224000</t>
        </is>
      </c>
      <c r="D998" s="3452" t="inlineStr">
        <is>
          <t>201906</t>
        </is>
      </c>
      <c r="E998" s="3452" t="inlineStr">
        <is>
          <t>0,000000000000</t>
        </is>
      </c>
    </row>
    <row outlineLevel="0" r="999">
      <c r="A999" s="3452" t="inlineStr">
        <is>
          <t>000224000201906279501</t>
        </is>
      </c>
      <c r="B999" s="3452" t="inlineStr">
        <is>
          <t>279501</t>
        </is>
      </c>
      <c r="C999" s="3452" t="inlineStr">
        <is>
          <t>000224000</t>
        </is>
      </c>
      <c r="D999" s="3452" t="inlineStr">
        <is>
          <t>201906</t>
        </is>
      </c>
      <c r="E999" s="3452" t="inlineStr">
        <is>
          <t>0,000000000000</t>
        </is>
      </c>
    </row>
    <row outlineLevel="0" r="1000">
      <c r="A1000" s="3452" t="inlineStr">
        <is>
          <t>000224000201906281000</t>
        </is>
      </c>
      <c r="B1000" s="3452" t="inlineStr">
        <is>
          <t>281000</t>
        </is>
      </c>
      <c r="C1000" s="3452" t="inlineStr">
        <is>
          <t>000224000</t>
        </is>
      </c>
      <c r="D1000" s="3452" t="inlineStr">
        <is>
          <t>201906</t>
        </is>
      </c>
      <c r="E1000" s="3452" t="inlineStr">
        <is>
          <t>0,000000000000</t>
        </is>
      </c>
    </row>
    <row outlineLevel="0" r="1001">
      <c r="A1001" s="3452" t="inlineStr">
        <is>
          <t>000224000201906284000</t>
        </is>
      </c>
      <c r="B1001" s="3452" t="inlineStr">
        <is>
          <t>284000</t>
        </is>
      </c>
      <c r="C1001" s="3452" t="inlineStr">
        <is>
          <t>000224000</t>
        </is>
      </c>
      <c r="D1001" s="3452" t="inlineStr">
        <is>
          <t>201906</t>
        </is>
      </c>
      <c r="E1001" s="3452" t="inlineStr">
        <is>
          <t>0,000000000000</t>
        </is>
      </c>
    </row>
    <row outlineLevel="0" r="1002">
      <c r="A1002" s="3452" t="inlineStr">
        <is>
          <t>000224000201906282500</t>
        </is>
      </c>
      <c r="B1002" s="3452" t="inlineStr">
        <is>
          <t>282500</t>
        </is>
      </c>
      <c r="C1002" s="3452" t="inlineStr">
        <is>
          <t>000224000</t>
        </is>
      </c>
      <c r="D1002" s="3452" t="inlineStr">
        <is>
          <t>201906</t>
        </is>
      </c>
      <c r="E1002" s="3452" t="inlineStr">
        <is>
          <t>0,000000000000</t>
        </is>
      </c>
    </row>
    <row outlineLevel="0" r="1003">
      <c r="A1003" s="3452" t="inlineStr">
        <is>
          <t>000224000201906282000</t>
        </is>
      </c>
      <c r="B1003" s="3452" t="inlineStr">
        <is>
          <t>282000</t>
        </is>
      </c>
      <c r="C1003" s="3452" t="inlineStr">
        <is>
          <t>000224000</t>
        </is>
      </c>
      <c r="D1003" s="3452" t="inlineStr">
        <is>
          <t>201906</t>
        </is>
      </c>
      <c r="E1003" s="3452" t="inlineStr">
        <is>
          <t>0,000000000000</t>
        </is>
      </c>
    </row>
    <row outlineLevel="0" r="1004">
      <c r="A1004" s="3452" t="inlineStr">
        <is>
          <t>000224000201906289500</t>
        </is>
      </c>
      <c r="B1004" s="3452" t="inlineStr">
        <is>
          <t>289500</t>
        </is>
      </c>
      <c r="C1004" s="3452" t="inlineStr">
        <is>
          <t>000224000</t>
        </is>
      </c>
      <c r="D1004" s="3452" t="inlineStr">
        <is>
          <t>201906</t>
        </is>
      </c>
      <c r="E1004" s="3452" t="inlineStr">
        <is>
          <t>0,000000000000</t>
        </is>
      </c>
    </row>
    <row outlineLevel="0" r="1005">
      <c r="A1005" s="3452" t="inlineStr">
        <is>
          <t>000224000201906291000</t>
        </is>
      </c>
      <c r="B1005" s="3452" t="inlineStr">
        <is>
          <t>291000</t>
        </is>
      </c>
      <c r="C1005" s="3452" t="inlineStr">
        <is>
          <t>000224000</t>
        </is>
      </c>
      <c r="D1005" s="3452" t="inlineStr">
        <is>
          <t>201906</t>
        </is>
      </c>
      <c r="E1005" s="3452" t="inlineStr">
        <is>
          <t>0,000000000000</t>
        </is>
      </c>
    </row>
    <row outlineLevel="0" r="1006">
      <c r="A1006" s="3452" t="inlineStr">
        <is>
          <t>000224000201906290501</t>
        </is>
      </c>
      <c r="B1006" s="3452" t="inlineStr">
        <is>
          <t>290501</t>
        </is>
      </c>
      <c r="C1006" s="3452" t="inlineStr">
        <is>
          <t>000224000</t>
        </is>
      </c>
      <c r="D1006" s="3452" t="inlineStr">
        <is>
          <t>201906</t>
        </is>
      </c>
      <c r="E1006" s="3452" t="inlineStr">
        <is>
          <t>0,000000000000</t>
        </is>
      </c>
    </row>
    <row outlineLevel="0" r="1007">
      <c r="A1007" s="3452" t="inlineStr">
        <is>
          <t>000224000201906291501</t>
        </is>
      </c>
      <c r="B1007" s="3452" t="inlineStr">
        <is>
          <t>291501</t>
        </is>
      </c>
      <c r="C1007" s="3452" t="inlineStr">
        <is>
          <t>000224000</t>
        </is>
      </c>
      <c r="D1007" s="3452" t="inlineStr">
        <is>
          <t>201906</t>
        </is>
      </c>
      <c r="E1007" s="3452" t="inlineStr">
        <is>
          <t>0,000000000000</t>
        </is>
      </c>
    </row>
    <row outlineLevel="0" r="1008">
      <c r="A1008" s="3452" t="inlineStr">
        <is>
          <t>000224000201906291991</t>
        </is>
      </c>
      <c r="B1008" s="3452" t="inlineStr">
        <is>
          <t>291991</t>
        </is>
      </c>
      <c r="C1008" s="3452" t="inlineStr">
        <is>
          <t>000224000</t>
        </is>
      </c>
      <c r="D1008" s="3452" t="inlineStr">
        <is>
          <t>201906</t>
        </is>
      </c>
      <c r="E1008" s="3452" t="inlineStr">
        <is>
          <t>0,000000000000</t>
        </is>
      </c>
    </row>
    <row outlineLevel="0" r="1009">
      <c r="A1009" s="3452" t="inlineStr">
        <is>
          <t>000224000201906293000</t>
        </is>
      </c>
      <c r="B1009" s="3452" t="inlineStr">
        <is>
          <t>293000</t>
        </is>
      </c>
      <c r="C1009" s="3452" t="inlineStr">
        <is>
          <t>000224000</t>
        </is>
      </c>
      <c r="D1009" s="3452" t="inlineStr">
        <is>
          <t>201906</t>
        </is>
      </c>
      <c r="E1009" s="3452" t="inlineStr">
        <is>
          <t>0,000000000000</t>
        </is>
      </c>
    </row>
    <row outlineLevel="0" r="1010">
      <c r="A1010" s="3452" t="inlineStr">
        <is>
          <t>000224000201906292001</t>
        </is>
      </c>
      <c r="B1010" s="3452" t="inlineStr">
        <is>
          <t>292001</t>
        </is>
      </c>
      <c r="C1010" s="3452" t="inlineStr">
        <is>
          <t>000224000</t>
        </is>
      </c>
      <c r="D1010" s="3452" t="inlineStr">
        <is>
          <t>201906</t>
        </is>
      </c>
      <c r="E1010" s="3452" t="inlineStr">
        <is>
          <t>0,000000000000</t>
        </is>
      </c>
    </row>
    <row outlineLevel="0" r="1011">
      <c r="A1011" s="3452" t="inlineStr">
        <is>
          <t>000224000201906292000</t>
        </is>
      </c>
      <c r="B1011" s="3452" t="inlineStr">
        <is>
          <t>292000</t>
        </is>
      </c>
      <c r="C1011" s="3452" t="inlineStr">
        <is>
          <t>000224000</t>
        </is>
      </c>
      <c r="D1011" s="3452" t="inlineStr">
        <is>
          <t>201906</t>
        </is>
      </c>
      <c r="E1011" s="3452" t="inlineStr">
        <is>
          <t>0,000000000000</t>
        </is>
      </c>
    </row>
    <row outlineLevel="0" r="1012">
      <c r="A1012" s="3452" t="inlineStr">
        <is>
          <t>000224000201906294000</t>
        </is>
      </c>
      <c r="B1012" s="3452" t="inlineStr">
        <is>
          <t>294000</t>
        </is>
      </c>
      <c r="C1012" s="3452" t="inlineStr">
        <is>
          <t>000224000</t>
        </is>
      </c>
      <c r="D1012" s="3452" t="inlineStr">
        <is>
          <t>201906</t>
        </is>
      </c>
      <c r="E1012" s="3452" t="inlineStr">
        <is>
          <t>0,000000000000</t>
        </is>
      </c>
    </row>
    <row outlineLevel="0" r="1013">
      <c r="A1013" s="3452" t="inlineStr">
        <is>
          <t>000224000201906310500</t>
        </is>
      </c>
      <c r="B1013" s="3452" t="inlineStr">
        <is>
          <t>310500</t>
        </is>
      </c>
      <c r="C1013" s="3452" t="inlineStr">
        <is>
          <t>000224000</t>
        </is>
      </c>
      <c r="D1013" s="3452" t="inlineStr">
        <is>
          <t>201906</t>
        </is>
      </c>
      <c r="E1013" s="3452" t="inlineStr">
        <is>
          <t>0,000000000000</t>
        </is>
      </c>
    </row>
    <row outlineLevel="0" r="1014">
      <c r="A1014" s="3452" t="inlineStr">
        <is>
          <t>000224000201906299501</t>
        </is>
      </c>
      <c r="B1014" s="3452" t="inlineStr">
        <is>
          <t>299501</t>
        </is>
      </c>
      <c r="C1014" s="3452" t="inlineStr">
        <is>
          <t>000224000</t>
        </is>
      </c>
      <c r="D1014" s="3452" t="inlineStr">
        <is>
          <t>201906</t>
        </is>
      </c>
      <c r="E1014" s="3452" t="inlineStr">
        <is>
          <t>0,000000000000</t>
        </is>
      </c>
    </row>
    <row outlineLevel="0" r="1015">
      <c r="A1015" s="3452" t="inlineStr">
        <is>
          <t>000224000201906311500</t>
        </is>
      </c>
      <c r="B1015" s="3452" t="inlineStr">
        <is>
          <t>311500</t>
        </is>
      </c>
      <c r="C1015" s="3452" t="inlineStr">
        <is>
          <t>000224000</t>
        </is>
      </c>
      <c r="D1015" s="3452" t="inlineStr">
        <is>
          <t>201906</t>
        </is>
      </c>
      <c r="E1015" s="3452" t="inlineStr">
        <is>
          <t>270000,000000000000</t>
        </is>
      </c>
    </row>
    <row outlineLevel="0" r="1016">
      <c r="A1016" s="3452" t="inlineStr">
        <is>
          <t>000224000201906312000</t>
        </is>
      </c>
      <c r="B1016" s="3452" t="inlineStr">
        <is>
          <t>312000</t>
        </is>
      </c>
      <c r="C1016" s="3452" t="inlineStr">
        <is>
          <t>000224000</t>
        </is>
      </c>
      <c r="D1016" s="3452" t="inlineStr">
        <is>
          <t>201906</t>
        </is>
      </c>
      <c r="E1016" s="3452" t="inlineStr">
        <is>
          <t>0,000000000000</t>
        </is>
      </c>
    </row>
    <row outlineLevel="0" r="1017">
      <c r="A1017" s="3452" t="inlineStr">
        <is>
          <t>000224000201906313500</t>
        </is>
      </c>
      <c r="B1017" s="3452" t="inlineStr">
        <is>
          <t>313500</t>
        </is>
      </c>
      <c r="C1017" s="3452" t="inlineStr">
        <is>
          <t>000224000</t>
        </is>
      </c>
      <c r="D1017" s="3452" t="inlineStr">
        <is>
          <t>201906</t>
        </is>
      </c>
      <c r="E1017" s="3452" t="inlineStr">
        <is>
          <t>0,000000000000</t>
        </is>
      </c>
    </row>
    <row outlineLevel="0" r="1018">
      <c r="A1018" s="3452" t="inlineStr">
        <is>
          <t>000224000201906313000</t>
        </is>
      </c>
      <c r="B1018" s="3452" t="inlineStr">
        <is>
          <t>313000</t>
        </is>
      </c>
      <c r="C1018" s="3452" t="inlineStr">
        <is>
          <t>000224000</t>
        </is>
      </c>
      <c r="D1018" s="3452" t="inlineStr">
        <is>
          <t>201906</t>
        </is>
      </c>
      <c r="E1018" s="3452" t="inlineStr">
        <is>
          <t>0,000000000000</t>
        </is>
      </c>
    </row>
    <row outlineLevel="0" r="1019">
      <c r="A1019" s="3452" t="inlineStr">
        <is>
          <t>000224000201906312500</t>
        </is>
      </c>
      <c r="B1019" s="3452" t="inlineStr">
        <is>
          <t>312500</t>
        </is>
      </c>
      <c r="C1019" s="3452" t="inlineStr">
        <is>
          <t>000224000</t>
        </is>
      </c>
      <c r="D1019" s="3452" t="inlineStr">
        <is>
          <t>201906</t>
        </is>
      </c>
      <c r="E1019" s="3452" t="inlineStr">
        <is>
          <t>0,000000000000</t>
        </is>
      </c>
    </row>
    <row outlineLevel="0" r="1020">
      <c r="A1020" s="3452" t="inlineStr">
        <is>
          <t>000224000201906314000</t>
        </is>
      </c>
      <c r="B1020" s="3452" t="inlineStr">
        <is>
          <t>314000</t>
        </is>
      </c>
      <c r="C1020" s="3452" t="inlineStr">
        <is>
          <t>000224000</t>
        </is>
      </c>
      <c r="D1020" s="3452" t="inlineStr">
        <is>
          <t>201906</t>
        </is>
      </c>
      <c r="E1020" s="3452" t="inlineStr">
        <is>
          <t>0,000000000000</t>
        </is>
      </c>
    </row>
    <row outlineLevel="0" r="1021">
      <c r="A1021" s="3452" t="inlineStr">
        <is>
          <t>000224000201906321000</t>
        </is>
      </c>
      <c r="B1021" s="3452" t="inlineStr">
        <is>
          <t>321000</t>
        </is>
      </c>
      <c r="C1021" s="3452" t="inlineStr">
        <is>
          <t>000224000</t>
        </is>
      </c>
      <c r="D1021" s="3452" t="inlineStr">
        <is>
          <t>201906</t>
        </is>
      </c>
      <c r="E1021" s="3452" t="inlineStr">
        <is>
          <t>0,000000000000</t>
        </is>
      </c>
    </row>
    <row outlineLevel="0" r="1022">
      <c r="A1022" s="3452" t="inlineStr">
        <is>
          <t>000224000201906320500</t>
        </is>
      </c>
      <c r="B1022" s="3452" t="inlineStr">
        <is>
          <t>320500</t>
        </is>
      </c>
      <c r="C1022" s="3452" t="inlineStr">
        <is>
          <t>000224000</t>
        </is>
      </c>
      <c r="D1022" s="3452" t="inlineStr">
        <is>
          <t>201906</t>
        </is>
      </c>
      <c r="E1022" s="3452" t="inlineStr">
        <is>
          <t>0,000000000000</t>
        </is>
      </c>
    </row>
    <row outlineLevel="0" r="1023">
      <c r="A1023" s="3452" t="inlineStr">
        <is>
          <t>000224000201906321500</t>
        </is>
      </c>
      <c r="B1023" s="3452" t="inlineStr">
        <is>
          <t>321500</t>
        </is>
      </c>
      <c r="C1023" s="3452" t="inlineStr">
        <is>
          <t>000224000</t>
        </is>
      </c>
      <c r="D1023" s="3452" t="inlineStr">
        <is>
          <t>201906</t>
        </is>
      </c>
      <c r="E1023" s="3452" t="inlineStr">
        <is>
          <t>0,000000000000</t>
        </is>
      </c>
    </row>
    <row outlineLevel="0" r="1024">
      <c r="A1024" s="3452" t="inlineStr">
        <is>
          <t>000224000201906322000</t>
        </is>
      </c>
      <c r="B1024" s="3452" t="inlineStr">
        <is>
          <t>322000</t>
        </is>
      </c>
      <c r="C1024" s="3452" t="inlineStr">
        <is>
          <t>000224000</t>
        </is>
      </c>
      <c r="D1024" s="3452" t="inlineStr">
        <is>
          <t>201906</t>
        </is>
      </c>
      <c r="E1024" s="3452" t="inlineStr">
        <is>
          <t>0,000000000000</t>
        </is>
      </c>
    </row>
    <row outlineLevel="0" r="1025">
      <c r="A1025" s="3452" t="inlineStr">
        <is>
          <t>000224000201906331000</t>
        </is>
      </c>
      <c r="B1025" s="3452" t="inlineStr">
        <is>
          <t>331000</t>
        </is>
      </c>
      <c r="C1025" s="3452" t="inlineStr">
        <is>
          <t>000224000</t>
        </is>
      </c>
      <c r="D1025" s="3452" t="inlineStr">
        <is>
          <t>201906</t>
        </is>
      </c>
      <c r="E1025" s="3452" t="inlineStr">
        <is>
          <t>0,000000000000</t>
        </is>
      </c>
    </row>
    <row outlineLevel="0" r="1026">
      <c r="A1026" s="3452" t="inlineStr">
        <is>
          <t>000224000201906330500</t>
        </is>
      </c>
      <c r="B1026" s="3452" t="inlineStr">
        <is>
          <t>330500</t>
        </is>
      </c>
      <c r="C1026" s="3452" t="inlineStr">
        <is>
          <t>000224000</t>
        </is>
      </c>
      <c r="D1026" s="3452" t="inlineStr">
        <is>
          <t>201906</t>
        </is>
      </c>
      <c r="E1026" s="3452" t="inlineStr">
        <is>
          <t>0,000000000000</t>
        </is>
      </c>
    </row>
    <row outlineLevel="0" r="1027">
      <c r="A1027" s="3452" t="inlineStr">
        <is>
          <t>000224000201906322500</t>
        </is>
      </c>
      <c r="B1027" s="3452" t="inlineStr">
        <is>
          <t>322500</t>
        </is>
      </c>
      <c r="C1027" s="3452" t="inlineStr">
        <is>
          <t>000224000</t>
        </is>
      </c>
      <c r="D1027" s="3452" t="inlineStr">
        <is>
          <t>201906</t>
        </is>
      </c>
      <c r="E1027" s="3452" t="inlineStr">
        <is>
          <t>0,000000000000</t>
        </is>
      </c>
    </row>
    <row outlineLevel="0" r="1028">
      <c r="A1028" s="3452" t="inlineStr">
        <is>
          <t>000224000201906331500</t>
        </is>
      </c>
      <c r="B1028" s="3452" t="inlineStr">
        <is>
          <t>331500</t>
        </is>
      </c>
      <c r="C1028" s="3452" t="inlineStr">
        <is>
          <t>000224000</t>
        </is>
      </c>
      <c r="D1028" s="3452" t="inlineStr">
        <is>
          <t>201906</t>
        </is>
      </c>
      <c r="E1028" s="3452" t="inlineStr">
        <is>
          <t>0,000000000000</t>
        </is>
      </c>
    </row>
    <row outlineLevel="0" r="1029">
      <c r="A1029" s="3452" t="inlineStr">
        <is>
          <t>000224000201906340515</t>
        </is>
      </c>
      <c r="B1029" s="3452" t="inlineStr">
        <is>
          <t>340515</t>
        </is>
      </c>
      <c r="C1029" s="3452" t="inlineStr">
        <is>
          <t>000224000</t>
        </is>
      </c>
      <c r="D1029" s="3452" t="inlineStr">
        <is>
          <t>201906</t>
        </is>
      </c>
      <c r="E1029" s="3452" t="inlineStr">
        <is>
          <t>0,000000000000</t>
        </is>
      </c>
    </row>
    <row outlineLevel="0" r="1030">
      <c r="A1030" s="3452" t="inlineStr">
        <is>
          <t>000224000201906340505</t>
        </is>
      </c>
      <c r="B1030" s="3452" t="inlineStr">
        <is>
          <t>340505</t>
        </is>
      </c>
      <c r="C1030" s="3452" t="inlineStr">
        <is>
          <t>000224000</t>
        </is>
      </c>
      <c r="D1030" s="3452" t="inlineStr">
        <is>
          <t>201906</t>
        </is>
      </c>
      <c r="E1030" s="3452" t="inlineStr">
        <is>
          <t>0,000000000000</t>
        </is>
      </c>
    </row>
    <row outlineLevel="0" r="1031">
      <c r="A1031" s="3452" t="inlineStr">
        <is>
          <t>000224000201906349500</t>
        </is>
      </c>
      <c r="B1031" s="3452" t="inlineStr">
        <is>
          <t>349500</t>
        </is>
      </c>
      <c r="C1031" s="3452" t="inlineStr">
        <is>
          <t>000224000</t>
        </is>
      </c>
      <c r="D1031" s="3452" t="inlineStr">
        <is>
          <t>201906</t>
        </is>
      </c>
      <c r="E1031" s="3452" t="inlineStr">
        <is>
          <t>0,000000000000</t>
        </is>
      </c>
    </row>
    <row outlineLevel="0" r="1032">
      <c r="A1032" s="3452" t="inlineStr">
        <is>
          <t>000224000201906410500</t>
        </is>
      </c>
      <c r="B1032" s="3452" t="inlineStr">
        <is>
          <t>410500</t>
        </is>
      </c>
      <c r="C1032" s="3452" t="inlineStr">
        <is>
          <t>000224000</t>
        </is>
      </c>
      <c r="D1032" s="3452" t="inlineStr">
        <is>
          <t>201906</t>
        </is>
      </c>
      <c r="E1032" s="3452" t="inlineStr">
        <is>
          <t>214,000000000000</t>
        </is>
      </c>
    </row>
    <row outlineLevel="0" r="1033">
      <c r="A1033" s="3452" t="inlineStr">
        <is>
          <t>000224000201906421000</t>
        </is>
      </c>
      <c r="B1033" s="3452" t="inlineStr">
        <is>
          <t>421000</t>
        </is>
      </c>
      <c r="C1033" s="3452" t="inlineStr">
        <is>
          <t>000224000</t>
        </is>
      </c>
      <c r="D1033" s="3452" t="inlineStr">
        <is>
          <t>201906</t>
        </is>
      </c>
      <c r="E1033" s="3452" t="inlineStr">
        <is>
          <t>0,000000000000</t>
        </is>
      </c>
    </row>
    <row outlineLevel="0" r="1034">
      <c r="A1034" s="3452" t="inlineStr">
        <is>
          <t>000224000201906420500</t>
        </is>
      </c>
      <c r="B1034" s="3452" t="inlineStr">
        <is>
          <t>420500</t>
        </is>
      </c>
      <c r="C1034" s="3452" t="inlineStr">
        <is>
          <t>000224000</t>
        </is>
      </c>
      <c r="D1034" s="3452" t="inlineStr">
        <is>
          <t>201906</t>
        </is>
      </c>
      <c r="E1034" s="3452" t="inlineStr">
        <is>
          <t>0,000000000000</t>
        </is>
      </c>
    </row>
    <row outlineLevel="0" r="1035">
      <c r="A1035" s="3452" t="inlineStr">
        <is>
          <t>000224000201906411000</t>
        </is>
      </c>
      <c r="B1035" s="3452" t="inlineStr">
        <is>
          <t>411000</t>
        </is>
      </c>
      <c r="C1035" s="3452" t="inlineStr">
        <is>
          <t>000224000</t>
        </is>
      </c>
      <c r="D1035" s="3452" t="inlineStr">
        <is>
          <t>201906</t>
        </is>
      </c>
      <c r="E1035" s="3452" t="inlineStr">
        <is>
          <t>0,000000000000</t>
        </is>
      </c>
    </row>
    <row outlineLevel="0" r="1036">
      <c r="A1036" s="3452" t="inlineStr">
        <is>
          <t>000224000201906421020</t>
        </is>
      </c>
      <c r="B1036" s="3452" t="inlineStr">
        <is>
          <t>421020</t>
        </is>
      </c>
      <c r="C1036" s="3452" t="inlineStr">
        <is>
          <t>000224000</t>
        </is>
      </c>
      <c r="D1036" s="3452" t="inlineStr">
        <is>
          <t>201906</t>
        </is>
      </c>
      <c r="E1036" s="3452" t="inlineStr">
        <is>
          <t>0,000000000000</t>
        </is>
      </c>
    </row>
    <row outlineLevel="0" r="1037">
      <c r="A1037" s="3452" t="inlineStr">
        <is>
          <t>000224000201906421500</t>
        </is>
      </c>
      <c r="B1037" s="3452" t="inlineStr">
        <is>
          <t>421500</t>
        </is>
      </c>
      <c r="C1037" s="3452" t="inlineStr">
        <is>
          <t>000224000</t>
        </is>
      </c>
      <c r="D1037" s="3452" t="inlineStr">
        <is>
          <t>201906</t>
        </is>
      </c>
      <c r="E1037" s="3452" t="inlineStr">
        <is>
          <t>0,000000000000</t>
        </is>
      </c>
    </row>
    <row outlineLevel="0" r="1038">
      <c r="A1038" s="3452" t="inlineStr">
        <is>
          <t>000224000201906421040</t>
        </is>
      </c>
      <c r="B1038" s="3452" t="inlineStr">
        <is>
          <t>421040</t>
        </is>
      </c>
      <c r="C1038" s="3452" t="inlineStr">
        <is>
          <t>000224000</t>
        </is>
      </c>
      <c r="D1038" s="3452" t="inlineStr">
        <is>
          <t>201906</t>
        </is>
      </c>
      <c r="E1038" s="3452" t="inlineStr">
        <is>
          <t>0,000000000000</t>
        </is>
      </c>
    </row>
    <row outlineLevel="0" r="1039">
      <c r="A1039" s="3452" t="inlineStr">
        <is>
          <t>000224000201906422000</t>
        </is>
      </c>
      <c r="B1039" s="3452" t="inlineStr">
        <is>
          <t>422000</t>
        </is>
      </c>
      <c r="C1039" s="3452" t="inlineStr">
        <is>
          <t>000224000</t>
        </is>
      </c>
      <c r="D1039" s="3452" t="inlineStr">
        <is>
          <t>201906</t>
        </is>
      </c>
      <c r="E1039" s="3452" t="inlineStr">
        <is>
          <t>0,000000000000</t>
        </is>
      </c>
    </row>
    <row outlineLevel="0" r="1040">
      <c r="A1040" s="3452" t="inlineStr">
        <is>
          <t>000224000201906422500</t>
        </is>
      </c>
      <c r="B1040" s="3452" t="inlineStr">
        <is>
          <t>422500</t>
        </is>
      </c>
      <c r="C1040" s="3452" t="inlineStr">
        <is>
          <t>000224000</t>
        </is>
      </c>
      <c r="D1040" s="3452" t="inlineStr">
        <is>
          <t>201906</t>
        </is>
      </c>
      <c r="E1040" s="3452" t="inlineStr">
        <is>
          <t>0,000000000000</t>
        </is>
      </c>
    </row>
    <row outlineLevel="0" r="1041">
      <c r="A1041" s="3452" t="inlineStr">
        <is>
          <t>000224000201906425000</t>
        </is>
      </c>
      <c r="B1041" s="3452" t="inlineStr">
        <is>
          <t>425000</t>
        </is>
      </c>
      <c r="C1041" s="3452" t="inlineStr">
        <is>
          <t>000224000</t>
        </is>
      </c>
      <c r="D1041" s="3452" t="inlineStr">
        <is>
          <t>201906</t>
        </is>
      </c>
      <c r="E1041" s="3452" t="inlineStr">
        <is>
          <t>0,000000000000</t>
        </is>
      </c>
    </row>
    <row outlineLevel="0" r="1042">
      <c r="A1042" s="3452" t="inlineStr">
        <is>
          <t>000224000201906424000</t>
        </is>
      </c>
      <c r="B1042" s="3452" t="inlineStr">
        <is>
          <t>424000</t>
        </is>
      </c>
      <c r="C1042" s="3452" t="inlineStr">
        <is>
          <t>000224000</t>
        </is>
      </c>
      <c r="D1042" s="3452" t="inlineStr">
        <is>
          <t>201906</t>
        </is>
      </c>
      <c r="E1042" s="3452" t="inlineStr">
        <is>
          <t>0,000000000000</t>
        </is>
      </c>
    </row>
    <row outlineLevel="0" r="1043">
      <c r="A1043" s="3452" t="inlineStr">
        <is>
          <t>000224000201906423500</t>
        </is>
      </c>
      <c r="B1043" s="3452" t="inlineStr">
        <is>
          <t>423500</t>
        </is>
      </c>
      <c r="C1043" s="3452" t="inlineStr">
        <is>
          <t>000224000</t>
        </is>
      </c>
      <c r="D1043" s="3452" t="inlineStr">
        <is>
          <t>201906</t>
        </is>
      </c>
      <c r="E1043" s="3452" t="inlineStr">
        <is>
          <t>0,000000000000</t>
        </is>
      </c>
    </row>
    <row outlineLevel="0" r="1044">
      <c r="A1044" s="3452" t="inlineStr">
        <is>
          <t>000224000201906426500</t>
        </is>
      </c>
      <c r="B1044" s="3452" t="inlineStr">
        <is>
          <t>426500</t>
        </is>
      </c>
      <c r="C1044" s="3452" t="inlineStr">
        <is>
          <t>000224000</t>
        </is>
      </c>
      <c r="D1044" s="3452" t="inlineStr">
        <is>
          <t>201906</t>
        </is>
      </c>
      <c r="E1044" s="3452" t="inlineStr">
        <is>
          <t>0,000000000000</t>
        </is>
      </c>
    </row>
    <row outlineLevel="0" r="1045">
      <c r="A1045" s="3452" t="inlineStr">
        <is>
          <t>000224000201906510500</t>
        </is>
      </c>
      <c r="B1045" s="3452" t="inlineStr">
        <is>
          <t>510500</t>
        </is>
      </c>
      <c r="C1045" s="3452" t="inlineStr">
        <is>
          <t>000224000</t>
        </is>
      </c>
      <c r="D1045" s="3452" t="inlineStr">
        <is>
          <t>201906</t>
        </is>
      </c>
      <c r="E1045" s="3452" t="inlineStr">
        <is>
          <t>0,000000000000</t>
        </is>
      </c>
    </row>
    <row outlineLevel="0" r="1046">
      <c r="A1046" s="3452" t="inlineStr">
        <is>
          <t>000224000201906429500</t>
        </is>
      </c>
      <c r="B1046" s="3452" t="inlineStr">
        <is>
          <t>429500</t>
        </is>
      </c>
      <c r="C1046" s="3452" t="inlineStr">
        <is>
          <t>000224000</t>
        </is>
      </c>
      <c r="D1046" s="3452" t="inlineStr">
        <is>
          <t>201906</t>
        </is>
      </c>
      <c r="E1046" s="3452" t="inlineStr">
        <is>
          <t>0,000000000000</t>
        </is>
      </c>
    </row>
    <row outlineLevel="0" r="1047">
      <c r="A1047" s="3452" t="inlineStr">
        <is>
          <t>000224000201906511000</t>
        </is>
      </c>
      <c r="B1047" s="3452" t="inlineStr">
        <is>
          <t>511000</t>
        </is>
      </c>
      <c r="C1047" s="3452" t="inlineStr">
        <is>
          <t>000224000</t>
        </is>
      </c>
      <c r="D1047" s="3452" t="inlineStr">
        <is>
          <t>201906</t>
        </is>
      </c>
      <c r="E1047" s="3452" t="inlineStr">
        <is>
          <t>0,000000000000</t>
        </is>
      </c>
    </row>
    <row outlineLevel="0" r="1048">
      <c r="A1048" s="3452" t="inlineStr">
        <is>
          <t>000224000201906511500</t>
        </is>
      </c>
      <c r="B1048" s="3452" t="inlineStr">
        <is>
          <t>511500</t>
        </is>
      </c>
      <c r="C1048" s="3452" t="inlineStr">
        <is>
          <t>000224000</t>
        </is>
      </c>
      <c r="D1048" s="3452" t="inlineStr">
        <is>
          <t>201906</t>
        </is>
      </c>
      <c r="E1048" s="3452" t="inlineStr">
        <is>
          <t>0,000000000000</t>
        </is>
      </c>
    </row>
    <row outlineLevel="0" r="1049">
      <c r="A1049" s="3452" t="inlineStr">
        <is>
          <t>000224000201906513000</t>
        </is>
      </c>
      <c r="B1049" s="3452" t="inlineStr">
        <is>
          <t>513000</t>
        </is>
      </c>
      <c r="C1049" s="3452" t="inlineStr">
        <is>
          <t>000224000</t>
        </is>
      </c>
      <c r="D1049" s="3452" t="inlineStr">
        <is>
          <t>201906</t>
        </is>
      </c>
      <c r="E1049" s="3452" t="inlineStr">
        <is>
          <t>0,000000000000</t>
        </is>
      </c>
    </row>
    <row outlineLevel="0" r="1050">
      <c r="A1050" s="3452" t="inlineStr">
        <is>
          <t>000224000201906512500</t>
        </is>
      </c>
      <c r="B1050" s="3452" t="inlineStr">
        <is>
          <t>512500</t>
        </is>
      </c>
      <c r="C1050" s="3452" t="inlineStr">
        <is>
          <t>000224000</t>
        </is>
      </c>
      <c r="D1050" s="3452" t="inlineStr">
        <is>
          <t>201906</t>
        </is>
      </c>
      <c r="E1050" s="3452" t="inlineStr">
        <is>
          <t>0,000000000000</t>
        </is>
      </c>
    </row>
    <row outlineLevel="0" r="1051">
      <c r="A1051" s="3452" t="inlineStr">
        <is>
          <t>000224000201906512000</t>
        </is>
      </c>
      <c r="B1051" s="3452" t="inlineStr">
        <is>
          <t>512000</t>
        </is>
      </c>
      <c r="C1051" s="3452" t="inlineStr">
        <is>
          <t>000224000</t>
        </is>
      </c>
      <c r="D1051" s="3452" t="inlineStr">
        <is>
          <t>201906</t>
        </is>
      </c>
      <c r="E1051" s="3452" t="inlineStr">
        <is>
          <t>0,000000000000</t>
        </is>
      </c>
    </row>
    <row outlineLevel="0" r="1052">
      <c r="A1052" s="3452" t="inlineStr">
        <is>
          <t>000224000201906513500</t>
        </is>
      </c>
      <c r="B1052" s="3452" t="inlineStr">
        <is>
          <t>513500</t>
        </is>
      </c>
      <c r="C1052" s="3452" t="inlineStr">
        <is>
          <t>000224000</t>
        </is>
      </c>
      <c r="D1052" s="3452" t="inlineStr">
        <is>
          <t>201906</t>
        </is>
      </c>
      <c r="E1052" s="3452" t="inlineStr">
        <is>
          <t>0,000000000000</t>
        </is>
      </c>
    </row>
    <row outlineLevel="0" r="1053">
      <c r="A1053" s="3452" t="inlineStr">
        <is>
          <t>000224000201906514500</t>
        </is>
      </c>
      <c r="B1053" s="3452" t="inlineStr">
        <is>
          <t>514500</t>
        </is>
      </c>
      <c r="C1053" s="3452" t="inlineStr">
        <is>
          <t>000224000</t>
        </is>
      </c>
      <c r="D1053" s="3452" t="inlineStr">
        <is>
          <t>201906</t>
        </is>
      </c>
      <c r="E1053" s="3452" t="inlineStr">
        <is>
          <t>0,000000000000</t>
        </is>
      </c>
    </row>
    <row outlineLevel="0" r="1054">
      <c r="A1054" s="3452" t="inlineStr">
        <is>
          <t>000224000201906514000</t>
        </is>
      </c>
      <c r="B1054" s="3452" t="inlineStr">
        <is>
          <t>514000</t>
        </is>
      </c>
      <c r="C1054" s="3452" t="inlineStr">
        <is>
          <t>000224000</t>
        </is>
      </c>
      <c r="D1054" s="3452" t="inlineStr">
        <is>
          <t>201906</t>
        </is>
      </c>
      <c r="E1054" s="3452" t="inlineStr">
        <is>
          <t>0,000000000000</t>
        </is>
      </c>
    </row>
    <row outlineLevel="0" r="1055">
      <c r="A1055" s="3452" t="inlineStr">
        <is>
          <t>000224000201906515000</t>
        </is>
      </c>
      <c r="B1055" s="3452" t="inlineStr">
        <is>
          <t>515000</t>
        </is>
      </c>
      <c r="C1055" s="3452" t="inlineStr">
        <is>
          <t>000224000</t>
        </is>
      </c>
      <c r="D1055" s="3452" t="inlineStr">
        <is>
          <t>201906</t>
        </is>
      </c>
      <c r="E1055" s="3452" t="inlineStr">
        <is>
          <t>0,000000000000</t>
        </is>
      </c>
    </row>
    <row outlineLevel="0" r="1056">
      <c r="A1056" s="3452" t="inlineStr">
        <is>
          <t>000224000201906515500</t>
        </is>
      </c>
      <c r="B1056" s="3452" t="inlineStr">
        <is>
          <t>515500</t>
        </is>
      </c>
      <c r="C1056" s="3452" t="inlineStr">
        <is>
          <t>000224000</t>
        </is>
      </c>
      <c r="D1056" s="3452" t="inlineStr">
        <is>
          <t>201906</t>
        </is>
      </c>
      <c r="E1056" s="3452" t="inlineStr">
        <is>
          <t>0,000000000000</t>
        </is>
      </c>
    </row>
    <row outlineLevel="0" r="1057">
      <c r="A1057" s="3452" t="inlineStr">
        <is>
          <t>000224000201906519500</t>
        </is>
      </c>
      <c r="B1057" s="3452" t="inlineStr">
        <is>
          <t>519500</t>
        </is>
      </c>
      <c r="C1057" s="3452" t="inlineStr">
        <is>
          <t>000224000</t>
        </is>
      </c>
      <c r="D1057" s="3452" t="inlineStr">
        <is>
          <t>201906</t>
        </is>
      </c>
      <c r="E1057" s="3452" t="inlineStr">
        <is>
          <t>0,000000000000</t>
        </is>
      </c>
    </row>
    <row outlineLevel="0" r="1058">
      <c r="A1058" s="3452" t="inlineStr">
        <is>
          <t>000224000201906516500</t>
        </is>
      </c>
      <c r="B1058" s="3452" t="inlineStr">
        <is>
          <t>516500</t>
        </is>
      </c>
      <c r="C1058" s="3452" t="inlineStr">
        <is>
          <t>000224000</t>
        </is>
      </c>
      <c r="D1058" s="3452" t="inlineStr">
        <is>
          <t>201906</t>
        </is>
      </c>
      <c r="E1058" s="3452" t="inlineStr">
        <is>
          <t>0,000000000000</t>
        </is>
      </c>
    </row>
    <row outlineLevel="0" r="1059">
      <c r="A1059" s="3452" t="inlineStr">
        <is>
          <t>000224000201906516000</t>
        </is>
      </c>
      <c r="B1059" s="3452" t="inlineStr">
        <is>
          <t>516000</t>
        </is>
      </c>
      <c r="C1059" s="3452" t="inlineStr">
        <is>
          <t>000224000</t>
        </is>
      </c>
      <c r="D1059" s="3452" t="inlineStr">
        <is>
          <t>201906</t>
        </is>
      </c>
      <c r="E1059" s="3452" t="inlineStr">
        <is>
          <t>0,000000000000</t>
        </is>
      </c>
    </row>
    <row outlineLevel="0" r="1060">
      <c r="A1060" s="3452" t="inlineStr">
        <is>
          <t>000224000201906519900</t>
        </is>
      </c>
      <c r="B1060" s="3452" t="inlineStr">
        <is>
          <t>519900</t>
        </is>
      </c>
      <c r="C1060" s="3452" t="inlineStr">
        <is>
          <t>000224000</t>
        </is>
      </c>
      <c r="D1060" s="3452" t="inlineStr">
        <is>
          <t>201906</t>
        </is>
      </c>
      <c r="E1060" s="3452" t="inlineStr">
        <is>
          <t>0,000000000000</t>
        </is>
      </c>
    </row>
    <row outlineLevel="0" r="1061">
      <c r="A1061" s="3452" t="inlineStr">
        <is>
          <t>000224000201906521000</t>
        </is>
      </c>
      <c r="B1061" s="3452" t="inlineStr">
        <is>
          <t>521000</t>
        </is>
      </c>
      <c r="C1061" s="3452" t="inlineStr">
        <is>
          <t>000224000</t>
        </is>
      </c>
      <c r="D1061" s="3452" t="inlineStr">
        <is>
          <t>201906</t>
        </is>
      </c>
      <c r="E1061" s="3452" t="inlineStr">
        <is>
          <t>0,000000000000</t>
        </is>
      </c>
    </row>
    <row outlineLevel="0" r="1062">
      <c r="A1062" s="3452" t="inlineStr">
        <is>
          <t>000224000201906520500</t>
        </is>
      </c>
      <c r="B1062" s="3452" t="inlineStr">
        <is>
          <t>520500</t>
        </is>
      </c>
      <c r="C1062" s="3452" t="inlineStr">
        <is>
          <t>000224000</t>
        </is>
      </c>
      <c r="D1062" s="3452" t="inlineStr">
        <is>
          <t>201906</t>
        </is>
      </c>
      <c r="E1062" s="3452" t="inlineStr">
        <is>
          <t>0,000000000000</t>
        </is>
      </c>
    </row>
    <row outlineLevel="0" r="1063">
      <c r="A1063" s="3452" t="inlineStr">
        <is>
          <t>000224000201906521500</t>
        </is>
      </c>
      <c r="B1063" s="3452" t="inlineStr">
        <is>
          <t>521500</t>
        </is>
      </c>
      <c r="C1063" s="3452" t="inlineStr">
        <is>
          <t>000224000</t>
        </is>
      </c>
      <c r="D1063" s="3452" t="inlineStr">
        <is>
          <t>201906</t>
        </is>
      </c>
      <c r="E1063" s="3452" t="inlineStr">
        <is>
          <t>100,000000000000</t>
        </is>
      </c>
    </row>
    <row outlineLevel="0" r="1064">
      <c r="A1064" s="3452" t="inlineStr">
        <is>
          <t>000224000201906522000</t>
        </is>
      </c>
      <c r="B1064" s="3452" t="inlineStr">
        <is>
          <t>522000</t>
        </is>
      </c>
      <c r="C1064" s="3452" t="inlineStr">
        <is>
          <t>000224000</t>
        </is>
      </c>
      <c r="D1064" s="3452" t="inlineStr">
        <is>
          <t>201906</t>
        </is>
      </c>
      <c r="E1064" s="3452" t="inlineStr">
        <is>
          <t>0,000000000000</t>
        </is>
      </c>
    </row>
    <row outlineLevel="0" r="1065">
      <c r="A1065" s="3452" t="inlineStr">
        <is>
          <t>000224000201906523500</t>
        </is>
      </c>
      <c r="B1065" s="3452" t="inlineStr">
        <is>
          <t>523500</t>
        </is>
      </c>
      <c r="C1065" s="3452" t="inlineStr">
        <is>
          <t>000224000</t>
        </is>
      </c>
      <c r="D1065" s="3452" t="inlineStr">
        <is>
          <t>201906</t>
        </is>
      </c>
      <c r="E1065" s="3452" t="inlineStr">
        <is>
          <t>0,000000000000</t>
        </is>
      </c>
    </row>
    <row outlineLevel="0" r="1066">
      <c r="A1066" s="3452" t="inlineStr">
        <is>
          <t>000224000201906523000</t>
        </is>
      </c>
      <c r="B1066" s="3452" t="inlineStr">
        <is>
          <t>523000</t>
        </is>
      </c>
      <c r="C1066" s="3452" t="inlineStr">
        <is>
          <t>000224000</t>
        </is>
      </c>
      <c r="D1066" s="3452" t="inlineStr">
        <is>
          <t>201906</t>
        </is>
      </c>
      <c r="E1066" s="3452" t="inlineStr">
        <is>
          <t>0,000000000000</t>
        </is>
      </c>
    </row>
    <row outlineLevel="0" r="1067">
      <c r="A1067" s="3452" t="inlineStr">
        <is>
          <t>000224000201906522500</t>
        </is>
      </c>
      <c r="B1067" s="3452" t="inlineStr">
        <is>
          <t>522500</t>
        </is>
      </c>
      <c r="C1067" s="3452" t="inlineStr">
        <is>
          <t>000224000</t>
        </is>
      </c>
      <c r="D1067" s="3452" t="inlineStr">
        <is>
          <t>201906</t>
        </is>
      </c>
      <c r="E1067" s="3452" t="inlineStr">
        <is>
          <t>0,000000000000</t>
        </is>
      </c>
    </row>
    <row outlineLevel="0" r="1068">
      <c r="A1068" s="3452" t="inlineStr">
        <is>
          <t>000224000201906524000</t>
        </is>
      </c>
      <c r="B1068" s="3452" t="inlineStr">
        <is>
          <t>524000</t>
        </is>
      </c>
      <c r="C1068" s="3452" t="inlineStr">
        <is>
          <t>000224000</t>
        </is>
      </c>
      <c r="D1068" s="3452" t="inlineStr">
        <is>
          <t>201906</t>
        </is>
      </c>
      <c r="E1068" s="3452" t="inlineStr">
        <is>
          <t>0,000000000000</t>
        </is>
      </c>
    </row>
    <row outlineLevel="0" r="1069">
      <c r="A1069" s="3452" t="inlineStr">
        <is>
          <t>000224000201906525000</t>
        </is>
      </c>
      <c r="B1069" s="3452" t="inlineStr">
        <is>
          <t>525000</t>
        </is>
      </c>
      <c r="C1069" s="3452" t="inlineStr">
        <is>
          <t>000224000</t>
        </is>
      </c>
      <c r="D1069" s="3452" t="inlineStr">
        <is>
          <t>201906</t>
        </is>
      </c>
      <c r="E1069" s="3452" t="inlineStr">
        <is>
          <t>0,000000000000</t>
        </is>
      </c>
    </row>
    <row outlineLevel="0" r="1070">
      <c r="A1070" s="3452" t="inlineStr">
        <is>
          <t>000224000201906524500</t>
        </is>
      </c>
      <c r="B1070" s="3452" t="inlineStr">
        <is>
          <t>524500</t>
        </is>
      </c>
      <c r="C1070" s="3452" t="inlineStr">
        <is>
          <t>000224000</t>
        </is>
      </c>
      <c r="D1070" s="3452" t="inlineStr">
        <is>
          <t>201906</t>
        </is>
      </c>
      <c r="E1070" s="3452" t="inlineStr">
        <is>
          <t>0,000000000000</t>
        </is>
      </c>
    </row>
    <row outlineLevel="0" r="1071">
      <c r="A1071" s="3452" t="inlineStr">
        <is>
          <t>000224000201906525500</t>
        </is>
      </c>
      <c r="B1071" s="3452" t="inlineStr">
        <is>
          <t>525500</t>
        </is>
      </c>
      <c r="C1071" s="3452" t="inlineStr">
        <is>
          <t>000224000</t>
        </is>
      </c>
      <c r="D1071" s="3452" t="inlineStr">
        <is>
          <t>201906</t>
        </is>
      </c>
      <c r="E1071" s="3452" t="inlineStr">
        <is>
          <t>0,000000000000</t>
        </is>
      </c>
    </row>
    <row outlineLevel="0" r="1072">
      <c r="A1072" s="3452" t="inlineStr">
        <is>
          <t>000224000201906526000</t>
        </is>
      </c>
      <c r="B1072" s="3452" t="inlineStr">
        <is>
          <t>526000</t>
        </is>
      </c>
      <c r="C1072" s="3452" t="inlineStr">
        <is>
          <t>000224000</t>
        </is>
      </c>
      <c r="D1072" s="3452" t="inlineStr">
        <is>
          <t>201906</t>
        </is>
      </c>
      <c r="E1072" s="3452" t="inlineStr">
        <is>
          <t>0,000000000000</t>
        </is>
      </c>
    </row>
    <row outlineLevel="0" r="1073">
      <c r="A1073" s="3452" t="inlineStr">
        <is>
          <t>000224000201906529900</t>
        </is>
      </c>
      <c r="B1073" s="3452" t="inlineStr">
        <is>
          <t>529900</t>
        </is>
      </c>
      <c r="C1073" s="3452" t="inlineStr">
        <is>
          <t>000224000</t>
        </is>
      </c>
      <c r="D1073" s="3452" t="inlineStr">
        <is>
          <t>201906</t>
        </is>
      </c>
      <c r="E1073" s="3452" t="inlineStr">
        <is>
          <t>0,000000000000</t>
        </is>
      </c>
    </row>
    <row outlineLevel="0" r="1074">
      <c r="A1074" s="3452" t="inlineStr">
        <is>
          <t>000224000201906529500</t>
        </is>
      </c>
      <c r="B1074" s="3452" t="inlineStr">
        <is>
          <t>529500</t>
        </is>
      </c>
      <c r="C1074" s="3452" t="inlineStr">
        <is>
          <t>000224000</t>
        </is>
      </c>
      <c r="D1074" s="3452" t="inlineStr">
        <is>
          <t>201906</t>
        </is>
      </c>
      <c r="E1074" s="3452" t="inlineStr">
        <is>
          <t>0,000000000000</t>
        </is>
      </c>
    </row>
    <row outlineLevel="0" r="1075">
      <c r="A1075" s="3452" t="inlineStr">
        <is>
          <t>000224000201906526500</t>
        </is>
      </c>
      <c r="B1075" s="3452" t="inlineStr">
        <is>
          <t>526500</t>
        </is>
      </c>
      <c r="C1075" s="3452" t="inlineStr">
        <is>
          <t>000224000</t>
        </is>
      </c>
      <c r="D1075" s="3452" t="inlineStr">
        <is>
          <t>201906</t>
        </is>
      </c>
      <c r="E1075" s="3452" t="inlineStr">
        <is>
          <t>0,000000000000</t>
        </is>
      </c>
    </row>
    <row outlineLevel="0" r="1076">
      <c r="A1076" s="3452" t="inlineStr">
        <is>
          <t>000224000201906530505</t>
        </is>
      </c>
      <c r="B1076" s="3452" t="inlineStr">
        <is>
          <t>530505</t>
        </is>
      </c>
      <c r="C1076" s="3452" t="inlineStr">
        <is>
          <t>000224000</t>
        </is>
      </c>
      <c r="D1076" s="3452" t="inlineStr">
        <is>
          <t>201906</t>
        </is>
      </c>
      <c r="E1076" s="3452" t="inlineStr">
        <is>
          <t>0,000000000000</t>
        </is>
      </c>
    </row>
    <row outlineLevel="0" r="1077">
      <c r="A1077" s="3452" t="inlineStr">
        <is>
          <t>000224000201906530525</t>
        </is>
      </c>
      <c r="B1077" s="3452" t="inlineStr">
        <is>
          <t>530525</t>
        </is>
      </c>
      <c r="C1077" s="3452" t="inlineStr">
        <is>
          <t>000224000</t>
        </is>
      </c>
      <c r="D1077" s="3452" t="inlineStr">
        <is>
          <t>201906</t>
        </is>
      </c>
      <c r="E1077" s="3452" t="inlineStr">
        <is>
          <t>0,000000000000</t>
        </is>
      </c>
    </row>
    <row outlineLevel="0" r="1078">
      <c r="A1078" s="3452" t="inlineStr">
        <is>
          <t>000224000201906530515</t>
        </is>
      </c>
      <c r="B1078" s="3452" t="inlineStr">
        <is>
          <t>530515</t>
        </is>
      </c>
      <c r="C1078" s="3452" t="inlineStr">
        <is>
          <t>000224000</t>
        </is>
      </c>
      <c r="D1078" s="3452" t="inlineStr">
        <is>
          <t>201906</t>
        </is>
      </c>
      <c r="E1078" s="3452" t="inlineStr">
        <is>
          <t>0,000000000000</t>
        </is>
      </c>
    </row>
    <row outlineLevel="0" r="1079">
      <c r="A1079" s="3452" t="inlineStr">
        <is>
          <t>000224000201906530535</t>
        </is>
      </c>
      <c r="B1079" s="3452" t="inlineStr">
        <is>
          <t>530535</t>
        </is>
      </c>
      <c r="C1079" s="3452" t="inlineStr">
        <is>
          <t>000224000</t>
        </is>
      </c>
      <c r="D1079" s="3452" t="inlineStr">
        <is>
          <t>201906</t>
        </is>
      </c>
      <c r="E1079" s="3452" t="inlineStr">
        <is>
          <t>0,000000000000</t>
        </is>
      </c>
    </row>
    <row outlineLevel="0" r="1080">
      <c r="A1080" s="3452" t="inlineStr">
        <is>
          <t>000224000201906531000</t>
        </is>
      </c>
      <c r="B1080" s="3452" t="inlineStr">
        <is>
          <t>531000</t>
        </is>
      </c>
      <c r="C1080" s="3452" t="inlineStr">
        <is>
          <t>000224000</t>
        </is>
      </c>
      <c r="D1080" s="3452" t="inlineStr">
        <is>
          <t>201906</t>
        </is>
      </c>
      <c r="E1080" s="3452" t="inlineStr">
        <is>
          <t>0,000000000000</t>
        </is>
      </c>
    </row>
    <row outlineLevel="0" r="1081">
      <c r="A1081" s="3452" t="inlineStr">
        <is>
          <t>000224000201906531515</t>
        </is>
      </c>
      <c r="B1081" s="3452" t="inlineStr">
        <is>
          <t>531515</t>
        </is>
      </c>
      <c r="C1081" s="3452" t="inlineStr">
        <is>
          <t>000224000</t>
        </is>
      </c>
      <c r="D1081" s="3452" t="inlineStr">
        <is>
          <t>201906</t>
        </is>
      </c>
      <c r="E1081" s="3452" t="inlineStr">
        <is>
          <t>0,000000000000</t>
        </is>
      </c>
    </row>
    <row outlineLevel="0" r="1082">
      <c r="A1082" s="3452" t="inlineStr">
        <is>
          <t>000224000201906531500</t>
        </is>
      </c>
      <c r="B1082" s="3452" t="inlineStr">
        <is>
          <t>531500</t>
        </is>
      </c>
      <c r="C1082" s="3452" t="inlineStr">
        <is>
          <t>000224000</t>
        </is>
      </c>
      <c r="D1082" s="3452" t="inlineStr">
        <is>
          <t>201906</t>
        </is>
      </c>
      <c r="E1082" s="3452" t="inlineStr">
        <is>
          <t>0,000000000000</t>
        </is>
      </c>
    </row>
    <row outlineLevel="0" r="1083">
      <c r="A1083" s="3452" t="inlineStr">
        <is>
          <t>000224000201906531300</t>
        </is>
      </c>
      <c r="B1083" s="3452" t="inlineStr">
        <is>
          <t>531300</t>
        </is>
      </c>
      <c r="C1083" s="3452" t="inlineStr">
        <is>
          <t>000224000</t>
        </is>
      </c>
      <c r="D1083" s="3452" t="inlineStr">
        <is>
          <t>201906</t>
        </is>
      </c>
      <c r="E1083" s="3452" t="inlineStr">
        <is>
          <t>0,000000000000</t>
        </is>
      </c>
    </row>
    <row outlineLevel="0" r="1084">
      <c r="A1084" s="3452" t="inlineStr">
        <is>
          <t>000224000201906531520</t>
        </is>
      </c>
      <c r="B1084" s="3452" t="inlineStr">
        <is>
          <t>531520</t>
        </is>
      </c>
      <c r="C1084" s="3452" t="inlineStr">
        <is>
          <t>000224000</t>
        </is>
      </c>
      <c r="D1084" s="3452" t="inlineStr">
        <is>
          <t>201906</t>
        </is>
      </c>
      <c r="E1084" s="3452" t="inlineStr">
        <is>
          <t>0,000000000000</t>
        </is>
      </c>
    </row>
    <row outlineLevel="0" r="1085">
      <c r="A1085" s="3452" t="inlineStr">
        <is>
          <t>000224000201906539595</t>
        </is>
      </c>
      <c r="B1085" s="3452" t="inlineStr">
        <is>
          <t>539595</t>
        </is>
      </c>
      <c r="C1085" s="3452" t="inlineStr">
        <is>
          <t>000224000</t>
        </is>
      </c>
      <c r="D1085" s="3452" t="inlineStr">
        <is>
          <t>201906</t>
        </is>
      </c>
      <c r="E1085" s="3452" t="inlineStr">
        <is>
          <t>0,000000000000</t>
        </is>
      </c>
    </row>
    <row outlineLevel="0" r="1086">
      <c r="A1086" s="3452" t="inlineStr">
        <is>
          <t>000224000201906539525</t>
        </is>
      </c>
      <c r="B1086" s="3452" t="inlineStr">
        <is>
          <t>539525</t>
        </is>
      </c>
      <c r="C1086" s="3452" t="inlineStr">
        <is>
          <t>000224000</t>
        </is>
      </c>
      <c r="D1086" s="3452" t="inlineStr">
        <is>
          <t>201906</t>
        </is>
      </c>
      <c r="E1086" s="3452" t="inlineStr">
        <is>
          <t>0,000000000000</t>
        </is>
      </c>
    </row>
    <row outlineLevel="0" r="1087">
      <c r="A1087" s="3452" t="inlineStr">
        <is>
          <t>000224000201906606000</t>
        </is>
      </c>
      <c r="B1087" s="3452" t="inlineStr">
        <is>
          <t>606000</t>
        </is>
      </c>
      <c r="C1087" s="3452" t="inlineStr">
        <is>
          <t>000224000</t>
        </is>
      </c>
      <c r="D1087" s="3452" t="inlineStr">
        <is>
          <t>201906</t>
        </is>
      </c>
      <c r="E1087" s="3452" t="inlineStr">
        <is>
          <t>0,000000000000</t>
        </is>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sheetPr codeName="Hoja13"/>
  <dimension ref="A1:AQ4"/>
  <sheetViews>
    <sheetView topLeftCell="AD1" workbookViewId="0" rightToLeft="false">
      <selection activeCell="AQ3" sqref="AQ3"/>
    </sheetView>
  </sheetViews>
  <sheetFormatPr baseColWidth="10" defaultRowHeight="15"/>
  <sheetData>
    <row spans="1:43" outlineLevel="0" r="1">
      <c r="A1" t="s">
        <v>0</v>
      </c>
      <c r="B1" t="s">
        <v>1</v>
      </c>
      <c r="C1" t="s">
        <v>2</v>
      </c>
      <c r="D1" t="s">
        <v>3</v>
      </c>
      <c r="E1" t="s">
        <v>123</v>
      </c>
      <c r="F1" t="s">
        <v>4</v>
      </c>
      <c r="G1" t="s">
        <v>5</v>
      </c>
      <c r="H1" t="s">
        <v>6</v>
      </c>
      <c r="I1" t="s">
        <v>7</v>
      </c>
      <c r="J1" t="s">
        <v>8</v>
      </c>
      <c r="K1" t="s">
        <v>9</v>
      </c>
      <c r="L1" t="s">
        <v>66</v>
      </c>
      <c r="M1" t="s">
        <v>10</v>
      </c>
      <c r="N1" t="s">
        <v>11</v>
      </c>
      <c r="O1" t="s">
        <v>12</v>
      </c>
      <c r="P1" t="s">
        <v>13</v>
      </c>
      <c r="Q1" t="s">
        <v>14</v>
      </c>
      <c r="R1" t="s">
        <v>15</v>
      </c>
      <c r="S1" t="s">
        <v>16</v>
      </c>
      <c r="T1" t="s">
        <v>17</v>
      </c>
      <c r="U1" t="s">
        <v>18</v>
      </c>
      <c r="V1" t="s">
        <v>19</v>
      </c>
      <c r="W1" t="s">
        <v>20</v>
      </c>
      <c r="X1" t="s">
        <v>21</v>
      </c>
      <c r="Y1" t="s">
        <v>22</v>
      </c>
      <c r="Z1" t="s">
        <v>124</v>
      </c>
      <c r="AA1" t="s">
        <v>125</v>
      </c>
      <c r="AB1" t="s">
        <v>126</v>
      </c>
      <c r="AC1" t="s">
        <v>127</v>
      </c>
      <c r="AD1" t="s">
        <v>128</v>
      </c>
      <c r="AE1" t="s">
        <v>129</v>
      </c>
      <c r="AF1" t="s">
        <v>130</v>
      </c>
      <c r="AG1" t="s">
        <v>131</v>
      </c>
      <c r="AH1" t="s">
        <v>132</v>
      </c>
      <c r="AI1" t="s">
        <v>133</v>
      </c>
      <c r="AJ1" t="s">
        <v>134</v>
      </c>
      <c r="AK1" t="s">
        <v>23</v>
      </c>
      <c r="AL1" t="s">
        <v>135</v>
      </c>
      <c r="AM1" t="s">
        <v>25</v>
      </c>
      <c r="AN1" t="s">
        <v>26</v>
      </c>
      <c r="AO1" t="s">
        <v>27</v>
      </c>
      <c r="AP1" t="s">
        <v>28</v>
      </c>
      <c r="AQ1" t="s">
        <v>2175</v>
      </c>
    </row>
    <row spans="1:43" outlineLevel="0" r="2">
      <c r="A2" t="s">
        <v>136</v>
      </c>
      <c r="B2" t="s">
        <v>136</v>
      </c>
      <c r="C2" t="s">
        <v>136</v>
      </c>
      <c r="D2" t="s">
        <v>136</v>
      </c>
      <c r="E2" t="s">
        <v>136</v>
      </c>
      <c r="F2" t="s">
        <v>136</v>
      </c>
      <c r="G2" t="s">
        <v>136</v>
      </c>
      <c r="H2" t="s">
        <v>136</v>
      </c>
      <c r="I2" t="s">
        <v>136</v>
      </c>
      <c r="J2" t="s">
        <v>136</v>
      </c>
      <c r="K2" t="s">
        <v>136</v>
      </c>
      <c r="L2" t="s">
        <v>136</v>
      </c>
      <c r="M2" t="s">
        <v>136</v>
      </c>
      <c r="N2" t="s">
        <v>136</v>
      </c>
      <c r="O2" t="s">
        <v>136</v>
      </c>
      <c r="P2" t="s">
        <v>136</v>
      </c>
      <c r="Q2" t="s">
        <v>136</v>
      </c>
      <c r="R2" t="s">
        <v>136</v>
      </c>
      <c r="S2" t="s">
        <v>136</v>
      </c>
      <c r="T2" t="s">
        <v>136</v>
      </c>
      <c r="U2" t="s">
        <v>136</v>
      </c>
      <c r="V2" t="s">
        <v>136</v>
      </c>
      <c r="W2" t="s">
        <v>136</v>
      </c>
      <c r="X2" t="s">
        <v>136</v>
      </c>
      <c r="Y2" t="s">
        <v>136</v>
      </c>
      <c r="Z2" t="s">
        <v>136</v>
      </c>
      <c r="AA2" t="s">
        <v>136</v>
      </c>
      <c r="AB2" t="s">
        <v>136</v>
      </c>
      <c r="AC2" t="s">
        <v>136</v>
      </c>
      <c r="AD2" t="s">
        <v>136</v>
      </c>
      <c r="AE2" t="s">
        <v>136</v>
      </c>
      <c r="AF2" t="s">
        <v>136</v>
      </c>
      <c r="AG2" t="s">
        <v>136</v>
      </c>
      <c r="AH2" t="s">
        <v>136</v>
      </c>
      <c r="AI2" t="s">
        <v>136</v>
      </c>
      <c r="AJ2" t="s">
        <v>136</v>
      </c>
      <c r="AK2" t="s">
        <v>136</v>
      </c>
      <c r="AL2" t="s">
        <v>136</v>
      </c>
      <c r="AM2" t="s">
        <v>136</v>
      </c>
      <c r="AN2" t="s">
        <v>136</v>
      </c>
      <c r="AO2" t="s">
        <v>136</v>
      </c>
      <c r="AP2" t="s">
        <v>136</v>
      </c>
      <c r="AQ2" t="s">
        <v>136</v>
      </c>
    </row>
    <row spans="1:43" outlineLevel="0" r="3">
      <c r="A3" s="3270" t="s">
        <v>2181</v>
      </c>
      <c r="B3" s="3270" t="s">
        <v>2182</v>
      </c>
      <c r="C3" s="3270" t="s">
        <v>2183</v>
      </c>
      <c r="D3" s="3270" t="s">
        <v>564</v>
      </c>
      <c r="E3" s="3270" t="s">
        <v>2184</v>
      </c>
      <c r="F3" s="3270" t="s">
        <v>2182</v>
      </c>
      <c r="G3" s="3270" t="s">
        <v>2185</v>
      </c>
      <c r="H3" s="3270" t="s">
        <v>2186</v>
      </c>
      <c r="I3" s="3270" t="s">
        <v>2187</v>
      </c>
      <c r="J3" s="3270" t="s">
        <v>2188</v>
      </c>
      <c r="K3" s="3270" t="s">
        <v>2189</v>
      </c>
      <c r="L3" s="3270" t="s">
        <v>2190</v>
      </c>
      <c r="O3" s="3270" t="s">
        <v>2191</v>
      </c>
      <c r="P3" s="3270" t="s">
        <v>2192</v>
      </c>
      <c r="Q3" s="3270" t="s">
        <v>2193</v>
      </c>
      <c r="R3" s="3270" t="s">
        <v>2194</v>
      </c>
      <c r="S3" s="3270" t="s">
        <v>2195</v>
      </c>
      <c r="T3" s="3270" t="s">
        <v>46</v>
      </c>
      <c r="U3" s="3270" t="s">
        <v>2196</v>
      </c>
      <c r="V3" s="3270" t="s">
        <v>46</v>
      </c>
      <c r="W3" s="3270" t="s">
        <v>46</v>
      </c>
      <c r="X3" s="3270" t="s">
        <v>2185</v>
      </c>
      <c r="Y3" s="3270" t="s">
        <v>2197</v>
      </c>
      <c r="Z3" s="3270" t="s">
        <v>2198</v>
      </c>
      <c r="AA3" s="3270" t="s">
        <v>2199</v>
      </c>
      <c r="AF3" s="3270" t="s">
        <v>2200</v>
      </c>
      <c r="AG3" s="3270" t="s">
        <v>2201</v>
      </c>
      <c r="AI3" s="3270" t="s">
        <v>2202</v>
      </c>
      <c r="AJ3" s="3270" t="s">
        <v>2203</v>
      </c>
      <c r="AK3" s="3270" t="s">
        <v>389</v>
      </c>
      <c r="AM3" s="3270" t="s">
        <v>2204</v>
      </c>
      <c r="AN3" s="3270" t="s">
        <v>2205</v>
      </c>
      <c r="AO3" s="3270" t="s">
        <v>2206</v>
      </c>
      <c r="AP3" s="3270" t="s">
        <v>1384</v>
      </c>
      <c r="AQ3" s="3270" t="s">
        <v>1384</v>
      </c>
    </row>
    <row outlineLevel="0" r="4">
      <c r="A4" s="3452" t="inlineStr">
        <is>
          <t>000224000</t>
        </is>
      </c>
      <c r="B4" s="3452" t="inlineStr">
        <is>
          <t>Palmetto Sa De Cv</t>
        </is>
      </c>
      <c r="C4" s="3452" t="inlineStr">
        <is>
          <t>PALMETTO</t>
        </is>
      </c>
      <c r="D4" s="3452" t="inlineStr">
        <is>
          <t>34</t>
        </is>
      </c>
      <c r="E4" s="3452" t="inlineStr">
        <is>
          <t>SV - Sociedad Anónima de Capital Variable(SA CV)</t>
        </is>
      </c>
      <c r="F4" s="3452" t="inlineStr">
        <is>
          <t>Actividades Inmobiliarias Realizadas Con Bienes Propios O Arrendados</t>
        </is>
      </c>
      <c r="G4" s="3452" t="inlineStr">
        <is>
          <t>Actividades Inmobiliarias Realizadas Con Bienes Propios O Arrendados</t>
        </is>
      </c>
      <c r="H4" s="3452" t="inlineStr">
        <is>
          <t>0</t>
        </is>
      </c>
      <c r="I4" s="3452" t="inlineStr">
        <is>
          <t>2110</t>
        </is>
      </c>
      <c r="J4" s="3452" t="inlineStr">
        <is>
          <t>O.CONCEPCION C.DELGADO Y AV CERBANTES NO.830 SAN SALVADOR S.S</t>
        </is>
      </c>
      <c r="K4" s="3452" t="inlineStr">
        <is>
          <t>25017003</t>
        </is>
      </c>
      <c r="L4" s="3452" t="inlineStr">
        <is>
          <t>SAN SALVADOR - SAN SALVADOR</t>
        </is>
      </c>
      <c r="M4" s="3452" t="inlineStr">
        <is>
          <t>0</t>
        </is>
      </c>
      <c r="N4" s="3452" t="inlineStr">
        <is>
          <t>0</t>
        </is>
      </c>
      <c r="O4" s="3452" t="inlineStr">
        <is>
          <t>0</t>
        </is>
      </c>
      <c r="R4" s="3452" t="inlineStr">
        <is>
          <t>1989/09/06</t>
        </is>
      </c>
      <c r="S4" s="3452" t="inlineStr">
        <is>
          <t>1</t>
        </is>
      </c>
      <c r="T4" s="3452" t="inlineStr">
        <is>
          <t>False</t>
        </is>
      </c>
      <c r="U4" s="3452" t="inlineStr">
        <is>
          <t>6810</t>
        </is>
      </c>
      <c r="V4" s="3452" t="inlineStr">
        <is>
          <t>False</t>
        </is>
      </c>
      <c r="W4" s="3452" t="inlineStr">
        <is>
          <t>False</t>
        </is>
      </c>
      <c r="Y4" s="3452" t="inlineStr">
        <is>
          <t>100</t>
        </is>
      </c>
      <c r="Z4" s="3452" t="inlineStr">
        <is>
          <t>Davivienda</t>
        </is>
      </c>
      <c r="AA4" s="3452" t="inlineStr">
        <is>
          <t>Vigente</t>
        </is>
      </c>
      <c r="AF4" s="3452" t="inlineStr">
        <is>
          <t>0</t>
        </is>
      </c>
      <c r="AG4" s="3452" t="inlineStr">
        <is>
          <t>True</t>
        </is>
      </c>
      <c r="AI4" s="3452" t="inlineStr">
        <is>
          <t>110</t>
        </is>
      </c>
      <c r="AJ4" s="3452" t="inlineStr">
        <is>
          <t>3</t>
        </is>
      </c>
      <c r="AK4" s="3452" t="inlineStr">
        <is>
          <t>Servicios / Servicios / Organizaciones Empresariales</t>
        </is>
      </c>
      <c r="AM4" s="3452" t="inlineStr">
        <is>
          <t>2</t>
        </is>
      </c>
      <c r="AN4" s="3452" t="inlineStr">
        <is>
          <t>Dolar USD</t>
        </is>
      </c>
      <c r="AO4" s="3452" t="inlineStr">
        <is>
          <t>1</t>
        </is>
      </c>
      <c r="AP4" s="3452" t="inlineStr">
        <is>
          <t>El Salvador</t>
        </is>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sheetPr codeName="Hoja14"/>
  <dimension ref="A1:K6"/>
  <sheetViews>
    <sheetView workbookViewId="0" rightToLeft="false">
      <selection activeCell="H18" sqref="H18"/>
    </sheetView>
  </sheetViews>
  <sheetFormatPr baseColWidth="10" defaultRowHeight="15"/>
  <cols>
    <col min="1" max="1" width="5" bestFit="1" customWidth="1"/>
    <col min="2" max="2" width="3.140625" bestFit="1" customWidth="1"/>
    <col min="3" max="3" width="4.5703125" bestFit="1" customWidth="1"/>
    <col min="4" max="4" width="3.5703125" bestFit="1" customWidth="1"/>
    <col min="5" max="5" width="6.28515625" bestFit="1" customWidth="1"/>
    <col min="6" max="6" width="6.140625" bestFit="1" customWidth="1"/>
    <col min="7" max="7" width="7.85546875" bestFit="1" customWidth="1"/>
    <col min="8" max="8" width="14.5703125" bestFit="1" customWidth="1"/>
    <col min="9" max="9" width="8.42578125" bestFit="1" customWidth="1"/>
    <col min="10" max="10" width="15.140625" bestFit="1" customWidth="1"/>
  </cols>
  <sheetData>
    <row spans="1:11" outlineLevel="0" r="1">
      <c r="A1" t="s">
        <v>122</v>
      </c>
      <c r="B1" t="s">
        <v>33</v>
      </c>
      <c r="C1" t="s">
        <v>39</v>
      </c>
      <c r="D1" t="s">
        <v>43</v>
      </c>
      <c r="E1" t="s">
        <v>44</v>
      </c>
      <c r="F1" t="s">
        <v>45</v>
      </c>
      <c r="G1" t="s">
        <v>25</v>
      </c>
      <c r="H1" t="s">
        <v>26</v>
      </c>
      <c r="I1" t="s">
        <v>2166</v>
      </c>
      <c r="J1" t="s">
        <v>2171</v>
      </c>
      <c r="K1" s="3178" t="s">
        <v>2176</v>
      </c>
    </row>
    <row outlineLevel="0" r="2">
      <c r="A2" s="3452" t="inlineStr">
        <is>
          <t>000224000202012</t>
        </is>
      </c>
      <c r="B2" s="3452" t="inlineStr">
        <is>
          <t>000224000</t>
        </is>
      </c>
      <c r="C2" s="3452" t="inlineStr">
        <is>
          <t>202012</t>
        </is>
      </c>
      <c r="D2" s="3452" t="inlineStr">
        <is>
          <t>False</t>
        </is>
      </c>
      <c r="E2" s="3452" t="inlineStr">
        <is>
          <t>False</t>
        </is>
      </c>
      <c r="F2" s="3452" t="inlineStr">
        <is>
          <t>12</t>
        </is>
      </c>
      <c r="I2" s="3452" t="inlineStr">
        <is>
          <t>Auditados Sin Salvedades</t>
        </is>
      </c>
      <c r="J2" s="3452" t="inlineStr">
        <is>
          <t>1,00000000</t>
        </is>
      </c>
      <c r="K2" s="3452" t="inlineStr">
        <is>
          <t>2</t>
        </is>
      </c>
    </row>
    <row outlineLevel="0" r="3">
      <c r="A3" s="3452" t="inlineStr">
        <is>
          <t>000224000201912</t>
        </is>
      </c>
      <c r="B3" s="3452" t="inlineStr">
        <is>
          <t>000224000</t>
        </is>
      </c>
      <c r="C3" s="3452" t="inlineStr">
        <is>
          <t>201912</t>
        </is>
      </c>
      <c r="D3" s="3452" t="inlineStr">
        <is>
          <t>False</t>
        </is>
      </c>
      <c r="E3" s="3452" t="inlineStr">
        <is>
          <t>False</t>
        </is>
      </c>
      <c r="F3" s="3452" t="inlineStr">
        <is>
          <t>12</t>
        </is>
      </c>
      <c r="I3" s="3452" t="inlineStr">
        <is>
          <t>No Auditados</t>
        </is>
      </c>
      <c r="J3" s="3452" t="inlineStr">
        <is>
          <t>1,00000000</t>
        </is>
      </c>
      <c r="K3" s="3452" t="inlineStr">
        <is>
          <t>3</t>
        </is>
      </c>
    </row>
    <row outlineLevel="0" r="4">
      <c r="A4" s="3452" t="inlineStr">
        <is>
          <t>000224000201812</t>
        </is>
      </c>
      <c r="B4" s="3452" t="inlineStr">
        <is>
          <t>000224000</t>
        </is>
      </c>
      <c r="C4" s="3452" t="inlineStr">
        <is>
          <t>201812</t>
        </is>
      </c>
      <c r="D4" s="3452" t="inlineStr">
        <is>
          <t>False</t>
        </is>
      </c>
      <c r="E4" s="3452" t="inlineStr">
        <is>
          <t>False</t>
        </is>
      </c>
      <c r="F4" s="3452" t="inlineStr">
        <is>
          <t>12</t>
        </is>
      </c>
      <c r="I4" s="3452" t="inlineStr">
        <is>
          <t>Auditados Sin Salvedades</t>
        </is>
      </c>
      <c r="J4" s="3452" t="inlineStr">
        <is>
          <t>1,00000000</t>
        </is>
      </c>
      <c r="K4" s="3452" t="inlineStr">
        <is>
          <t>2</t>
        </is>
      </c>
    </row>
    <row outlineLevel="0" r="5">
      <c r="A5" s="3452" t="inlineStr">
        <is>
          <t>000224000202006</t>
        </is>
      </c>
      <c r="B5" s="3452" t="inlineStr">
        <is>
          <t>000224000</t>
        </is>
      </c>
      <c r="C5" s="3452" t="inlineStr">
        <is>
          <t>202006</t>
        </is>
      </c>
      <c r="D5" s="3452" t="inlineStr">
        <is>
          <t>False</t>
        </is>
      </c>
      <c r="E5" s="3452" t="inlineStr">
        <is>
          <t>True</t>
        </is>
      </c>
      <c r="F5" s="3452" t="inlineStr">
        <is>
          <t>6</t>
        </is>
      </c>
      <c r="I5" s="3452" t="inlineStr">
        <is>
          <t>No Auditados</t>
        </is>
      </c>
      <c r="J5" s="3452" t="inlineStr">
        <is>
          <t>1,00000000</t>
        </is>
      </c>
      <c r="K5" s="3452" t="inlineStr">
        <is>
          <t>3</t>
        </is>
      </c>
    </row>
    <row outlineLevel="0" r="6">
      <c r="A6" s="3452" t="inlineStr">
        <is>
          <t>000224000201906</t>
        </is>
      </c>
      <c r="B6" s="3452" t="inlineStr">
        <is>
          <t>000224000</t>
        </is>
      </c>
      <c r="C6" s="3452" t="inlineStr">
        <is>
          <t>201906</t>
        </is>
      </c>
      <c r="D6" s="3452" t="inlineStr">
        <is>
          <t>False</t>
        </is>
      </c>
      <c r="E6" s="3452" t="inlineStr">
        <is>
          <t>True</t>
        </is>
      </c>
      <c r="F6" s="3452" t="inlineStr">
        <is>
          <t>6</t>
        </is>
      </c>
      <c r="I6" s="3452" t="inlineStr">
        <is>
          <t>No Auditados</t>
        </is>
      </c>
      <c r="J6" s="3452" t="inlineStr">
        <is>
          <t>1,00000000</t>
        </is>
      </c>
      <c r="K6" s="3452" t="inlineStr">
        <is>
          <t>3</t>
        </is>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A1:G1"/>
  <sheetViews>
    <sheetView workbookViewId="0">
      <selection sqref="A1:XFD1"/>
    </sheetView>
  </sheetViews>
  <sheetFormatPr baseColWidth="10" defaultRowHeight="15" x14ac:dyDescent="0.25"/>
  <sheetData>
    <row r="1" spans="1:7" x14ac:dyDescent="0.25">
      <c r="A1" t="s">
        <v>122</v>
      </c>
      <c r="B1" t="s">
        <v>33</v>
      </c>
      <c r="C1" t="s">
        <v>137</v>
      </c>
      <c r="D1" t="s">
        <v>138</v>
      </c>
      <c r="E1" t="s">
        <v>6</v>
      </c>
      <c r="F1" t="s">
        <v>37</v>
      </c>
      <c r="G1" t="s">
        <v>139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F1"/>
  <sheetViews>
    <sheetView workbookViewId="0">
      <selection sqref="A1:XFD1"/>
    </sheetView>
  </sheetViews>
  <sheetFormatPr baseColWidth="10" defaultRowHeight="15" x14ac:dyDescent="0.25"/>
  <sheetData>
    <row r="1" spans="1:6" x14ac:dyDescent="0.25">
      <c r="A1" t="s">
        <v>122</v>
      </c>
      <c r="B1" t="s">
        <v>0</v>
      </c>
      <c r="C1" t="s">
        <v>140</v>
      </c>
      <c r="D1" t="s">
        <v>141</v>
      </c>
      <c r="E1" t="s">
        <v>111</v>
      </c>
      <c r="F1" t="s">
        <v>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A1:F2"/>
  <sheetViews>
    <sheetView workbookViewId="0">
      <selection sqref="A1:XFD2"/>
    </sheetView>
  </sheetViews>
  <sheetFormatPr baseColWidth="10" defaultRowHeight="15" x14ac:dyDescent="0.25"/>
  <sheetData>
    <row r="1" spans="1:6" x14ac:dyDescent="0.25">
      <c r="A1" t="s">
        <v>142</v>
      </c>
      <c r="B1" t="s">
        <v>143</v>
      </c>
      <c r="C1" t="s">
        <v>144</v>
      </c>
      <c r="D1" t="s">
        <v>145</v>
      </c>
      <c r="E1" t="s">
        <v>146</v>
      </c>
      <c r="F1" t="s">
        <v>147</v>
      </c>
    </row>
    <row r="2" spans="1:6" x14ac:dyDescent="0.25">
      <c r="A2" t="s">
        <v>148</v>
      </c>
      <c r="B2" t="s">
        <v>148</v>
      </c>
      <c r="C2" t="s">
        <v>148</v>
      </c>
      <c r="D2" t="s">
        <v>148</v>
      </c>
      <c r="E2" t="s">
        <v>148</v>
      </c>
      <c r="F2" t="s">
        <v>148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8"/>
  <dimension ref="A1:K1"/>
  <sheetViews>
    <sheetView workbookViewId="0">
      <selection sqref="A1:XFD1"/>
    </sheetView>
  </sheetViews>
  <sheetFormatPr baseColWidth="10" defaultRowHeight="15" x14ac:dyDescent="0.25"/>
  <sheetData>
    <row r="1" spans="1:11" x14ac:dyDescent="0.25">
      <c r="A1" t="s">
        <v>149</v>
      </c>
      <c r="B1" t="s">
        <v>150</v>
      </c>
      <c r="C1" t="s">
        <v>151</v>
      </c>
      <c r="D1" t="s">
        <v>152</v>
      </c>
      <c r="E1" t="s">
        <v>153</v>
      </c>
      <c r="F1" t="s">
        <v>154</v>
      </c>
      <c r="G1" t="s">
        <v>155</v>
      </c>
      <c r="H1" t="s">
        <v>156</v>
      </c>
      <c r="I1" t="s">
        <v>157</v>
      </c>
      <c r="J1" t="s">
        <v>158</v>
      </c>
      <c r="K1" t="s">
        <v>159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9"/>
  <dimension ref="A1"/>
  <sheetViews>
    <sheetView workbookViewId="0">
      <selection sqref="A1:XFD1"/>
    </sheetView>
  </sheetViews>
  <sheetFormatPr baseColWidth="10" defaultRowHeight="15" x14ac:dyDescent="0.25"/>
  <sheetData>
    <row r="1" spans="1:1" x14ac:dyDescent="0.25">
      <c r="A1" t="s">
        <v>156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0"/>
  <dimension ref="A1:K2"/>
  <sheetViews>
    <sheetView workbookViewId="0">
      <selection activeCell="E18" sqref="E18"/>
    </sheetView>
  </sheetViews>
  <sheetFormatPr baseColWidth="10" defaultRowHeight="15" x14ac:dyDescent="0.25"/>
  <sheetData>
    <row r="1" spans="1:11" x14ac:dyDescent="0.25">
      <c r="A1" t="s">
        <v>142</v>
      </c>
      <c r="B1" t="s">
        <v>147</v>
      </c>
      <c r="C1" t="s">
        <v>160</v>
      </c>
      <c r="D1" t="s">
        <v>161</v>
      </c>
      <c r="E1" t="s">
        <v>162</v>
      </c>
      <c r="F1" t="s">
        <v>163</v>
      </c>
      <c r="G1" t="s">
        <v>164</v>
      </c>
      <c r="H1" t="s">
        <v>165</v>
      </c>
      <c r="I1" t="s">
        <v>166</v>
      </c>
      <c r="J1" t="s">
        <v>167</v>
      </c>
      <c r="K1" t="s">
        <v>168</v>
      </c>
    </row>
    <row r="2" spans="1:11" x14ac:dyDescent="0.25">
      <c r="A2" t="s">
        <v>169</v>
      </c>
      <c r="B2" t="s">
        <v>170</v>
      </c>
      <c r="C2" t="s">
        <v>170</v>
      </c>
      <c r="D2" t="s">
        <v>170</v>
      </c>
      <c r="E2" t="s">
        <v>170</v>
      </c>
      <c r="F2" t="s">
        <v>170</v>
      </c>
      <c r="G2" t="s">
        <v>170</v>
      </c>
      <c r="H2" t="s">
        <v>170</v>
      </c>
      <c r="I2" t="s">
        <v>170</v>
      </c>
      <c r="J2" t="s">
        <v>170</v>
      </c>
      <c r="K2" t="s">
        <v>170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1"/>
  <dimension ref="A1:K2"/>
  <sheetViews>
    <sheetView workbookViewId="0">
      <selection activeCell="F17" sqref="F17"/>
    </sheetView>
  </sheetViews>
  <sheetFormatPr baseColWidth="10" defaultRowHeight="15" x14ac:dyDescent="0.25"/>
  <sheetData>
    <row r="1" spans="1:11" x14ac:dyDescent="0.25">
      <c r="A1" t="s">
        <v>171</v>
      </c>
      <c r="B1" t="s">
        <v>172</v>
      </c>
      <c r="C1" t="s">
        <v>173</v>
      </c>
      <c r="D1" t="s">
        <v>98</v>
      </c>
      <c r="E1" t="s">
        <v>96</v>
      </c>
      <c r="F1" t="s">
        <v>174</v>
      </c>
      <c r="G1" t="s">
        <v>175</v>
      </c>
      <c r="H1" t="s">
        <v>176</v>
      </c>
      <c r="I1" t="s">
        <v>177</v>
      </c>
      <c r="J1" t="s">
        <v>33</v>
      </c>
      <c r="K1" t="s">
        <v>147</v>
      </c>
    </row>
    <row r="2" spans="1:11" x14ac:dyDescent="0.25">
      <c r="A2" t="s">
        <v>169</v>
      </c>
      <c r="B2" t="s">
        <v>169</v>
      </c>
      <c r="C2" t="s">
        <v>169</v>
      </c>
      <c r="D2" t="s">
        <v>169</v>
      </c>
      <c r="E2" t="s">
        <v>169</v>
      </c>
      <c r="F2" t="s">
        <v>169</v>
      </c>
      <c r="G2" t="s">
        <v>169</v>
      </c>
      <c r="H2" t="s">
        <v>169</v>
      </c>
      <c r="I2" t="s">
        <v>169</v>
      </c>
      <c r="J2" t="s">
        <v>169</v>
      </c>
      <c r="K2" t="s">
        <v>169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2"/>
  <dimension ref="A1:F2"/>
  <sheetViews>
    <sheetView workbookViewId="0"/>
  </sheetViews>
  <sheetFormatPr baseColWidth="10" defaultRowHeight="15" x14ac:dyDescent="0.25"/>
  <sheetData>
    <row r="1" spans="1:6" x14ac:dyDescent="0.25">
      <c r="A1" t="s">
        <v>178</v>
      </c>
      <c r="B1" t="s">
        <v>179</v>
      </c>
      <c r="C1" t="s">
        <v>180</v>
      </c>
      <c r="D1" t="s">
        <v>181</v>
      </c>
      <c r="E1" t="s">
        <v>33</v>
      </c>
      <c r="F1" t="s">
        <v>147</v>
      </c>
    </row>
    <row r="2" spans="1:6" x14ac:dyDescent="0.25">
      <c r="A2" t="s">
        <v>169</v>
      </c>
      <c r="B2" t="s">
        <v>169</v>
      </c>
      <c r="C2" t="s">
        <v>169</v>
      </c>
      <c r="D2" t="s">
        <v>169</v>
      </c>
      <c r="E2" t="s">
        <v>169</v>
      </c>
      <c r="F2" t="s">
        <v>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3"/>
  <dimension ref="A1:F2"/>
  <sheetViews>
    <sheetView workbookViewId="0"/>
  </sheetViews>
  <sheetFormatPr baseColWidth="10" defaultRowHeight="15" x14ac:dyDescent="0.25"/>
  <sheetData>
    <row r="1" spans="1:6" x14ac:dyDescent="0.25">
      <c r="A1" t="s">
        <v>182</v>
      </c>
      <c r="B1" t="s">
        <v>33</v>
      </c>
      <c r="C1" t="s">
        <v>147</v>
      </c>
      <c r="D1" t="s">
        <v>121</v>
      </c>
      <c r="E1" t="s">
        <v>110</v>
      </c>
      <c r="F1" t="s">
        <v>113</v>
      </c>
    </row>
    <row r="2" spans="1:6" x14ac:dyDescent="0.25">
      <c r="A2" t="s">
        <v>169</v>
      </c>
      <c r="B2" t="s">
        <v>169</v>
      </c>
      <c r="C2" t="s">
        <v>169</v>
      </c>
      <c r="D2" t="s">
        <v>169</v>
      </c>
      <c r="E2" t="s">
        <v>169</v>
      </c>
      <c r="F2" t="s">
        <v>169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4"/>
  <dimension ref="A1:G2"/>
  <sheetViews>
    <sheetView workbookViewId="0"/>
  </sheetViews>
  <sheetFormatPr baseColWidth="10" defaultRowHeight="15" x14ac:dyDescent="0.25"/>
  <sheetData>
    <row r="1" spans="1:7" x14ac:dyDescent="0.25">
      <c r="A1" t="s">
        <v>33</v>
      </c>
      <c r="B1" t="s">
        <v>183</v>
      </c>
      <c r="C1" t="s">
        <v>147</v>
      </c>
      <c r="D1" t="s">
        <v>114</v>
      </c>
      <c r="E1" t="s">
        <v>184</v>
      </c>
      <c r="F1" t="s">
        <v>28</v>
      </c>
      <c r="G1" t="s">
        <v>113</v>
      </c>
    </row>
    <row r="2" spans="1:7" x14ac:dyDescent="0.25">
      <c r="A2" t="s">
        <v>169</v>
      </c>
      <c r="B2" t="s">
        <v>169</v>
      </c>
      <c r="C2" t="s">
        <v>169</v>
      </c>
      <c r="D2" t="s">
        <v>169</v>
      </c>
      <c r="E2" t="s">
        <v>169</v>
      </c>
      <c r="F2" t="s">
        <v>169</v>
      </c>
      <c r="G2" t="s">
        <v>169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dimension ref="A1:F2"/>
  <sheetViews>
    <sheetView workbookViewId="0"/>
  </sheetViews>
  <sheetFormatPr baseColWidth="10" defaultRowHeight="15" x14ac:dyDescent="0.25"/>
  <sheetData>
    <row r="1" spans="1:6" x14ac:dyDescent="0.25">
      <c r="A1" t="s">
        <v>33</v>
      </c>
      <c r="B1" t="s">
        <v>185</v>
      </c>
      <c r="C1" t="s">
        <v>147</v>
      </c>
      <c r="D1" t="s">
        <v>112</v>
      </c>
      <c r="E1" t="s">
        <v>113</v>
      </c>
      <c r="F1" t="s">
        <v>28</v>
      </c>
    </row>
    <row r="2" spans="1:6" x14ac:dyDescent="0.25">
      <c r="A2" t="s">
        <v>169</v>
      </c>
      <c r="B2" t="s">
        <v>169</v>
      </c>
      <c r="C2" t="s">
        <v>169</v>
      </c>
      <c r="D2" t="s">
        <v>169</v>
      </c>
      <c r="E2" t="s">
        <v>169</v>
      </c>
      <c r="F2" t="s">
        <v>169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6"/>
  <dimension ref="A1:F2"/>
  <sheetViews>
    <sheetView workbookViewId="0"/>
  </sheetViews>
  <sheetFormatPr baseColWidth="10" defaultRowHeight="15" x14ac:dyDescent="0.25"/>
  <sheetData>
    <row r="1" spans="1:6" x14ac:dyDescent="0.25">
      <c r="A1" t="s">
        <v>33</v>
      </c>
      <c r="B1" t="s">
        <v>186</v>
      </c>
      <c r="C1" t="s">
        <v>147</v>
      </c>
      <c r="D1" t="s">
        <v>110</v>
      </c>
      <c r="E1" t="s">
        <v>111</v>
      </c>
      <c r="F1" t="s">
        <v>187</v>
      </c>
    </row>
    <row r="2" spans="1:6" x14ac:dyDescent="0.25">
      <c r="A2" t="s">
        <v>169</v>
      </c>
      <c r="B2" t="s">
        <v>169</v>
      </c>
      <c r="C2" t="s">
        <v>169</v>
      </c>
      <c r="D2" t="s">
        <v>169</v>
      </c>
      <c r="E2" t="s">
        <v>169</v>
      </c>
      <c r="F2" t="s">
        <v>169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7"/>
  <dimension ref="A1:O2"/>
  <sheetViews>
    <sheetView workbookViewId="0"/>
  </sheetViews>
  <sheetFormatPr baseColWidth="10" defaultRowHeight="15" x14ac:dyDescent="0.25"/>
  <sheetData>
    <row r="1" spans="1:15" x14ac:dyDescent="0.25">
      <c r="A1" t="s">
        <v>142</v>
      </c>
      <c r="B1" t="s">
        <v>147</v>
      </c>
      <c r="C1" t="s">
        <v>188</v>
      </c>
      <c r="D1" t="s">
        <v>189</v>
      </c>
      <c r="E1" t="s">
        <v>190</v>
      </c>
      <c r="F1" t="s">
        <v>28</v>
      </c>
      <c r="G1" t="s">
        <v>66</v>
      </c>
      <c r="H1" t="s">
        <v>92</v>
      </c>
      <c r="I1" t="s">
        <v>191</v>
      </c>
      <c r="J1" t="s">
        <v>192</v>
      </c>
      <c r="K1" t="s">
        <v>193</v>
      </c>
      <c r="L1" t="s">
        <v>194</v>
      </c>
      <c r="M1" t="s">
        <v>195</v>
      </c>
      <c r="N1" t="s">
        <v>196</v>
      </c>
      <c r="O1" t="s">
        <v>197</v>
      </c>
    </row>
    <row r="2" spans="1:15" x14ac:dyDescent="0.25">
      <c r="A2" t="s">
        <v>198</v>
      </c>
      <c r="B2" t="s">
        <v>198</v>
      </c>
      <c r="C2" t="s">
        <v>198</v>
      </c>
      <c r="D2" t="s">
        <v>198</v>
      </c>
      <c r="E2" t="s">
        <v>198</v>
      </c>
      <c r="F2" t="s">
        <v>198</v>
      </c>
      <c r="G2" t="s">
        <v>198</v>
      </c>
      <c r="H2" t="s">
        <v>198</v>
      </c>
      <c r="I2" t="s">
        <v>198</v>
      </c>
      <c r="J2" t="s">
        <v>198</v>
      </c>
      <c r="K2" t="s">
        <v>198</v>
      </c>
      <c r="L2" t="s">
        <v>198</v>
      </c>
      <c r="M2" t="s">
        <v>198</v>
      </c>
      <c r="N2" t="s">
        <v>198</v>
      </c>
      <c r="O2" t="s">
        <v>198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8"/>
  <dimension ref="A1:E1"/>
  <sheetViews>
    <sheetView workbookViewId="0"/>
  </sheetViews>
  <sheetFormatPr baseColWidth="10" defaultRowHeight="15" x14ac:dyDescent="0.25"/>
  <sheetData>
    <row r="1" spans="1:5" x14ac:dyDescent="0.25">
      <c r="A1" t="s">
        <v>122</v>
      </c>
      <c r="B1" t="s">
        <v>38</v>
      </c>
      <c r="C1" t="s">
        <v>0</v>
      </c>
      <c r="D1" t="s">
        <v>39</v>
      </c>
      <c r="E1" t="s">
        <v>42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9"/>
  <dimension ref="A1:K1"/>
  <sheetViews>
    <sheetView workbookViewId="0"/>
  </sheetViews>
  <sheetFormatPr baseColWidth="10" defaultRowHeight="15" x14ac:dyDescent="0.25"/>
  <sheetData>
    <row r="1" spans="1:11" x14ac:dyDescent="0.25">
      <c r="A1" t="s">
        <v>142</v>
      </c>
      <c r="B1" t="s">
        <v>147</v>
      </c>
      <c r="C1" t="s">
        <v>160</v>
      </c>
      <c r="D1" t="s">
        <v>161</v>
      </c>
      <c r="E1" t="s">
        <v>162</v>
      </c>
      <c r="F1" t="s">
        <v>163</v>
      </c>
      <c r="G1" t="s">
        <v>164</v>
      </c>
      <c r="H1" t="s">
        <v>165</v>
      </c>
      <c r="I1" t="s">
        <v>166</v>
      </c>
      <c r="J1" t="s">
        <v>167</v>
      </c>
      <c r="K1" t="s">
        <v>168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0"/>
  <dimension ref="A1:F1"/>
  <sheetViews>
    <sheetView workbookViewId="0"/>
  </sheetViews>
  <sheetFormatPr baseColWidth="10" defaultRowHeight="15" x14ac:dyDescent="0.25"/>
  <sheetData>
    <row r="1" spans="1:6" x14ac:dyDescent="0.25">
      <c r="A1" t="s">
        <v>33</v>
      </c>
      <c r="B1" t="s">
        <v>199</v>
      </c>
      <c r="C1" t="s">
        <v>200</v>
      </c>
      <c r="D1" t="s">
        <v>201</v>
      </c>
      <c r="E1" t="s">
        <v>202</v>
      </c>
      <c r="F1" t="s">
        <v>203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1"/>
  <dimension ref="A1:D1"/>
  <sheetViews>
    <sheetView workbookViewId="0"/>
  </sheetViews>
  <sheetFormatPr baseColWidth="10" defaultRowHeight="15" x14ac:dyDescent="0.25"/>
  <sheetData>
    <row r="1" spans="1:4" x14ac:dyDescent="0.25">
      <c r="A1" t="s">
        <v>33</v>
      </c>
      <c r="B1" t="s">
        <v>143</v>
      </c>
      <c r="C1" t="s">
        <v>147</v>
      </c>
      <c r="D1" t="s">
        <v>204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2"/>
  <dimension ref="A1:G1"/>
  <sheetViews>
    <sheetView workbookViewId="0"/>
  </sheetViews>
  <sheetFormatPr baseColWidth="10" defaultRowHeight="15" x14ac:dyDescent="0.25"/>
  <sheetData>
    <row r="1" spans="1:7" x14ac:dyDescent="0.25">
      <c r="A1" t="s">
        <v>142</v>
      </c>
      <c r="B1" t="s">
        <v>143</v>
      </c>
      <c r="C1" t="s">
        <v>144</v>
      </c>
      <c r="D1" t="s">
        <v>145</v>
      </c>
      <c r="E1" t="s">
        <v>146</v>
      </c>
      <c r="F1" t="s">
        <v>147</v>
      </c>
      <c r="G1" t="s">
        <v>205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3"/>
  <dimension ref="A1"/>
  <sheetViews>
    <sheetView workbookViewId="0"/>
  </sheetViews>
  <sheetFormatPr baseColWidth="10"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4"/>
  <dimension ref="A1:N56"/>
  <sheetViews>
    <sheetView showGridLines="0" showRowColHeaders="0" workbookViewId="0">
      <selection activeCell="B4" sqref="B4:D4"/>
    </sheetView>
  </sheetViews>
  <sheetFormatPr baseColWidth="10" defaultColWidth="11.42578125" defaultRowHeight="15" x14ac:dyDescent="0.25"/>
  <cols>
    <col min="1" max="1" width="5.7109375" customWidth="1"/>
    <col min="2" max="2" width="6.140625" customWidth="1"/>
    <col min="3" max="3" width="31.85546875" customWidth="1"/>
    <col min="4" max="4" width="61.7109375" customWidth="1"/>
    <col min="5" max="6" width="11.42578125" style="2"/>
    <col min="7" max="8" width="11.42578125" style="4"/>
    <col min="9" max="10" width="0" style="4" hidden="1" customWidth="1"/>
    <col min="11" max="14" width="11.42578125" style="4"/>
    <col min="15" max="16384" width="11.42578125" style="2"/>
  </cols>
  <sheetData>
    <row r="1" spans="1:12" ht="4.5" customHeight="1" x14ac:dyDescent="0.25">
      <c r="A1" s="2"/>
      <c r="B1" s="2"/>
      <c r="C1" s="2"/>
      <c r="D1" s="2"/>
      <c r="E1" s="3"/>
      <c r="F1" s="3"/>
    </row>
    <row r="2" spans="1:12" ht="4.5" customHeight="1" x14ac:dyDescent="0.25">
      <c r="A2" s="2"/>
      <c r="B2" s="2"/>
      <c r="C2" s="2"/>
      <c r="D2" s="2"/>
      <c r="E2" s="3"/>
      <c r="F2" s="3"/>
      <c r="L2" s="4">
        <f>IFERROR(VLOOKUP(D6,I4:J53,2,0),0)</f>
        <v>0</v>
      </c>
    </row>
    <row r="3" spans="1:12" x14ac:dyDescent="0.25">
      <c r="A3" s="2"/>
      <c r="B3" s="3280" t="s">
        <v>206</v>
      </c>
      <c r="C3" s="3280"/>
      <c r="D3" s="3280"/>
      <c r="E3" s="3"/>
      <c r="F3" s="3"/>
    </row>
    <row r="4" spans="1:12" x14ac:dyDescent="0.25">
      <c r="A4" s="2"/>
      <c r="B4" s="3281" t="s">
        <v>2180</v>
      </c>
      <c r="C4" s="3281"/>
      <c r="D4" s="3281"/>
      <c r="E4" s="3"/>
      <c r="F4" s="3"/>
    </row>
    <row r="5" spans="1:12" ht="4.5" customHeight="1" thickBot="1" x14ac:dyDescent="0.3">
      <c r="A5" s="2"/>
      <c r="E5" s="3"/>
      <c r="F5" s="3"/>
    </row>
    <row r="6" spans="1:12" ht="15.75" x14ac:dyDescent="0.25">
      <c r="A6" s="2"/>
      <c r="B6" s="3282" t="s">
        <v>207</v>
      </c>
      <c r="C6" s="3283"/>
      <c r="D6" s="5" t="str">
        <f>G6</f>
        <v>900142011</v>
      </c>
      <c r="E6" s="3"/>
      <c r="F6" s="3"/>
      <c r="G6" s="4" t="str">
        <f>Caratula1!A3</f>
        <v>900142011</v>
      </c>
    </row>
    <row r="7" spans="1:12" ht="15.75" x14ac:dyDescent="0.25">
      <c r="A7" s="2"/>
      <c r="B7" s="3284" t="s">
        <v>208</v>
      </c>
      <c r="C7" s="3285"/>
      <c r="D7" s="6" t="str">
        <f>Fortalezas!AC4</f>
        <v>Prueba Da 27.08.23</v>
      </c>
      <c r="E7" s="3"/>
      <c r="F7" s="3"/>
      <c r="G7" s="4" t="str">
        <f>IF(Caratula1!A4=0,"",Caratula1!A4)</f>
        <v/>
      </c>
    </row>
    <row r="8" spans="1:12" x14ac:dyDescent="0.25">
      <c r="A8" s="2"/>
      <c r="B8" s="3286" t="s">
        <v>48</v>
      </c>
      <c r="C8" s="3287"/>
      <c r="D8" s="7">
        <f>Fortalezas!AC17</f>
        <v>42019</v>
      </c>
      <c r="E8" s="3"/>
      <c r="F8" s="3"/>
      <c r="G8" s="4" t="str">
        <f>IF(Caratula1!A5=0,"",Caratula1!A5)</f>
        <v/>
      </c>
    </row>
    <row r="9" spans="1:12" x14ac:dyDescent="0.25">
      <c r="B9" s="3286" t="s">
        <v>18</v>
      </c>
      <c r="C9" s="3287"/>
      <c r="D9" s="8" t="str">
        <f>Fortalezas!AC18</f>
        <v>7020</v>
      </c>
      <c r="E9" s="3"/>
      <c r="F9" s="3"/>
      <c r="G9" s="4" t="str">
        <f>IF(Caratula1!A6=0,"",Caratula1!A6)</f>
        <v/>
      </c>
    </row>
    <row r="10" spans="1:12" ht="15.75" thickBot="1" x14ac:dyDescent="0.3">
      <c r="B10" s="3288" t="s">
        <v>209</v>
      </c>
      <c r="C10" s="3289"/>
      <c r="D10" s="9" t="str">
        <f>Fortalezas!AC7</f>
        <v>Prueba Da 27.08.23</v>
      </c>
      <c r="E10" s="3"/>
      <c r="F10" s="3"/>
      <c r="G10" s="4" t="str">
        <f>IF(Caratula1!A7=0,"",Caratula1!A7)</f>
        <v/>
      </c>
    </row>
    <row r="11" spans="1:12" ht="5.25" customHeight="1" x14ac:dyDescent="0.25">
      <c r="A11" s="2"/>
      <c r="B11" s="2"/>
      <c r="C11" s="2"/>
      <c r="D11" s="2"/>
      <c r="E11" s="3"/>
      <c r="F11" s="3"/>
      <c r="G11" s="4" t="str">
        <f>IF(Caratula1!A8=0,"",Caratula1!A8)</f>
        <v/>
      </c>
    </row>
    <row r="12" spans="1:12" x14ac:dyDescent="0.25">
      <c r="A12" s="2"/>
      <c r="B12" s="10">
        <f t="shared" ref="B12:B20" si="0">IF(C12&lt;&gt;"",1,0)</f>
        <v>0</v>
      </c>
      <c r="C12" s="3290" t="str">
        <f>IF(OR(D6="",D6=0),"Debe ingresar el NIT de la Compañía, de lo contrario no se actualizará la información que Digite",IF(OR(D7="",D7=0),"Debe ingresar el Nombre de la Compañía, de lo contrario no se actualizará la información que Digite",""))</f>
        <v/>
      </c>
      <c r="D12" s="3291"/>
      <c r="G12" s="4" t="str">
        <f>IF(Caratula1!A9=0,"",Caratula1!A9)</f>
        <v/>
      </c>
    </row>
    <row r="13" spans="1:12" x14ac:dyDescent="0.25">
      <c r="A13" s="2"/>
      <c r="B13" s="10">
        <f t="shared" si="0"/>
        <v>0</v>
      </c>
      <c r="C13" s="3292" t="str">
        <f>IF(L2=1,"Empresa ya analizada. No se permitirá trabajar  nuevamente","")</f>
        <v/>
      </c>
      <c r="D13" s="3293"/>
      <c r="G13" s="4" t="str">
        <f>IF(Caratula1!A10=0,"",Caratula1!A10)</f>
        <v/>
      </c>
    </row>
    <row r="14" spans="1:12" x14ac:dyDescent="0.25">
      <c r="A14" s="2"/>
      <c r="B14" s="10">
        <f t="shared" si="0"/>
        <v>0</v>
      </c>
      <c r="C14" s="1" t="str">
        <f>'Estados Financieros'!E463</f>
        <v/>
      </c>
      <c r="D14" s="3279"/>
      <c r="G14" s="4" t="str">
        <f>IF(Caratula1!A11=0,"",Caratula1!A11)</f>
        <v/>
      </c>
    </row>
    <row r="15" spans="1:12" x14ac:dyDescent="0.25">
      <c r="A15" s="2"/>
      <c r="B15" s="10">
        <f t="shared" si="0"/>
        <v>0</v>
      </c>
      <c r="C15" s="1" t="str">
        <f>'Estados Financieros'!E469</f>
        <v/>
      </c>
      <c r="D15" s="3279"/>
      <c r="G15" s="4" t="str">
        <f>IF(Caratula1!A12=0,"",Caratula1!A12)</f>
        <v/>
      </c>
    </row>
    <row r="16" spans="1:12" x14ac:dyDescent="0.25">
      <c r="A16" s="2"/>
      <c r="B16" s="10">
        <f t="shared" si="0"/>
        <v>0</v>
      </c>
      <c r="C16" s="1" t="str">
        <f>'Estados Financieros'!E471</f>
        <v/>
      </c>
      <c r="D16" s="3279"/>
      <c r="G16" s="4" t="str">
        <f>IF(Caratula1!A13=0,"",Caratula1!A13)</f>
        <v/>
      </c>
    </row>
    <row r="17" spans="1:7" x14ac:dyDescent="0.25">
      <c r="A17" s="2"/>
      <c r="B17" s="10">
        <f t="shared" si="0"/>
        <v>0</v>
      </c>
      <c r="C17" s="1" t="str">
        <f>IF(AND('Estados Financieros'!F465="",'Estados Financieros'!G465="",'Estados Financieros'!H465="",'Estados Financieros'!I465=""),"","Desglose la cuenta - Gastos Financieros - Intereses -, ya que existen Pasivos Financieros CP o LP, para los años"&amp;'Estados Financieros'!F465&amp;'Estados Financieros'!G465&amp;'Estados Financieros'!H465&amp;'Estados Financieros'!I465&amp;" - ")</f>
        <v/>
      </c>
      <c r="D17" s="3279"/>
      <c r="G17" s="4" t="str">
        <f>IF(Caratula1!A14=0,"",Caratula1!A14)</f>
        <v/>
      </c>
    </row>
    <row r="18" spans="1:7" x14ac:dyDescent="0.25">
      <c r="A18" s="2"/>
      <c r="B18" s="10">
        <f t="shared" si="0"/>
        <v>0</v>
      </c>
      <c r="C18" s="1"/>
      <c r="D18" s="3279"/>
      <c r="G18" s="4" t="str">
        <f>IF(Caratula1!A15=0,"",Caratula1!A15)</f>
        <v/>
      </c>
    </row>
    <row r="19" spans="1:7" x14ac:dyDescent="0.25">
      <c r="A19" s="2"/>
      <c r="B19" s="10">
        <f t="shared" si="0"/>
        <v>0</v>
      </c>
      <c r="C19" s="1" t="str">
        <f>IF(D9&lt;90,"No se permitirá ingresar la empresa, hasta no tener el código Ciiu - ","")</f>
        <v/>
      </c>
      <c r="D19" s="3279"/>
      <c r="G19" s="4" t="str">
        <f>IF(Caratula1!A16=0,"",Caratula1!A16)</f>
        <v/>
      </c>
    </row>
    <row r="20" spans="1:7" x14ac:dyDescent="0.25">
      <c r="A20" s="2"/>
      <c r="B20" s="10">
        <f t="shared" si="0"/>
        <v>0</v>
      </c>
      <c r="C20" s="1" t="str">
        <f>IF(D10="","No se permitirá ingresar la empresa, hasta no tener la actividad Económica - ","")</f>
        <v/>
      </c>
      <c r="D20" s="3279"/>
      <c r="G20" s="4" t="str">
        <f>IF(Caratula1!A17=0,"",Caratula1!A17)</f>
        <v/>
      </c>
    </row>
    <row r="21" spans="1:7" x14ac:dyDescent="0.25">
      <c r="A21" s="2"/>
      <c r="B21" s="10">
        <f>SUM(B12:B20)</f>
        <v>0</v>
      </c>
      <c r="C21" s="1" t="str">
        <f>IF(AND('Estados Financieros'!F464="",'Estados Financieros'!G464="",'Estados Financieros'!H464="",'Estados Financieros'!I464=""),"","Es necesario validar las variaciones de las depreciaciones del Periodo "&amp;'Estados Financieros'!F464&amp;'Estados Financieros'!G464&amp;'Estados Financieros'!H464&amp;'Estados Financieros'!I464&amp;" - ")</f>
        <v/>
      </c>
      <c r="D21" s="3279"/>
      <c r="G21" s="4" t="str">
        <f>IF(Caratula1!A18=0,"",Caratula1!A18)</f>
        <v/>
      </c>
    </row>
    <row r="22" spans="1:7" x14ac:dyDescent="0.25">
      <c r="B22" s="4"/>
      <c r="C22" s="1" t="str">
        <f>IF(AND('Estados Financieros'!F466="",'Estados Financieros'!G466="",'Estados Financieros'!H466="",'Estados Financieros'!I466=""),"","Es necesario validar las variaciones de los Ingresos Operacionales para los años: "&amp;'Estados Financieros'!F466&amp;'Estados Financieros'!G466&amp;'Estados Financieros'!H466&amp;'Estados Financieros'!I466&amp;" - ")</f>
        <v/>
      </c>
      <c r="D22" s="3279"/>
      <c r="G22" s="4" t="str">
        <f>IF(Caratula1!A19=0,"",Caratula1!A19)</f>
        <v/>
      </c>
    </row>
    <row r="23" spans="1:7" x14ac:dyDescent="0.25">
      <c r="C23" s="3294" t="str">
        <f>IF(AND('Estados Financieros'!F467="",'Estados Financieros'!G467="",'Estados Financieros'!H467="",'Estados Financieros'!I467=""),"","Es necesario validar las variaciones del Patrimonio para los años "&amp;'Estados Financieros'!F467&amp;'Estados Financieros'!G467&amp;'Estados Financieros'!H467&amp;'Estados Financieros'!I467&amp;" - ")</f>
        <v/>
      </c>
      <c r="D23" s="3295"/>
      <c r="G23" s="4" t="str">
        <f>IF(Caratula1!A20=0,"",Caratula1!A20)</f>
        <v/>
      </c>
    </row>
    <row r="24" spans="1:7" x14ac:dyDescent="0.25">
      <c r="C24" s="11"/>
      <c r="D24" s="11"/>
      <c r="G24" s="4" t="str">
        <f>IF(Caratula1!A21=0,"",Caratula1!A21)</f>
        <v/>
      </c>
    </row>
    <row r="25" spans="1:7" x14ac:dyDescent="0.25">
      <c r="G25" s="4" t="str">
        <f>IF(Caratula1!A22=0,"",Caratula1!A22)</f>
        <v/>
      </c>
    </row>
    <row r="26" spans="1:7" x14ac:dyDescent="0.25">
      <c r="G26" s="4" t="str">
        <f>IF(Caratula1!A23=0,"",Caratula1!A23)</f>
        <v/>
      </c>
    </row>
    <row r="27" spans="1:7" x14ac:dyDescent="0.25">
      <c r="G27" s="4" t="str">
        <f>IF(Caratula1!A24=0,"",Caratula1!A24)</f>
        <v/>
      </c>
    </row>
    <row r="28" spans="1:7" x14ac:dyDescent="0.25">
      <c r="G28" s="4" t="str">
        <f>IF(Caratula1!A25=0,"",Caratula1!A25)</f>
        <v/>
      </c>
    </row>
    <row r="29" spans="1:7" x14ac:dyDescent="0.25">
      <c r="G29" s="4" t="str">
        <f>IF(Caratula1!A26=0,"",Caratula1!A26)</f>
        <v/>
      </c>
    </row>
    <row r="30" spans="1:7" x14ac:dyDescent="0.25">
      <c r="G30" s="4" t="str">
        <f>IF(Caratula1!A27=0,"",Caratula1!A27)</f>
        <v/>
      </c>
    </row>
    <row r="31" spans="1:7" x14ac:dyDescent="0.25">
      <c r="G31" s="4" t="str">
        <f>IF(Caratula1!A28=0,"",Caratula1!A28)</f>
        <v/>
      </c>
    </row>
    <row r="32" spans="1:7" x14ac:dyDescent="0.25">
      <c r="G32" s="4" t="str">
        <f>IF(Caratula1!A29=0,"",Caratula1!A29)</f>
        <v/>
      </c>
    </row>
    <row r="33" spans="7:7" x14ac:dyDescent="0.25">
      <c r="G33" s="4" t="str">
        <f>IF(Caratula1!A30=0,"",Caratula1!A30)</f>
        <v/>
      </c>
    </row>
    <row r="34" spans="7:7" x14ac:dyDescent="0.25">
      <c r="G34" s="4" t="str">
        <f>IF(Caratula1!A31=0,"",Caratula1!A31)</f>
        <v/>
      </c>
    </row>
    <row r="35" spans="7:7" x14ac:dyDescent="0.25">
      <c r="G35" s="4" t="str">
        <f>IF(Caratula1!A32=0,"",Caratula1!A32)</f>
        <v/>
      </c>
    </row>
    <row r="36" spans="7:7" x14ac:dyDescent="0.25">
      <c r="G36" s="4" t="str">
        <f>IF(Caratula1!A33=0,"",Caratula1!A33)</f>
        <v/>
      </c>
    </row>
    <row r="37" spans="7:7" x14ac:dyDescent="0.25">
      <c r="G37" s="4" t="str">
        <f>IF(Caratula1!A34=0,"",Caratula1!A34)</f>
        <v/>
      </c>
    </row>
    <row r="38" spans="7:7" x14ac:dyDescent="0.25">
      <c r="G38" s="4" t="str">
        <f>IF(Caratula1!A35=0,"",Caratula1!A35)</f>
        <v/>
      </c>
    </row>
    <row r="39" spans="7:7" x14ac:dyDescent="0.25">
      <c r="G39" s="4" t="str">
        <f>IF(Caratula1!A36=0,"",Caratula1!A36)</f>
        <v/>
      </c>
    </row>
    <row r="40" spans="7:7" x14ac:dyDescent="0.25">
      <c r="G40" s="4" t="str">
        <f>IF(Caratula1!A37=0,"",Caratula1!A37)</f>
        <v/>
      </c>
    </row>
    <row r="41" spans="7:7" x14ac:dyDescent="0.25">
      <c r="G41" s="4" t="str">
        <f>IF(Caratula1!A38=0,"",Caratula1!A38)</f>
        <v/>
      </c>
    </row>
    <row r="42" spans="7:7" x14ac:dyDescent="0.25">
      <c r="G42" s="4" t="str">
        <f>IF(Caratula1!A39=0,"",Caratula1!A39)</f>
        <v/>
      </c>
    </row>
    <row r="43" spans="7:7" x14ac:dyDescent="0.25">
      <c r="G43" s="4" t="str">
        <f>IF(Caratula1!A40=0,"",Caratula1!A40)</f>
        <v/>
      </c>
    </row>
    <row r="44" spans="7:7" x14ac:dyDescent="0.25">
      <c r="G44" s="4" t="str">
        <f>IF(Caratula1!A41=0,"",Caratula1!A41)</f>
        <v/>
      </c>
    </row>
    <row r="45" spans="7:7" x14ac:dyDescent="0.25">
      <c r="G45" s="4" t="str">
        <f>IF(Caratula1!A42=0,"",Caratula1!A42)</f>
        <v/>
      </c>
    </row>
    <row r="46" spans="7:7" x14ac:dyDescent="0.25">
      <c r="G46" s="4" t="str">
        <f>IF(Caratula1!A43=0,"",Caratula1!A43)</f>
        <v/>
      </c>
    </row>
    <row r="47" spans="7:7" x14ac:dyDescent="0.25">
      <c r="G47" s="4" t="str">
        <f>IF(Caratula1!A44=0,"",Caratula1!A44)</f>
        <v/>
      </c>
    </row>
    <row r="48" spans="7:7" x14ac:dyDescent="0.25">
      <c r="G48" s="4" t="str">
        <f>IF(Caratula1!A45=0,"",Caratula1!A45)</f>
        <v/>
      </c>
    </row>
    <row r="49" spans="7:7" x14ac:dyDescent="0.25">
      <c r="G49" s="4" t="str">
        <f>IF(Caratula1!A46=0,"",Caratula1!A46)</f>
        <v/>
      </c>
    </row>
    <row r="50" spans="7:7" x14ac:dyDescent="0.25">
      <c r="G50" s="4" t="str">
        <f>IF(Caratula1!A47=0,"",Caratula1!A47)</f>
        <v/>
      </c>
    </row>
    <row r="51" spans="7:7" x14ac:dyDescent="0.25">
      <c r="G51" s="4" t="str">
        <f>IF(Caratula1!A48=0,"",Caratula1!A48)</f>
        <v/>
      </c>
    </row>
    <row r="52" spans="7:7" x14ac:dyDescent="0.25">
      <c r="G52" s="4" t="str">
        <f>IF(Caratula1!A49=0,"",Caratula1!A49)</f>
        <v/>
      </c>
    </row>
    <row r="53" spans="7:7" x14ac:dyDescent="0.25">
      <c r="G53" s="4" t="str">
        <f>IF(Caratula1!A50=0,"",Caratula1!A50)</f>
        <v/>
      </c>
    </row>
    <row r="54" spans="7:7" x14ac:dyDescent="0.25">
      <c r="G54" s="4" t="str">
        <f>IF(Caratula1!A51=0,"",Caratula1!A51)</f>
        <v/>
      </c>
    </row>
    <row r="55" spans="7:7" x14ac:dyDescent="0.25">
      <c r="G55" s="4" t="str">
        <f>IF(Caratula1!A52=0,"",Caratula1!A52)</f>
        <v/>
      </c>
    </row>
    <row r="56" spans="7:7" x14ac:dyDescent="0.25">
      <c r="G56" s="4" t="str">
        <f>IF(Caratula1!A53=0,"",Caratula1!A53)</f>
        <v/>
      </c>
    </row>
  </sheetData>
  <sheetProtection password="D5B5" sheet="1" objects="1" scenarios="1"/>
  <mergeCells count="19">
    <mergeCell ref="C23:D23"/>
    <mergeCell ref="C17:D17"/>
    <mergeCell ref="C18:D18"/>
    <mergeCell ref="C19:D19"/>
    <mergeCell ref="C20:D20"/>
    <mergeCell ref="C21:D21"/>
    <mergeCell ref="C22:D22"/>
    <mergeCell ref="C16:D16"/>
    <mergeCell ref="B3:D3"/>
    <mergeCell ref="B4:D4"/>
    <mergeCell ref="B6:C6"/>
    <mergeCell ref="B7:C7"/>
    <mergeCell ref="B8:C8"/>
    <mergeCell ref="B9:C9"/>
    <mergeCell ref="B10:C10"/>
    <mergeCell ref="C12:D12"/>
    <mergeCell ref="C13:D13"/>
    <mergeCell ref="C14:D14"/>
    <mergeCell ref="C15:D15"/>
  </mergeCells>
  <conditionalFormatting sqref="C12:C13 D12">
    <cfRule type="cellIs" dxfId="67" priority="16" operator="notEqual">
      <formula>""</formula>
    </cfRule>
  </conditionalFormatting>
  <conditionalFormatting sqref="C14:D14">
    <cfRule type="cellIs" dxfId="66" priority="15" operator="notEqual">
      <formula>""</formula>
    </cfRule>
  </conditionalFormatting>
  <conditionalFormatting sqref="C15:D15">
    <cfRule type="cellIs" dxfId="65" priority="14" operator="notEqual">
      <formula>""</formula>
    </cfRule>
  </conditionalFormatting>
  <conditionalFormatting sqref="C12:C15 D12 D14:D15">
    <cfRule type="cellIs" dxfId="64" priority="13" operator="notEqual">
      <formula>""</formula>
    </cfRule>
  </conditionalFormatting>
  <conditionalFormatting sqref="C16:D19">
    <cfRule type="cellIs" dxfId="63" priority="12" operator="notEqual">
      <formula>""</formula>
    </cfRule>
  </conditionalFormatting>
  <conditionalFormatting sqref="C21">
    <cfRule type="cellIs" dxfId="62" priority="11" operator="notEqual">
      <formula>""</formula>
    </cfRule>
  </conditionalFormatting>
  <conditionalFormatting sqref="C12:C13 D12">
    <cfRule type="cellIs" dxfId="61" priority="10" operator="notEqual">
      <formula>""</formula>
    </cfRule>
  </conditionalFormatting>
  <conditionalFormatting sqref="C14:D14">
    <cfRule type="cellIs" dxfId="60" priority="9" operator="notEqual">
      <formula>""</formula>
    </cfRule>
  </conditionalFormatting>
  <conditionalFormatting sqref="C15:D15">
    <cfRule type="cellIs" dxfId="59" priority="8" operator="notEqual">
      <formula>""</formula>
    </cfRule>
  </conditionalFormatting>
  <conditionalFormatting sqref="C16:D16">
    <cfRule type="cellIs" dxfId="58" priority="7" operator="notEqual">
      <formula>""</formula>
    </cfRule>
  </conditionalFormatting>
  <conditionalFormatting sqref="C17:D17">
    <cfRule type="cellIs" dxfId="57" priority="6" operator="notEqual">
      <formula>""</formula>
    </cfRule>
  </conditionalFormatting>
  <conditionalFormatting sqref="C18:D18">
    <cfRule type="cellIs" dxfId="56" priority="5" operator="notEqual">
      <formula>""</formula>
    </cfRule>
  </conditionalFormatting>
  <conditionalFormatting sqref="C19:D19">
    <cfRule type="cellIs" dxfId="55" priority="4" operator="notEqual">
      <formula>""</formula>
    </cfRule>
  </conditionalFormatting>
  <conditionalFormatting sqref="C20:D20">
    <cfRule type="cellIs" dxfId="54" priority="3" operator="notEqual">
      <formula>""</formula>
    </cfRule>
  </conditionalFormatting>
  <conditionalFormatting sqref="C22:D22">
    <cfRule type="cellIs" dxfId="53" priority="2" operator="notEqual">
      <formula>""</formula>
    </cfRule>
  </conditionalFormatting>
  <conditionalFormatting sqref="C23:D23">
    <cfRule type="cellIs" dxfId="52" priority="1" operator="notEqual">
      <formula>""</formula>
    </cfRule>
  </conditionalFormatting>
  <dataValidations disablePrompts="1" count="2">
    <dataValidation operator="greaterThan" allowBlank="1" showInputMessage="1" showErrorMessage="1" errorTitle="Digitación Errada" error="El Nit es un número entero, sin decimales, mayor a Cero, sin Dígito de Verificación, sin rayas o puntos." sqref="D6" xr:uid="{00000000-0002-0000-2100-000000000000}"/>
    <dataValidation type="date" operator="greaterThanOrEqual" allowBlank="1" showInputMessage="1" showErrorMessage="1" errorTitle="Campo No Valido" error="Debe Ser Una Fecha Valida" sqref="D8" xr:uid="{00000000-0002-0000-2100-000001000000}">
      <formula1>18264</formula1>
    </dataValidation>
  </dataValidation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5">
    <pageSetUpPr fitToPage="1"/>
  </sheetPr>
  <dimension ref="A1:AL278"/>
  <sheetViews>
    <sheetView showGridLines="0" showRowColHeaders="0" zoomScale="50" zoomScaleNormal="50" workbookViewId="0">
      <selection activeCell="B3" sqref="B3"/>
    </sheetView>
  </sheetViews>
  <sheetFormatPr baseColWidth="10" defaultColWidth="11.42578125" defaultRowHeight="32.450000000000003" customHeight="1" x14ac:dyDescent="0.25"/>
  <cols>
    <col min="1" max="1" width="60.5703125" style="3192" customWidth="1"/>
    <col min="2" max="2" width="33.140625" style="3192" customWidth="1"/>
    <col min="3" max="3" width="8.28515625" style="3192" customWidth="1"/>
    <col min="4" max="4" width="33.140625" style="3192" customWidth="1"/>
    <col min="5" max="5" width="8.140625" style="3192" customWidth="1"/>
    <col min="6" max="6" width="36" style="3192" bestFit="1" customWidth="1"/>
    <col min="7" max="7" width="7.5703125" style="3192" customWidth="1"/>
    <col min="8" max="8" width="37.28515625" style="3192" customWidth="1"/>
    <col min="9" max="9" width="7.5703125" style="3192" customWidth="1"/>
    <col min="10" max="10" width="33.7109375" style="3192" customWidth="1"/>
    <col min="11" max="11" width="7.5703125" style="3192" customWidth="1"/>
    <col min="12" max="13" width="38.42578125" style="3192" customWidth="1"/>
    <col min="14" max="14" width="32.28515625" style="3193" bestFit="1" customWidth="1"/>
    <col min="15" max="15" width="5.5703125" style="3194" customWidth="1"/>
    <col min="16" max="16" width="5.85546875" style="3194" customWidth="1"/>
    <col min="17" max="17" width="11.7109375" style="3194" customWidth="1"/>
    <col min="18" max="18" width="26.85546875" style="3180" bestFit="1" customWidth="1"/>
    <col min="19" max="20" width="11.7109375" style="3194" customWidth="1"/>
    <col min="21" max="21" width="11.42578125" style="3194" customWidth="1"/>
    <col min="22" max="22" width="49.7109375" style="3194" customWidth="1"/>
    <col min="23" max="23" width="4.28515625" style="3194" customWidth="1"/>
    <col min="24" max="24" width="24.28515625" style="3194" customWidth="1"/>
    <col min="25" max="25" width="8.140625" style="3194" customWidth="1"/>
    <col min="26" max="26" width="24.28515625" style="3194" customWidth="1"/>
    <col min="27" max="27" width="9.140625" style="3194" customWidth="1"/>
    <col min="28" max="28" width="29" style="3194" customWidth="1"/>
    <col min="29" max="29" width="6.85546875" style="3193" customWidth="1"/>
    <col min="30" max="30" width="24.28515625" style="3193" customWidth="1"/>
    <col min="31" max="31" width="45.42578125" style="3193" customWidth="1"/>
    <col min="32" max="32" width="35" style="3193" customWidth="1"/>
    <col min="33" max="33" width="45.42578125" style="3193" customWidth="1"/>
    <col min="34" max="34" width="35" style="3193" customWidth="1"/>
    <col min="35" max="35" width="11.7109375" style="3193" customWidth="1"/>
    <col min="36" max="39" width="11.42578125" style="3193" customWidth="1"/>
    <col min="40" max="16384" width="11.42578125" style="3193"/>
  </cols>
  <sheetData>
    <row r="1" spans="1:38" ht="32.450000000000003" customHeight="1" x14ac:dyDescent="0.25">
      <c r="A1" s="3191"/>
      <c r="M1" s="3193"/>
      <c r="AL1" s="3195"/>
    </row>
    <row r="2" spans="1:38" ht="32.450000000000003" customHeight="1" x14ac:dyDescent="0.25">
      <c r="M2" s="3193"/>
    </row>
    <row r="3" spans="1:38" ht="32.450000000000003" customHeight="1" x14ac:dyDescent="0.25">
      <c r="A3" s="3196" t="s">
        <v>210</v>
      </c>
      <c r="B3" s="3197" t="str">
        <f>Caratula1!AQ3</f>
        <v>Honduras</v>
      </c>
      <c r="C3" s="3198"/>
      <c r="D3" s="3199" t="s">
        <v>211</v>
      </c>
      <c r="E3" s="3296"/>
      <c r="F3" s="3296"/>
      <c r="G3" s="3200"/>
      <c r="H3" s="3199" t="s">
        <v>212</v>
      </c>
      <c r="I3" s="3296"/>
      <c r="J3" s="3296"/>
      <c r="K3" s="3201"/>
      <c r="L3" s="3202"/>
      <c r="M3" s="3202"/>
      <c r="N3" s="3203"/>
    </row>
    <row r="4" spans="1:38" ht="32.450000000000003" customHeight="1" x14ac:dyDescent="0.25">
      <c r="A4" s="3204" t="s">
        <v>213</v>
      </c>
      <c r="B4" s="3205" t="str">
        <f>Caratula1!AP3</f>
        <v>Honduras</v>
      </c>
      <c r="C4" s="3206"/>
      <c r="D4" s="3207" t="s">
        <v>214</v>
      </c>
      <c r="E4" s="3297"/>
      <c r="F4" s="3297"/>
      <c r="H4" s="3207" t="s">
        <v>215</v>
      </c>
      <c r="I4" s="3298"/>
      <c r="J4" s="3298"/>
      <c r="K4" s="3208"/>
      <c r="L4" s="3193"/>
      <c r="M4" s="3193"/>
      <c r="N4" s="3209"/>
    </row>
    <row r="5" spans="1:38" ht="32.450000000000003" customHeight="1" x14ac:dyDescent="0.25">
      <c r="A5" s="3299" t="str">
        <f>'RC'!D7</f>
        <v>Prueba Da 27.08.23</v>
      </c>
      <c r="B5" s="3300"/>
      <c r="D5" s="3195" t="s">
        <v>216</v>
      </c>
      <c r="E5" s="3301"/>
      <c r="F5" s="3301"/>
      <c r="H5" s="3207" t="s">
        <v>217</v>
      </c>
      <c r="I5" s="3297"/>
      <c r="J5" s="3297"/>
      <c r="K5" s="3208"/>
      <c r="L5" s="3207" t="s">
        <v>218</v>
      </c>
      <c r="M5" s="3297"/>
      <c r="N5" s="3302"/>
      <c r="R5" s="3180" t="s">
        <v>2168</v>
      </c>
    </row>
    <row r="6" spans="1:38" ht="32.450000000000003" customHeight="1" x14ac:dyDescent="0.25">
      <c r="A6" s="3210" t="str">
        <f>"Documento No. "&amp;'RC'!D6</f>
        <v>Documento No. 900142011</v>
      </c>
      <c r="B6" s="3200"/>
      <c r="C6" s="3200"/>
      <c r="D6" s="3200"/>
      <c r="E6" s="3200"/>
      <c r="F6" s="3200"/>
      <c r="G6" s="3200"/>
      <c r="H6" s="3200"/>
      <c r="I6" s="3202"/>
      <c r="J6" s="3202"/>
      <c r="K6" s="3202"/>
      <c r="L6" s="3211"/>
      <c r="M6" s="3212" t="s">
        <v>219</v>
      </c>
      <c r="N6" s="3213"/>
      <c r="R6" s="3180" t="s">
        <v>2169</v>
      </c>
    </row>
    <row r="7" spans="1:38" ht="32.450000000000003" customHeight="1" x14ac:dyDescent="0.25">
      <c r="A7" s="3214" t="s">
        <v>220</v>
      </c>
      <c r="B7" s="3215" t="s">
        <v>221</v>
      </c>
      <c r="C7" s="3216"/>
      <c r="D7" s="3215" t="s">
        <v>222</v>
      </c>
      <c r="E7" s="3217"/>
      <c r="F7" s="3215" t="s">
        <v>223</v>
      </c>
      <c r="G7" s="3193"/>
      <c r="H7" s="3215" t="s">
        <v>224</v>
      </c>
      <c r="I7" s="3193"/>
      <c r="J7" s="3215" t="s">
        <v>225</v>
      </c>
      <c r="K7" s="3193"/>
      <c r="L7" s="3218" t="s">
        <v>226</v>
      </c>
      <c r="M7" s="3219" t="s">
        <v>138</v>
      </c>
      <c r="N7" s="3220" t="s">
        <v>227</v>
      </c>
      <c r="R7" s="3180" t="s">
        <v>2170</v>
      </c>
    </row>
    <row r="8" spans="1:38" ht="32.450000000000003" customHeight="1" x14ac:dyDescent="0.25">
      <c r="A8" s="3221"/>
      <c r="B8" s="3222"/>
      <c r="C8" s="3223"/>
      <c r="D8" s="3224"/>
      <c r="E8" s="3223"/>
      <c r="F8" s="3224"/>
      <c r="G8" s="3223"/>
      <c r="H8" s="3224"/>
      <c r="I8" s="3193"/>
      <c r="J8" s="3225"/>
      <c r="K8" s="3193"/>
      <c r="L8" s="3225"/>
      <c r="M8" s="3226" t="str">
        <f>IF('Accionistas y Juntas'!B5=0,"",'Accionistas y Juntas'!C5)</f>
        <v/>
      </c>
      <c r="N8" s="3227" t="str">
        <f>IF('Accionistas y Juntas'!B5="","",'Accionistas y Juntas'!D5/100)</f>
        <v/>
      </c>
      <c r="R8" s="3180" t="s">
        <v>230</v>
      </c>
    </row>
    <row r="9" spans="1:38" ht="32.450000000000003" customHeight="1" x14ac:dyDescent="0.25">
      <c r="A9" s="3221"/>
      <c r="B9" s="3222"/>
      <c r="C9" s="3223"/>
      <c r="D9" s="3224"/>
      <c r="E9" s="3223"/>
      <c r="F9" s="3224"/>
      <c r="G9" s="3223"/>
      <c r="H9" s="3224"/>
      <c r="I9" s="3193"/>
      <c r="J9" s="3225"/>
      <c r="K9" s="3193"/>
      <c r="L9" s="3225"/>
      <c r="M9" s="3228" t="str">
        <f>IF('Accionistas y Juntas'!B6=0,"",'Accionistas y Juntas'!C6)</f>
        <v/>
      </c>
      <c r="N9" s="3229" t="str">
        <f>IF('Accionistas y Juntas'!B6="","",'Accionistas y Juntas'!D6/100)</f>
        <v/>
      </c>
    </row>
    <row r="10" spans="1:38" ht="32.450000000000003" customHeight="1" x14ac:dyDescent="0.25">
      <c r="A10" s="3221"/>
      <c r="B10" s="3222"/>
      <c r="C10" s="3223"/>
      <c r="D10" s="3224"/>
      <c r="E10" s="3223"/>
      <c r="F10" s="3224"/>
      <c r="G10" s="3223"/>
      <c r="H10" s="3224"/>
      <c r="I10" s="3193"/>
      <c r="J10" s="3225"/>
      <c r="K10" s="3193"/>
      <c r="L10" s="3225"/>
      <c r="M10" s="3228" t="str">
        <f>IF('Accionistas y Juntas'!B7=0,"",'Accionistas y Juntas'!C7)</f>
        <v/>
      </c>
      <c r="N10" s="3229" t="str">
        <f>IF('Accionistas y Juntas'!B7="","",'Accionistas y Juntas'!D7/100)</f>
        <v/>
      </c>
    </row>
    <row r="11" spans="1:38" ht="32.450000000000003" customHeight="1" x14ac:dyDescent="0.25">
      <c r="A11" s="3221"/>
      <c r="B11" s="3222"/>
      <c r="C11" s="3223"/>
      <c r="D11" s="3224"/>
      <c r="E11" s="3223"/>
      <c r="F11" s="3224"/>
      <c r="G11" s="3223"/>
      <c r="H11" s="3224"/>
      <c r="I11" s="3193"/>
      <c r="J11" s="3225"/>
      <c r="K11" s="3193"/>
      <c r="L11" s="3225"/>
      <c r="M11" s="3228" t="str">
        <f>IF('Accionistas y Juntas'!B8=0,"",'Accionistas y Juntas'!C8)</f>
        <v/>
      </c>
      <c r="N11" s="3229" t="str">
        <f>IF('Accionistas y Juntas'!B8="","",'Accionistas y Juntas'!D8/100)</f>
        <v/>
      </c>
    </row>
    <row r="12" spans="1:38" ht="32.450000000000003" customHeight="1" x14ac:dyDescent="0.25">
      <c r="A12" s="3221"/>
      <c r="B12" s="3222"/>
      <c r="C12" s="3223"/>
      <c r="D12" s="3224"/>
      <c r="E12" s="3223"/>
      <c r="F12" s="3224"/>
      <c r="G12" s="3223"/>
      <c r="H12" s="3224"/>
      <c r="I12" s="3193"/>
      <c r="J12" s="3225"/>
      <c r="K12" s="3193"/>
      <c r="L12" s="3225"/>
      <c r="M12" s="3228" t="str">
        <f>IF('Accionistas y Juntas'!B9=0,"",'Accionistas y Juntas'!C9)</f>
        <v/>
      </c>
      <c r="N12" s="3229" t="str">
        <f>IF('Accionistas y Juntas'!B9="","",'Accionistas y Juntas'!D9/100)</f>
        <v/>
      </c>
    </row>
    <row r="13" spans="1:38" ht="32.450000000000003" customHeight="1" x14ac:dyDescent="0.25">
      <c r="A13" s="3221"/>
      <c r="B13" s="3222"/>
      <c r="C13" s="3223"/>
      <c r="D13" s="3224"/>
      <c r="E13" s="3223"/>
      <c r="F13" s="3224"/>
      <c r="G13" s="3223"/>
      <c r="H13" s="3224"/>
      <c r="I13" s="3193"/>
      <c r="J13" s="3225"/>
      <c r="K13" s="3193"/>
      <c r="L13" s="3225"/>
      <c r="M13" s="3228" t="str">
        <f>IF('Accionistas y Juntas'!B10=0,"",'Accionistas y Juntas'!C10)</f>
        <v/>
      </c>
      <c r="N13" s="3229" t="str">
        <f>IF('Accionistas y Juntas'!B10="","",'Accionistas y Juntas'!D10/100)</f>
        <v/>
      </c>
    </row>
    <row r="14" spans="1:38" ht="32.450000000000003" customHeight="1" x14ac:dyDescent="0.25">
      <c r="A14" s="3221"/>
      <c r="B14" s="3222"/>
      <c r="C14" s="3223"/>
      <c r="D14" s="3224"/>
      <c r="E14" s="3223"/>
      <c r="F14" s="3224"/>
      <c r="G14" s="3223"/>
      <c r="H14" s="3224"/>
      <c r="I14" s="3193"/>
      <c r="J14" s="3225"/>
      <c r="K14" s="3193"/>
      <c r="L14" s="3225"/>
      <c r="M14" s="3228" t="str">
        <f>IF('Accionistas y Juntas'!B11=0,"",'Accionistas y Juntas'!C11)</f>
        <v/>
      </c>
      <c r="N14" s="3229" t="str">
        <f>IF('Accionistas y Juntas'!B11="","",'Accionistas y Juntas'!D11/100)</f>
        <v/>
      </c>
    </row>
    <row r="15" spans="1:38" ht="32.450000000000003" customHeight="1" x14ac:dyDescent="0.25">
      <c r="A15" s="3221"/>
      <c r="B15" s="3222"/>
      <c r="C15" s="3223"/>
      <c r="D15" s="3224"/>
      <c r="E15" s="3223"/>
      <c r="F15" s="3224"/>
      <c r="G15" s="3223"/>
      <c r="H15" s="3224"/>
      <c r="I15" s="3193"/>
      <c r="J15" s="3225"/>
      <c r="K15" s="3193"/>
      <c r="L15" s="3225"/>
      <c r="M15" s="3228" t="str">
        <f>IF('Accionistas y Juntas'!B12=0,"",'Accionistas y Juntas'!C12)</f>
        <v/>
      </c>
      <c r="N15" s="3229" t="str">
        <f>IF('Accionistas y Juntas'!B12="","",'Accionistas y Juntas'!D12/100)</f>
        <v/>
      </c>
    </row>
    <row r="16" spans="1:38" ht="32.450000000000003" customHeight="1" x14ac:dyDescent="0.25">
      <c r="A16" s="3221"/>
      <c r="B16" s="3222"/>
      <c r="C16" s="3223"/>
      <c r="D16" s="3224"/>
      <c r="E16" s="3223"/>
      <c r="F16" s="3224"/>
      <c r="G16" s="3223"/>
      <c r="H16" s="3224"/>
      <c r="I16" s="3193"/>
      <c r="J16" s="3225"/>
      <c r="K16" s="3193"/>
      <c r="L16" s="3225"/>
      <c r="M16" s="3228" t="str">
        <f>IF('Accionistas y Juntas'!B13=0,"",'Accionistas y Juntas'!C13)</f>
        <v/>
      </c>
      <c r="N16" s="3229" t="str">
        <f>IF('Accionistas y Juntas'!B13="","",'Accionistas y Juntas'!D13/100)</f>
        <v/>
      </c>
    </row>
    <row r="17" spans="1:28" ht="32.450000000000003" customHeight="1" x14ac:dyDescent="0.25">
      <c r="A17" s="3221"/>
      <c r="B17" s="3222"/>
      <c r="C17" s="3223"/>
      <c r="D17" s="3224"/>
      <c r="E17" s="3223"/>
      <c r="F17" s="3224"/>
      <c r="G17" s="3223"/>
      <c r="H17" s="3224"/>
      <c r="I17" s="3193"/>
      <c r="J17" s="3225"/>
      <c r="K17" s="3193"/>
      <c r="L17" s="3225"/>
      <c r="M17" s="3228" t="str">
        <f>IF('Accionistas y Juntas'!B14=0,"",'Accionistas y Juntas'!C14)</f>
        <v/>
      </c>
      <c r="N17" s="3229" t="str">
        <f>IF('Accionistas y Juntas'!B14="","",'Accionistas y Juntas'!D14/100)</f>
        <v/>
      </c>
    </row>
    <row r="18" spans="1:28" ht="32.450000000000003" customHeight="1" x14ac:dyDescent="0.25">
      <c r="A18" s="3221"/>
      <c r="B18" s="3222"/>
      <c r="C18" s="3223"/>
      <c r="D18" s="3224"/>
      <c r="E18" s="3223"/>
      <c r="F18" s="3224"/>
      <c r="G18" s="3223"/>
      <c r="H18" s="3224"/>
      <c r="I18" s="3193"/>
      <c r="J18" s="3225"/>
      <c r="K18" s="3193"/>
      <c r="L18" s="3225"/>
      <c r="M18" s="3230" t="s">
        <v>228</v>
      </c>
      <c r="N18" s="3231">
        <f>SUM(N8:N17)</f>
        <v>0</v>
      </c>
    </row>
    <row r="19" spans="1:28" ht="32.450000000000003" customHeight="1" x14ac:dyDescent="0.25">
      <c r="A19" s="3214" t="s">
        <v>229</v>
      </c>
      <c r="B19" s="3232">
        <f>SUM(B8:B18)</f>
        <v>0</v>
      </c>
      <c r="C19" s="3233"/>
      <c r="D19" s="3232">
        <f>SUM(D8:D18)</f>
        <v>0</v>
      </c>
      <c r="E19" s="3234"/>
      <c r="F19" s="3232">
        <f>SUM(F8:F18)</f>
        <v>0</v>
      </c>
      <c r="G19" s="3234"/>
      <c r="H19" s="3232"/>
      <c r="I19" s="3235"/>
      <c r="J19" s="3235"/>
      <c r="K19" s="3235"/>
      <c r="L19" s="3236"/>
      <c r="M19" s="3212" t="s">
        <v>230</v>
      </c>
      <c r="N19" s="3237"/>
    </row>
    <row r="20" spans="1:28" ht="32.450000000000003" customHeight="1" x14ac:dyDescent="0.25">
      <c r="A20" s="3238" t="s">
        <v>231</v>
      </c>
      <c r="B20" s="3303"/>
      <c r="C20" s="3303"/>
      <c r="D20" s="3303"/>
      <c r="E20" s="3303"/>
      <c r="F20" s="3239" t="s">
        <v>232</v>
      </c>
      <c r="G20" s="3304" t="str">
        <f>Caratula1!AK3</f>
        <v>Industrial / Azúcar / Ingenios Azucareros</v>
      </c>
      <c r="H20" s="3304"/>
      <c r="I20" s="3304"/>
      <c r="J20" s="3304"/>
      <c r="K20" s="3304"/>
      <c r="L20" s="3305"/>
      <c r="M20" s="3240" t="s">
        <v>138</v>
      </c>
      <c r="N20" s="3241" t="s">
        <v>6</v>
      </c>
    </row>
    <row r="21" spans="1:28" ht="32.450000000000003" customHeight="1" x14ac:dyDescent="0.25">
      <c r="A21" s="3242" t="s">
        <v>233</v>
      </c>
      <c r="B21" s="3225"/>
      <c r="C21" s="3193"/>
      <c r="D21" s="3193"/>
      <c r="E21" s="3193"/>
      <c r="F21" s="3243" t="s">
        <v>234</v>
      </c>
      <c r="G21" s="3306" t="str">
        <f>IFERROR(VLOOKUP($G$20,$A$168:$E$278,3,0),"")</f>
        <v>Industrial</v>
      </c>
      <c r="H21" s="3306"/>
      <c r="I21" s="3306"/>
      <c r="J21" s="3306"/>
      <c r="K21" s="3193"/>
      <c r="L21" s="3193"/>
      <c r="M21" s="3226" t="str">
        <f>IF('Accionistas y Juntas'!G5=0,"",'Accionistas y Juntas'!G5)</f>
        <v/>
      </c>
      <c r="N21" s="3244" t="str">
        <f>IF('Accionistas y Juntas'!H5=0,"",'Accionistas y Juntas'!H5)</f>
        <v/>
      </c>
    </row>
    <row r="22" spans="1:28" ht="32.450000000000003" customHeight="1" x14ac:dyDescent="0.25">
      <c r="A22" s="3242" t="s">
        <v>235</v>
      </c>
      <c r="B22" s="3307"/>
      <c r="C22" s="3307"/>
      <c r="D22" s="3307"/>
      <c r="E22" s="3307"/>
      <c r="F22" s="3243" t="s">
        <v>236</v>
      </c>
      <c r="G22" s="3306" t="str">
        <f>IFERROR(VLOOKUP($G$20,$A$168:$E$278,4,0),"")</f>
        <v>Azúcar</v>
      </c>
      <c r="H22" s="3306"/>
      <c r="I22" s="3306"/>
      <c r="J22" s="3306"/>
      <c r="K22" s="3193"/>
      <c r="L22" s="3193"/>
      <c r="M22" s="3228" t="str">
        <f>IF('Accionistas y Juntas'!G6=0,"",'Accionistas y Juntas'!G6)</f>
        <v/>
      </c>
      <c r="N22" s="3245" t="str">
        <f>IF('Accionistas y Juntas'!H6=0,"",'Accionistas y Juntas'!H6)</f>
        <v/>
      </c>
    </row>
    <row r="23" spans="1:28" ht="32.450000000000003" customHeight="1" x14ac:dyDescent="0.25">
      <c r="A23" s="3242" t="s">
        <v>237</v>
      </c>
      <c r="B23" s="3193"/>
      <c r="C23" s="3193"/>
      <c r="D23" s="3193"/>
      <c r="E23" s="3193"/>
      <c r="F23" s="3243" t="s">
        <v>238</v>
      </c>
      <c r="G23" s="3306" t="str">
        <f>IFERROR(VLOOKUP($G$20,$A$168:$E$278,5,0),"")</f>
        <v>Ingenios Azucareros</v>
      </c>
      <c r="H23" s="3306"/>
      <c r="I23" s="3306"/>
      <c r="J23" s="3306"/>
      <c r="K23" s="3193"/>
      <c r="L23" s="3193"/>
      <c r="M23" s="3228" t="str">
        <f>IF('Accionistas y Juntas'!G7=0,"",'Accionistas y Juntas'!G7)</f>
        <v/>
      </c>
      <c r="N23" s="3245" t="str">
        <f>IF('Accionistas y Juntas'!H7=0,"",'Accionistas y Juntas'!H7)</f>
        <v/>
      </c>
    </row>
    <row r="24" spans="1:28" ht="32.450000000000003" customHeight="1" x14ac:dyDescent="0.25">
      <c r="A24" s="3308" t="s">
        <v>239</v>
      </c>
      <c r="B24" s="3309"/>
      <c r="C24" s="3309"/>
      <c r="D24" s="3309"/>
      <c r="E24" s="3309"/>
      <c r="F24" s="3243" t="s">
        <v>240</v>
      </c>
      <c r="G24" s="3310">
        <f>'RC'!D8</f>
        <v>42019</v>
      </c>
      <c r="H24" s="3310"/>
      <c r="I24" s="3310"/>
      <c r="J24" s="3310"/>
      <c r="K24" s="3193"/>
      <c r="L24" s="3193"/>
      <c r="M24" s="3228" t="str">
        <f>IF('Accionistas y Juntas'!G8=0,"",'Accionistas y Juntas'!G8)</f>
        <v/>
      </c>
      <c r="N24" s="3245" t="str">
        <f>IF('Accionistas y Juntas'!H8=0,"",'Accionistas y Juntas'!H8)</f>
        <v/>
      </c>
    </row>
    <row r="25" spans="1:28" ht="32.450000000000003" customHeight="1" x14ac:dyDescent="0.25">
      <c r="A25" s="3308"/>
      <c r="B25" s="3309"/>
      <c r="C25" s="3309"/>
      <c r="D25" s="3309"/>
      <c r="E25" s="3309"/>
      <c r="F25" s="3243" t="s">
        <v>241</v>
      </c>
      <c r="G25" s="3311" t="str">
        <f>IF(Caratula1!F3=0,"",Caratula1!F3)</f>
        <v>PRUEBA DA 27.08.23</v>
      </c>
      <c r="H25" s="3311"/>
      <c r="I25" s="3311"/>
      <c r="J25" s="3311"/>
      <c r="K25" s="3193"/>
      <c r="L25" s="3193"/>
      <c r="M25" s="3228" t="str">
        <f>IF('Accionistas y Juntas'!G9=0,"",'Accionistas y Juntas'!G9)</f>
        <v/>
      </c>
      <c r="N25" s="3245" t="str">
        <f>IF('Accionistas y Juntas'!H9=0,"",'Accionistas y Juntas'!H9)</f>
        <v/>
      </c>
    </row>
    <row r="26" spans="1:28" ht="32.450000000000003" customHeight="1" x14ac:dyDescent="0.25">
      <c r="A26" s="3308"/>
      <c r="B26" s="3309"/>
      <c r="C26" s="3309"/>
      <c r="D26" s="3309"/>
      <c r="E26" s="3309"/>
      <c r="F26" s="3243" t="s">
        <v>242</v>
      </c>
      <c r="G26" s="3307"/>
      <c r="H26" s="3307"/>
      <c r="I26" s="3307"/>
      <c r="J26" s="3307"/>
      <c r="K26" s="3193"/>
      <c r="L26" s="3193"/>
      <c r="M26" s="3228" t="str">
        <f>IF('Accionistas y Juntas'!G10=0,"",'Accionistas y Juntas'!G10)</f>
        <v/>
      </c>
      <c r="N26" s="3245" t="str">
        <f>IF('Accionistas y Juntas'!H10=0,"",'Accionistas y Juntas'!H10)</f>
        <v/>
      </c>
    </row>
    <row r="27" spans="1:28" ht="32.450000000000003" customHeight="1" x14ac:dyDescent="0.25">
      <c r="A27" s="3242" t="s">
        <v>243</v>
      </c>
      <c r="B27" s="3193"/>
      <c r="C27" s="3193"/>
      <c r="D27" s="3193"/>
      <c r="E27" s="3193"/>
      <c r="F27" s="3193"/>
      <c r="G27" s="3193"/>
      <c r="H27" s="3321" t="s">
        <v>244</v>
      </c>
      <c r="I27" s="3324" t="s">
        <v>245</v>
      </c>
      <c r="J27" s="3324"/>
      <c r="K27" s="3312"/>
      <c r="L27" s="3313"/>
      <c r="M27" s="3228" t="str">
        <f>IF('Accionistas y Juntas'!G11=0,"",'Accionistas y Juntas'!G11)</f>
        <v/>
      </c>
      <c r="N27" s="3245" t="str">
        <f>IF('Accionistas y Juntas'!H11=0,"",'Accionistas y Juntas'!H11)</f>
        <v/>
      </c>
    </row>
    <row r="28" spans="1:28" ht="32.450000000000003" customHeight="1" x14ac:dyDescent="0.25">
      <c r="A28" s="3308" t="s">
        <v>239</v>
      </c>
      <c r="B28" s="3309"/>
      <c r="C28" s="3309"/>
      <c r="D28" s="3309"/>
      <c r="E28" s="3309"/>
      <c r="F28" s="3193"/>
      <c r="G28" s="3193"/>
      <c r="H28" s="3322"/>
      <c r="I28" s="3316" t="s">
        <v>246</v>
      </c>
      <c r="J28" s="3316"/>
      <c r="K28" s="3298"/>
      <c r="L28" s="3317"/>
      <c r="M28" s="3228" t="str">
        <f>IF('Accionistas y Juntas'!G12=0,"",'Accionistas y Juntas'!G12)</f>
        <v/>
      </c>
      <c r="N28" s="3245" t="str">
        <f>IF('Accionistas y Juntas'!H12=0,"",'Accionistas y Juntas'!H12)</f>
        <v/>
      </c>
    </row>
    <row r="29" spans="1:28" ht="32.450000000000003" customHeight="1" x14ac:dyDescent="0.25">
      <c r="A29" s="3308"/>
      <c r="B29" s="3309"/>
      <c r="C29" s="3309"/>
      <c r="D29" s="3309"/>
      <c r="E29" s="3309"/>
      <c r="F29" s="3193"/>
      <c r="G29" s="3193"/>
      <c r="H29" s="3322"/>
      <c r="I29" s="3316" t="s">
        <v>247</v>
      </c>
      <c r="J29" s="3316"/>
      <c r="K29" s="3298"/>
      <c r="L29" s="3317"/>
      <c r="M29" s="3228" t="str">
        <f>IF('Accionistas y Juntas'!G13=0,"",'Accionistas y Juntas'!G13)</f>
        <v/>
      </c>
      <c r="N29" s="3245" t="str">
        <f>IF('Accionistas y Juntas'!H13=0,"",'Accionistas y Juntas'!H13)</f>
        <v/>
      </c>
    </row>
    <row r="30" spans="1:28" ht="32.450000000000003" customHeight="1" x14ac:dyDescent="0.25">
      <c r="A30" s="3314"/>
      <c r="B30" s="3315"/>
      <c r="C30" s="3315"/>
      <c r="D30" s="3315"/>
      <c r="E30" s="3315"/>
      <c r="F30" s="3246"/>
      <c r="G30" s="3246"/>
      <c r="H30" s="3323"/>
      <c r="I30" s="3318" t="s">
        <v>248</v>
      </c>
      <c r="J30" s="3318"/>
      <c r="K30" s="3319">
        <f>SUM(K27:L29)</f>
        <v>0</v>
      </c>
      <c r="L30" s="3320"/>
      <c r="M30" s="3247" t="str">
        <f>IF('Accionistas y Juntas'!G14=0,"",'Accionistas y Juntas'!G14)</f>
        <v/>
      </c>
      <c r="N30" s="3248" t="str">
        <f>IF('Accionistas y Juntas'!H14=0,"",'Accionistas y Juntas'!H14)</f>
        <v/>
      </c>
    </row>
    <row r="31" spans="1:28" s="3252" customFormat="1" ht="32.450000000000003" customHeight="1" x14ac:dyDescent="0.3">
      <c r="A31" s="3325" t="s">
        <v>237</v>
      </c>
      <c r="B31" s="3326"/>
      <c r="C31" s="3326"/>
      <c r="D31" s="3326"/>
      <c r="E31" s="3326"/>
      <c r="F31" s="3326"/>
      <c r="G31" s="3326"/>
      <c r="H31" s="3326"/>
      <c r="I31" s="3326"/>
      <c r="J31" s="3326"/>
      <c r="K31" s="3327"/>
      <c r="L31" s="3249"/>
      <c r="M31" s="3249" t="s">
        <v>249</v>
      </c>
      <c r="N31" s="3250"/>
      <c r="O31" s="3251"/>
      <c r="P31" s="3251"/>
      <c r="Q31" s="3251"/>
      <c r="R31" s="3181"/>
      <c r="S31" s="3251"/>
      <c r="T31" s="3251"/>
      <c r="U31" s="3251"/>
      <c r="V31" s="3251"/>
      <c r="W31" s="3251"/>
      <c r="X31" s="3251"/>
      <c r="Y31" s="3251"/>
      <c r="Z31" s="3251"/>
      <c r="AA31" s="3251"/>
      <c r="AB31" s="3251"/>
    </row>
    <row r="32" spans="1:28" s="3252" customFormat="1" ht="32.450000000000003" customHeight="1" x14ac:dyDescent="0.3">
      <c r="A32" s="3328" t="s">
        <v>250</v>
      </c>
      <c r="B32" s="3253"/>
      <c r="C32" s="3254"/>
      <c r="D32" s="3253"/>
      <c r="E32" s="3255"/>
      <c r="F32" s="3330" t="s">
        <v>251</v>
      </c>
      <c r="G32" s="3331"/>
      <c r="H32" s="3253"/>
      <c r="I32" s="3254"/>
      <c r="J32" s="3253"/>
      <c r="K32" s="3255"/>
      <c r="L32" s="3334"/>
      <c r="M32" s="3334"/>
      <c r="N32" s="3335"/>
      <c r="O32" s="3251"/>
      <c r="P32" s="3251"/>
      <c r="Q32" s="3251"/>
      <c r="R32" s="3181"/>
      <c r="S32" s="3251"/>
      <c r="T32" s="3251"/>
      <c r="U32" s="3251"/>
      <c r="V32" s="3251"/>
      <c r="W32" s="3251"/>
      <c r="X32" s="3251"/>
      <c r="Y32" s="3251"/>
      <c r="Z32" s="3251"/>
      <c r="AA32" s="3251"/>
      <c r="AB32" s="3251"/>
    </row>
    <row r="33" spans="1:28" s="3252" customFormat="1" ht="32.450000000000003" customHeight="1" x14ac:dyDescent="0.3">
      <c r="A33" s="3329"/>
      <c r="B33" s="3256"/>
      <c r="C33" s="3257"/>
      <c r="D33" s="3256"/>
      <c r="E33" s="3258"/>
      <c r="F33" s="3332"/>
      <c r="G33" s="3333"/>
      <c r="H33" s="3256"/>
      <c r="I33" s="3257"/>
      <c r="J33" s="3256"/>
      <c r="K33" s="3258"/>
      <c r="L33" s="3336"/>
      <c r="M33" s="3336"/>
      <c r="N33" s="3337"/>
      <c r="O33" s="3251"/>
      <c r="P33" s="3251"/>
      <c r="Q33" s="3251"/>
      <c r="R33" s="3181"/>
      <c r="S33" s="3251"/>
      <c r="T33" s="3251"/>
      <c r="U33" s="3251"/>
      <c r="V33" s="3251"/>
      <c r="W33" s="3251"/>
      <c r="X33" s="3251"/>
      <c r="Y33" s="3251"/>
      <c r="Z33" s="3251"/>
      <c r="AA33" s="3251"/>
      <c r="AB33" s="3251"/>
    </row>
    <row r="34" spans="1:28" s="3252" customFormat="1" ht="32.450000000000003" customHeight="1" x14ac:dyDescent="0.3">
      <c r="A34" s="3342" t="s">
        <v>252</v>
      </c>
      <c r="B34" s="3253"/>
      <c r="C34" s="3254"/>
      <c r="D34" s="3253"/>
      <c r="E34" s="3255"/>
      <c r="F34" s="3344" t="s">
        <v>253</v>
      </c>
      <c r="G34" s="3345"/>
      <c r="H34" s="3253"/>
      <c r="I34" s="3254"/>
      <c r="J34" s="3253"/>
      <c r="K34" s="3255"/>
      <c r="L34" s="3338"/>
      <c r="M34" s="3336"/>
      <c r="N34" s="3337"/>
      <c r="O34" s="3251"/>
      <c r="P34" s="3251"/>
      <c r="Q34" s="3251"/>
      <c r="R34" s="3181"/>
      <c r="S34" s="3251"/>
      <c r="T34" s="3251"/>
      <c r="U34" s="3251"/>
      <c r="V34" s="3251"/>
      <c r="W34" s="3251"/>
      <c r="X34" s="3251"/>
      <c r="Y34" s="3251"/>
      <c r="Z34" s="3251"/>
      <c r="AA34" s="3251"/>
      <c r="AB34" s="3251"/>
    </row>
    <row r="35" spans="1:28" s="3252" customFormat="1" ht="32.450000000000003" customHeight="1" x14ac:dyDescent="0.3">
      <c r="A35" s="3343"/>
      <c r="B35" s="3256"/>
      <c r="C35" s="3257"/>
      <c r="D35" s="3256"/>
      <c r="E35" s="3258"/>
      <c r="F35" s="3346"/>
      <c r="G35" s="3347"/>
      <c r="H35" s="3256"/>
      <c r="I35" s="3257"/>
      <c r="J35" s="3256"/>
      <c r="K35" s="3258"/>
      <c r="L35" s="3339"/>
      <c r="M35" s="3340"/>
      <c r="N35" s="3341"/>
      <c r="O35" s="3251"/>
      <c r="P35" s="3251"/>
      <c r="Q35" s="3251"/>
      <c r="R35" s="3181"/>
      <c r="S35" s="3251"/>
      <c r="T35" s="3251"/>
      <c r="U35" s="3251"/>
      <c r="V35" s="3251"/>
      <c r="W35" s="3251"/>
      <c r="X35" s="3251"/>
      <c r="Y35" s="3251"/>
      <c r="Z35" s="3251"/>
      <c r="AA35" s="3251"/>
      <c r="AB35" s="3251"/>
    </row>
    <row r="36" spans="1:28" s="3252" customFormat="1" ht="32.450000000000003" customHeight="1" x14ac:dyDescent="0.3">
      <c r="A36" s="3251"/>
      <c r="B36" s="3251"/>
      <c r="C36" s="3251"/>
      <c r="D36" s="3251"/>
      <c r="E36" s="3251"/>
      <c r="F36" s="3251"/>
      <c r="G36" s="3251"/>
      <c r="H36" s="3251"/>
      <c r="I36" s="3251"/>
      <c r="J36" s="3251"/>
      <c r="K36" s="3251"/>
      <c r="L36" s="3251"/>
      <c r="M36" s="3251"/>
      <c r="N36" s="3251"/>
      <c r="O36" s="3251"/>
      <c r="P36" s="3251"/>
      <c r="Q36" s="3251"/>
      <c r="R36" s="3181"/>
      <c r="S36" s="3251"/>
      <c r="T36" s="3251"/>
      <c r="U36" s="3251"/>
      <c r="V36" s="3251"/>
      <c r="W36" s="3251"/>
      <c r="X36" s="3251"/>
      <c r="Y36" s="3251"/>
      <c r="Z36" s="3251"/>
      <c r="AA36" s="3251"/>
      <c r="AB36" s="3251"/>
    </row>
    <row r="37" spans="1:28" ht="32.450000000000003" customHeight="1" x14ac:dyDescent="0.25">
      <c r="M37" s="3193"/>
      <c r="N37" s="3259"/>
    </row>
    <row r="38" spans="1:28" ht="32.450000000000003" customHeight="1" x14ac:dyDescent="0.25">
      <c r="M38" s="3193"/>
      <c r="N38" s="3259"/>
    </row>
    <row r="39" spans="1:28" ht="32.450000000000003" customHeight="1" x14ac:dyDescent="0.25">
      <c r="M39" s="3193"/>
      <c r="N39" s="3259"/>
    </row>
    <row r="40" spans="1:28" ht="32.450000000000003" customHeight="1" x14ac:dyDescent="0.25">
      <c r="M40" s="3193"/>
      <c r="N40" s="3259"/>
    </row>
    <row r="41" spans="1:28" ht="32.450000000000003" customHeight="1" x14ac:dyDescent="0.25">
      <c r="M41" s="3193"/>
      <c r="N41" s="3259"/>
    </row>
    <row r="42" spans="1:28" ht="32.450000000000003" customHeight="1" x14ac:dyDescent="0.25">
      <c r="M42" s="3193"/>
      <c r="N42" s="3259"/>
    </row>
    <row r="43" spans="1:28" ht="32.450000000000003" customHeight="1" x14ac:dyDescent="0.25">
      <c r="M43" s="3193"/>
      <c r="N43" s="3259"/>
    </row>
    <row r="44" spans="1:28" ht="32.450000000000003" customHeight="1" x14ac:dyDescent="0.25">
      <c r="M44" s="3193"/>
      <c r="N44" s="3259"/>
    </row>
    <row r="45" spans="1:28" ht="32.450000000000003" customHeight="1" x14ac:dyDescent="0.25">
      <c r="M45" s="3193"/>
      <c r="N45" s="3259"/>
    </row>
    <row r="46" spans="1:28" ht="32.450000000000003" customHeight="1" x14ac:dyDescent="0.25">
      <c r="M46" s="3193"/>
      <c r="N46" s="3259"/>
    </row>
    <row r="47" spans="1:28" ht="32.450000000000003" customHeight="1" x14ac:dyDescent="0.25">
      <c r="M47" s="3193"/>
      <c r="N47" s="3259"/>
    </row>
    <row r="48" spans="1:28" ht="32.450000000000003" customHeight="1" x14ac:dyDescent="0.25">
      <c r="M48" s="3193"/>
      <c r="N48" s="3259"/>
    </row>
    <row r="49" spans="13:14" ht="32.450000000000003" customHeight="1" x14ac:dyDescent="0.25">
      <c r="M49" s="3193"/>
      <c r="N49" s="3259"/>
    </row>
    <row r="50" spans="13:14" ht="32.450000000000003" customHeight="1" x14ac:dyDescent="0.25">
      <c r="M50" s="3193"/>
      <c r="N50" s="3259"/>
    </row>
    <row r="51" spans="13:14" ht="32.450000000000003" customHeight="1" x14ac:dyDescent="0.25">
      <c r="M51" s="3193"/>
      <c r="N51" s="3259"/>
    </row>
    <row r="52" spans="13:14" ht="32.450000000000003" customHeight="1" x14ac:dyDescent="0.25">
      <c r="M52" s="3193"/>
      <c r="N52" s="3259"/>
    </row>
    <row r="53" spans="13:14" ht="32.450000000000003" customHeight="1" x14ac:dyDescent="0.25">
      <c r="M53" s="3193"/>
      <c r="N53" s="3259"/>
    </row>
    <row r="54" spans="13:14" ht="32.450000000000003" customHeight="1" x14ac:dyDescent="0.25">
      <c r="M54" s="3193"/>
      <c r="N54" s="3259"/>
    </row>
    <row r="55" spans="13:14" ht="32.450000000000003" customHeight="1" x14ac:dyDescent="0.25">
      <c r="M55" s="3193"/>
      <c r="N55" s="3259"/>
    </row>
    <row r="56" spans="13:14" ht="32.450000000000003" customHeight="1" x14ac:dyDescent="0.25">
      <c r="M56" s="3193"/>
      <c r="N56" s="3259"/>
    </row>
    <row r="57" spans="13:14" ht="32.450000000000003" customHeight="1" x14ac:dyDescent="0.25">
      <c r="M57" s="3193"/>
      <c r="N57" s="3259"/>
    </row>
    <row r="58" spans="13:14" ht="32.450000000000003" customHeight="1" x14ac:dyDescent="0.25">
      <c r="M58" s="3193"/>
      <c r="N58" s="3259"/>
    </row>
    <row r="59" spans="13:14" ht="32.450000000000003" customHeight="1" x14ac:dyDescent="0.25">
      <c r="M59" s="3193"/>
      <c r="N59" s="3259"/>
    </row>
    <row r="60" spans="13:14" ht="32.450000000000003" customHeight="1" x14ac:dyDescent="0.25">
      <c r="M60" s="3193"/>
      <c r="N60" s="3259"/>
    </row>
    <row r="61" spans="13:14" ht="32.450000000000003" customHeight="1" x14ac:dyDescent="0.25">
      <c r="M61" s="3193"/>
      <c r="N61" s="3259"/>
    </row>
    <row r="62" spans="13:14" ht="32.450000000000003" customHeight="1" x14ac:dyDescent="0.25">
      <c r="M62" s="3193"/>
      <c r="N62" s="3259"/>
    </row>
    <row r="63" spans="13:14" ht="32.450000000000003" customHeight="1" x14ac:dyDescent="0.25">
      <c r="M63" s="3193"/>
      <c r="N63" s="3259"/>
    </row>
    <row r="64" spans="13:14" ht="32.450000000000003" customHeight="1" x14ac:dyDescent="0.25">
      <c r="M64" s="3193"/>
      <c r="N64" s="3259"/>
    </row>
    <row r="65" spans="13:14" ht="32.450000000000003" customHeight="1" x14ac:dyDescent="0.25">
      <c r="M65" s="3193"/>
      <c r="N65" s="3259"/>
    </row>
    <row r="66" spans="13:14" ht="32.450000000000003" customHeight="1" x14ac:dyDescent="0.25">
      <c r="M66" s="3193"/>
      <c r="N66" s="3259"/>
    </row>
    <row r="67" spans="13:14" ht="32.450000000000003" customHeight="1" x14ac:dyDescent="0.25">
      <c r="M67" s="3193"/>
      <c r="N67" s="3259"/>
    </row>
    <row r="68" spans="13:14" ht="32.450000000000003" customHeight="1" x14ac:dyDescent="0.25">
      <c r="M68" s="3193"/>
      <c r="N68" s="3259"/>
    </row>
    <row r="69" spans="13:14" ht="32.450000000000003" customHeight="1" x14ac:dyDescent="0.25">
      <c r="M69" s="3193"/>
      <c r="N69" s="3259"/>
    </row>
    <row r="70" spans="13:14" ht="32.450000000000003" customHeight="1" x14ac:dyDescent="0.25">
      <c r="M70" s="3193"/>
      <c r="N70" s="3259"/>
    </row>
    <row r="71" spans="13:14" ht="32.450000000000003" customHeight="1" x14ac:dyDescent="0.25">
      <c r="M71" s="3193"/>
      <c r="N71" s="3259"/>
    </row>
    <row r="72" spans="13:14" ht="32.450000000000003" customHeight="1" x14ac:dyDescent="0.25">
      <c r="M72" s="3193"/>
      <c r="N72" s="3259"/>
    </row>
    <row r="73" spans="13:14" ht="32.450000000000003" customHeight="1" x14ac:dyDescent="0.25">
      <c r="M73" s="3193"/>
      <c r="N73" s="3259"/>
    </row>
    <row r="74" spans="13:14" ht="32.450000000000003" customHeight="1" x14ac:dyDescent="0.25">
      <c r="M74" s="3193"/>
      <c r="N74" s="3259"/>
    </row>
    <row r="75" spans="13:14" ht="32.450000000000003" customHeight="1" x14ac:dyDescent="0.25">
      <c r="M75" s="3193"/>
      <c r="N75" s="3259"/>
    </row>
    <row r="76" spans="13:14" ht="32.450000000000003" customHeight="1" x14ac:dyDescent="0.25">
      <c r="M76" s="3193"/>
      <c r="N76" s="3259"/>
    </row>
    <row r="77" spans="13:14" ht="32.450000000000003" customHeight="1" x14ac:dyDescent="0.25">
      <c r="M77" s="3193"/>
      <c r="N77" s="3259"/>
    </row>
    <row r="78" spans="13:14" ht="32.450000000000003" customHeight="1" x14ac:dyDescent="0.25">
      <c r="M78" s="3193"/>
      <c r="N78" s="3259"/>
    </row>
    <row r="79" spans="13:14" ht="32.450000000000003" customHeight="1" x14ac:dyDescent="0.25">
      <c r="M79" s="3193"/>
      <c r="N79" s="3259"/>
    </row>
    <row r="80" spans="13:14" ht="32.450000000000003" customHeight="1" x14ac:dyDescent="0.25">
      <c r="M80" s="3193"/>
      <c r="N80" s="3259"/>
    </row>
    <row r="81" spans="13:14" ht="32.450000000000003" customHeight="1" x14ac:dyDescent="0.25">
      <c r="M81" s="3193"/>
      <c r="N81" s="3259"/>
    </row>
    <row r="82" spans="13:14" ht="32.450000000000003" customHeight="1" x14ac:dyDescent="0.25">
      <c r="M82" s="3193"/>
      <c r="N82" s="3259"/>
    </row>
    <row r="83" spans="13:14" ht="32.450000000000003" customHeight="1" x14ac:dyDescent="0.25">
      <c r="M83" s="3193"/>
      <c r="N83" s="3259"/>
    </row>
    <row r="84" spans="13:14" ht="32.450000000000003" customHeight="1" x14ac:dyDescent="0.25">
      <c r="M84" s="3193"/>
      <c r="N84" s="3259"/>
    </row>
    <row r="85" spans="13:14" ht="32.450000000000003" customHeight="1" x14ac:dyDescent="0.25">
      <c r="M85" s="3193"/>
      <c r="N85" s="3259"/>
    </row>
    <row r="86" spans="13:14" ht="32.450000000000003" customHeight="1" x14ac:dyDescent="0.25">
      <c r="M86" s="3193"/>
      <c r="N86" s="3259"/>
    </row>
    <row r="87" spans="13:14" ht="32.450000000000003" customHeight="1" x14ac:dyDescent="0.25">
      <c r="M87" s="3193"/>
      <c r="N87" s="3259"/>
    </row>
    <row r="88" spans="13:14" ht="32.450000000000003" customHeight="1" x14ac:dyDescent="0.25">
      <c r="M88" s="3193"/>
      <c r="N88" s="3259"/>
    </row>
    <row r="89" spans="13:14" ht="32.450000000000003" customHeight="1" x14ac:dyDescent="0.25">
      <c r="M89" s="3193"/>
      <c r="N89" s="3259"/>
    </row>
    <row r="90" spans="13:14" ht="32.450000000000003" customHeight="1" x14ac:dyDescent="0.25">
      <c r="M90" s="3193"/>
      <c r="N90" s="3259"/>
    </row>
    <row r="91" spans="13:14" ht="32.450000000000003" customHeight="1" x14ac:dyDescent="0.25">
      <c r="M91" s="3193"/>
      <c r="N91" s="3259"/>
    </row>
    <row r="92" spans="13:14" ht="32.450000000000003" customHeight="1" x14ac:dyDescent="0.25">
      <c r="M92" s="3193"/>
      <c r="N92" s="3259"/>
    </row>
    <row r="93" spans="13:14" ht="32.450000000000003" customHeight="1" x14ac:dyDescent="0.25">
      <c r="M93" s="3193"/>
      <c r="N93" s="3259"/>
    </row>
    <row r="94" spans="13:14" ht="32.450000000000003" customHeight="1" x14ac:dyDescent="0.25">
      <c r="M94" s="3193"/>
      <c r="N94" s="3259"/>
    </row>
    <row r="95" spans="13:14" ht="32.450000000000003" customHeight="1" x14ac:dyDescent="0.25">
      <c r="M95" s="3193"/>
      <c r="N95" s="3259"/>
    </row>
    <row r="96" spans="13:14" ht="32.450000000000003" customHeight="1" x14ac:dyDescent="0.25">
      <c r="M96" s="3193"/>
      <c r="N96" s="3259"/>
    </row>
    <row r="97" spans="13:14" ht="32.450000000000003" customHeight="1" x14ac:dyDescent="0.25">
      <c r="M97" s="3193"/>
      <c r="N97" s="3259"/>
    </row>
    <row r="98" spans="13:14" ht="32.450000000000003" customHeight="1" x14ac:dyDescent="0.25">
      <c r="M98" s="3193"/>
      <c r="N98" s="3259"/>
    </row>
    <row r="99" spans="13:14" ht="32.450000000000003" customHeight="1" x14ac:dyDescent="0.25">
      <c r="M99" s="3193"/>
      <c r="N99" s="3259"/>
    </row>
    <row r="100" spans="13:14" ht="32.450000000000003" customHeight="1" x14ac:dyDescent="0.25">
      <c r="M100" s="3193"/>
      <c r="N100" s="3259"/>
    </row>
    <row r="101" spans="13:14" ht="32.450000000000003" customHeight="1" x14ac:dyDescent="0.25">
      <c r="M101" s="3193"/>
      <c r="N101" s="3259"/>
    </row>
    <row r="102" spans="13:14" ht="32.450000000000003" customHeight="1" x14ac:dyDescent="0.25">
      <c r="M102" s="3193"/>
      <c r="N102" s="3259"/>
    </row>
    <row r="103" spans="13:14" ht="32.450000000000003" customHeight="1" x14ac:dyDescent="0.25">
      <c r="M103" s="3193"/>
      <c r="N103" s="3259"/>
    </row>
    <row r="104" spans="13:14" ht="32.450000000000003" customHeight="1" x14ac:dyDescent="0.25">
      <c r="M104" s="3193"/>
      <c r="N104" s="3259"/>
    </row>
    <row r="105" spans="13:14" ht="32.450000000000003" customHeight="1" x14ac:dyDescent="0.25">
      <c r="M105" s="3193"/>
      <c r="N105" s="3259"/>
    </row>
    <row r="106" spans="13:14" ht="32.450000000000003" customHeight="1" x14ac:dyDescent="0.25">
      <c r="M106" s="3193"/>
      <c r="N106" s="3259"/>
    </row>
    <row r="107" spans="13:14" ht="32.450000000000003" customHeight="1" x14ac:dyDescent="0.25">
      <c r="M107" s="3193"/>
      <c r="N107" s="3259"/>
    </row>
    <row r="108" spans="13:14" ht="32.450000000000003" customHeight="1" x14ac:dyDescent="0.25">
      <c r="M108" s="3193"/>
      <c r="N108" s="3259"/>
    </row>
    <row r="109" spans="13:14" ht="32.450000000000003" customHeight="1" x14ac:dyDescent="0.25">
      <c r="M109" s="3193"/>
      <c r="N109" s="3259"/>
    </row>
    <row r="110" spans="13:14" ht="32.450000000000003" customHeight="1" x14ac:dyDescent="0.25">
      <c r="M110" s="3193"/>
      <c r="N110" s="3259"/>
    </row>
    <row r="111" spans="13:14" ht="32.450000000000003" customHeight="1" x14ac:dyDescent="0.25">
      <c r="M111" s="3193"/>
      <c r="N111" s="3259"/>
    </row>
    <row r="112" spans="13:14" ht="32.450000000000003" customHeight="1" x14ac:dyDescent="0.25">
      <c r="M112" s="3193"/>
      <c r="N112" s="3259"/>
    </row>
    <row r="113" spans="1:24" ht="32.450000000000003" customHeight="1" x14ac:dyDescent="0.25">
      <c r="M113" s="3193"/>
      <c r="N113" s="3259"/>
    </row>
    <row r="114" spans="1:24" ht="32.450000000000003" customHeight="1" x14ac:dyDescent="0.25">
      <c r="M114" s="3193"/>
      <c r="N114" s="3259"/>
    </row>
    <row r="115" spans="1:24" ht="32.450000000000003" customHeight="1" x14ac:dyDescent="0.25">
      <c r="M115" s="3193"/>
      <c r="N115" s="3259"/>
    </row>
    <row r="116" spans="1:24" ht="32.450000000000003" customHeight="1" x14ac:dyDescent="0.25">
      <c r="M116" s="3193"/>
      <c r="N116" s="3259"/>
    </row>
    <row r="117" spans="1:24" ht="32.450000000000003" customHeight="1" x14ac:dyDescent="0.25">
      <c r="N117" s="3259"/>
    </row>
    <row r="118" spans="1:24" ht="32.450000000000003" customHeight="1" x14ac:dyDescent="0.25">
      <c r="A118" s="3193"/>
      <c r="B118" s="3193"/>
      <c r="C118" s="3193"/>
      <c r="D118" s="3193"/>
      <c r="E118" s="3193"/>
      <c r="F118" s="3193"/>
      <c r="G118" s="3193"/>
      <c r="H118" s="3193"/>
      <c r="I118" s="3193"/>
      <c r="J118" s="3193"/>
      <c r="K118" s="3193"/>
      <c r="L118" s="3193"/>
      <c r="M118" s="3193"/>
    </row>
    <row r="119" spans="1:24" ht="32.450000000000003" customHeight="1" x14ac:dyDescent="0.25">
      <c r="A119" s="3193"/>
      <c r="B119" s="3193"/>
      <c r="C119" s="3193"/>
      <c r="D119" s="3193"/>
      <c r="E119" s="3193"/>
      <c r="F119" s="3193"/>
      <c r="G119" s="3193"/>
      <c r="H119" s="3193"/>
      <c r="I119" s="3193"/>
      <c r="J119" s="3193"/>
      <c r="K119" s="3193"/>
      <c r="L119" s="3193"/>
      <c r="M119" s="3193"/>
    </row>
    <row r="120" spans="1:24" ht="32.450000000000003" customHeight="1" x14ac:dyDescent="0.25">
      <c r="A120" s="3193"/>
      <c r="B120" s="3193"/>
      <c r="C120" s="3193"/>
      <c r="D120" s="3193"/>
      <c r="E120" s="3193"/>
      <c r="F120" s="3193"/>
      <c r="G120" s="3193"/>
      <c r="H120" s="3193"/>
      <c r="I120" s="3193"/>
      <c r="J120" s="3193"/>
      <c r="K120" s="3193"/>
      <c r="L120" s="3193"/>
      <c r="M120" s="3193"/>
    </row>
    <row r="121" spans="1:24" ht="32.450000000000003" customHeight="1" x14ac:dyDescent="0.25">
      <c r="A121" s="3193"/>
      <c r="B121" s="3193"/>
      <c r="C121" s="3193"/>
      <c r="D121" s="3193"/>
      <c r="E121" s="3193"/>
      <c r="F121" s="3193"/>
      <c r="G121" s="3193"/>
      <c r="H121" s="3193"/>
      <c r="I121" s="3193"/>
      <c r="J121" s="3193"/>
      <c r="K121" s="3193"/>
      <c r="L121" s="3193"/>
      <c r="M121" s="3193"/>
    </row>
    <row r="122" spans="1:24" ht="32.450000000000003" customHeight="1" x14ac:dyDescent="0.25">
      <c r="A122" s="3193"/>
      <c r="B122" s="3193"/>
      <c r="C122" s="3193"/>
      <c r="D122" s="3193"/>
      <c r="E122" s="3193"/>
      <c r="F122" s="3193"/>
      <c r="G122" s="3193"/>
      <c r="H122" s="3193"/>
      <c r="I122" s="3193"/>
      <c r="J122" s="3193"/>
      <c r="K122" s="3193"/>
      <c r="L122" s="3193"/>
      <c r="M122" s="3193"/>
    </row>
    <row r="123" spans="1:24" ht="32.450000000000003" customHeight="1" x14ac:dyDescent="0.25">
      <c r="A123" s="3193"/>
      <c r="B123" s="3193"/>
      <c r="C123" s="3193"/>
      <c r="D123" s="3193"/>
      <c r="E123" s="3193"/>
      <c r="F123" s="3193"/>
      <c r="G123" s="3193"/>
      <c r="H123" s="3193"/>
      <c r="I123" s="3193"/>
      <c r="J123" s="3193"/>
      <c r="K123" s="3193"/>
      <c r="L123" s="3193"/>
      <c r="M123" s="3193"/>
    </row>
    <row r="124" spans="1:24" ht="32.450000000000003" customHeight="1" x14ac:dyDescent="0.3">
      <c r="A124" s="3193"/>
      <c r="B124" s="3193"/>
      <c r="C124" s="3252"/>
      <c r="D124" s="3252"/>
      <c r="E124" s="3252"/>
      <c r="F124" s="3252"/>
      <c r="G124" s="3252"/>
      <c r="H124" s="3252"/>
      <c r="I124" s="3252"/>
      <c r="J124" s="3252"/>
      <c r="K124" s="3252"/>
      <c r="L124" s="3252"/>
      <c r="M124" s="3252"/>
      <c r="N124" s="3252"/>
      <c r="O124" s="3252"/>
      <c r="P124" s="3252"/>
      <c r="Q124" s="3252"/>
      <c r="R124" s="3182"/>
      <c r="S124" s="3252"/>
      <c r="T124" s="3252"/>
      <c r="U124" s="3252"/>
      <c r="V124" s="3252"/>
      <c r="W124" s="3252"/>
      <c r="X124" s="3252"/>
    </row>
    <row r="125" spans="1:24" ht="32.450000000000003" customHeight="1" x14ac:dyDescent="0.3">
      <c r="A125" s="3193"/>
      <c r="B125" s="3193"/>
      <c r="C125" s="3252"/>
      <c r="D125" s="3252"/>
      <c r="E125" s="3252"/>
      <c r="F125" s="3252"/>
      <c r="G125" s="3252"/>
      <c r="H125" s="3252"/>
      <c r="I125" s="3252"/>
      <c r="J125" s="3252"/>
      <c r="K125" s="3252"/>
      <c r="L125" s="3252"/>
      <c r="M125" s="3252"/>
      <c r="N125" s="3252"/>
      <c r="O125" s="3252"/>
      <c r="P125" s="3252"/>
      <c r="Q125" s="3252"/>
      <c r="R125" s="3182"/>
      <c r="S125" s="3252"/>
      <c r="T125" s="3252"/>
      <c r="U125" s="3252"/>
      <c r="V125" s="3252"/>
      <c r="W125" s="3252"/>
      <c r="X125" s="3252"/>
    </row>
    <row r="126" spans="1:24" ht="32.450000000000003" customHeight="1" x14ac:dyDescent="0.3">
      <c r="A126" s="3193"/>
      <c r="B126" s="3193"/>
      <c r="C126" s="3252"/>
      <c r="D126" s="3252"/>
      <c r="E126" s="3252"/>
      <c r="F126" s="3252"/>
      <c r="G126" s="3252"/>
      <c r="H126" s="3252"/>
      <c r="I126" s="3252"/>
      <c r="J126" s="3252"/>
      <c r="K126" s="3252"/>
      <c r="L126" s="3252"/>
      <c r="M126" s="3252"/>
      <c r="N126" s="3252"/>
      <c r="O126" s="3252"/>
      <c r="P126" s="3252"/>
      <c r="Q126" s="3252"/>
      <c r="R126" s="3182"/>
      <c r="S126" s="3252"/>
      <c r="T126" s="3252"/>
      <c r="U126" s="3252"/>
      <c r="V126" s="3252"/>
      <c r="W126" s="3252"/>
      <c r="X126" s="3252"/>
    </row>
    <row r="127" spans="1:24" ht="32.450000000000003" customHeight="1" x14ac:dyDescent="0.3">
      <c r="A127" s="3193"/>
      <c r="B127" s="3193"/>
      <c r="C127" s="3252"/>
      <c r="D127" s="3252"/>
      <c r="E127" s="3252"/>
      <c r="F127" s="3252"/>
      <c r="G127" s="3252"/>
      <c r="H127" s="3252"/>
      <c r="I127" s="3252"/>
      <c r="J127" s="3252"/>
      <c r="K127" s="3252"/>
      <c r="L127" s="3252"/>
      <c r="M127" s="3252"/>
      <c r="N127" s="3252"/>
      <c r="O127" s="3252"/>
      <c r="P127" s="3252"/>
      <c r="Q127" s="3252"/>
      <c r="R127" s="3182"/>
      <c r="S127" s="3252"/>
      <c r="T127" s="3252"/>
      <c r="U127" s="3252"/>
      <c r="V127" s="3252"/>
      <c r="W127" s="3252"/>
      <c r="X127" s="3252"/>
    </row>
    <row r="128" spans="1:24" ht="32.450000000000003" customHeight="1" x14ac:dyDescent="0.3">
      <c r="A128" s="3193"/>
      <c r="B128" s="3193"/>
      <c r="C128" s="3252"/>
      <c r="D128" s="3252"/>
      <c r="E128" s="3252"/>
      <c r="F128" s="3252"/>
      <c r="G128" s="3252"/>
      <c r="H128" s="3252"/>
      <c r="I128" s="3252"/>
      <c r="J128" s="3252"/>
      <c r="K128" s="3252"/>
      <c r="L128" s="3252"/>
      <c r="M128" s="3252"/>
      <c r="N128" s="3252"/>
      <c r="O128" s="3252"/>
      <c r="P128" s="3252"/>
      <c r="Q128" s="3252"/>
      <c r="R128" s="3182"/>
      <c r="S128" s="3252"/>
      <c r="T128" s="3252"/>
      <c r="U128" s="3252"/>
      <c r="V128" s="3252"/>
      <c r="W128" s="3252"/>
      <c r="X128" s="3252"/>
    </row>
    <row r="129" spans="1:24" ht="32.450000000000003" customHeight="1" x14ac:dyDescent="0.3">
      <c r="A129" s="3193"/>
      <c r="B129" s="3193"/>
      <c r="C129" s="3252"/>
      <c r="D129" s="3252"/>
      <c r="E129" s="3252"/>
      <c r="F129" s="3252"/>
      <c r="G129" s="3252"/>
      <c r="H129" s="3252"/>
      <c r="I129" s="3252"/>
      <c r="J129" s="3252"/>
      <c r="K129" s="3252"/>
      <c r="L129" s="3252"/>
      <c r="M129" s="3252"/>
      <c r="N129" s="3252"/>
      <c r="O129" s="3252"/>
      <c r="P129" s="3252"/>
      <c r="Q129" s="3252"/>
      <c r="R129" s="3182"/>
      <c r="S129" s="3252"/>
      <c r="T129" s="3252"/>
      <c r="U129" s="3252"/>
      <c r="V129" s="3252"/>
      <c r="W129" s="3252"/>
      <c r="X129" s="3252"/>
    </row>
    <row r="130" spans="1:24" ht="32.450000000000003" customHeight="1" x14ac:dyDescent="0.3">
      <c r="C130" s="3252"/>
      <c r="D130" s="3252"/>
      <c r="E130" s="3252"/>
      <c r="F130" s="3252"/>
      <c r="G130" s="3252"/>
      <c r="H130" s="3252"/>
      <c r="I130" s="3252"/>
      <c r="J130" s="3252"/>
      <c r="K130" s="3252"/>
      <c r="L130" s="3252"/>
      <c r="M130" s="3252"/>
      <c r="N130" s="3252"/>
      <c r="O130" s="3252"/>
      <c r="P130" s="3252"/>
      <c r="Q130" s="3252"/>
      <c r="R130" s="3182"/>
      <c r="S130" s="3252"/>
      <c r="T130" s="3252"/>
      <c r="U130" s="3252"/>
      <c r="V130" s="3252"/>
      <c r="W130" s="3252"/>
      <c r="X130" s="3252"/>
    </row>
    <row r="131" spans="1:24" ht="32.450000000000003" customHeight="1" x14ac:dyDescent="0.3">
      <c r="C131" s="3252"/>
      <c r="D131" s="3252"/>
      <c r="E131" s="3252"/>
      <c r="F131" s="3252"/>
      <c r="G131" s="3252"/>
      <c r="H131" s="3252"/>
      <c r="I131" s="3252"/>
      <c r="J131" s="3252"/>
      <c r="K131" s="3252"/>
      <c r="L131" s="3252"/>
      <c r="M131" s="3252"/>
      <c r="N131" s="3252"/>
      <c r="O131" s="3252"/>
      <c r="P131" s="3252"/>
      <c r="Q131" s="3252"/>
      <c r="R131" s="3182"/>
      <c r="S131" s="3252"/>
      <c r="T131" s="3252"/>
      <c r="U131" s="3252"/>
      <c r="V131" s="3252"/>
      <c r="W131" s="3252"/>
      <c r="X131" s="3252"/>
    </row>
    <row r="132" spans="1:24" ht="32.450000000000003" customHeight="1" x14ac:dyDescent="0.3">
      <c r="C132" s="3252"/>
      <c r="D132" s="3252"/>
      <c r="E132" s="3252"/>
      <c r="F132" s="3252"/>
      <c r="G132" s="3252"/>
      <c r="H132" s="3252"/>
      <c r="I132" s="3252"/>
      <c r="J132" s="3252"/>
      <c r="K132" s="3252"/>
      <c r="L132" s="3252"/>
      <c r="M132" s="3252"/>
      <c r="N132" s="3252"/>
      <c r="O132" s="3252"/>
      <c r="P132" s="3252"/>
      <c r="Q132" s="3252"/>
      <c r="R132" s="3182"/>
      <c r="S132" s="3252"/>
      <c r="T132" s="3252"/>
      <c r="U132" s="3252"/>
      <c r="V132" s="3252"/>
      <c r="W132" s="3252"/>
      <c r="X132" s="3252"/>
    </row>
    <row r="133" spans="1:24" ht="32.450000000000003" customHeight="1" x14ac:dyDescent="0.3">
      <c r="C133" s="3252"/>
      <c r="D133" s="3252"/>
      <c r="E133" s="3252"/>
      <c r="F133" s="3252"/>
      <c r="G133" s="3252"/>
      <c r="H133" s="3252"/>
      <c r="I133" s="3252"/>
      <c r="J133" s="3252"/>
      <c r="K133" s="3252"/>
      <c r="L133" s="3252"/>
      <c r="M133" s="3252"/>
      <c r="N133" s="3252"/>
      <c r="O133" s="3252"/>
      <c r="P133" s="3252"/>
      <c r="Q133" s="3252"/>
      <c r="R133" s="3182"/>
      <c r="S133" s="3252"/>
      <c r="T133" s="3252"/>
      <c r="U133" s="3252"/>
      <c r="V133" s="3252"/>
      <c r="W133" s="3252"/>
      <c r="X133" s="3252"/>
    </row>
    <row r="134" spans="1:24" ht="32.450000000000003" customHeight="1" x14ac:dyDescent="0.3">
      <c r="C134" s="3252"/>
      <c r="D134" s="3252"/>
      <c r="E134" s="3252"/>
      <c r="F134" s="3252"/>
      <c r="G134" s="3252"/>
      <c r="H134" s="3252"/>
      <c r="I134" s="3252"/>
      <c r="J134" s="3252"/>
      <c r="K134" s="3252"/>
      <c r="L134" s="3252"/>
      <c r="M134" s="3252"/>
      <c r="N134" s="3252"/>
      <c r="O134" s="3252"/>
      <c r="P134" s="3252"/>
      <c r="Q134" s="3252"/>
      <c r="R134" s="3182"/>
      <c r="S134" s="3252"/>
      <c r="T134" s="3252"/>
      <c r="U134" s="3252"/>
      <c r="V134" s="3252"/>
      <c r="W134" s="3252"/>
      <c r="X134" s="3252"/>
    </row>
    <row r="135" spans="1:24" ht="32.450000000000003" customHeight="1" x14ac:dyDescent="0.3">
      <c r="C135" s="3252"/>
      <c r="D135" s="3252"/>
      <c r="E135" s="3252"/>
      <c r="F135" s="3252"/>
      <c r="G135" s="3252"/>
      <c r="H135" s="3252"/>
      <c r="I135" s="3252"/>
      <c r="J135" s="3252"/>
      <c r="K135" s="3252"/>
      <c r="L135" s="3252"/>
      <c r="M135" s="3252"/>
      <c r="N135" s="3252"/>
      <c r="O135" s="3252"/>
      <c r="P135" s="3252"/>
      <c r="Q135" s="3252"/>
      <c r="R135" s="3182"/>
      <c r="S135" s="3252"/>
      <c r="T135" s="3252"/>
      <c r="U135" s="3252"/>
      <c r="V135" s="3252"/>
      <c r="W135" s="3252"/>
      <c r="X135" s="3252"/>
    </row>
    <row r="136" spans="1:24" ht="32.450000000000003" customHeight="1" x14ac:dyDescent="0.3">
      <c r="C136" s="3252"/>
      <c r="D136" s="3252"/>
      <c r="E136" s="3252"/>
      <c r="F136" s="3252"/>
      <c r="G136" s="3252"/>
      <c r="H136" s="3252"/>
      <c r="I136" s="3252"/>
      <c r="J136" s="3252"/>
      <c r="K136" s="3252"/>
      <c r="L136" s="3252"/>
      <c r="M136" s="3252"/>
      <c r="N136" s="3252"/>
      <c r="O136" s="3252"/>
      <c r="P136" s="3252"/>
      <c r="Q136" s="3252"/>
      <c r="R136" s="3182"/>
      <c r="S136" s="3252"/>
      <c r="T136" s="3252"/>
      <c r="U136" s="3252"/>
      <c r="V136" s="3252"/>
      <c r="W136" s="3252"/>
      <c r="X136" s="3252"/>
    </row>
    <row r="137" spans="1:24" ht="32.450000000000003" customHeight="1" x14ac:dyDescent="0.3">
      <c r="C137" s="3252"/>
      <c r="D137" s="3252"/>
      <c r="E137" s="3252"/>
      <c r="F137" s="3252"/>
      <c r="G137" s="3252"/>
      <c r="H137" s="3252"/>
      <c r="I137" s="3252"/>
      <c r="J137" s="3252"/>
      <c r="K137" s="3252"/>
      <c r="L137" s="3252"/>
      <c r="M137" s="3252"/>
      <c r="N137" s="3252"/>
      <c r="O137" s="3252"/>
      <c r="P137" s="3252"/>
      <c r="Q137" s="3252"/>
      <c r="R137" s="3182"/>
      <c r="S137" s="3252"/>
      <c r="T137" s="3252"/>
      <c r="U137" s="3252"/>
      <c r="V137" s="3252"/>
      <c r="W137" s="3252"/>
      <c r="X137" s="3252"/>
    </row>
    <row r="138" spans="1:24" ht="32.450000000000003" customHeight="1" x14ac:dyDescent="0.3">
      <c r="C138" s="3252"/>
      <c r="D138" s="3252"/>
      <c r="E138" s="3252"/>
      <c r="F138" s="3252"/>
      <c r="G138" s="3252"/>
      <c r="H138" s="3252"/>
      <c r="I138" s="3252"/>
      <c r="J138" s="3252"/>
      <c r="K138" s="3252"/>
      <c r="L138" s="3252"/>
      <c r="M138" s="3252"/>
      <c r="N138" s="3252"/>
      <c r="O138" s="3252"/>
      <c r="P138" s="3252"/>
      <c r="Q138" s="3252"/>
      <c r="R138" s="3182"/>
      <c r="S138" s="3252"/>
      <c r="T138" s="3252"/>
      <c r="U138" s="3252"/>
      <c r="V138" s="3252"/>
      <c r="W138" s="3252"/>
      <c r="X138" s="3252"/>
    </row>
    <row r="139" spans="1:24" ht="32.450000000000003" customHeight="1" x14ac:dyDescent="0.3">
      <c r="C139" s="3252"/>
      <c r="D139" s="3252"/>
      <c r="E139" s="3252"/>
      <c r="F139" s="3252"/>
      <c r="G139" s="3252"/>
      <c r="H139" s="3252"/>
      <c r="I139" s="3252"/>
      <c r="J139" s="3252"/>
      <c r="K139" s="3252"/>
      <c r="L139" s="3252"/>
      <c r="M139" s="3252"/>
      <c r="N139" s="3252"/>
      <c r="O139" s="3252"/>
      <c r="P139" s="3252"/>
      <c r="Q139" s="3252"/>
      <c r="R139" s="3182"/>
      <c r="S139" s="3252"/>
      <c r="T139" s="3252"/>
      <c r="U139" s="3252"/>
      <c r="V139" s="3252"/>
      <c r="W139" s="3252"/>
      <c r="X139" s="3252"/>
    </row>
    <row r="140" spans="1:24" ht="32.450000000000003" customHeight="1" x14ac:dyDescent="0.3">
      <c r="C140" s="3252"/>
      <c r="D140" s="3252"/>
      <c r="E140" s="3252"/>
      <c r="F140" s="3252"/>
      <c r="G140" s="3252"/>
      <c r="H140" s="3252"/>
      <c r="I140" s="3252"/>
      <c r="J140" s="3252"/>
      <c r="K140" s="3252"/>
      <c r="L140" s="3252"/>
      <c r="M140" s="3252"/>
      <c r="N140" s="3252"/>
      <c r="O140" s="3252"/>
      <c r="P140" s="3252"/>
      <c r="Q140" s="3252"/>
      <c r="R140" s="3182"/>
      <c r="S140" s="3252"/>
      <c r="T140" s="3252"/>
      <c r="U140" s="3252"/>
      <c r="V140" s="3252"/>
      <c r="W140" s="3252"/>
      <c r="X140" s="3252"/>
    </row>
    <row r="141" spans="1:24" ht="32.450000000000003" customHeight="1" x14ac:dyDescent="0.3">
      <c r="C141" s="3252"/>
      <c r="D141" s="3252"/>
      <c r="E141" s="3252"/>
      <c r="F141" s="3252"/>
      <c r="G141" s="3252"/>
      <c r="H141" s="3252"/>
      <c r="I141" s="3252"/>
      <c r="J141" s="3252"/>
      <c r="K141" s="3252"/>
      <c r="L141" s="3252"/>
      <c r="M141" s="3252"/>
      <c r="N141" s="3252"/>
      <c r="O141" s="3252"/>
      <c r="P141" s="3252"/>
      <c r="Q141" s="3252"/>
      <c r="R141" s="3182"/>
      <c r="S141" s="3252"/>
      <c r="T141" s="3252"/>
      <c r="U141" s="3252"/>
      <c r="V141" s="3252"/>
      <c r="W141" s="3252"/>
      <c r="X141" s="3252"/>
    </row>
    <row r="142" spans="1:24" ht="32.450000000000003" customHeight="1" x14ac:dyDescent="0.3">
      <c r="C142" s="3252"/>
      <c r="D142" s="3252"/>
      <c r="E142" s="3252"/>
      <c r="F142" s="3252"/>
      <c r="G142" s="3252"/>
      <c r="H142" s="3252"/>
      <c r="I142" s="3252"/>
      <c r="J142" s="3252"/>
      <c r="K142" s="3252"/>
      <c r="L142" s="3252"/>
      <c r="M142" s="3252"/>
      <c r="N142" s="3252"/>
      <c r="O142" s="3252"/>
      <c r="P142" s="3252"/>
      <c r="Q142" s="3252"/>
      <c r="R142" s="3182"/>
      <c r="S142" s="3252"/>
      <c r="T142" s="3252"/>
      <c r="U142" s="3252"/>
      <c r="V142" s="3252"/>
      <c r="W142" s="3252"/>
      <c r="X142" s="3252"/>
    </row>
    <row r="143" spans="1:24" ht="32.450000000000003" customHeight="1" x14ac:dyDescent="0.3">
      <c r="C143" s="3252"/>
      <c r="D143" s="3252"/>
      <c r="E143" s="3252"/>
      <c r="F143" s="3252"/>
      <c r="G143" s="3252"/>
      <c r="H143" s="3252"/>
      <c r="I143" s="3252"/>
      <c r="J143" s="3252"/>
      <c r="K143" s="3252"/>
      <c r="L143" s="3252"/>
      <c r="M143" s="3252"/>
      <c r="N143" s="3252"/>
      <c r="O143" s="3252"/>
      <c r="P143" s="3252"/>
      <c r="Q143" s="3252"/>
      <c r="R143" s="3182"/>
      <c r="S143" s="3252"/>
      <c r="T143" s="3252"/>
      <c r="U143" s="3252"/>
      <c r="V143" s="3252"/>
      <c r="W143" s="3252"/>
      <c r="X143" s="3252"/>
    </row>
    <row r="144" spans="1:24" ht="32.450000000000003" customHeight="1" x14ac:dyDescent="0.3">
      <c r="C144" s="3252"/>
      <c r="D144" s="3252"/>
      <c r="E144" s="3252"/>
      <c r="F144" s="3252"/>
      <c r="G144" s="3252"/>
      <c r="H144" s="3252"/>
      <c r="I144" s="3252"/>
      <c r="J144" s="3252"/>
      <c r="K144" s="3252"/>
      <c r="L144" s="3252"/>
      <c r="M144" s="3252"/>
      <c r="N144" s="3252"/>
      <c r="O144" s="3252"/>
      <c r="P144" s="3252"/>
      <c r="Q144" s="3252"/>
      <c r="R144" s="3182"/>
      <c r="S144" s="3252"/>
      <c r="T144" s="3252"/>
      <c r="U144" s="3252"/>
      <c r="V144" s="3252"/>
      <c r="W144" s="3252"/>
      <c r="X144" s="3252"/>
    </row>
    <row r="145" spans="1:24" ht="32.450000000000003" customHeight="1" x14ac:dyDescent="0.3">
      <c r="C145" s="3252"/>
      <c r="D145" s="3252"/>
      <c r="E145" s="3252"/>
      <c r="F145" s="3252"/>
      <c r="G145" s="3252"/>
      <c r="H145" s="3252"/>
      <c r="I145" s="3252"/>
      <c r="J145" s="3252"/>
      <c r="K145" s="3252"/>
      <c r="L145" s="3252"/>
      <c r="M145" s="3252"/>
      <c r="N145" s="3252"/>
      <c r="O145" s="3252"/>
      <c r="P145" s="3252"/>
      <c r="Q145" s="3252"/>
      <c r="R145" s="3182"/>
      <c r="S145" s="3252"/>
      <c r="T145" s="3252"/>
      <c r="U145" s="3252"/>
      <c r="V145" s="3252"/>
      <c r="W145" s="3252"/>
      <c r="X145" s="3252"/>
    </row>
    <row r="146" spans="1:24" ht="32.450000000000003" customHeight="1" x14ac:dyDescent="0.3">
      <c r="C146" s="3252"/>
      <c r="D146" s="3252"/>
      <c r="E146" s="3252"/>
      <c r="F146" s="3252"/>
      <c r="G146" s="3252"/>
      <c r="H146" s="3252"/>
      <c r="I146" s="3252"/>
      <c r="J146" s="3252"/>
      <c r="K146" s="3252"/>
      <c r="L146" s="3252"/>
      <c r="M146" s="3252"/>
      <c r="N146" s="3252"/>
      <c r="O146" s="3252"/>
      <c r="P146" s="3252"/>
      <c r="Q146" s="3252"/>
      <c r="R146" s="3182"/>
      <c r="S146" s="3252"/>
      <c r="T146" s="3252"/>
      <c r="U146" s="3252"/>
      <c r="V146" s="3252"/>
      <c r="W146" s="3252"/>
      <c r="X146" s="3252"/>
    </row>
    <row r="147" spans="1:24" ht="32.450000000000003" customHeight="1" x14ac:dyDescent="0.3">
      <c r="C147" s="3252"/>
      <c r="D147" s="3252"/>
      <c r="E147" s="3252"/>
      <c r="F147" s="3252"/>
      <c r="G147" s="3252"/>
      <c r="H147" s="3252"/>
      <c r="I147" s="3252"/>
      <c r="J147" s="3252"/>
      <c r="K147" s="3252"/>
      <c r="L147" s="3252"/>
      <c r="M147" s="3252"/>
      <c r="N147" s="3252"/>
      <c r="O147" s="3252"/>
      <c r="P147" s="3252"/>
      <c r="Q147" s="3252"/>
      <c r="R147" s="3182"/>
      <c r="S147" s="3252"/>
      <c r="T147" s="3252"/>
      <c r="U147" s="3252"/>
      <c r="V147" s="3252"/>
      <c r="W147" s="3252"/>
      <c r="X147" s="3252"/>
    </row>
    <row r="148" spans="1:24" ht="32.450000000000003" customHeight="1" x14ac:dyDescent="0.3">
      <c r="C148" s="3252"/>
      <c r="D148" s="3252"/>
      <c r="E148" s="3252"/>
      <c r="F148" s="3252"/>
      <c r="G148" s="3252"/>
      <c r="H148" s="3252"/>
      <c r="I148" s="3252"/>
      <c r="J148" s="3252"/>
      <c r="K148" s="3252"/>
      <c r="L148" s="3252"/>
      <c r="M148" s="3252"/>
      <c r="N148" s="3252"/>
      <c r="O148" s="3252"/>
      <c r="P148" s="3252"/>
      <c r="Q148" s="3252"/>
      <c r="R148" s="3182"/>
      <c r="S148" s="3252"/>
      <c r="T148" s="3252"/>
      <c r="U148" s="3252"/>
      <c r="V148" s="3252"/>
      <c r="W148" s="3252"/>
      <c r="X148" s="3252"/>
    </row>
    <row r="149" spans="1:24" ht="32.450000000000003" customHeight="1" x14ac:dyDescent="0.3">
      <c r="C149" s="3252"/>
      <c r="D149" s="3252"/>
      <c r="E149" s="3252"/>
      <c r="F149" s="3252"/>
      <c r="G149" s="3252"/>
      <c r="H149" s="3252"/>
      <c r="I149" s="3252"/>
      <c r="J149" s="3252"/>
      <c r="K149" s="3252"/>
      <c r="L149" s="3252"/>
      <c r="M149" s="3252"/>
      <c r="N149" s="3252"/>
      <c r="O149" s="3252"/>
      <c r="P149" s="3252"/>
      <c r="Q149" s="3252"/>
      <c r="R149" s="3182"/>
      <c r="S149" s="3252"/>
      <c r="T149" s="3252"/>
      <c r="U149" s="3252"/>
      <c r="V149" s="3252"/>
      <c r="W149" s="3252"/>
      <c r="X149" s="3252"/>
    </row>
    <row r="150" spans="1:24" ht="32.450000000000003" customHeight="1" x14ac:dyDescent="0.3">
      <c r="C150" s="3252"/>
      <c r="D150" s="3252"/>
      <c r="E150" s="3252"/>
      <c r="F150" s="3252"/>
      <c r="G150" s="3252"/>
      <c r="H150" s="3252"/>
      <c r="I150" s="3252"/>
      <c r="J150" s="3252"/>
      <c r="K150" s="3252"/>
      <c r="L150" s="3252"/>
      <c r="M150" s="3252"/>
      <c r="N150" s="3252"/>
      <c r="O150" s="3252"/>
      <c r="P150" s="3252"/>
      <c r="Q150" s="3252"/>
      <c r="R150" s="3182"/>
      <c r="S150" s="3252"/>
      <c r="T150" s="3252"/>
      <c r="U150" s="3252"/>
      <c r="V150" s="3252"/>
      <c r="W150" s="3252"/>
      <c r="X150" s="3252"/>
    </row>
    <row r="151" spans="1:24" ht="32.450000000000003" customHeight="1" x14ac:dyDescent="0.3">
      <c r="C151" s="3252"/>
      <c r="D151" s="3252"/>
      <c r="E151" s="3252"/>
      <c r="F151" s="3252"/>
      <c r="G151" s="3252"/>
      <c r="H151" s="3252"/>
      <c r="I151" s="3252"/>
      <c r="J151" s="3252"/>
      <c r="K151" s="3252"/>
      <c r="L151" s="3252"/>
      <c r="M151" s="3252"/>
      <c r="N151" s="3252"/>
      <c r="O151" s="3252"/>
      <c r="P151" s="3252"/>
      <c r="Q151" s="3252"/>
      <c r="R151" s="3182"/>
      <c r="S151" s="3252"/>
      <c r="T151" s="3252"/>
      <c r="U151" s="3252"/>
      <c r="V151" s="3252"/>
      <c r="W151" s="3252"/>
      <c r="X151" s="3252"/>
    </row>
    <row r="152" spans="1:24" ht="32.450000000000003" customHeight="1" x14ac:dyDescent="0.3">
      <c r="A152" s="3192" t="s">
        <v>254</v>
      </c>
      <c r="C152" s="3252"/>
      <c r="D152" s="3252"/>
      <c r="E152" s="3252"/>
      <c r="F152" s="3252"/>
      <c r="G152" s="3252"/>
      <c r="H152" s="3252"/>
      <c r="I152" s="3252"/>
      <c r="J152" s="3252"/>
      <c r="K152" s="3252"/>
      <c r="L152" s="3252"/>
      <c r="M152" s="3252"/>
      <c r="N152" s="3252"/>
      <c r="O152" s="3252"/>
      <c r="P152" s="3252"/>
      <c r="Q152" s="3252"/>
      <c r="R152" s="3182"/>
      <c r="S152" s="3252"/>
      <c r="T152" s="3252"/>
      <c r="U152" s="3252"/>
      <c r="V152" s="3252"/>
      <c r="W152" s="3252"/>
      <c r="X152" s="3252"/>
    </row>
    <row r="153" spans="1:24" ht="32.450000000000003" customHeight="1" x14ac:dyDescent="0.3">
      <c r="A153" s="3192" t="s">
        <v>255</v>
      </c>
      <c r="C153" s="3252"/>
      <c r="D153" s="3252"/>
      <c r="E153" s="3252"/>
      <c r="F153" s="3252"/>
      <c r="G153" s="3252"/>
      <c r="H153" s="3252"/>
      <c r="I153" s="3252"/>
      <c r="J153" s="3252"/>
      <c r="K153" s="3252"/>
      <c r="L153" s="3252"/>
      <c r="M153" s="3252"/>
      <c r="N153" s="3252"/>
      <c r="O153" s="3252"/>
      <c r="P153" s="3252"/>
      <c r="Q153" s="3252"/>
      <c r="R153" s="3182"/>
      <c r="S153" s="3252"/>
      <c r="T153" s="3252"/>
      <c r="U153" s="3252"/>
      <c r="V153" s="3252"/>
      <c r="W153" s="3252"/>
      <c r="X153" s="3252"/>
    </row>
    <row r="154" spans="1:24" ht="32.450000000000003" customHeight="1" x14ac:dyDescent="0.3">
      <c r="A154" s="3192" t="s">
        <v>256</v>
      </c>
      <c r="C154" s="3252"/>
      <c r="D154" s="3252"/>
      <c r="E154" s="3252"/>
      <c r="F154" s="3252"/>
      <c r="G154" s="3252"/>
      <c r="H154" s="3252"/>
      <c r="I154" s="3252"/>
      <c r="J154" s="3252"/>
      <c r="K154" s="3252"/>
      <c r="L154" s="3252"/>
      <c r="M154" s="3252"/>
      <c r="N154" s="3252"/>
      <c r="O154" s="3252"/>
      <c r="P154" s="3252"/>
      <c r="Q154" s="3252"/>
      <c r="R154" s="3182"/>
      <c r="S154" s="3252"/>
      <c r="T154" s="3252"/>
      <c r="U154" s="3252"/>
      <c r="V154" s="3252"/>
      <c r="W154" s="3252"/>
      <c r="X154" s="3252"/>
    </row>
    <row r="155" spans="1:24" ht="32.450000000000003" customHeight="1" x14ac:dyDescent="0.3">
      <c r="A155" s="3192" t="s">
        <v>257</v>
      </c>
      <c r="C155" s="3252"/>
      <c r="D155" s="3252"/>
      <c r="E155" s="3252"/>
      <c r="F155" s="3252"/>
      <c r="G155" s="3252"/>
      <c r="H155" s="3252"/>
      <c r="I155" s="3252"/>
      <c r="J155" s="3252"/>
      <c r="K155" s="3252"/>
      <c r="L155" s="3252"/>
      <c r="M155" s="3252"/>
      <c r="N155" s="3252"/>
      <c r="O155" s="3252"/>
      <c r="P155" s="3252"/>
      <c r="Q155" s="3252"/>
      <c r="R155" s="3182"/>
      <c r="S155" s="3252"/>
      <c r="T155" s="3252"/>
      <c r="U155" s="3252"/>
      <c r="V155" s="3252"/>
      <c r="W155" s="3252"/>
      <c r="X155" s="3252"/>
    </row>
    <row r="156" spans="1:24" ht="32.450000000000003" customHeight="1" x14ac:dyDescent="0.3">
      <c r="A156" s="3192" t="s">
        <v>258</v>
      </c>
      <c r="C156" s="3252"/>
      <c r="D156" s="3252"/>
      <c r="E156" s="3252"/>
      <c r="F156" s="3252"/>
      <c r="G156" s="3252"/>
      <c r="H156" s="3252"/>
      <c r="I156" s="3252"/>
      <c r="J156" s="3252"/>
      <c r="K156" s="3252"/>
      <c r="L156" s="3252"/>
      <c r="M156" s="3252"/>
      <c r="N156" s="3252"/>
      <c r="O156" s="3252"/>
      <c r="P156" s="3252"/>
      <c r="Q156" s="3252"/>
      <c r="R156" s="3182"/>
      <c r="S156" s="3252"/>
      <c r="T156" s="3252"/>
      <c r="U156" s="3252"/>
      <c r="V156" s="3252"/>
      <c r="W156" s="3252"/>
      <c r="X156" s="3252"/>
    </row>
    <row r="157" spans="1:24" ht="32.450000000000003" customHeight="1" x14ac:dyDescent="0.3">
      <c r="A157" s="3192" t="s">
        <v>259</v>
      </c>
      <c r="C157" s="3252"/>
      <c r="D157" s="3252"/>
      <c r="E157" s="3252"/>
      <c r="F157" s="3252"/>
      <c r="G157" s="3252"/>
      <c r="H157" s="3252"/>
      <c r="I157" s="3252"/>
      <c r="J157" s="3252"/>
      <c r="K157" s="3252"/>
      <c r="L157" s="3252"/>
      <c r="M157" s="3252"/>
      <c r="N157" s="3252"/>
      <c r="O157" s="3252"/>
      <c r="P157" s="3252"/>
      <c r="Q157" s="3252"/>
      <c r="R157" s="3182"/>
      <c r="S157" s="3252"/>
      <c r="T157" s="3252"/>
      <c r="U157" s="3252"/>
      <c r="V157" s="3252"/>
      <c r="W157" s="3252"/>
      <c r="X157" s="3252"/>
    </row>
    <row r="158" spans="1:24" ht="32.450000000000003" customHeight="1" x14ac:dyDescent="0.3">
      <c r="A158" s="3192" t="s">
        <v>260</v>
      </c>
      <c r="C158" s="3252"/>
      <c r="D158" s="3252"/>
      <c r="E158" s="3252"/>
      <c r="F158" s="3252"/>
      <c r="G158" s="3252"/>
      <c r="H158" s="3252"/>
      <c r="I158" s="3252"/>
      <c r="J158" s="3252"/>
      <c r="K158" s="3252"/>
      <c r="L158" s="3252"/>
      <c r="M158" s="3252"/>
      <c r="N158" s="3252"/>
      <c r="O158" s="3252"/>
      <c r="P158" s="3252"/>
      <c r="Q158" s="3252"/>
      <c r="R158" s="3182"/>
      <c r="S158" s="3252"/>
      <c r="T158" s="3252"/>
      <c r="U158" s="3252"/>
      <c r="V158" s="3252"/>
      <c r="W158" s="3252"/>
      <c r="X158" s="3252"/>
    </row>
    <row r="159" spans="1:24" ht="32.450000000000003" customHeight="1" x14ac:dyDescent="0.3">
      <c r="A159" s="3192" t="s">
        <v>261</v>
      </c>
      <c r="C159" s="3252"/>
      <c r="D159" s="3252"/>
      <c r="E159" s="3252"/>
      <c r="F159" s="3252"/>
      <c r="G159" s="3252"/>
      <c r="H159" s="3252"/>
      <c r="I159" s="3252"/>
      <c r="J159" s="3252"/>
      <c r="K159" s="3252"/>
      <c r="L159" s="3252"/>
      <c r="M159" s="3252"/>
      <c r="N159" s="3252"/>
      <c r="O159" s="3252"/>
      <c r="P159" s="3252"/>
      <c r="Q159" s="3252"/>
      <c r="R159" s="3182"/>
      <c r="S159" s="3252"/>
      <c r="T159" s="3252"/>
      <c r="U159" s="3252"/>
      <c r="V159" s="3252"/>
      <c r="W159" s="3252"/>
      <c r="X159" s="3252"/>
    </row>
    <row r="160" spans="1:24" ht="32.450000000000003" customHeight="1" x14ac:dyDescent="0.3">
      <c r="A160" s="3192" t="s">
        <v>262</v>
      </c>
      <c r="C160" s="3252"/>
      <c r="D160" s="3252"/>
      <c r="E160" s="3252"/>
      <c r="F160" s="3252"/>
      <c r="G160" s="3252"/>
      <c r="H160" s="3252"/>
      <c r="I160" s="3252"/>
      <c r="J160" s="3252"/>
      <c r="K160" s="3252"/>
      <c r="L160" s="3252"/>
      <c r="M160" s="3252"/>
      <c r="N160" s="3252"/>
      <c r="O160" s="3252"/>
      <c r="P160" s="3252"/>
      <c r="Q160" s="3252"/>
      <c r="R160" s="3182"/>
      <c r="S160" s="3252"/>
      <c r="T160" s="3252"/>
      <c r="U160" s="3252"/>
      <c r="V160" s="3252"/>
      <c r="W160" s="3252"/>
      <c r="X160" s="3252"/>
    </row>
    <row r="161" spans="1:24" ht="32.450000000000003" customHeight="1" x14ac:dyDescent="0.3">
      <c r="A161" s="3192" t="s">
        <v>263</v>
      </c>
      <c r="C161" s="3252"/>
      <c r="D161" s="3252"/>
      <c r="E161" s="3252"/>
      <c r="F161" s="3252"/>
      <c r="G161" s="3252"/>
      <c r="H161" s="3252"/>
      <c r="I161" s="3252"/>
      <c r="J161" s="3252"/>
      <c r="K161" s="3252"/>
      <c r="L161" s="3252"/>
      <c r="M161" s="3252"/>
      <c r="N161" s="3252"/>
      <c r="O161" s="3252"/>
      <c r="P161" s="3252"/>
      <c r="Q161" s="3252"/>
      <c r="R161" s="3182"/>
      <c r="S161" s="3252"/>
      <c r="T161" s="3252"/>
      <c r="U161" s="3252"/>
      <c r="V161" s="3252"/>
      <c r="W161" s="3252"/>
      <c r="X161" s="3252"/>
    </row>
    <row r="162" spans="1:24" ht="32.450000000000003" customHeight="1" x14ac:dyDescent="0.3">
      <c r="A162" s="3192" t="s">
        <v>264</v>
      </c>
      <c r="C162" s="3252"/>
      <c r="D162" s="3252"/>
      <c r="E162" s="3252"/>
      <c r="F162" s="3252"/>
      <c r="G162" s="3252"/>
      <c r="H162" s="3252"/>
      <c r="I162" s="3252"/>
      <c r="J162" s="3252"/>
      <c r="K162" s="3252"/>
      <c r="L162" s="3252"/>
      <c r="M162" s="3252"/>
      <c r="N162" s="3252"/>
      <c r="O162" s="3252"/>
      <c r="P162" s="3252"/>
      <c r="Q162" s="3252"/>
      <c r="R162" s="3182"/>
      <c r="S162" s="3252"/>
      <c r="T162" s="3252"/>
      <c r="U162" s="3252"/>
      <c r="V162" s="3252"/>
      <c r="W162" s="3252"/>
      <c r="X162" s="3252"/>
    </row>
    <row r="163" spans="1:24" ht="32.450000000000003" customHeight="1" x14ac:dyDescent="0.3">
      <c r="A163" s="3192" t="s">
        <v>265</v>
      </c>
      <c r="C163" s="3252"/>
      <c r="D163" s="3252"/>
      <c r="E163" s="3252"/>
      <c r="F163" s="3252"/>
      <c r="G163" s="3252"/>
      <c r="H163" s="3252"/>
      <c r="I163" s="3252"/>
      <c r="J163" s="3252"/>
      <c r="K163" s="3252"/>
      <c r="L163" s="3252"/>
      <c r="M163" s="3252"/>
      <c r="N163" s="3252"/>
      <c r="O163" s="3252"/>
      <c r="P163" s="3252"/>
      <c r="Q163" s="3252"/>
      <c r="R163" s="3182"/>
      <c r="S163" s="3252"/>
      <c r="T163" s="3252"/>
      <c r="U163" s="3252"/>
      <c r="V163" s="3252"/>
      <c r="W163" s="3252"/>
      <c r="X163" s="3252"/>
    </row>
    <row r="164" spans="1:24" ht="32.450000000000003" customHeight="1" x14ac:dyDescent="0.3">
      <c r="A164" s="3192" t="s">
        <v>266</v>
      </c>
      <c r="C164" s="3252"/>
      <c r="D164" s="3252"/>
      <c r="E164" s="3252"/>
      <c r="F164" s="3252"/>
      <c r="G164" s="3252"/>
      <c r="H164" s="3252"/>
      <c r="I164" s="3252"/>
      <c r="J164" s="3252"/>
      <c r="K164" s="3252"/>
      <c r="L164" s="3252"/>
      <c r="M164" s="3252"/>
      <c r="N164" s="3252"/>
      <c r="O164" s="3252"/>
      <c r="P164" s="3252"/>
      <c r="Q164" s="3252"/>
      <c r="R164" s="3182"/>
      <c r="S164" s="3252"/>
      <c r="T164" s="3252"/>
      <c r="U164" s="3252"/>
      <c r="V164" s="3252"/>
      <c r="W164" s="3252"/>
      <c r="X164" s="3252"/>
    </row>
    <row r="167" spans="1:24" s="3252" customFormat="1" ht="32.450000000000003" customHeight="1" x14ac:dyDescent="0.3">
      <c r="A167" s="3252" t="s">
        <v>23</v>
      </c>
      <c r="B167" s="3252" t="s">
        <v>133</v>
      </c>
      <c r="C167" s="3260" t="s">
        <v>267</v>
      </c>
      <c r="D167" s="3260" t="s">
        <v>268</v>
      </c>
      <c r="E167" s="3260" t="s">
        <v>23</v>
      </c>
      <c r="R167" s="3182"/>
    </row>
    <row r="168" spans="1:24" s="3252" customFormat="1" ht="32.450000000000003" customHeight="1" x14ac:dyDescent="0.3">
      <c r="A168" s="3252" t="s">
        <v>269</v>
      </c>
      <c r="B168" s="3252">
        <v>4</v>
      </c>
      <c r="C168" s="3261" t="s">
        <v>270</v>
      </c>
      <c r="D168" s="3261" t="s">
        <v>271</v>
      </c>
      <c r="E168" s="3261" t="s">
        <v>272</v>
      </c>
      <c r="R168" s="3182"/>
    </row>
    <row r="169" spans="1:24" s="3252" customFormat="1" ht="32.450000000000003" customHeight="1" x14ac:dyDescent="0.3">
      <c r="A169" s="3252" t="s">
        <v>273</v>
      </c>
      <c r="B169" s="3252">
        <v>11</v>
      </c>
      <c r="C169" s="3261" t="s">
        <v>270</v>
      </c>
      <c r="D169" s="3261" t="s">
        <v>271</v>
      </c>
      <c r="E169" s="3261" t="s">
        <v>274</v>
      </c>
      <c r="R169" s="3182"/>
    </row>
    <row r="170" spans="1:24" s="3252" customFormat="1" ht="32.450000000000003" customHeight="1" x14ac:dyDescent="0.3">
      <c r="A170" s="3252" t="s">
        <v>275</v>
      </c>
      <c r="B170" s="3252">
        <v>13</v>
      </c>
      <c r="C170" s="3261" t="s">
        <v>270</v>
      </c>
      <c r="D170" s="3261" t="s">
        <v>271</v>
      </c>
      <c r="E170" s="3261" t="s">
        <v>276</v>
      </c>
      <c r="R170" s="3182"/>
    </row>
    <row r="171" spans="1:24" s="3252" customFormat="1" ht="32.450000000000003" customHeight="1" x14ac:dyDescent="0.3">
      <c r="A171" s="3252" t="s">
        <v>277</v>
      </c>
      <c r="B171" s="3252">
        <v>152</v>
      </c>
      <c r="C171" s="3261" t="s">
        <v>270</v>
      </c>
      <c r="D171" s="3261" t="s">
        <v>271</v>
      </c>
      <c r="E171" s="3261" t="s">
        <v>278</v>
      </c>
      <c r="R171" s="3182"/>
    </row>
    <row r="172" spans="1:24" s="3252" customFormat="1" ht="32.450000000000003" customHeight="1" x14ac:dyDescent="0.3">
      <c r="A172" s="3252" t="s">
        <v>279</v>
      </c>
      <c r="B172" s="3252">
        <v>151</v>
      </c>
      <c r="C172" s="3261" t="s">
        <v>270</v>
      </c>
      <c r="D172" s="3261" t="s">
        <v>271</v>
      </c>
      <c r="E172" s="3261" t="s">
        <v>280</v>
      </c>
      <c r="R172" s="3182"/>
    </row>
    <row r="173" spans="1:24" s="3252" customFormat="1" ht="32.450000000000003" customHeight="1" x14ac:dyDescent="0.3">
      <c r="A173" s="3252" t="s">
        <v>281</v>
      </c>
      <c r="B173" s="3252">
        <v>18</v>
      </c>
      <c r="C173" s="3261" t="s">
        <v>270</v>
      </c>
      <c r="D173" s="3261" t="s">
        <v>271</v>
      </c>
      <c r="E173" s="3261" t="s">
        <v>282</v>
      </c>
      <c r="R173" s="3182"/>
    </row>
    <row r="174" spans="1:24" s="3252" customFormat="1" ht="32.450000000000003" customHeight="1" x14ac:dyDescent="0.3">
      <c r="A174" s="3252" t="s">
        <v>283</v>
      </c>
      <c r="B174" s="3252">
        <v>153</v>
      </c>
      <c r="C174" s="3261" t="s">
        <v>270</v>
      </c>
      <c r="D174" s="3261" t="s">
        <v>284</v>
      </c>
      <c r="E174" s="3261" t="s">
        <v>285</v>
      </c>
      <c r="R174" s="3182"/>
    </row>
    <row r="175" spans="1:24" s="3252" customFormat="1" ht="32.450000000000003" customHeight="1" x14ac:dyDescent="0.3">
      <c r="A175" s="3252" t="s">
        <v>286</v>
      </c>
      <c r="B175" s="3252">
        <v>9</v>
      </c>
      <c r="C175" s="3261" t="s">
        <v>270</v>
      </c>
      <c r="D175" s="3261" t="s">
        <v>287</v>
      </c>
      <c r="E175" s="3261" t="s">
        <v>288</v>
      </c>
      <c r="R175" s="3182"/>
    </row>
    <row r="176" spans="1:24" s="3252" customFormat="1" ht="32.450000000000003" customHeight="1" x14ac:dyDescent="0.3">
      <c r="A176" s="3252" t="s">
        <v>289</v>
      </c>
      <c r="B176" s="3252">
        <v>10</v>
      </c>
      <c r="C176" s="3261" t="s">
        <v>270</v>
      </c>
      <c r="D176" s="3261" t="s">
        <v>287</v>
      </c>
      <c r="E176" s="3261" t="s">
        <v>290</v>
      </c>
      <c r="R176" s="3182"/>
    </row>
    <row r="177" spans="1:18" s="3252" customFormat="1" ht="32.450000000000003" customHeight="1" x14ac:dyDescent="0.3">
      <c r="A177" s="3252" t="s">
        <v>291</v>
      </c>
      <c r="B177" s="3252">
        <v>12</v>
      </c>
      <c r="C177" s="3261" t="s">
        <v>270</v>
      </c>
      <c r="D177" s="3261" t="s">
        <v>292</v>
      </c>
      <c r="E177" s="3261" t="s">
        <v>292</v>
      </c>
      <c r="R177" s="3182"/>
    </row>
    <row r="178" spans="1:18" s="3252" customFormat="1" ht="32.450000000000003" customHeight="1" x14ac:dyDescent="0.3">
      <c r="A178" s="3252" t="s">
        <v>293</v>
      </c>
      <c r="B178" s="3252">
        <v>7</v>
      </c>
      <c r="C178" s="3261" t="s">
        <v>270</v>
      </c>
      <c r="D178" s="3261" t="s">
        <v>294</v>
      </c>
      <c r="E178" s="3261" t="s">
        <v>295</v>
      </c>
      <c r="R178" s="3182"/>
    </row>
    <row r="179" spans="1:18" s="3252" customFormat="1" ht="32.450000000000003" customHeight="1" x14ac:dyDescent="0.3">
      <c r="A179" s="3252" t="s">
        <v>296</v>
      </c>
      <c r="B179" s="3252">
        <v>150</v>
      </c>
      <c r="C179" s="3261" t="s">
        <v>270</v>
      </c>
      <c r="D179" s="3261" t="s">
        <v>294</v>
      </c>
      <c r="E179" s="3261" t="s">
        <v>297</v>
      </c>
      <c r="R179" s="3182"/>
    </row>
    <row r="180" spans="1:18" s="3252" customFormat="1" ht="32.450000000000003" customHeight="1" x14ac:dyDescent="0.3">
      <c r="A180" s="3252" t="s">
        <v>298</v>
      </c>
      <c r="B180" s="3252">
        <v>14</v>
      </c>
      <c r="C180" s="3261" t="s">
        <v>270</v>
      </c>
      <c r="D180" s="3261" t="s">
        <v>299</v>
      </c>
      <c r="E180" s="3261" t="s">
        <v>300</v>
      </c>
      <c r="R180" s="3182"/>
    </row>
    <row r="181" spans="1:18" s="3252" customFormat="1" ht="32.450000000000003" customHeight="1" x14ac:dyDescent="0.3">
      <c r="A181" s="3252" t="s">
        <v>301</v>
      </c>
      <c r="B181" s="3252">
        <v>140</v>
      </c>
      <c r="C181" s="3261" t="s">
        <v>270</v>
      </c>
      <c r="D181" s="3261" t="s">
        <v>302</v>
      </c>
      <c r="E181" s="3261" t="s">
        <v>303</v>
      </c>
      <c r="R181" s="3182"/>
    </row>
    <row r="182" spans="1:18" s="3252" customFormat="1" ht="32.450000000000003" customHeight="1" x14ac:dyDescent="0.3">
      <c r="A182" s="3252" t="s">
        <v>304</v>
      </c>
      <c r="B182" s="3252">
        <v>15</v>
      </c>
      <c r="C182" s="3261" t="s">
        <v>305</v>
      </c>
      <c r="D182" s="3261" t="s">
        <v>299</v>
      </c>
      <c r="E182" s="3261" t="s">
        <v>306</v>
      </c>
      <c r="R182" s="3182"/>
    </row>
    <row r="183" spans="1:18" s="3252" customFormat="1" ht="32.450000000000003" customHeight="1" x14ac:dyDescent="0.3">
      <c r="A183" s="3252" t="s">
        <v>307</v>
      </c>
      <c r="B183" s="3252">
        <v>130</v>
      </c>
      <c r="C183" s="3261" t="s">
        <v>305</v>
      </c>
      <c r="D183" s="3261" t="s">
        <v>299</v>
      </c>
      <c r="E183" s="3261" t="s">
        <v>308</v>
      </c>
      <c r="R183" s="3182"/>
    </row>
    <row r="184" spans="1:18" s="3252" customFormat="1" ht="32.450000000000003" customHeight="1" x14ac:dyDescent="0.3">
      <c r="A184" s="3252" t="s">
        <v>309</v>
      </c>
      <c r="B184" s="3252">
        <v>3</v>
      </c>
      <c r="C184" s="3261" t="s">
        <v>305</v>
      </c>
      <c r="D184" s="3261" t="s">
        <v>302</v>
      </c>
      <c r="E184" s="3261" t="s">
        <v>310</v>
      </c>
      <c r="R184" s="3182"/>
    </row>
    <row r="185" spans="1:18" s="3252" customFormat="1" ht="32.450000000000003" customHeight="1" x14ac:dyDescent="0.3">
      <c r="A185" s="3252" t="s">
        <v>311</v>
      </c>
      <c r="B185" s="3252">
        <v>31</v>
      </c>
      <c r="C185" s="3261" t="s">
        <v>312</v>
      </c>
      <c r="D185" s="3261" t="s">
        <v>313</v>
      </c>
      <c r="E185" s="3261" t="s">
        <v>314</v>
      </c>
      <c r="R185" s="3182"/>
    </row>
    <row r="186" spans="1:18" s="3252" customFormat="1" ht="32.450000000000003" customHeight="1" x14ac:dyDescent="0.3">
      <c r="A186" s="3252" t="s">
        <v>315</v>
      </c>
      <c r="B186" s="3252">
        <v>22</v>
      </c>
      <c r="C186" s="3261" t="s">
        <v>312</v>
      </c>
      <c r="D186" s="3261" t="s">
        <v>292</v>
      </c>
      <c r="E186" s="3261" t="s">
        <v>316</v>
      </c>
      <c r="R186" s="3182"/>
    </row>
    <row r="187" spans="1:18" s="3252" customFormat="1" ht="32.450000000000003" customHeight="1" x14ac:dyDescent="0.3">
      <c r="A187" s="3252" t="s">
        <v>317</v>
      </c>
      <c r="B187" s="3252">
        <v>40</v>
      </c>
      <c r="C187" s="3261" t="s">
        <v>312</v>
      </c>
      <c r="D187" s="3261" t="s">
        <v>318</v>
      </c>
      <c r="E187" s="3261" t="s">
        <v>318</v>
      </c>
      <c r="R187" s="3182"/>
    </row>
    <row r="188" spans="1:18" s="3252" customFormat="1" ht="32.450000000000003" customHeight="1" x14ac:dyDescent="0.3">
      <c r="A188" s="3252" t="s">
        <v>319</v>
      </c>
      <c r="B188" s="3252">
        <v>35</v>
      </c>
      <c r="C188" s="3261" t="s">
        <v>312</v>
      </c>
      <c r="D188" s="3261" t="s">
        <v>312</v>
      </c>
      <c r="E188" s="3261" t="s">
        <v>320</v>
      </c>
      <c r="R188" s="3182"/>
    </row>
    <row r="189" spans="1:18" s="3252" customFormat="1" ht="32.450000000000003" customHeight="1" x14ac:dyDescent="0.3">
      <c r="A189" s="3252" t="s">
        <v>321</v>
      </c>
      <c r="B189" s="3252">
        <v>28</v>
      </c>
      <c r="C189" s="3261" t="s">
        <v>312</v>
      </c>
      <c r="D189" s="3261" t="s">
        <v>312</v>
      </c>
      <c r="E189" s="3261" t="s">
        <v>322</v>
      </c>
      <c r="R189" s="3182"/>
    </row>
    <row r="190" spans="1:18" s="3252" customFormat="1" ht="32.450000000000003" customHeight="1" x14ac:dyDescent="0.3">
      <c r="A190" s="3252" t="s">
        <v>323</v>
      </c>
      <c r="B190" s="3252">
        <v>26</v>
      </c>
      <c r="C190" s="3261" t="s">
        <v>312</v>
      </c>
      <c r="D190" s="3260" t="s">
        <v>312</v>
      </c>
      <c r="E190" s="3261" t="s">
        <v>324</v>
      </c>
      <c r="R190" s="3182"/>
    </row>
    <row r="191" spans="1:18" s="3252" customFormat="1" ht="32.450000000000003" customHeight="1" x14ac:dyDescent="0.3">
      <c r="A191" s="3252" t="s">
        <v>325</v>
      </c>
      <c r="B191" s="3252">
        <v>41</v>
      </c>
      <c r="C191" s="3261" t="s">
        <v>312</v>
      </c>
      <c r="D191" s="3261" t="s">
        <v>312</v>
      </c>
      <c r="E191" s="3261" t="s">
        <v>326</v>
      </c>
      <c r="R191" s="3182"/>
    </row>
    <row r="192" spans="1:18" s="3252" customFormat="1" ht="32.450000000000003" customHeight="1" x14ac:dyDescent="0.3">
      <c r="A192" s="3252" t="s">
        <v>327</v>
      </c>
      <c r="B192" s="3252">
        <v>132</v>
      </c>
      <c r="C192" s="3261" t="s">
        <v>312</v>
      </c>
      <c r="D192" s="3261" t="s">
        <v>312</v>
      </c>
      <c r="E192" s="3261" t="s">
        <v>328</v>
      </c>
      <c r="R192" s="3182"/>
    </row>
    <row r="193" spans="1:18" s="3252" customFormat="1" ht="32.450000000000003" customHeight="1" x14ac:dyDescent="0.3">
      <c r="A193" s="3252" t="s">
        <v>329</v>
      </c>
      <c r="B193" s="3252">
        <v>29</v>
      </c>
      <c r="C193" s="3261" t="s">
        <v>312</v>
      </c>
      <c r="D193" s="3261" t="s">
        <v>312</v>
      </c>
      <c r="E193" s="3261" t="s">
        <v>330</v>
      </c>
      <c r="R193" s="3182"/>
    </row>
    <row r="194" spans="1:18" s="3252" customFormat="1" ht="32.450000000000003" customHeight="1" x14ac:dyDescent="0.3">
      <c r="A194" s="3252" t="s">
        <v>331</v>
      </c>
      <c r="B194" s="3252">
        <v>42</v>
      </c>
      <c r="C194" s="3261" t="s">
        <v>312</v>
      </c>
      <c r="D194" s="3261" t="s">
        <v>312</v>
      </c>
      <c r="E194" s="3261" t="s">
        <v>332</v>
      </c>
      <c r="R194" s="3182"/>
    </row>
    <row r="195" spans="1:18" s="3252" customFormat="1" ht="32.450000000000003" customHeight="1" x14ac:dyDescent="0.3">
      <c r="A195" s="3252" t="s">
        <v>333</v>
      </c>
      <c r="B195" s="3252">
        <v>30</v>
      </c>
      <c r="C195" s="3261" t="s">
        <v>312</v>
      </c>
      <c r="D195" s="3261" t="s">
        <v>312</v>
      </c>
      <c r="E195" s="3261" t="s">
        <v>334</v>
      </c>
      <c r="R195" s="3182"/>
    </row>
    <row r="196" spans="1:18" s="3252" customFormat="1" ht="32.450000000000003" customHeight="1" x14ac:dyDescent="0.3">
      <c r="A196" s="3252" t="s">
        <v>335</v>
      </c>
      <c r="B196" s="3252">
        <v>101</v>
      </c>
      <c r="C196" s="3261" t="s">
        <v>312</v>
      </c>
      <c r="D196" s="3261" t="s">
        <v>312</v>
      </c>
      <c r="E196" s="3262" t="s">
        <v>336</v>
      </c>
      <c r="R196" s="3182"/>
    </row>
    <row r="197" spans="1:18" s="3252" customFormat="1" ht="32.450000000000003" customHeight="1" x14ac:dyDescent="0.3">
      <c r="A197" s="3252" t="s">
        <v>337</v>
      </c>
      <c r="B197" s="3252">
        <v>154</v>
      </c>
      <c r="C197" s="3261" t="s">
        <v>312</v>
      </c>
      <c r="D197" s="3261" t="s">
        <v>338</v>
      </c>
      <c r="E197" s="3261" t="s">
        <v>339</v>
      </c>
      <c r="R197" s="3182"/>
    </row>
    <row r="198" spans="1:18" s="3252" customFormat="1" ht="32.450000000000003" customHeight="1" x14ac:dyDescent="0.3">
      <c r="A198" s="3252" t="s">
        <v>340</v>
      </c>
      <c r="B198" s="3252">
        <v>39</v>
      </c>
      <c r="C198" s="3261" t="s">
        <v>312</v>
      </c>
      <c r="D198" s="3261" t="s">
        <v>341</v>
      </c>
      <c r="E198" s="3261" t="s">
        <v>342</v>
      </c>
      <c r="R198" s="3182"/>
    </row>
    <row r="199" spans="1:18" s="3252" customFormat="1" ht="32.450000000000003" customHeight="1" x14ac:dyDescent="0.3">
      <c r="A199" s="3252" t="s">
        <v>343</v>
      </c>
      <c r="B199" s="3252">
        <v>32</v>
      </c>
      <c r="C199" s="3261" t="s">
        <v>312</v>
      </c>
      <c r="D199" s="3261" t="s">
        <v>344</v>
      </c>
      <c r="E199" s="3261" t="s">
        <v>345</v>
      </c>
      <c r="R199" s="3182"/>
    </row>
    <row r="200" spans="1:18" s="3252" customFormat="1" ht="32.450000000000003" customHeight="1" x14ac:dyDescent="0.3">
      <c r="A200" s="3252" t="s">
        <v>346</v>
      </c>
      <c r="B200" s="3252">
        <v>27</v>
      </c>
      <c r="C200" s="3261" t="s">
        <v>312</v>
      </c>
      <c r="D200" s="3261" t="s">
        <v>347</v>
      </c>
      <c r="E200" s="3261" t="s">
        <v>348</v>
      </c>
      <c r="R200" s="3182"/>
    </row>
    <row r="201" spans="1:18" s="3252" customFormat="1" ht="32.450000000000003" customHeight="1" x14ac:dyDescent="0.3">
      <c r="A201" s="3252" t="s">
        <v>349</v>
      </c>
      <c r="B201" s="3252">
        <v>23</v>
      </c>
      <c r="C201" s="3261" t="s">
        <v>312</v>
      </c>
      <c r="D201" s="3261" t="s">
        <v>350</v>
      </c>
      <c r="E201" s="3261" t="s">
        <v>351</v>
      </c>
      <c r="R201" s="3182"/>
    </row>
    <row r="202" spans="1:18" s="3252" customFormat="1" ht="32.450000000000003" customHeight="1" x14ac:dyDescent="0.3">
      <c r="A202" s="3252" t="s">
        <v>352</v>
      </c>
      <c r="B202" s="3252">
        <v>34</v>
      </c>
      <c r="C202" s="3261" t="s">
        <v>312</v>
      </c>
      <c r="D202" s="3261" t="s">
        <v>350</v>
      </c>
      <c r="E202" s="3261" t="s">
        <v>353</v>
      </c>
      <c r="R202" s="3182"/>
    </row>
    <row r="203" spans="1:18" s="3252" customFormat="1" ht="32.450000000000003" customHeight="1" x14ac:dyDescent="0.3">
      <c r="A203" s="3252" t="s">
        <v>354</v>
      </c>
      <c r="B203" s="3252">
        <v>146</v>
      </c>
      <c r="C203" s="3261" t="s">
        <v>312</v>
      </c>
      <c r="D203" s="3261" t="s">
        <v>350</v>
      </c>
      <c r="E203" s="3262" t="s">
        <v>355</v>
      </c>
      <c r="R203" s="3182"/>
    </row>
    <row r="204" spans="1:18" s="3252" customFormat="1" ht="32.450000000000003" customHeight="1" x14ac:dyDescent="0.3">
      <c r="A204" s="3252" t="s">
        <v>356</v>
      </c>
      <c r="B204" s="3252">
        <v>38</v>
      </c>
      <c r="C204" s="3261" t="s">
        <v>312</v>
      </c>
      <c r="D204" s="3261" t="s">
        <v>357</v>
      </c>
      <c r="E204" s="3261" t="s">
        <v>358</v>
      </c>
      <c r="R204" s="3182"/>
    </row>
    <row r="205" spans="1:18" s="3252" customFormat="1" ht="32.450000000000003" customHeight="1" x14ac:dyDescent="0.3">
      <c r="A205" s="3252" t="s">
        <v>359</v>
      </c>
      <c r="B205" s="3252">
        <v>43</v>
      </c>
      <c r="C205" s="3261" t="s">
        <v>312</v>
      </c>
      <c r="D205" s="3261" t="s">
        <v>357</v>
      </c>
      <c r="E205" s="3261" t="s">
        <v>357</v>
      </c>
      <c r="R205" s="3182"/>
    </row>
    <row r="206" spans="1:18" s="3252" customFormat="1" ht="32.450000000000003" customHeight="1" x14ac:dyDescent="0.3">
      <c r="A206" s="3252" t="s">
        <v>360</v>
      </c>
      <c r="B206" s="3252">
        <v>51</v>
      </c>
      <c r="C206" s="3261" t="s">
        <v>361</v>
      </c>
      <c r="D206" s="3261" t="s">
        <v>362</v>
      </c>
      <c r="E206" s="3261" t="s">
        <v>362</v>
      </c>
      <c r="R206" s="3182"/>
    </row>
    <row r="207" spans="1:18" s="3252" customFormat="1" ht="32.450000000000003" customHeight="1" x14ac:dyDescent="0.3">
      <c r="A207" s="3252" t="s">
        <v>363</v>
      </c>
      <c r="B207" s="3252">
        <v>155</v>
      </c>
      <c r="C207" s="3261" t="s">
        <v>364</v>
      </c>
      <c r="D207" s="3261" t="s">
        <v>365</v>
      </c>
      <c r="E207" s="3261" t="s">
        <v>366</v>
      </c>
      <c r="R207" s="3182"/>
    </row>
    <row r="208" spans="1:18" s="3252" customFormat="1" ht="32.450000000000003" customHeight="1" x14ac:dyDescent="0.3">
      <c r="A208" s="3252" t="s">
        <v>367</v>
      </c>
      <c r="B208" s="3252">
        <v>156</v>
      </c>
      <c r="C208" s="3261" t="s">
        <v>364</v>
      </c>
      <c r="D208" s="3261" t="s">
        <v>365</v>
      </c>
      <c r="E208" s="3261" t="s">
        <v>368</v>
      </c>
      <c r="R208" s="3182"/>
    </row>
    <row r="209" spans="1:18" s="3252" customFormat="1" ht="32.450000000000003" customHeight="1" x14ac:dyDescent="0.3">
      <c r="A209" s="3252" t="s">
        <v>369</v>
      </c>
      <c r="B209" s="3252">
        <v>158</v>
      </c>
      <c r="C209" s="3261" t="s">
        <v>364</v>
      </c>
      <c r="D209" s="3261" t="s">
        <v>365</v>
      </c>
      <c r="E209" s="3261" t="s">
        <v>370</v>
      </c>
      <c r="R209" s="3182"/>
    </row>
    <row r="210" spans="1:18" s="3252" customFormat="1" ht="32.450000000000003" customHeight="1" x14ac:dyDescent="0.3">
      <c r="A210" s="3252" t="s">
        <v>371</v>
      </c>
      <c r="B210" s="3252">
        <v>55</v>
      </c>
      <c r="C210" s="3261" t="s">
        <v>372</v>
      </c>
      <c r="D210" s="3261" t="s">
        <v>373</v>
      </c>
      <c r="E210" s="3261" t="s">
        <v>374</v>
      </c>
      <c r="R210" s="3182"/>
    </row>
    <row r="211" spans="1:18" s="3252" customFormat="1" ht="32.450000000000003" customHeight="1" x14ac:dyDescent="0.3">
      <c r="A211" s="3252" t="s">
        <v>375</v>
      </c>
      <c r="B211" s="3252">
        <v>56</v>
      </c>
      <c r="C211" s="3261" t="s">
        <v>372</v>
      </c>
      <c r="D211" s="3261" t="s">
        <v>373</v>
      </c>
      <c r="E211" s="3261" t="s">
        <v>376</v>
      </c>
      <c r="R211" s="3182"/>
    </row>
    <row r="212" spans="1:18" s="3252" customFormat="1" ht="32.450000000000003" customHeight="1" x14ac:dyDescent="0.3">
      <c r="A212" s="3252" t="s">
        <v>377</v>
      </c>
      <c r="B212" s="3252">
        <v>114</v>
      </c>
      <c r="C212" s="3261" t="s">
        <v>372</v>
      </c>
      <c r="D212" s="3261" t="s">
        <v>373</v>
      </c>
      <c r="E212" s="3261" t="s">
        <v>378</v>
      </c>
      <c r="R212" s="3182"/>
    </row>
    <row r="213" spans="1:18" s="3252" customFormat="1" ht="32.450000000000003" customHeight="1" x14ac:dyDescent="0.3">
      <c r="A213" s="3252" t="s">
        <v>379</v>
      </c>
      <c r="B213" s="3252">
        <v>117</v>
      </c>
      <c r="C213" s="3261" t="s">
        <v>372</v>
      </c>
      <c r="D213" s="3261" t="s">
        <v>373</v>
      </c>
      <c r="E213" s="3261" t="s">
        <v>380</v>
      </c>
      <c r="R213" s="3182"/>
    </row>
    <row r="214" spans="1:18" s="3252" customFormat="1" ht="32.450000000000003" customHeight="1" x14ac:dyDescent="0.3">
      <c r="A214" s="3252" t="s">
        <v>381</v>
      </c>
      <c r="B214" s="3252">
        <v>116</v>
      </c>
      <c r="C214" s="3261" t="s">
        <v>372</v>
      </c>
      <c r="D214" s="3261" t="s">
        <v>373</v>
      </c>
      <c r="E214" s="3261" t="s">
        <v>373</v>
      </c>
      <c r="R214" s="3182"/>
    </row>
    <row r="215" spans="1:18" s="3252" customFormat="1" ht="32.450000000000003" customHeight="1" x14ac:dyDescent="0.3">
      <c r="A215" s="3252" t="s">
        <v>382</v>
      </c>
      <c r="B215" s="3252">
        <v>70</v>
      </c>
      <c r="C215" s="3261" t="s">
        <v>383</v>
      </c>
      <c r="D215" s="3261" t="s">
        <v>313</v>
      </c>
      <c r="E215" s="3261" t="s">
        <v>384</v>
      </c>
      <c r="R215" s="3182"/>
    </row>
    <row r="216" spans="1:18" s="3252" customFormat="1" ht="32.450000000000003" customHeight="1" x14ac:dyDescent="0.3">
      <c r="A216" s="3252" t="s">
        <v>385</v>
      </c>
      <c r="B216" s="3252">
        <v>69</v>
      </c>
      <c r="C216" s="3261" t="s">
        <v>383</v>
      </c>
      <c r="D216" s="3261" t="s">
        <v>313</v>
      </c>
      <c r="E216" s="3261" t="s">
        <v>386</v>
      </c>
      <c r="R216" s="3182"/>
    </row>
    <row r="217" spans="1:18" s="3252" customFormat="1" ht="32.450000000000003" customHeight="1" x14ac:dyDescent="0.3">
      <c r="A217" s="3252" t="s">
        <v>387</v>
      </c>
      <c r="B217" s="3252">
        <v>17</v>
      </c>
      <c r="C217" s="3261" t="s">
        <v>383</v>
      </c>
      <c r="D217" s="3261" t="s">
        <v>284</v>
      </c>
      <c r="E217" s="3261" t="s">
        <v>388</v>
      </c>
      <c r="R217" s="3182"/>
    </row>
    <row r="218" spans="1:18" s="3252" customFormat="1" ht="32.450000000000003" customHeight="1" x14ac:dyDescent="0.3">
      <c r="A218" s="3252" t="s">
        <v>389</v>
      </c>
      <c r="B218" s="3252">
        <v>8</v>
      </c>
      <c r="C218" s="3261" t="s">
        <v>383</v>
      </c>
      <c r="D218" s="3261" t="s">
        <v>287</v>
      </c>
      <c r="E218" s="3261" t="s">
        <v>390</v>
      </c>
      <c r="R218" s="3182"/>
    </row>
    <row r="219" spans="1:18" s="3252" customFormat="1" ht="32.450000000000003" customHeight="1" x14ac:dyDescent="0.3">
      <c r="A219" s="3252" t="s">
        <v>391</v>
      </c>
      <c r="B219" s="3252">
        <v>50</v>
      </c>
      <c r="C219" s="3261" t="s">
        <v>383</v>
      </c>
      <c r="D219" s="3261" t="s">
        <v>392</v>
      </c>
      <c r="E219" s="3261" t="s">
        <v>392</v>
      </c>
      <c r="R219" s="3182"/>
    </row>
    <row r="220" spans="1:18" s="3252" customFormat="1" ht="32.450000000000003" customHeight="1" x14ac:dyDescent="0.3">
      <c r="A220" s="3252" t="s">
        <v>393</v>
      </c>
      <c r="B220" s="3252">
        <v>5</v>
      </c>
      <c r="C220" s="3261" t="s">
        <v>383</v>
      </c>
      <c r="D220" s="3261" t="s">
        <v>294</v>
      </c>
      <c r="E220" s="3261" t="s">
        <v>394</v>
      </c>
      <c r="R220" s="3182"/>
    </row>
    <row r="221" spans="1:18" s="3252" customFormat="1" ht="32.450000000000003" customHeight="1" x14ac:dyDescent="0.3">
      <c r="A221" s="3252" t="s">
        <v>395</v>
      </c>
      <c r="B221" s="3252">
        <v>85</v>
      </c>
      <c r="C221" s="3261" t="s">
        <v>383</v>
      </c>
      <c r="D221" s="3261" t="s">
        <v>338</v>
      </c>
      <c r="E221" s="3261" t="s">
        <v>396</v>
      </c>
      <c r="R221" s="3182"/>
    </row>
    <row r="222" spans="1:18" s="3252" customFormat="1" ht="32.450000000000003" customHeight="1" x14ac:dyDescent="0.3">
      <c r="A222" s="3252" t="s">
        <v>397</v>
      </c>
      <c r="B222" s="3252">
        <v>81</v>
      </c>
      <c r="C222" s="3261" t="s">
        <v>383</v>
      </c>
      <c r="D222" s="3261" t="s">
        <v>338</v>
      </c>
      <c r="E222" s="3261" t="s">
        <v>398</v>
      </c>
      <c r="R222" s="3182"/>
    </row>
    <row r="223" spans="1:18" s="3252" customFormat="1" ht="32.450000000000003" customHeight="1" x14ac:dyDescent="0.3">
      <c r="A223" s="3252" t="s">
        <v>399</v>
      </c>
      <c r="B223" s="3252">
        <v>73</v>
      </c>
      <c r="C223" s="3261" t="s">
        <v>383</v>
      </c>
      <c r="D223" s="3261" t="s">
        <v>400</v>
      </c>
      <c r="E223" s="3261" t="s">
        <v>401</v>
      </c>
      <c r="R223" s="3182"/>
    </row>
    <row r="224" spans="1:18" s="3252" customFormat="1" ht="32.450000000000003" customHeight="1" x14ac:dyDescent="0.3">
      <c r="A224" s="3252" t="s">
        <v>402</v>
      </c>
      <c r="B224" s="3252">
        <v>78</v>
      </c>
      <c r="C224" s="3261" t="s">
        <v>383</v>
      </c>
      <c r="D224" s="3261" t="s">
        <v>400</v>
      </c>
      <c r="E224" s="3261" t="s">
        <v>403</v>
      </c>
      <c r="R224" s="3182"/>
    </row>
    <row r="225" spans="1:18" s="3252" customFormat="1" ht="32.450000000000003" customHeight="1" x14ac:dyDescent="0.3">
      <c r="A225" s="3252" t="s">
        <v>404</v>
      </c>
      <c r="B225" s="3252">
        <v>80</v>
      </c>
      <c r="C225" s="3261" t="s">
        <v>383</v>
      </c>
      <c r="D225" s="3261" t="s">
        <v>400</v>
      </c>
      <c r="E225" s="3261" t="s">
        <v>405</v>
      </c>
      <c r="R225" s="3182"/>
    </row>
    <row r="226" spans="1:18" s="3252" customFormat="1" ht="32.450000000000003" customHeight="1" x14ac:dyDescent="0.3">
      <c r="A226" s="3252" t="s">
        <v>406</v>
      </c>
      <c r="B226" s="3252">
        <v>84</v>
      </c>
      <c r="C226" s="3261" t="s">
        <v>383</v>
      </c>
      <c r="D226" s="3261" t="s">
        <v>400</v>
      </c>
      <c r="E226" s="3261" t="s">
        <v>400</v>
      </c>
      <c r="R226" s="3182"/>
    </row>
    <row r="227" spans="1:18" s="3252" customFormat="1" ht="32.450000000000003" customHeight="1" x14ac:dyDescent="0.3">
      <c r="A227" s="3252" t="s">
        <v>407</v>
      </c>
      <c r="B227" s="3252">
        <v>144</v>
      </c>
      <c r="C227" s="3261" t="s">
        <v>383</v>
      </c>
      <c r="D227" s="3261" t="s">
        <v>400</v>
      </c>
      <c r="E227" s="3261" t="s">
        <v>408</v>
      </c>
      <c r="R227" s="3182"/>
    </row>
    <row r="228" spans="1:18" s="3252" customFormat="1" ht="32.450000000000003" customHeight="1" x14ac:dyDescent="0.3">
      <c r="A228" s="3252" t="s">
        <v>409</v>
      </c>
      <c r="B228" s="3252">
        <v>93</v>
      </c>
      <c r="C228" s="3261" t="s">
        <v>383</v>
      </c>
      <c r="D228" s="3261" t="s">
        <v>400</v>
      </c>
      <c r="E228" s="3261" t="s">
        <v>410</v>
      </c>
      <c r="R228" s="3182"/>
    </row>
    <row r="229" spans="1:18" s="3252" customFormat="1" ht="32.450000000000003" customHeight="1" x14ac:dyDescent="0.3">
      <c r="A229" s="3252" t="s">
        <v>411</v>
      </c>
      <c r="B229" s="3252">
        <v>94</v>
      </c>
      <c r="C229" s="3261" t="s">
        <v>383</v>
      </c>
      <c r="D229" s="3261" t="s">
        <v>400</v>
      </c>
      <c r="E229" s="3261" t="s">
        <v>412</v>
      </c>
      <c r="R229" s="3182"/>
    </row>
    <row r="230" spans="1:18" s="3252" customFormat="1" ht="32.450000000000003" customHeight="1" x14ac:dyDescent="0.3">
      <c r="A230" s="3252" t="s">
        <v>413</v>
      </c>
      <c r="B230" s="3252">
        <v>98</v>
      </c>
      <c r="C230" s="3261" t="s">
        <v>383</v>
      </c>
      <c r="D230" s="3261" t="s">
        <v>400</v>
      </c>
      <c r="E230" s="3261" t="s">
        <v>414</v>
      </c>
      <c r="R230" s="3182"/>
    </row>
    <row r="231" spans="1:18" s="3252" customFormat="1" ht="32.450000000000003" customHeight="1" x14ac:dyDescent="0.3">
      <c r="A231" s="3252" t="s">
        <v>415</v>
      </c>
      <c r="B231" s="3252">
        <v>75</v>
      </c>
      <c r="C231" s="3261" t="s">
        <v>383</v>
      </c>
      <c r="D231" s="3261" t="s">
        <v>341</v>
      </c>
      <c r="E231" s="3261" t="s">
        <v>416</v>
      </c>
      <c r="R231" s="3182"/>
    </row>
    <row r="232" spans="1:18" s="3252" customFormat="1" ht="32.450000000000003" customHeight="1" x14ac:dyDescent="0.3">
      <c r="A232" s="3252" t="s">
        <v>417</v>
      </c>
      <c r="B232" s="3252">
        <v>76</v>
      </c>
      <c r="C232" s="3261" t="s">
        <v>383</v>
      </c>
      <c r="D232" s="3261" t="s">
        <v>341</v>
      </c>
      <c r="E232" s="3261" t="s">
        <v>418</v>
      </c>
      <c r="R232" s="3182"/>
    </row>
    <row r="233" spans="1:18" s="3252" customFormat="1" ht="32.450000000000003" customHeight="1" x14ac:dyDescent="0.3">
      <c r="A233" s="3252" t="s">
        <v>419</v>
      </c>
      <c r="B233" s="3252">
        <v>86</v>
      </c>
      <c r="C233" s="3261" t="s">
        <v>383</v>
      </c>
      <c r="D233" s="3261" t="s">
        <v>420</v>
      </c>
      <c r="E233" s="3261" t="s">
        <v>421</v>
      </c>
      <c r="R233" s="3182"/>
    </row>
    <row r="234" spans="1:18" s="3252" customFormat="1" ht="32.450000000000003" customHeight="1" x14ac:dyDescent="0.3">
      <c r="A234" s="3252" t="s">
        <v>422</v>
      </c>
      <c r="B234" s="3252">
        <v>87</v>
      </c>
      <c r="C234" s="3261" t="s">
        <v>383</v>
      </c>
      <c r="D234" s="3261" t="s">
        <v>423</v>
      </c>
      <c r="E234" s="3261" t="s">
        <v>423</v>
      </c>
      <c r="R234" s="3182"/>
    </row>
    <row r="235" spans="1:18" s="3252" customFormat="1" ht="32.450000000000003" customHeight="1" x14ac:dyDescent="0.3">
      <c r="A235" s="3252" t="s">
        <v>424</v>
      </c>
      <c r="B235" s="3252">
        <v>89</v>
      </c>
      <c r="C235" s="3261" t="s">
        <v>383</v>
      </c>
      <c r="D235" s="3261" t="s">
        <v>344</v>
      </c>
      <c r="E235" s="3261" t="s">
        <v>425</v>
      </c>
      <c r="R235" s="3182"/>
    </row>
    <row r="236" spans="1:18" s="3252" customFormat="1" ht="32.450000000000003" customHeight="1" x14ac:dyDescent="0.3">
      <c r="A236" s="3252" t="s">
        <v>426</v>
      </c>
      <c r="B236" s="3252">
        <v>91</v>
      </c>
      <c r="C236" s="3261" t="s">
        <v>383</v>
      </c>
      <c r="D236" s="3261" t="s">
        <v>344</v>
      </c>
      <c r="E236" s="3261" t="s">
        <v>427</v>
      </c>
      <c r="R236" s="3182"/>
    </row>
    <row r="237" spans="1:18" s="3252" customFormat="1" ht="32.450000000000003" customHeight="1" x14ac:dyDescent="0.3">
      <c r="A237" s="3252" t="s">
        <v>428</v>
      </c>
      <c r="B237" s="3252">
        <v>92</v>
      </c>
      <c r="C237" s="3261" t="s">
        <v>383</v>
      </c>
      <c r="D237" s="3261" t="s">
        <v>344</v>
      </c>
      <c r="E237" s="3261" t="s">
        <v>429</v>
      </c>
      <c r="R237" s="3182"/>
    </row>
    <row r="238" spans="1:18" s="3252" customFormat="1" ht="32.450000000000003" customHeight="1" x14ac:dyDescent="0.3">
      <c r="A238" s="3252" t="s">
        <v>430</v>
      </c>
      <c r="B238" s="3252">
        <v>88</v>
      </c>
      <c r="C238" s="3261" t="s">
        <v>383</v>
      </c>
      <c r="D238" s="3261" t="s">
        <v>347</v>
      </c>
      <c r="E238" s="3261" t="s">
        <v>431</v>
      </c>
      <c r="H238" s="3261"/>
      <c r="R238" s="3182"/>
    </row>
    <row r="239" spans="1:18" s="3252" customFormat="1" ht="32.450000000000003" customHeight="1" x14ac:dyDescent="0.3">
      <c r="A239" s="3252" t="s">
        <v>432</v>
      </c>
      <c r="B239" s="3252">
        <v>136</v>
      </c>
      <c r="C239" s="3261" t="s">
        <v>383</v>
      </c>
      <c r="D239" s="3261" t="s">
        <v>357</v>
      </c>
      <c r="E239" s="3261" t="s">
        <v>433</v>
      </c>
      <c r="H239" s="3261"/>
      <c r="R239" s="3182"/>
    </row>
    <row r="240" spans="1:18" s="3252" customFormat="1" ht="32.450000000000003" customHeight="1" x14ac:dyDescent="0.3">
      <c r="A240" s="3252" t="s">
        <v>434</v>
      </c>
      <c r="B240" s="3252">
        <v>79</v>
      </c>
      <c r="C240" s="3261" t="s">
        <v>383</v>
      </c>
      <c r="D240" s="3261" t="s">
        <v>357</v>
      </c>
      <c r="E240" s="3261" t="s">
        <v>435</v>
      </c>
      <c r="H240" s="3261"/>
      <c r="R240" s="3182"/>
    </row>
    <row r="241" spans="1:18" s="3252" customFormat="1" ht="32.450000000000003" customHeight="1" x14ac:dyDescent="0.3">
      <c r="A241" s="3252" t="s">
        <v>436</v>
      </c>
      <c r="B241" s="3252">
        <v>52</v>
      </c>
      <c r="C241" s="3261" t="s">
        <v>437</v>
      </c>
      <c r="D241" s="3261" t="s">
        <v>438</v>
      </c>
      <c r="E241" s="3261" t="s">
        <v>438</v>
      </c>
      <c r="H241" s="3261"/>
      <c r="R241" s="3182"/>
    </row>
    <row r="242" spans="1:18" s="3252" customFormat="1" ht="32.450000000000003" customHeight="1" x14ac:dyDescent="0.3">
      <c r="A242" s="3252" t="s">
        <v>439</v>
      </c>
      <c r="B242" s="3252">
        <v>137</v>
      </c>
      <c r="C242" s="3261" t="s">
        <v>440</v>
      </c>
      <c r="D242" s="3261" t="s">
        <v>373</v>
      </c>
      <c r="E242" s="3261" t="s">
        <v>440</v>
      </c>
      <c r="H242" s="3261"/>
      <c r="R242" s="3182"/>
    </row>
    <row r="243" spans="1:18" s="3252" customFormat="1" ht="32.450000000000003" customHeight="1" x14ac:dyDescent="0.3">
      <c r="A243" s="3252" t="s">
        <v>441</v>
      </c>
      <c r="B243" s="3252">
        <v>159</v>
      </c>
      <c r="C243" s="3261" t="s">
        <v>442</v>
      </c>
      <c r="D243" s="3261" t="s">
        <v>400</v>
      </c>
      <c r="E243" s="3261" t="s">
        <v>443</v>
      </c>
      <c r="R243" s="3182"/>
    </row>
    <row r="244" spans="1:18" s="3252" customFormat="1" ht="32.450000000000003" customHeight="1" x14ac:dyDescent="0.3">
      <c r="A244" s="3252" t="s">
        <v>444</v>
      </c>
      <c r="B244" s="3252">
        <v>71</v>
      </c>
      <c r="C244" s="3261" t="s">
        <v>442</v>
      </c>
      <c r="D244" s="3261" t="s">
        <v>350</v>
      </c>
      <c r="E244" s="3261" t="s">
        <v>445</v>
      </c>
      <c r="R244" s="3182"/>
    </row>
    <row r="245" spans="1:18" s="3252" customFormat="1" ht="32.450000000000003" customHeight="1" x14ac:dyDescent="0.3">
      <c r="A245" s="3252" t="s">
        <v>446</v>
      </c>
      <c r="B245" s="3252">
        <v>95</v>
      </c>
      <c r="C245" s="3261" t="s">
        <v>442</v>
      </c>
      <c r="D245" s="3261" t="s">
        <v>350</v>
      </c>
      <c r="E245" s="3261" t="s">
        <v>447</v>
      </c>
      <c r="R245" s="3182"/>
    </row>
    <row r="246" spans="1:18" s="3252" customFormat="1" ht="32.450000000000003" customHeight="1" x14ac:dyDescent="0.3">
      <c r="A246" s="3252" t="s">
        <v>448</v>
      </c>
      <c r="B246" s="3252">
        <v>74</v>
      </c>
      <c r="C246" s="3261" t="s">
        <v>442</v>
      </c>
      <c r="D246" s="3261" t="s">
        <v>350</v>
      </c>
      <c r="E246" s="3261" t="s">
        <v>449</v>
      </c>
      <c r="R246" s="3182"/>
    </row>
    <row r="247" spans="1:18" s="3252" customFormat="1" ht="32.450000000000003" customHeight="1" x14ac:dyDescent="0.3">
      <c r="A247" s="3252" t="s">
        <v>450</v>
      </c>
      <c r="B247" s="3252">
        <v>97</v>
      </c>
      <c r="C247" s="3261" t="s">
        <v>442</v>
      </c>
      <c r="D247" s="3261" t="s">
        <v>350</v>
      </c>
      <c r="E247" s="3261" t="s">
        <v>451</v>
      </c>
      <c r="R247" s="3182"/>
    </row>
    <row r="248" spans="1:18" s="3252" customFormat="1" ht="32.450000000000003" customHeight="1" x14ac:dyDescent="0.3">
      <c r="A248" s="3252" t="s">
        <v>452</v>
      </c>
      <c r="B248" s="3252">
        <v>133</v>
      </c>
      <c r="C248" s="3261" t="s">
        <v>453</v>
      </c>
      <c r="D248" s="3261" t="s">
        <v>454</v>
      </c>
      <c r="E248" s="3261" t="s">
        <v>455</v>
      </c>
      <c r="R248" s="3182"/>
    </row>
    <row r="249" spans="1:18" s="3252" customFormat="1" ht="32.450000000000003" customHeight="1" x14ac:dyDescent="0.3">
      <c r="A249" s="3252" t="s">
        <v>456</v>
      </c>
      <c r="B249" s="3252">
        <v>60</v>
      </c>
      <c r="C249" s="3261" t="s">
        <v>457</v>
      </c>
      <c r="D249" s="3261" t="s">
        <v>458</v>
      </c>
      <c r="E249" s="3261" t="s">
        <v>459</v>
      </c>
      <c r="R249" s="3182"/>
    </row>
    <row r="250" spans="1:18" s="3252" customFormat="1" ht="32.450000000000003" customHeight="1" x14ac:dyDescent="0.3">
      <c r="A250" s="3252" t="s">
        <v>460</v>
      </c>
      <c r="B250" s="3252">
        <v>61</v>
      </c>
      <c r="C250" s="3261" t="s">
        <v>457</v>
      </c>
      <c r="D250" s="3261" t="s">
        <v>461</v>
      </c>
      <c r="E250" s="3261" t="s">
        <v>462</v>
      </c>
      <c r="R250" s="3182"/>
    </row>
    <row r="251" spans="1:18" s="3252" customFormat="1" ht="32.450000000000003" customHeight="1" x14ac:dyDescent="0.3">
      <c r="A251" s="3252" t="s">
        <v>463</v>
      </c>
      <c r="B251" s="3252">
        <v>62</v>
      </c>
      <c r="C251" s="3261" t="s">
        <v>457</v>
      </c>
      <c r="D251" s="3261" t="s">
        <v>461</v>
      </c>
      <c r="E251" s="3261" t="s">
        <v>464</v>
      </c>
      <c r="R251" s="3182"/>
    </row>
    <row r="252" spans="1:18" s="3252" customFormat="1" ht="32.450000000000003" customHeight="1" x14ac:dyDescent="0.3">
      <c r="A252" s="3252" t="s">
        <v>465</v>
      </c>
      <c r="B252" s="3252">
        <v>58</v>
      </c>
      <c r="C252" s="3261" t="s">
        <v>457</v>
      </c>
      <c r="D252" s="3261" t="s">
        <v>466</v>
      </c>
      <c r="E252" s="3261" t="s">
        <v>467</v>
      </c>
      <c r="R252" s="3182"/>
    </row>
    <row r="253" spans="1:18" s="3252" customFormat="1" ht="32.450000000000003" customHeight="1" x14ac:dyDescent="0.3">
      <c r="A253" s="3252" t="s">
        <v>468</v>
      </c>
      <c r="B253" s="3252">
        <v>104</v>
      </c>
      <c r="C253" s="3261" t="s">
        <v>469</v>
      </c>
      <c r="D253" s="3261" t="s">
        <v>470</v>
      </c>
      <c r="E253" s="3261" t="s">
        <v>471</v>
      </c>
      <c r="R253" s="3182"/>
    </row>
    <row r="254" spans="1:18" s="3252" customFormat="1" ht="32.450000000000003" customHeight="1" x14ac:dyDescent="0.3">
      <c r="A254" s="3252" t="s">
        <v>472</v>
      </c>
      <c r="B254" s="3252">
        <v>164</v>
      </c>
      <c r="C254" s="3261" t="s">
        <v>469</v>
      </c>
      <c r="D254" s="3261" t="s">
        <v>470</v>
      </c>
      <c r="E254" s="3261" t="s">
        <v>473</v>
      </c>
      <c r="R254" s="3182"/>
    </row>
    <row r="255" spans="1:18" s="3252" customFormat="1" ht="32.450000000000003" customHeight="1" x14ac:dyDescent="0.3">
      <c r="A255" s="3252" t="s">
        <v>474</v>
      </c>
      <c r="B255" s="3252">
        <v>46</v>
      </c>
      <c r="C255" s="3261" t="s">
        <v>469</v>
      </c>
      <c r="D255" s="3261" t="s">
        <v>475</v>
      </c>
      <c r="E255" s="3261" t="s">
        <v>476</v>
      </c>
      <c r="R255" s="3182"/>
    </row>
    <row r="256" spans="1:18" s="3252" customFormat="1" ht="32.450000000000003" customHeight="1" x14ac:dyDescent="0.3">
      <c r="A256" s="3252" t="s">
        <v>477</v>
      </c>
      <c r="B256" s="3252">
        <v>33</v>
      </c>
      <c r="C256" s="3261" t="s">
        <v>469</v>
      </c>
      <c r="D256" s="3261" t="s">
        <v>475</v>
      </c>
      <c r="E256" s="3261" t="s">
        <v>478</v>
      </c>
      <c r="R256" s="3182"/>
    </row>
    <row r="257" spans="1:18" s="3252" customFormat="1" ht="32.450000000000003" customHeight="1" x14ac:dyDescent="0.3">
      <c r="A257" s="3252" t="s">
        <v>479</v>
      </c>
      <c r="B257" s="3252">
        <v>106</v>
      </c>
      <c r="C257" s="3261" t="s">
        <v>469</v>
      </c>
      <c r="D257" s="3261" t="s">
        <v>480</v>
      </c>
      <c r="E257" s="3261" t="s">
        <v>480</v>
      </c>
      <c r="R257" s="3182"/>
    </row>
    <row r="258" spans="1:18" s="3252" customFormat="1" ht="32.450000000000003" customHeight="1" x14ac:dyDescent="0.3">
      <c r="A258" s="3252" t="s">
        <v>481</v>
      </c>
      <c r="B258" s="3252">
        <v>109</v>
      </c>
      <c r="C258" s="3261" t="s">
        <v>469</v>
      </c>
      <c r="D258" s="3261" t="s">
        <v>482</v>
      </c>
      <c r="E258" s="3261" t="s">
        <v>482</v>
      </c>
      <c r="R258" s="3182"/>
    </row>
    <row r="259" spans="1:18" s="3252" customFormat="1" ht="32.450000000000003" customHeight="1" x14ac:dyDescent="0.3">
      <c r="A259" s="3252" t="s">
        <v>483</v>
      </c>
      <c r="B259" s="3252">
        <v>100</v>
      </c>
      <c r="C259" s="3261" t="s">
        <v>469</v>
      </c>
      <c r="D259" s="3261" t="s">
        <v>484</v>
      </c>
      <c r="E259" s="3261" t="s">
        <v>484</v>
      </c>
      <c r="R259" s="3182"/>
    </row>
    <row r="260" spans="1:18" s="3252" customFormat="1" ht="32.450000000000003" customHeight="1" x14ac:dyDescent="0.3">
      <c r="A260" s="3252" t="s">
        <v>485</v>
      </c>
      <c r="B260" s="3252">
        <v>45</v>
      </c>
      <c r="C260" s="3261" t="s">
        <v>469</v>
      </c>
      <c r="D260" s="3261" t="s">
        <v>341</v>
      </c>
      <c r="E260" s="3261" t="s">
        <v>486</v>
      </c>
      <c r="R260" s="3182"/>
    </row>
    <row r="261" spans="1:18" s="3252" customFormat="1" ht="32.450000000000003" customHeight="1" x14ac:dyDescent="0.3">
      <c r="A261" s="3252" t="s">
        <v>487</v>
      </c>
      <c r="B261" s="3252">
        <v>145</v>
      </c>
      <c r="C261" s="3261" t="s">
        <v>469</v>
      </c>
      <c r="D261" s="3261" t="s">
        <v>466</v>
      </c>
      <c r="E261" s="3261" t="s">
        <v>488</v>
      </c>
      <c r="R261" s="3182"/>
    </row>
    <row r="262" spans="1:18" s="3252" customFormat="1" ht="32.450000000000003" customHeight="1" x14ac:dyDescent="0.3">
      <c r="A262" s="3252" t="s">
        <v>489</v>
      </c>
      <c r="B262" s="3252">
        <v>160</v>
      </c>
      <c r="C262" s="3261" t="s">
        <v>469</v>
      </c>
      <c r="D262" s="3261" t="s">
        <v>347</v>
      </c>
      <c r="E262" s="3261" t="s">
        <v>347</v>
      </c>
      <c r="R262" s="3182"/>
    </row>
    <row r="263" spans="1:18" s="3252" customFormat="1" ht="32.450000000000003" customHeight="1" x14ac:dyDescent="0.3">
      <c r="A263" s="3252" t="s">
        <v>490</v>
      </c>
      <c r="B263" s="3252">
        <v>103</v>
      </c>
      <c r="C263" s="3261" t="s">
        <v>469</v>
      </c>
      <c r="D263" s="3261" t="s">
        <v>469</v>
      </c>
      <c r="E263" s="3261" t="s">
        <v>491</v>
      </c>
      <c r="R263" s="3182"/>
    </row>
    <row r="264" spans="1:18" s="3252" customFormat="1" ht="32.450000000000003" customHeight="1" x14ac:dyDescent="0.3">
      <c r="A264" s="3252" t="s">
        <v>492</v>
      </c>
      <c r="B264" s="3252">
        <v>105</v>
      </c>
      <c r="C264" s="3261" t="s">
        <v>469</v>
      </c>
      <c r="D264" s="3261" t="s">
        <v>469</v>
      </c>
      <c r="E264" s="3261" t="s">
        <v>493</v>
      </c>
      <c r="R264" s="3182"/>
    </row>
    <row r="265" spans="1:18" s="3252" customFormat="1" ht="32.450000000000003" customHeight="1" x14ac:dyDescent="0.3">
      <c r="A265" s="3252" t="s">
        <v>494</v>
      </c>
      <c r="B265" s="3252">
        <v>36</v>
      </c>
      <c r="C265" s="3261" t="s">
        <v>469</v>
      </c>
      <c r="D265" s="3261" t="s">
        <v>469</v>
      </c>
      <c r="E265" s="3261" t="s">
        <v>495</v>
      </c>
      <c r="R265" s="3182"/>
    </row>
    <row r="266" spans="1:18" s="3252" customFormat="1" ht="32.450000000000003" customHeight="1" x14ac:dyDescent="0.3">
      <c r="A266" s="3252" t="s">
        <v>496</v>
      </c>
      <c r="B266" s="3252">
        <v>143</v>
      </c>
      <c r="C266" s="3261" t="s">
        <v>469</v>
      </c>
      <c r="D266" s="3261" t="s">
        <v>469</v>
      </c>
      <c r="E266" s="3261" t="s">
        <v>497</v>
      </c>
      <c r="R266" s="3182"/>
    </row>
    <row r="267" spans="1:18" s="3252" customFormat="1" ht="32.450000000000003" customHeight="1" x14ac:dyDescent="0.3">
      <c r="A267" s="3252" t="s">
        <v>498</v>
      </c>
      <c r="B267" s="3252">
        <v>107</v>
      </c>
      <c r="C267" s="3261" t="s">
        <v>469</v>
      </c>
      <c r="D267" s="3261" t="s">
        <v>469</v>
      </c>
      <c r="E267" s="3261" t="s">
        <v>499</v>
      </c>
      <c r="R267" s="3182"/>
    </row>
    <row r="268" spans="1:18" s="3252" customFormat="1" ht="32.450000000000003" customHeight="1" x14ac:dyDescent="0.3">
      <c r="A268" s="3252" t="s">
        <v>500</v>
      </c>
      <c r="B268" s="3252">
        <v>142</v>
      </c>
      <c r="C268" s="3261" t="s">
        <v>469</v>
      </c>
      <c r="D268" s="3261" t="s">
        <v>469</v>
      </c>
      <c r="E268" s="3261" t="s">
        <v>501</v>
      </c>
      <c r="R268" s="3182"/>
    </row>
    <row r="269" spans="1:18" s="3252" customFormat="1" ht="32.450000000000003" customHeight="1" x14ac:dyDescent="0.3">
      <c r="A269" s="3252" t="s">
        <v>502</v>
      </c>
      <c r="B269" s="3252">
        <v>108</v>
      </c>
      <c r="C269" s="3261" t="s">
        <v>469</v>
      </c>
      <c r="D269" s="3261" t="s">
        <v>469</v>
      </c>
      <c r="E269" s="3261" t="s">
        <v>503</v>
      </c>
      <c r="R269" s="3182"/>
    </row>
    <row r="270" spans="1:18" s="3252" customFormat="1" ht="32.450000000000003" customHeight="1" x14ac:dyDescent="0.3">
      <c r="A270" s="3252" t="s">
        <v>504</v>
      </c>
      <c r="B270" s="3252">
        <v>110</v>
      </c>
      <c r="C270" s="3261" t="s">
        <v>469</v>
      </c>
      <c r="D270" s="3261" t="s">
        <v>469</v>
      </c>
      <c r="E270" s="3261" t="s">
        <v>505</v>
      </c>
      <c r="R270" s="3182"/>
    </row>
    <row r="271" spans="1:18" s="3252" customFormat="1" ht="32.450000000000003" customHeight="1" x14ac:dyDescent="0.3">
      <c r="A271" s="3252" t="s">
        <v>506</v>
      </c>
      <c r="B271" s="3252">
        <v>111</v>
      </c>
      <c r="C271" s="3261" t="s">
        <v>469</v>
      </c>
      <c r="D271" s="3261" t="s">
        <v>469</v>
      </c>
      <c r="E271" s="3261" t="s">
        <v>507</v>
      </c>
      <c r="R271" s="3182"/>
    </row>
    <row r="272" spans="1:18" s="3252" customFormat="1" ht="32.450000000000003" customHeight="1" x14ac:dyDescent="0.3">
      <c r="A272" s="3252" t="s">
        <v>508</v>
      </c>
      <c r="B272" s="3252">
        <v>113</v>
      </c>
      <c r="C272" s="3261" t="s">
        <v>469</v>
      </c>
      <c r="D272" s="3261" t="s">
        <v>469</v>
      </c>
      <c r="E272" s="3261" t="s">
        <v>509</v>
      </c>
      <c r="R272" s="3182"/>
    </row>
    <row r="273" spans="1:18" s="3252" customFormat="1" ht="32.450000000000003" customHeight="1" x14ac:dyDescent="0.3">
      <c r="A273" s="3252" t="s">
        <v>510</v>
      </c>
      <c r="B273" s="3252">
        <v>115</v>
      </c>
      <c r="C273" s="3261" t="s">
        <v>469</v>
      </c>
      <c r="D273" s="3261" t="s">
        <v>469</v>
      </c>
      <c r="E273" s="3261" t="s">
        <v>511</v>
      </c>
      <c r="R273" s="3182"/>
    </row>
    <row r="274" spans="1:18" s="3252" customFormat="1" ht="32.450000000000003" customHeight="1" x14ac:dyDescent="0.3">
      <c r="A274" s="3252" t="s">
        <v>512</v>
      </c>
      <c r="B274" s="3252">
        <v>72</v>
      </c>
      <c r="C274" s="3261" t="s">
        <v>469</v>
      </c>
      <c r="D274" s="3261" t="s">
        <v>469</v>
      </c>
      <c r="E274" s="3261" t="s">
        <v>513</v>
      </c>
      <c r="R274" s="3182"/>
    </row>
    <row r="275" spans="1:18" s="3252" customFormat="1" ht="32.450000000000003" customHeight="1" x14ac:dyDescent="0.3">
      <c r="A275" s="3252" t="s">
        <v>514</v>
      </c>
      <c r="B275" s="3252">
        <v>118</v>
      </c>
      <c r="C275" s="3261" t="s">
        <v>469</v>
      </c>
      <c r="D275" s="3261" t="s">
        <v>469</v>
      </c>
      <c r="E275" s="3261" t="s">
        <v>515</v>
      </c>
      <c r="R275" s="3182"/>
    </row>
    <row r="276" spans="1:18" s="3252" customFormat="1" ht="32.450000000000003" customHeight="1" x14ac:dyDescent="0.3">
      <c r="A276" s="3252" t="s">
        <v>516</v>
      </c>
      <c r="B276" s="3252">
        <v>122</v>
      </c>
      <c r="C276" s="3261" t="s">
        <v>517</v>
      </c>
      <c r="D276" s="3261" t="s">
        <v>470</v>
      </c>
      <c r="E276" s="3261" t="s">
        <v>518</v>
      </c>
      <c r="R276" s="3182"/>
    </row>
    <row r="277" spans="1:18" s="3252" customFormat="1" ht="32.450000000000003" customHeight="1" x14ac:dyDescent="0.3">
      <c r="A277" s="3252" t="s">
        <v>519</v>
      </c>
      <c r="B277" s="3252">
        <v>120</v>
      </c>
      <c r="C277" s="3261" t="s">
        <v>517</v>
      </c>
      <c r="D277" s="3261" t="s">
        <v>517</v>
      </c>
      <c r="E277" s="3261" t="s">
        <v>520</v>
      </c>
      <c r="R277" s="3182"/>
    </row>
    <row r="278" spans="1:18" s="3252" customFormat="1" ht="32.450000000000003" customHeight="1" x14ac:dyDescent="0.3">
      <c r="A278" s="3252" t="s">
        <v>521</v>
      </c>
      <c r="B278" s="3252">
        <v>123</v>
      </c>
      <c r="C278" s="3261" t="s">
        <v>517</v>
      </c>
      <c r="D278" s="3261" t="s">
        <v>517</v>
      </c>
      <c r="E278" s="3261" t="s">
        <v>522</v>
      </c>
      <c r="R278" s="3182"/>
    </row>
  </sheetData>
  <sheetProtection password="90D5" sheet="1" objects="1" scenarios="1"/>
  <mergeCells count="34">
    <mergeCell ref="A31:K31"/>
    <mergeCell ref="A32:A33"/>
    <mergeCell ref="F32:G33"/>
    <mergeCell ref="L32:N35"/>
    <mergeCell ref="A34:A35"/>
    <mergeCell ref="F34:G35"/>
    <mergeCell ref="K27:L27"/>
    <mergeCell ref="A28:E30"/>
    <mergeCell ref="I28:J28"/>
    <mergeCell ref="K28:L28"/>
    <mergeCell ref="I29:J29"/>
    <mergeCell ref="K29:L29"/>
    <mergeCell ref="I30:J30"/>
    <mergeCell ref="K30:L30"/>
    <mergeCell ref="H27:H30"/>
    <mergeCell ref="I27:J27"/>
    <mergeCell ref="G23:J23"/>
    <mergeCell ref="A24:E26"/>
    <mergeCell ref="G24:J24"/>
    <mergeCell ref="G25:J25"/>
    <mergeCell ref="G26:J26"/>
    <mergeCell ref="M5:N5"/>
    <mergeCell ref="B20:E20"/>
    <mergeCell ref="G20:L20"/>
    <mergeCell ref="G21:J21"/>
    <mergeCell ref="B22:E22"/>
    <mergeCell ref="G22:J22"/>
    <mergeCell ref="E3:F3"/>
    <mergeCell ref="I3:J3"/>
    <mergeCell ref="E4:F4"/>
    <mergeCell ref="I4:J4"/>
    <mergeCell ref="A5:B5"/>
    <mergeCell ref="E5:F5"/>
    <mergeCell ref="I5:J5"/>
  </mergeCells>
  <dataValidations disablePrompts="1" count="2">
    <dataValidation type="list" allowBlank="1" showInputMessage="1" showErrorMessage="1" sqref="A8:A18" xr:uid="{00000000-0002-0000-2200-000000000000}">
      <formula1>$A$152:$A$164</formula1>
    </dataValidation>
    <dataValidation type="list" allowBlank="1" showInputMessage="1" showErrorMessage="1" sqref="I5:J5" xr:uid="{00000000-0002-0000-2200-000001000000}">
      <formula1>$R$5:$R$8</formula1>
    </dataValidation>
  </dataValidations>
  <pageMargins left="0.22" right="0.23" top="0.74803149606299213" bottom="0.74803149606299213" header="0.31496062992125984" footer="0.31496062992125984"/>
  <pageSetup scale="35" orientation="landscape"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6"/>
  <dimension ref="A2:O22"/>
  <sheetViews>
    <sheetView showGridLines="0" showRowColHeaders="0" zoomScale="80" zoomScaleNormal="80" workbookViewId="0"/>
  </sheetViews>
  <sheetFormatPr baseColWidth="10" defaultColWidth="10.85546875" defaultRowHeight="15" x14ac:dyDescent="0.25"/>
  <cols>
    <col min="1" max="1" width="3.42578125" style="4" customWidth="1"/>
    <col min="2" max="2" width="20.85546875" style="2" customWidth="1"/>
    <col min="3" max="3" width="45.7109375" style="2" customWidth="1"/>
    <col min="4" max="4" width="11.5703125" style="2" bestFit="1" customWidth="1"/>
    <col min="5" max="5" width="3.28515625" style="2" customWidth="1"/>
    <col min="6" max="6" width="20.85546875" style="2" customWidth="1"/>
    <col min="7" max="7" width="45.7109375" style="2" customWidth="1"/>
    <col min="8" max="8" width="26.42578125" style="2" customWidth="1"/>
    <col min="9" max="10" width="10.85546875" style="2"/>
    <col min="11" max="15" width="10.85546875" style="4"/>
    <col min="16" max="16384" width="10.85546875" style="2"/>
  </cols>
  <sheetData>
    <row r="2" spans="1:14" ht="29.1" customHeight="1" x14ac:dyDescent="0.25"/>
    <row r="3" spans="1:14" ht="21" x14ac:dyDescent="0.35">
      <c r="B3" s="3348" t="s">
        <v>50</v>
      </c>
      <c r="C3" s="3348"/>
      <c r="D3" s="3348"/>
      <c r="F3" s="3348" t="s">
        <v>523</v>
      </c>
      <c r="G3" s="3348"/>
      <c r="H3" s="3348"/>
      <c r="M3" s="4" t="s">
        <v>524</v>
      </c>
      <c r="N3" s="4">
        <v>6</v>
      </c>
    </row>
    <row r="4" spans="1:14" x14ac:dyDescent="0.25">
      <c r="B4" s="12" t="s">
        <v>137</v>
      </c>
      <c r="C4" s="12" t="s">
        <v>525</v>
      </c>
      <c r="D4" s="12" t="s">
        <v>227</v>
      </c>
      <c r="F4" s="12" t="s">
        <v>137</v>
      </c>
      <c r="G4" s="12" t="s">
        <v>525</v>
      </c>
      <c r="H4" s="12" t="s">
        <v>526</v>
      </c>
      <c r="M4" s="4" t="s">
        <v>527</v>
      </c>
      <c r="N4" s="4">
        <v>7</v>
      </c>
    </row>
    <row r="5" spans="1:14" x14ac:dyDescent="0.25">
      <c r="A5" s="4" t="str">
        <f>IF(B5="","",1)</f>
        <v/>
      </c>
      <c r="B5" s="13" t="str">
        <f>IF(C5="","",Fortalezas!AF5)</f>
        <v/>
      </c>
      <c r="C5" s="14" t="str">
        <f>IF(Fortalezas!AG5=0,"",Fortalezas!AG5)</f>
        <v/>
      </c>
      <c r="D5" s="15" t="str">
        <f>IF(C5="","",Fortalezas!AH5+0)</f>
        <v/>
      </c>
      <c r="E5" s="4" t="str">
        <f t="shared" ref="E5:E14" si="0">IF(AND(C5&lt;&gt;"",B5=""),1,"")</f>
        <v/>
      </c>
      <c r="F5" s="13" t="str">
        <f>IF(G5="","",Fortalezas!AL18)</f>
        <v/>
      </c>
      <c r="G5" s="14" t="str">
        <f>IF(Fortalezas!AM18=0,"",Fortalezas!AM18)</f>
        <v/>
      </c>
      <c r="H5" s="16" t="str">
        <f>IF(G5="","",Fortalezas!AN18)</f>
        <v/>
      </c>
      <c r="I5" s="3"/>
      <c r="L5" s="4">
        <f t="shared" ref="L5:L14" si="1">IFERROR(IF(AND(F5&lt;&gt;"",G5&lt;&gt;""),VLOOKUP(H5,$M$3:$N$4,2,0),1),1)</f>
        <v>1</v>
      </c>
    </row>
    <row r="6" spans="1:14" x14ac:dyDescent="0.25">
      <c r="A6" s="4" t="str">
        <f t="shared" ref="A6:A14" si="2">IF(B6="","",A5+1)</f>
        <v/>
      </c>
      <c r="B6" s="13" t="str">
        <f>IF(C6="","",Fortalezas!AF6)</f>
        <v/>
      </c>
      <c r="C6" s="14" t="str">
        <f>IF(Fortalezas!AG6=0,"",Fortalezas!AG6)</f>
        <v/>
      </c>
      <c r="D6" s="15" t="str">
        <f>IF(C6="","",Fortalezas!AH6+0)</f>
        <v/>
      </c>
      <c r="E6" s="4" t="str">
        <f t="shared" si="0"/>
        <v/>
      </c>
      <c r="F6" s="13" t="str">
        <f>IF(G6="","",Fortalezas!AL19)</f>
        <v/>
      </c>
      <c r="G6" s="14" t="str">
        <f>IF(Fortalezas!AM19=0,"",Fortalezas!AM19)</f>
        <v/>
      </c>
      <c r="H6" s="16" t="str">
        <f>IF(G6="","",Fortalezas!AN19)</f>
        <v/>
      </c>
      <c r="I6" s="3"/>
      <c r="L6" s="4">
        <f t="shared" si="1"/>
        <v>1</v>
      </c>
    </row>
    <row r="7" spans="1:14" x14ac:dyDescent="0.25">
      <c r="A7" s="4" t="str">
        <f t="shared" si="2"/>
        <v/>
      </c>
      <c r="B7" s="13" t="str">
        <f>IF(C7="","",Fortalezas!AF7)</f>
        <v/>
      </c>
      <c r="C7" s="14" t="str">
        <f>IF(Fortalezas!AG7=0,"",Fortalezas!AG7)</f>
        <v/>
      </c>
      <c r="D7" s="15" t="str">
        <f>IF(C7="","",Fortalezas!AH7+0)</f>
        <v/>
      </c>
      <c r="E7" s="4" t="str">
        <f t="shared" si="0"/>
        <v/>
      </c>
      <c r="F7" s="13" t="str">
        <f>IF(G7="","",Fortalezas!AL20)</f>
        <v/>
      </c>
      <c r="G7" s="14" t="str">
        <f>IF(Fortalezas!AM20=0,"",Fortalezas!AM20)</f>
        <v/>
      </c>
      <c r="H7" s="16" t="str">
        <f>IF(G7="","",Fortalezas!AN20)</f>
        <v/>
      </c>
      <c r="I7" s="3"/>
      <c r="L7" s="4">
        <f t="shared" si="1"/>
        <v>1</v>
      </c>
    </row>
    <row r="8" spans="1:14" x14ac:dyDescent="0.25">
      <c r="A8" s="4" t="str">
        <f t="shared" si="2"/>
        <v/>
      </c>
      <c r="B8" s="13" t="str">
        <f>IF(C8="","",Fortalezas!AF8)</f>
        <v/>
      </c>
      <c r="C8" s="14" t="str">
        <f>IF(Fortalezas!AG8=0,"",Fortalezas!AG8)</f>
        <v/>
      </c>
      <c r="D8" s="15" t="str">
        <f>IF(C8="","",Fortalezas!AH8+0)</f>
        <v/>
      </c>
      <c r="E8" s="4" t="str">
        <f t="shared" si="0"/>
        <v/>
      </c>
      <c r="F8" s="13" t="str">
        <f>IF(G8="","",Fortalezas!AL21)</f>
        <v/>
      </c>
      <c r="G8" s="14" t="str">
        <f>IF(Fortalezas!AM21=0,"",Fortalezas!AM21)</f>
        <v/>
      </c>
      <c r="H8" s="16" t="str">
        <f>IF(G8="","",Fortalezas!AN21)</f>
        <v/>
      </c>
      <c r="I8" s="3"/>
      <c r="L8" s="4">
        <f t="shared" si="1"/>
        <v>1</v>
      </c>
    </row>
    <row r="9" spans="1:14" x14ac:dyDescent="0.25">
      <c r="A9" s="4" t="str">
        <f t="shared" si="2"/>
        <v/>
      </c>
      <c r="B9" s="13" t="str">
        <f>IF(C9="","",Fortalezas!AF9)</f>
        <v/>
      </c>
      <c r="C9" s="14" t="str">
        <f>IF(Fortalezas!AG9=0,"",Fortalezas!AG9)</f>
        <v/>
      </c>
      <c r="D9" s="15" t="str">
        <f>IF(C9="","",Fortalezas!AH9+0)</f>
        <v/>
      </c>
      <c r="E9" s="4" t="str">
        <f t="shared" si="0"/>
        <v/>
      </c>
      <c r="F9" s="13" t="str">
        <f>IF(G9="","",Fortalezas!AL22)</f>
        <v/>
      </c>
      <c r="G9" s="14" t="str">
        <f>IF(Fortalezas!AM22=0,"",Fortalezas!AM22)</f>
        <v/>
      </c>
      <c r="H9" s="16" t="str">
        <f>IF(G9="","",Fortalezas!AN22)</f>
        <v/>
      </c>
      <c r="I9" s="3"/>
      <c r="L9" s="4">
        <f t="shared" si="1"/>
        <v>1</v>
      </c>
    </row>
    <row r="10" spans="1:14" x14ac:dyDescent="0.25">
      <c r="A10" s="4" t="str">
        <f t="shared" si="2"/>
        <v/>
      </c>
      <c r="B10" s="13" t="str">
        <f>IF(C10="","",Fortalezas!AF10)</f>
        <v/>
      </c>
      <c r="C10" s="14" t="str">
        <f>IF(Fortalezas!AG10=0,"",Fortalezas!AG10)</f>
        <v/>
      </c>
      <c r="D10" s="15" t="str">
        <f>IF(C10="","",Fortalezas!AH10+0)</f>
        <v/>
      </c>
      <c r="E10" s="4" t="str">
        <f t="shared" si="0"/>
        <v/>
      </c>
      <c r="F10" s="13" t="str">
        <f>IF(G10="","",Fortalezas!AL23)</f>
        <v/>
      </c>
      <c r="G10" s="14" t="str">
        <f>IF(Fortalezas!AM23=0,"",Fortalezas!AM23)</f>
        <v/>
      </c>
      <c r="H10" s="16" t="str">
        <f>IF(G10="","",Fortalezas!AN23)</f>
        <v/>
      </c>
      <c r="I10" s="3"/>
      <c r="L10" s="4">
        <f t="shared" si="1"/>
        <v>1</v>
      </c>
    </row>
    <row r="11" spans="1:14" x14ac:dyDescent="0.25">
      <c r="A11" s="4" t="str">
        <f t="shared" si="2"/>
        <v/>
      </c>
      <c r="B11" s="13" t="str">
        <f>IF(C11="","",Fortalezas!AF11)</f>
        <v/>
      </c>
      <c r="C11" s="14" t="str">
        <f>IF(Fortalezas!AG11=0,"",Fortalezas!AG11)</f>
        <v/>
      </c>
      <c r="D11" s="15" t="str">
        <f>IF(C11="","",Fortalezas!AH11+0)</f>
        <v/>
      </c>
      <c r="E11" s="4" t="str">
        <f t="shared" si="0"/>
        <v/>
      </c>
      <c r="F11" s="13" t="str">
        <f>IF(G11="","",Fortalezas!AL24)</f>
        <v/>
      </c>
      <c r="G11" s="14" t="str">
        <f>IF(Fortalezas!AM24=0,"",Fortalezas!AM24)</f>
        <v/>
      </c>
      <c r="H11" s="16" t="str">
        <f>IF(G11="","",Fortalezas!AN24)</f>
        <v/>
      </c>
      <c r="I11" s="3"/>
      <c r="L11" s="4">
        <f t="shared" si="1"/>
        <v>1</v>
      </c>
    </row>
    <row r="12" spans="1:14" x14ac:dyDescent="0.25">
      <c r="A12" s="4" t="str">
        <f t="shared" si="2"/>
        <v/>
      </c>
      <c r="B12" s="13" t="str">
        <f>IF(C12="","",Fortalezas!AF12)</f>
        <v/>
      </c>
      <c r="C12" s="14" t="str">
        <f>IF(Fortalezas!AG12=0,"",Fortalezas!AG12)</f>
        <v/>
      </c>
      <c r="D12" s="15" t="str">
        <f>IF(C12="","",Fortalezas!AH12+0)</f>
        <v/>
      </c>
      <c r="E12" s="4" t="str">
        <f t="shared" si="0"/>
        <v/>
      </c>
      <c r="F12" s="13" t="str">
        <f>IF(G12="","",Fortalezas!AL25)</f>
        <v/>
      </c>
      <c r="G12" s="14" t="str">
        <f>IF(Fortalezas!AM25=0,"",Fortalezas!AM25)</f>
        <v/>
      </c>
      <c r="H12" s="16" t="str">
        <f>IF(G12="","",Fortalezas!AN25)</f>
        <v/>
      </c>
      <c r="I12" s="3"/>
      <c r="L12" s="4">
        <f t="shared" si="1"/>
        <v>1</v>
      </c>
    </row>
    <row r="13" spans="1:14" x14ac:dyDescent="0.25">
      <c r="A13" s="4" t="str">
        <f t="shared" si="2"/>
        <v/>
      </c>
      <c r="B13" s="13" t="str">
        <f>IF(C13="","",Fortalezas!AF13)</f>
        <v/>
      </c>
      <c r="C13" s="14" t="str">
        <f>IF(Fortalezas!AG13=0,"",Fortalezas!AG13)</f>
        <v/>
      </c>
      <c r="D13" s="15" t="str">
        <f>IF(C13="","",Fortalezas!AH13+0)</f>
        <v/>
      </c>
      <c r="E13" s="4" t="str">
        <f t="shared" si="0"/>
        <v/>
      </c>
      <c r="F13" s="13" t="str">
        <f>IF(G13="","",Fortalezas!AL26)</f>
        <v/>
      </c>
      <c r="G13" s="14" t="str">
        <f>IF(Fortalezas!AM26=0,"",Fortalezas!AM26)</f>
        <v/>
      </c>
      <c r="H13" s="16" t="str">
        <f>IF(G13="","",Fortalezas!AN26)</f>
        <v/>
      </c>
      <c r="I13" s="3"/>
      <c r="L13" s="4">
        <f t="shared" si="1"/>
        <v>1</v>
      </c>
    </row>
    <row r="14" spans="1:14" x14ac:dyDescent="0.25">
      <c r="A14" s="4" t="str">
        <f t="shared" si="2"/>
        <v/>
      </c>
      <c r="B14" s="13" t="str">
        <f>IF(C14="","",Fortalezas!AF14)</f>
        <v/>
      </c>
      <c r="C14" s="14" t="str">
        <f>IF(Fortalezas!AG14=0,"",Fortalezas!AG14)</f>
        <v/>
      </c>
      <c r="D14" s="15" t="str">
        <f>IF(C14="","",Fortalezas!AH14+0)</f>
        <v/>
      </c>
      <c r="E14" s="4" t="str">
        <f t="shared" si="0"/>
        <v/>
      </c>
      <c r="F14" s="13" t="str">
        <f>IF(G14="","",Fortalezas!AL27)</f>
        <v/>
      </c>
      <c r="G14" s="14" t="str">
        <f>IF(Fortalezas!AM27=0,"",Fortalezas!AM27)</f>
        <v/>
      </c>
      <c r="H14" s="16" t="str">
        <f>IF(G14="","",Fortalezas!AN27)</f>
        <v/>
      </c>
      <c r="I14" s="3"/>
      <c r="L14" s="4">
        <f t="shared" si="1"/>
        <v>1</v>
      </c>
    </row>
    <row r="15" spans="1:14" x14ac:dyDescent="0.25">
      <c r="B15" s="17"/>
      <c r="C15" s="18" t="s">
        <v>228</v>
      </c>
      <c r="D15" s="19">
        <f>SUM(D5:D14)</f>
        <v>0</v>
      </c>
      <c r="E15" s="4"/>
    </row>
    <row r="16" spans="1:14" x14ac:dyDescent="0.25">
      <c r="B16" s="3349" t="str">
        <f>IF(A13&lt;&gt;"","En caso de tener más de 9 accionistas, relacione los 9 primeros y en el campo 10, incluye Otros Accionistas y la participación restante.","")</f>
        <v/>
      </c>
      <c r="C16" s="3349"/>
      <c r="D16" s="3349"/>
    </row>
    <row r="17" spans="2:4" x14ac:dyDescent="0.25">
      <c r="B17" s="3349"/>
      <c r="C17" s="3349"/>
      <c r="D17" s="3349"/>
    </row>
    <row r="18" spans="2:4" x14ac:dyDescent="0.25">
      <c r="B18" s="3349"/>
      <c r="C18" s="3349"/>
      <c r="D18" s="3349"/>
    </row>
    <row r="19" spans="2:4" x14ac:dyDescent="0.25">
      <c r="B19" s="3350" t="str">
        <f>IF(D15&gt;100,"La información no será cargada, ya que la participación de los accionistas no puede superar en total el 100%",IF(D15&lt;95,"Es necesario incluir la mayoria de accionistas para tener más del 95% de la participación por Empresa",""))</f>
        <v>Es necesario incluir la mayoria de accionistas para tener más del 95% de la participación por Empresa</v>
      </c>
      <c r="C19" s="3350"/>
      <c r="D19" s="3350"/>
    </row>
    <row r="20" spans="2:4" x14ac:dyDescent="0.25">
      <c r="B20" s="3350"/>
      <c r="C20" s="3350"/>
      <c r="D20" s="3350"/>
    </row>
    <row r="21" spans="2:4" x14ac:dyDescent="0.25">
      <c r="B21" s="3350"/>
      <c r="C21" s="3350"/>
      <c r="D21" s="3350"/>
    </row>
    <row r="22" spans="2:4" x14ac:dyDescent="0.25">
      <c r="B22" s="3351" t="str">
        <f>IF(SUM(E5:E14)&lt;&gt;0,"Debe ingresar documento del Accionista","")</f>
        <v/>
      </c>
      <c r="C22" s="3351"/>
      <c r="D22" s="3351"/>
    </row>
  </sheetData>
  <sheetProtection password="D5B5" sheet="1" objects="1" scenarios="1"/>
  <mergeCells count="5">
    <mergeCell ref="B3:D3"/>
    <mergeCell ref="F3:H3"/>
    <mergeCell ref="B16:D18"/>
    <mergeCell ref="B19:D21"/>
    <mergeCell ref="B22:D22"/>
  </mergeCells>
  <dataValidations disablePrompts="1" count="2">
    <dataValidation type="list" allowBlank="1" showInputMessage="1" showErrorMessage="1" errorTitle="Error en la Participación" error="Debe ingresar una participación correcta" sqref="H5:H14" xr:uid="{00000000-0002-0000-2300-000000000000}">
      <formula1>$M$3:$M$4</formula1>
    </dataValidation>
    <dataValidation type="decimal" allowBlank="1" showInputMessage="1" showErrorMessage="1" errorTitle="Error en la Participación" error="Debe ingresar una participación correcta" sqref="D5:D14 D1048576" xr:uid="{00000000-0002-0000-2300-000001000000}">
      <formula1>1</formula1>
      <formula2>100</formula2>
    </dataValidation>
  </dataValidations>
  <pageMargins left="0.7" right="0.7" top="0.75" bottom="0.75" header="0.3" footer="0.3"/>
  <pageSetup orientation="portrait" horizontalDpi="0" verticalDpi="0"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8">
    <pageSetUpPr fitToPage="1"/>
  </sheetPr>
  <dimension ref="A1:AM510"/>
  <sheetViews>
    <sheetView showGridLines="0" showRowColHeaders="0" tabSelected="1" zoomScale="70" zoomScaleNormal="70" workbookViewId="0">
      <pane ySplit="8" topLeftCell="A9" activePane="bottomLeft" state="frozen"/>
      <selection pane="bottomLeft" activeCell="I383" sqref="I383"/>
    </sheetView>
  </sheetViews>
  <sheetFormatPr baseColWidth="10" defaultRowHeight="15" x14ac:dyDescent="0.25"/>
  <cols>
    <col min="1" max="1" width="2.5703125" style="146" customWidth="1"/>
    <col min="2" max="3" width="4" style="146" customWidth="1"/>
    <col min="4" max="4" width="75.7109375" bestFit="1" customWidth="1"/>
    <col min="5" max="8" width="29.42578125" customWidth="1"/>
    <col min="9" max="9" width="29.42578125" style="64" customWidth="1"/>
    <col min="10" max="19" width="11" style="4" hidden="1" customWidth="1"/>
    <col min="20" max="25" width="11.42578125" style="4" hidden="1" customWidth="1"/>
    <col min="26" max="33" width="11.42578125" style="3269" hidden="1" customWidth="1"/>
    <col min="34" max="34" width="9.42578125" style="3269" hidden="1" customWidth="1"/>
    <col min="35" max="35" width="11.42578125" style="64" hidden="1" customWidth="1"/>
    <col min="36" max="36" width="11.42578125" style="64" customWidth="1"/>
    <col min="37" max="38" width="11.42578125" customWidth="1"/>
    <col min="39" max="39" width="10.85546875"/>
  </cols>
  <sheetData>
    <row r="1" spans="1:39" s="2" customFormat="1" ht="28.5" customHeight="1" x14ac:dyDescent="0.25">
      <c r="A1" s="22"/>
      <c r="B1" s="22"/>
      <c r="C1" s="22"/>
      <c r="D1"/>
      <c r="E1"/>
      <c r="F1"/>
      <c r="G1"/>
      <c r="H1"/>
      <c r="I1" s="23">
        <f>L3</f>
        <v>0</v>
      </c>
      <c r="J1" s="4"/>
      <c r="K1" s="4"/>
      <c r="L1" s="4"/>
      <c r="M1" s="4"/>
      <c r="N1" s="4"/>
      <c r="O1" s="4"/>
      <c r="P1" s="4"/>
      <c r="Q1" s="4"/>
      <c r="R1" s="4"/>
      <c r="S1" s="4"/>
      <c r="T1" s="4"/>
      <c r="U1" s="4"/>
      <c r="V1" s="4"/>
      <c r="W1" s="4"/>
      <c r="X1" s="4"/>
      <c r="Y1" s="4"/>
      <c r="Z1" s="4"/>
      <c r="AA1" s="4"/>
      <c r="AB1" s="4"/>
      <c r="AC1" s="4"/>
      <c r="AD1" s="4"/>
      <c r="AE1" s="4"/>
      <c r="AF1" s="4"/>
      <c r="AG1" s="4"/>
      <c r="AH1" s="4"/>
      <c r="AI1" s="24"/>
      <c r="AJ1" s="24"/>
    </row>
    <row r="2" spans="1:39" s="2" customFormat="1" ht="28.5" customHeight="1" thickBot="1" x14ac:dyDescent="0.3">
      <c r="A2" s="22"/>
      <c r="B2" s="22"/>
      <c r="C2" s="22"/>
      <c r="D2" s="3354" t="str">
        <f>TEXT('RC'!D6,"0.000")&amp;" "&amp;'RC'!D7</f>
        <v>900.142.011 Prueba Da 27.08.23</v>
      </c>
      <c r="E2" s="3354"/>
      <c r="F2" s="3354"/>
      <c r="G2" s="3354"/>
      <c r="H2" s="25"/>
      <c r="I2" s="26"/>
      <c r="J2" s="4"/>
      <c r="K2" s="4"/>
      <c r="L2" s="4"/>
      <c r="M2" s="4"/>
      <c r="N2" s="4"/>
      <c r="O2" s="4"/>
      <c r="P2" s="4"/>
      <c r="Q2" s="4"/>
      <c r="R2" s="4"/>
      <c r="S2" s="4"/>
      <c r="T2" s="4"/>
      <c r="U2" s="4"/>
      <c r="V2" s="4"/>
      <c r="W2" s="4"/>
      <c r="X2" s="4"/>
      <c r="Y2" s="4"/>
      <c r="Z2" s="4"/>
      <c r="AA2" s="4"/>
      <c r="AB2" s="4"/>
      <c r="AC2" s="4"/>
      <c r="AD2" s="4"/>
      <c r="AE2" s="4"/>
      <c r="AF2" s="4"/>
      <c r="AG2" s="4"/>
      <c r="AH2" s="4"/>
      <c r="AI2" s="24"/>
      <c r="AJ2" s="24"/>
    </row>
    <row r="3" spans="1:39" s="2" customFormat="1" ht="16.5" customHeight="1" thickBot="1" x14ac:dyDescent="0.3">
      <c r="A3" s="22"/>
      <c r="B3" s="22"/>
      <c r="C3" s="22"/>
      <c r="D3" s="27" t="str">
        <f>"Las cifras se deben digitar en Miles de: "&amp; Caratula1!AN3</f>
        <v>Las cifras se deben digitar en Miles de: Lempira HNL</v>
      </c>
      <c r="E3" s="28" t="s">
        <v>533</v>
      </c>
      <c r="F3" s="29" t="s">
        <v>533</v>
      </c>
      <c r="G3" s="29" t="s">
        <v>533</v>
      </c>
      <c r="H3" s="29" t="s">
        <v>534</v>
      </c>
      <c r="I3" s="30" t="s">
        <v>535</v>
      </c>
      <c r="J3" s="4"/>
      <c r="K3" s="4"/>
      <c r="L3" s="4"/>
      <c r="M3" s="4"/>
      <c r="N3" s="4"/>
      <c r="O3" s="4"/>
      <c r="P3" s="4"/>
      <c r="Q3" s="4"/>
      <c r="R3" s="4"/>
      <c r="S3" s="4"/>
      <c r="T3" s="4"/>
      <c r="U3" s="4"/>
      <c r="V3" s="4"/>
      <c r="W3" s="4"/>
      <c r="X3" s="4"/>
      <c r="Y3" s="4"/>
      <c r="Z3" s="4"/>
      <c r="AA3" s="4"/>
      <c r="AB3" s="4"/>
      <c r="AC3" s="4"/>
      <c r="AD3" s="4"/>
      <c r="AE3" s="4"/>
      <c r="AF3" s="4"/>
      <c r="AG3" s="4"/>
      <c r="AH3" s="4"/>
      <c r="AI3" s="24"/>
      <c r="AJ3" s="24"/>
    </row>
    <row r="4" spans="1:39" s="2" customFormat="1" ht="20.45" customHeight="1" x14ac:dyDescent="0.35">
      <c r="A4" s="22"/>
      <c r="B4" s="22"/>
      <c r="C4" s="22"/>
      <c r="D4" s="31" t="s">
        <v>536</v>
      </c>
      <c r="E4" s="32">
        <f>+F4-1</f>
        <v>2019</v>
      </c>
      <c r="F4" s="33">
        <f>+G4-1</f>
        <v>2020</v>
      </c>
      <c r="G4" s="34">
        <v>2021</v>
      </c>
      <c r="H4" s="34">
        <v>2021</v>
      </c>
      <c r="I4" s="34">
        <f>+H4-1</f>
        <v>2020</v>
      </c>
      <c r="J4" s="4"/>
      <c r="K4" s="4" t="str">
        <f>IFERROR(E4&amp;VLOOKUP(E8,$O$13:$P$24,2,0),1900)</f>
        <v>201912</v>
      </c>
      <c r="L4" s="4" t="str">
        <f>IFERROR(F4&amp;VLOOKUP(F8,$O$13:$P$24,2,0),1900)</f>
        <v>202012</v>
      </c>
      <c r="M4" s="4" t="str">
        <f>IFERROR(G4&amp;VLOOKUP(G8,$O$13:$P$24,2,0),1900)</f>
        <v>202112</v>
      </c>
      <c r="N4" s="4" t="str">
        <f>IFERROR(IF(H4&lt;M13,1900,H4&amp;VLOOKUP(H8,$O$13:$P$24,2,0)),1900)</f>
        <v>202106</v>
      </c>
      <c r="O4" s="4" t="str">
        <f>IFERROR(IF(I4&lt;N13,1900,I4&amp;VLOOKUP(I8,$O$13:$P$24,2,0)),1900)</f>
        <v>202006</v>
      </c>
      <c r="P4" s="4"/>
      <c r="Q4" s="4"/>
      <c r="R4" s="4"/>
      <c r="S4" s="4"/>
      <c r="T4" s="4"/>
      <c r="U4" s="4"/>
      <c r="V4" s="4"/>
      <c r="W4" s="4"/>
      <c r="X4" s="4"/>
      <c r="Y4" s="4"/>
      <c r="Z4" s="4"/>
      <c r="AA4" s="4"/>
      <c r="AB4" s="4"/>
      <c r="AC4" s="4"/>
      <c r="AD4" s="4"/>
      <c r="AE4" s="4"/>
      <c r="AF4" s="4"/>
      <c r="AG4" s="4"/>
      <c r="AH4" s="4"/>
      <c r="AI4" s="24"/>
      <c r="AJ4" s="24"/>
    </row>
    <row r="5" spans="1:39" s="2" customFormat="1" ht="20.45" customHeight="1" x14ac:dyDescent="0.35">
      <c r="A5" s="22"/>
      <c r="B5" s="22"/>
      <c r="C5" s="22"/>
      <c r="D5" s="3175" t="s">
        <v>2166</v>
      </c>
      <c r="E5" s="3177" t="s">
        <v>2178</v>
      </c>
      <c r="F5" s="3177" t="s">
        <v>2178</v>
      </c>
      <c r="G5" s="3177" t="s">
        <v>2178</v>
      </c>
      <c r="H5" s="32" t="str">
        <f>IF(Fortalezas!G1="False","No Auditados",Fortalezas!G1)</f>
        <v>No Auditados</v>
      </c>
      <c r="I5" s="32" t="str">
        <f>IF(Fortalezas!H1="False","No Auditados",Fortalezas!H1)</f>
        <v>No Auditados</v>
      </c>
      <c r="J5" s="4"/>
      <c r="K5" s="4"/>
      <c r="L5" s="4"/>
      <c r="M5" s="4"/>
      <c r="N5" s="4"/>
      <c r="O5" s="4"/>
      <c r="P5" s="4"/>
      <c r="Q5" s="4"/>
      <c r="R5" s="4"/>
      <c r="S5" s="4"/>
      <c r="T5" s="4"/>
      <c r="U5" s="4"/>
      <c r="V5" s="4"/>
      <c r="W5" s="4"/>
      <c r="X5" s="4"/>
      <c r="Y5" s="4"/>
      <c r="Z5" s="4"/>
      <c r="AA5" s="4"/>
      <c r="AB5" s="4"/>
      <c r="AC5" s="4"/>
      <c r="AD5" s="4"/>
      <c r="AE5" s="4"/>
      <c r="AF5" s="4"/>
      <c r="AG5" s="4"/>
      <c r="AH5" s="4"/>
      <c r="AI5" s="24"/>
      <c r="AJ5" s="24"/>
    </row>
    <row r="6" spans="1:39" s="2" customFormat="1" ht="21" x14ac:dyDescent="0.35">
      <c r="A6" s="22" t="s">
        <v>537</v>
      </c>
      <c r="B6" s="22"/>
      <c r="C6" s="22"/>
      <c r="D6" s="35" t="s">
        <v>538</v>
      </c>
      <c r="E6" s="3188" t="str">
        <f>Fortalezas!J1</f>
        <v>12</v>
      </c>
      <c r="F6" s="3188" t="str">
        <f>Fortalezas!K1</f>
        <v>12</v>
      </c>
      <c r="G6" s="3188" t="str">
        <f>Fortalezas!L1</f>
        <v>12</v>
      </c>
      <c r="H6" s="37" t="str">
        <f>Fortalezas!M1</f>
        <v>06</v>
      </c>
      <c r="I6" s="37" t="str">
        <f>H6</f>
        <v>06</v>
      </c>
      <c r="J6" s="4"/>
      <c r="K6" s="4"/>
      <c r="L6" s="4"/>
      <c r="M6" s="4"/>
      <c r="N6" s="4" t="s">
        <v>2177</v>
      </c>
      <c r="O6" s="4">
        <v>1</v>
      </c>
      <c r="P6" s="4"/>
      <c r="Q6" s="4"/>
      <c r="R6" s="4"/>
      <c r="S6" s="4"/>
      <c r="T6" s="4"/>
      <c r="U6" s="4"/>
      <c r="V6" s="4"/>
      <c r="W6" s="4"/>
      <c r="X6" s="4"/>
      <c r="Y6" s="4"/>
      <c r="Z6" s="4"/>
      <c r="AA6" s="4"/>
      <c r="AB6" s="4"/>
      <c r="AC6" s="4"/>
      <c r="AD6" s="4"/>
      <c r="AE6" s="4"/>
      <c r="AF6" s="4"/>
      <c r="AG6" s="4"/>
      <c r="AH6" s="4"/>
      <c r="AI6" s="24"/>
      <c r="AJ6" s="24"/>
    </row>
    <row r="7" spans="1:39" s="2" customFormat="1" ht="21" x14ac:dyDescent="0.35">
      <c r="A7" s="22"/>
      <c r="B7" s="22"/>
      <c r="C7" s="22"/>
      <c r="D7" s="35" t="s">
        <v>539</v>
      </c>
      <c r="E7" s="36">
        <f>+E6*30</f>
        <v>360</v>
      </c>
      <c r="F7" s="36">
        <f>+F6*30</f>
        <v>360</v>
      </c>
      <c r="G7" s="36">
        <f>+G6*30</f>
        <v>360</v>
      </c>
      <c r="H7" s="36">
        <f>+H6*30</f>
        <v>180</v>
      </c>
      <c r="I7" s="36">
        <f>+I6*30</f>
        <v>180</v>
      </c>
      <c r="J7" s="4"/>
      <c r="K7" s="4"/>
      <c r="L7" s="4"/>
      <c r="M7" s="4"/>
      <c r="N7" s="4" t="s">
        <v>2178</v>
      </c>
      <c r="O7" s="4">
        <v>2</v>
      </c>
      <c r="P7" s="4"/>
      <c r="Q7" s="4"/>
      <c r="R7" s="4"/>
      <c r="S7" s="4"/>
      <c r="T7" s="4"/>
      <c r="U7" s="4"/>
      <c r="V7" s="4"/>
      <c r="W7" s="4"/>
      <c r="X7" s="4"/>
      <c r="Y7" s="4"/>
      <c r="Z7" s="4"/>
      <c r="AA7" s="4"/>
      <c r="AB7" s="4"/>
      <c r="AC7" s="4"/>
      <c r="AD7" s="4"/>
      <c r="AE7" s="4"/>
      <c r="AF7" s="4"/>
      <c r="AG7" s="4"/>
      <c r="AH7" s="4"/>
      <c r="AI7" s="24"/>
      <c r="AJ7" s="24"/>
    </row>
    <row r="8" spans="1:39" s="2" customFormat="1" ht="16.5" customHeight="1" thickBot="1" x14ac:dyDescent="0.3">
      <c r="A8" s="22"/>
      <c r="B8" s="22"/>
      <c r="C8" s="22"/>
      <c r="D8" s="38" t="s">
        <v>540</v>
      </c>
      <c r="E8" s="39" t="str">
        <f>Fortalezas!D3</f>
        <v>Diciembre</v>
      </c>
      <c r="F8" s="39" t="str">
        <f>Fortalezas!E3</f>
        <v>Diciembre</v>
      </c>
      <c r="G8" s="39" t="str">
        <f>Fortalezas!F3</f>
        <v>Diciembre</v>
      </c>
      <c r="H8" s="39" t="str">
        <f>Fortalezas!G3</f>
        <v>Junio</v>
      </c>
      <c r="I8" s="39" t="str">
        <f>H8</f>
        <v>Junio</v>
      </c>
      <c r="J8" s="4"/>
      <c r="K8" s="4"/>
      <c r="L8" s="3264"/>
      <c r="M8" s="3264"/>
      <c r="N8" s="4" t="s">
        <v>2179</v>
      </c>
      <c r="O8" s="4">
        <v>3</v>
      </c>
      <c r="P8" s="4"/>
      <c r="Q8" s="4"/>
      <c r="R8" s="4"/>
      <c r="S8" s="4"/>
      <c r="T8" s="4"/>
      <c r="U8" s="4"/>
      <c r="V8" s="4"/>
      <c r="W8" s="4"/>
      <c r="X8" s="4"/>
      <c r="Y8" s="4"/>
      <c r="Z8" s="4"/>
      <c r="AA8" s="4"/>
      <c r="AB8" s="4"/>
      <c r="AC8" s="4"/>
      <c r="AD8" s="4"/>
      <c r="AE8" s="4"/>
      <c r="AF8" s="4"/>
      <c r="AG8" s="4"/>
      <c r="AH8" s="4"/>
      <c r="AI8" s="24"/>
      <c r="AJ8" s="24"/>
    </row>
    <row r="9" spans="1:39" s="46" customFormat="1" ht="16.5" customHeight="1" x14ac:dyDescent="0.25">
      <c r="A9" s="40"/>
      <c r="B9" s="41" t="s">
        <v>541</v>
      </c>
      <c r="C9" s="41"/>
      <c r="D9" s="41"/>
      <c r="E9" s="3183" t="str">
        <f>"Tasas: "&amp;NitAnioNIIF1!C4&amp;" = "&amp;TEXT(NitAnioNIIF1!J4,"0###,#######")&amp;" - "&amp;NitAnioNIIF1!C3&amp;" = "&amp;TEXT(NitAnioNIIF1!J3,"0###,#######")&amp;" - "&amp;NitAnioNIIF1!C2&amp;" = "&amp;TEXT(NitAnioNIIF1!J2,"0###,#######")</f>
        <v>Tasas:  = 0, -  = 0, -  = 0,</v>
      </c>
      <c r="F9" s="42"/>
      <c r="G9" s="43"/>
      <c r="H9" s="44" t="s">
        <v>532</v>
      </c>
      <c r="I9" s="45" t="s">
        <v>532</v>
      </c>
      <c r="J9" s="4"/>
      <c r="K9" s="4"/>
      <c r="L9" s="3264"/>
      <c r="M9" s="3264"/>
      <c r="N9" s="4"/>
      <c r="O9" s="4"/>
      <c r="P9" s="4"/>
      <c r="Q9" s="4"/>
      <c r="R9" s="4"/>
      <c r="S9" s="4"/>
      <c r="T9" s="4">
        <v>0</v>
      </c>
      <c r="U9" s="4"/>
      <c r="V9" s="4"/>
      <c r="W9" s="4"/>
      <c r="X9" s="4"/>
      <c r="Y9" s="4"/>
      <c r="Z9" s="4"/>
      <c r="AA9" s="4"/>
      <c r="AB9" s="4"/>
      <c r="AC9" s="4"/>
      <c r="AD9" s="4"/>
      <c r="AE9" s="4"/>
      <c r="AF9" s="4"/>
      <c r="AG9" s="4"/>
      <c r="AH9" s="4"/>
      <c r="AI9" s="24"/>
      <c r="AJ9" s="24"/>
    </row>
    <row r="10" spans="1:39" s="46" customFormat="1" ht="16.5" customHeight="1" x14ac:dyDescent="0.25">
      <c r="A10" s="40"/>
      <c r="B10" s="47" t="str">
        <f>IF(SUM(E16:I16)&lt;&gt;0,"V","")</f>
        <v>V</v>
      </c>
      <c r="C10" s="48" t="s">
        <v>542</v>
      </c>
      <c r="D10" s="49"/>
      <c r="E10" s="50"/>
      <c r="F10" s="50"/>
      <c r="G10" s="50"/>
      <c r="H10" s="50"/>
      <c r="I10" s="51"/>
      <c r="J10" s="4"/>
      <c r="K10" s="4"/>
      <c r="L10" s="3264"/>
      <c r="M10" s="4"/>
      <c r="N10" s="4"/>
      <c r="O10" s="4"/>
      <c r="P10" s="4"/>
      <c r="Q10" s="4"/>
      <c r="R10" s="4"/>
      <c r="S10" s="4" t="s">
        <v>2172</v>
      </c>
      <c r="T10" s="4" t="s">
        <v>2172</v>
      </c>
      <c r="U10" s="4" t="s">
        <v>2173</v>
      </c>
      <c r="V10" s="4" t="s">
        <v>2173</v>
      </c>
      <c r="W10" s="4"/>
      <c r="X10" s="4"/>
      <c r="Y10" s="4"/>
      <c r="Z10" s="4"/>
      <c r="AA10" s="4"/>
      <c r="AB10" s="4"/>
      <c r="AC10" s="4"/>
      <c r="AD10" s="4"/>
      <c r="AE10" s="4"/>
      <c r="AF10" s="4"/>
      <c r="AG10" s="4"/>
      <c r="AH10" s="4"/>
      <c r="AI10" s="24"/>
      <c r="AJ10" s="24"/>
    </row>
    <row r="11" spans="1:39" s="58" customFormat="1" ht="15.75" customHeight="1" x14ac:dyDescent="0.2">
      <c r="A11" s="52">
        <v>110105</v>
      </c>
      <c r="B11" s="53"/>
      <c r="C11" s="42"/>
      <c r="D11" s="54" t="s">
        <v>543</v>
      </c>
      <c r="E11" s="55">
        <v>30</v>
      </c>
      <c r="F11" s="55">
        <v>30</v>
      </c>
      <c r="G11" s="55">
        <v>30</v>
      </c>
      <c r="H11" s="55">
        <v>30</v>
      </c>
      <c r="I11" s="56">
        <v>30</v>
      </c>
      <c r="J11" s="4"/>
      <c r="K11" s="4"/>
      <c r="L11" s="3265"/>
      <c r="M11" s="4"/>
      <c r="N11" s="4" t="s">
        <v>544</v>
      </c>
      <c r="O11" s="4"/>
      <c r="P11" s="4"/>
      <c r="Q11" s="3265"/>
      <c r="R11" s="3265"/>
      <c r="S11" s="3266">
        <v>0</v>
      </c>
      <c r="T11" s="3266">
        <v>0</v>
      </c>
      <c r="U11" s="3267">
        <f t="shared" ref="U11:U16" si="0">SUM(E11:I11)</f>
        <v>150</v>
      </c>
      <c r="V11" s="3266" t="s">
        <v>2174</v>
      </c>
      <c r="W11" s="3265"/>
      <c r="X11" s="3265"/>
      <c r="Y11" s="3265"/>
      <c r="Z11" s="3265"/>
      <c r="AA11" s="3265"/>
      <c r="AB11" s="3265"/>
      <c r="AC11" s="3265"/>
      <c r="AD11" s="3265"/>
      <c r="AE11" s="3265"/>
      <c r="AF11" s="3265"/>
      <c r="AG11" s="3265"/>
      <c r="AH11" s="3265"/>
      <c r="AI11" s="57"/>
      <c r="AJ11" s="57"/>
      <c r="AK11" s="57"/>
      <c r="AL11" s="57"/>
      <c r="AM11" s="57"/>
    </row>
    <row r="12" spans="1:39" s="58" customFormat="1" ht="15.75" customHeight="1" x14ac:dyDescent="0.2">
      <c r="A12" s="52">
        <v>110110</v>
      </c>
      <c r="B12" s="53"/>
      <c r="C12" s="42"/>
      <c r="D12" s="59" t="s">
        <v>545</v>
      </c>
      <c r="E12" s="55">
        <v>30</v>
      </c>
      <c r="F12" s="55">
        <v>30</v>
      </c>
      <c r="G12" s="55">
        <v>30</v>
      </c>
      <c r="H12" s="55">
        <v>30</v>
      </c>
      <c r="I12" s="56">
        <v>30</v>
      </c>
      <c r="J12" s="4"/>
      <c r="K12" s="4"/>
      <c r="L12" s="3265"/>
      <c r="M12" s="4" t="s">
        <v>546</v>
      </c>
      <c r="N12" s="4" t="s">
        <v>547</v>
      </c>
      <c r="O12" s="4"/>
      <c r="P12" s="3268" t="s">
        <v>548</v>
      </c>
      <c r="Q12" s="3268" t="s">
        <v>548</v>
      </c>
      <c r="R12" s="3265"/>
      <c r="S12" s="3266">
        <v>0</v>
      </c>
      <c r="T12" s="3265"/>
      <c r="U12" s="3267">
        <f t="shared" si="0"/>
        <v>150</v>
      </c>
      <c r="V12" s="3265"/>
      <c r="W12" s="3265"/>
      <c r="X12" s="3265"/>
      <c r="Y12" s="3265"/>
      <c r="Z12" s="3265"/>
      <c r="AA12" s="3265"/>
      <c r="AB12" s="3265"/>
      <c r="AC12" s="3265"/>
      <c r="AD12" s="3265"/>
      <c r="AE12" s="3265"/>
      <c r="AF12" s="3265"/>
      <c r="AG12" s="3265"/>
      <c r="AH12" s="3265"/>
      <c r="AI12" s="57"/>
      <c r="AJ12" s="57"/>
      <c r="AK12" s="57"/>
      <c r="AL12" s="57"/>
      <c r="AM12" s="57"/>
    </row>
    <row r="13" spans="1:39" s="58" customFormat="1" ht="19.5" x14ac:dyDescent="0.2">
      <c r="A13" s="52">
        <v>111010</v>
      </c>
      <c r="B13" s="53"/>
      <c r="C13" s="42"/>
      <c r="D13" s="59" t="s">
        <v>549</v>
      </c>
      <c r="E13" s="55">
        <v>30</v>
      </c>
      <c r="F13" s="55">
        <v>30</v>
      </c>
      <c r="G13" s="55">
        <v>30</v>
      </c>
      <c r="H13" s="55">
        <v>30</v>
      </c>
      <c r="I13" s="56">
        <v>30</v>
      </c>
      <c r="J13" s="4"/>
      <c r="K13" s="4"/>
      <c r="L13" s="3265"/>
      <c r="M13" s="4">
        <f>+M14-1</f>
        <v>2018</v>
      </c>
      <c r="N13" s="4">
        <v>30</v>
      </c>
      <c r="O13" s="4" t="s">
        <v>60</v>
      </c>
      <c r="P13" s="3268" t="s">
        <v>59</v>
      </c>
      <c r="Q13" s="3268" t="s">
        <v>59</v>
      </c>
      <c r="R13" s="3265"/>
      <c r="S13" s="3266">
        <v>0</v>
      </c>
      <c r="T13" s="3265"/>
      <c r="U13" s="3267">
        <f t="shared" si="0"/>
        <v>150</v>
      </c>
      <c r="V13" s="3265"/>
      <c r="W13" s="3265"/>
      <c r="X13" s="3265"/>
      <c r="Y13" s="3265"/>
      <c r="Z13" s="3265"/>
      <c r="AA13" s="3265"/>
      <c r="AB13" s="3265"/>
      <c r="AC13" s="3265"/>
      <c r="AD13" s="3265"/>
      <c r="AE13" s="3265"/>
      <c r="AF13" s="3265"/>
      <c r="AG13" s="3265"/>
      <c r="AH13" s="3265"/>
      <c r="AI13" s="57"/>
      <c r="AJ13" s="57"/>
      <c r="AK13" s="57"/>
      <c r="AL13" s="57"/>
      <c r="AM13" s="57"/>
    </row>
    <row r="14" spans="1:39" s="58" customFormat="1" ht="19.5" x14ac:dyDescent="0.2">
      <c r="A14" s="52">
        <v>110130</v>
      </c>
      <c r="B14" s="53"/>
      <c r="C14" s="42"/>
      <c r="D14" s="59" t="s">
        <v>550</v>
      </c>
      <c r="E14" s="55">
        <v>30</v>
      </c>
      <c r="F14" s="55">
        <v>30</v>
      </c>
      <c r="G14" s="55">
        <v>30</v>
      </c>
      <c r="H14" s="55">
        <v>30</v>
      </c>
      <c r="I14" s="56">
        <v>30</v>
      </c>
      <c r="J14" s="4"/>
      <c r="K14" s="4"/>
      <c r="L14" s="3265"/>
      <c r="M14" s="4">
        <f>+M15-1</f>
        <v>2019</v>
      </c>
      <c r="N14" s="4">
        <v>60</v>
      </c>
      <c r="O14" s="4" t="s">
        <v>63</v>
      </c>
      <c r="P14" s="3268" t="s">
        <v>62</v>
      </c>
      <c r="Q14" s="3268" t="s">
        <v>62</v>
      </c>
      <c r="R14" s="3265"/>
      <c r="S14" s="3266">
        <v>0</v>
      </c>
      <c r="T14" s="3265"/>
      <c r="U14" s="3267">
        <f t="shared" si="0"/>
        <v>150</v>
      </c>
      <c r="V14" s="3265"/>
      <c r="W14" s="3265"/>
      <c r="X14" s="3265"/>
      <c r="Y14" s="3265"/>
      <c r="Z14" s="3265"/>
      <c r="AA14" s="3265"/>
      <c r="AB14" s="3265"/>
      <c r="AC14" s="3265"/>
      <c r="AD14" s="3265"/>
      <c r="AE14" s="3265"/>
      <c r="AF14" s="3265"/>
      <c r="AG14" s="3265"/>
      <c r="AH14" s="3265"/>
      <c r="AI14" s="57"/>
      <c r="AJ14" s="57"/>
      <c r="AK14" s="57"/>
      <c r="AL14" s="57"/>
      <c r="AM14" s="57"/>
    </row>
    <row r="15" spans="1:39" s="58" customFormat="1" ht="19.5" x14ac:dyDescent="0.2">
      <c r="A15" s="52">
        <v>110125</v>
      </c>
      <c r="B15" s="53"/>
      <c r="C15" s="42"/>
      <c r="D15" s="59" t="s">
        <v>551</v>
      </c>
      <c r="E15" s="55">
        <v>30</v>
      </c>
      <c r="F15" s="55">
        <v>30</v>
      </c>
      <c r="G15" s="55">
        <v>30</v>
      </c>
      <c r="H15" s="55">
        <v>30</v>
      </c>
      <c r="I15" s="56">
        <v>30</v>
      </c>
      <c r="J15" s="4"/>
      <c r="K15" s="4"/>
      <c r="L15" s="3265"/>
      <c r="M15" s="4">
        <f>+M16-1</f>
        <v>2020</v>
      </c>
      <c r="N15" s="4">
        <v>90</v>
      </c>
      <c r="O15" s="4" t="s">
        <v>65</v>
      </c>
      <c r="P15" s="3268" t="s">
        <v>64</v>
      </c>
      <c r="Q15" s="3268" t="s">
        <v>64</v>
      </c>
      <c r="R15" s="3265"/>
      <c r="S15" s="3266">
        <v>0</v>
      </c>
      <c r="T15" s="3265"/>
      <c r="U15" s="3267">
        <f t="shared" si="0"/>
        <v>150</v>
      </c>
      <c r="V15" s="3265"/>
      <c r="W15" s="3265"/>
      <c r="X15" s="3265"/>
      <c r="Y15" s="3265"/>
      <c r="Z15" s="3265"/>
      <c r="AA15" s="3265"/>
      <c r="AB15" s="3265"/>
      <c r="AC15" s="3265"/>
      <c r="AD15" s="3265"/>
      <c r="AE15" s="3265"/>
      <c r="AF15" s="3265"/>
      <c r="AG15" s="3265"/>
      <c r="AH15" s="3265"/>
      <c r="AI15" s="57"/>
      <c r="AJ15" s="57"/>
      <c r="AK15" s="57"/>
      <c r="AL15" s="57"/>
      <c r="AM15" s="57"/>
    </row>
    <row r="16" spans="1:39" s="58" customFormat="1" ht="19.5" x14ac:dyDescent="0.2">
      <c r="A16" s="52">
        <v>1101</v>
      </c>
      <c r="B16" s="53"/>
      <c r="C16" s="60" t="s">
        <v>552</v>
      </c>
      <c r="D16" s="61"/>
      <c r="E16" s="62">
        <f>SUM(E11:E15)</f>
        <v>150</v>
      </c>
      <c r="F16" s="62">
        <f>SUM(F11:F15)</f>
        <v>150</v>
      </c>
      <c r="G16" s="62">
        <f>SUM(G11:G15)</f>
        <v>150</v>
      </c>
      <c r="H16" s="62">
        <f>SUM(H11:H15)</f>
        <v>150</v>
      </c>
      <c r="I16" s="63">
        <f>SUM(I11:I15)</f>
        <v>150</v>
      </c>
      <c r="J16" s="4"/>
      <c r="K16" s="4"/>
      <c r="L16" s="3265"/>
      <c r="M16" s="4">
        <f>+M17-1</f>
        <v>2021</v>
      </c>
      <c r="N16" s="4">
        <v>120</v>
      </c>
      <c r="O16" s="4" t="s">
        <v>68</v>
      </c>
      <c r="P16" s="3268" t="s">
        <v>67</v>
      </c>
      <c r="Q16" s="3268" t="s">
        <v>67</v>
      </c>
      <c r="R16" s="3265"/>
      <c r="S16" s="3266">
        <v>0</v>
      </c>
      <c r="T16" s="3265"/>
      <c r="U16" s="3267">
        <f t="shared" si="0"/>
        <v>750</v>
      </c>
      <c r="V16" s="3265"/>
      <c r="W16" s="3265"/>
      <c r="X16" s="3265"/>
      <c r="Y16" s="3265"/>
      <c r="Z16" s="3265"/>
      <c r="AA16" s="3265"/>
      <c r="AB16" s="3265"/>
      <c r="AC16" s="3265"/>
      <c r="AD16" s="3269"/>
      <c r="AE16" s="3265"/>
      <c r="AF16" s="3265"/>
      <c r="AG16" s="3265"/>
      <c r="AH16" s="3265"/>
      <c r="AI16" s="57"/>
      <c r="AJ16" s="57"/>
      <c r="AK16" s="57"/>
      <c r="AL16" s="57"/>
      <c r="AM16" s="57"/>
    </row>
    <row r="17" spans="1:39" s="58" customFormat="1" ht="19.5" x14ac:dyDescent="0.2">
      <c r="A17" s="52"/>
      <c r="B17" s="47"/>
      <c r="C17" s="48" t="s">
        <v>553</v>
      </c>
      <c r="D17" s="65"/>
      <c r="E17" s="66"/>
      <c r="F17" s="66"/>
      <c r="G17" s="66"/>
      <c r="H17" s="66"/>
      <c r="I17" s="67"/>
      <c r="J17" s="4"/>
      <c r="K17" s="4"/>
      <c r="L17" s="3265"/>
      <c r="M17" s="4">
        <f>H4+1</f>
        <v>2022</v>
      </c>
      <c r="N17" s="4">
        <v>150</v>
      </c>
      <c r="O17" s="4" t="s">
        <v>70</v>
      </c>
      <c r="P17" s="3268" t="s">
        <v>69</v>
      </c>
      <c r="Q17" s="3268" t="s">
        <v>69</v>
      </c>
      <c r="R17" s="3265"/>
      <c r="S17" s="3266">
        <v>0</v>
      </c>
      <c r="T17" s="3265"/>
      <c r="U17" s="3267">
        <f>U26</f>
        <v>1200</v>
      </c>
      <c r="V17" s="3265"/>
      <c r="W17" s="3265"/>
      <c r="X17" s="3265"/>
      <c r="Y17" s="3265"/>
      <c r="Z17" s="3265"/>
      <c r="AA17" s="3265"/>
      <c r="AB17" s="3265"/>
      <c r="AC17" s="3265"/>
      <c r="AD17" s="3269"/>
      <c r="AE17" s="3265"/>
      <c r="AF17" s="3265"/>
      <c r="AG17" s="3265"/>
      <c r="AH17" s="3265"/>
      <c r="AI17" s="57"/>
      <c r="AJ17" s="57"/>
      <c r="AK17" s="57"/>
      <c r="AL17" s="57"/>
      <c r="AM17" s="57"/>
    </row>
    <row r="18" spans="1:39" s="58" customFormat="1" ht="19.5" x14ac:dyDescent="0.2">
      <c r="A18" s="52">
        <v>110205</v>
      </c>
      <c r="B18" s="53"/>
      <c r="C18" s="42"/>
      <c r="D18" s="54" t="s">
        <v>554</v>
      </c>
      <c r="E18" s="55">
        <v>30</v>
      </c>
      <c r="F18" s="55">
        <v>30</v>
      </c>
      <c r="G18" s="55">
        <v>30</v>
      </c>
      <c r="H18" s="55">
        <v>30</v>
      </c>
      <c r="I18" s="56">
        <v>30</v>
      </c>
      <c r="J18" s="4"/>
      <c r="K18" s="4"/>
      <c r="L18" s="3265"/>
      <c r="M18" s="4"/>
      <c r="N18" s="4">
        <v>180</v>
      </c>
      <c r="O18" s="4" t="s">
        <v>72</v>
      </c>
      <c r="P18" s="3268" t="s">
        <v>71</v>
      </c>
      <c r="Q18" s="3268" t="s">
        <v>71</v>
      </c>
      <c r="R18" s="3265"/>
      <c r="S18" s="3266">
        <v>0</v>
      </c>
      <c r="T18" s="3265"/>
      <c r="U18" s="3267">
        <f t="shared" ref="U18:U26" si="1">SUM(E18:I18)</f>
        <v>150</v>
      </c>
      <c r="V18" s="3265"/>
      <c r="W18" s="3265"/>
      <c r="X18" s="3265"/>
      <c r="Y18" s="3265"/>
      <c r="Z18" s="3265"/>
      <c r="AA18" s="3265"/>
      <c r="AB18" s="3265"/>
      <c r="AC18" s="3265"/>
      <c r="AD18" s="3269"/>
      <c r="AE18" s="3265"/>
      <c r="AF18" s="3265"/>
      <c r="AG18" s="3265"/>
      <c r="AH18" s="3265"/>
      <c r="AI18" s="57"/>
      <c r="AJ18" s="57"/>
      <c r="AK18" s="57"/>
      <c r="AL18" s="57"/>
      <c r="AM18" s="57"/>
    </row>
    <row r="19" spans="1:39" s="58" customFormat="1" ht="19.5" x14ac:dyDescent="0.2">
      <c r="A19" s="52">
        <v>110210</v>
      </c>
      <c r="B19" s="53"/>
      <c r="C19" s="42"/>
      <c r="D19" s="59" t="s">
        <v>555</v>
      </c>
      <c r="E19" s="55">
        <v>30</v>
      </c>
      <c r="F19" s="55">
        <v>30</v>
      </c>
      <c r="G19" s="55">
        <v>30</v>
      </c>
      <c r="H19" s="55">
        <v>30</v>
      </c>
      <c r="I19" s="56">
        <v>30</v>
      </c>
      <c r="J19" s="4"/>
      <c r="K19" s="4"/>
      <c r="L19" s="3265"/>
      <c r="M19" s="4"/>
      <c r="N19" s="4">
        <v>210</v>
      </c>
      <c r="O19" s="4" t="s">
        <v>74</v>
      </c>
      <c r="P19" s="3268" t="s">
        <v>73</v>
      </c>
      <c r="Q19" s="3268" t="s">
        <v>73</v>
      </c>
      <c r="R19" s="3265"/>
      <c r="S19" s="3266">
        <v>0</v>
      </c>
      <c r="T19" s="3265"/>
      <c r="U19" s="3267">
        <f t="shared" si="1"/>
        <v>150</v>
      </c>
      <c r="V19" s="3265"/>
      <c r="W19" s="3265"/>
      <c r="X19" s="3265"/>
      <c r="Y19" s="3265"/>
      <c r="Z19" s="3265"/>
      <c r="AA19" s="3265"/>
      <c r="AB19" s="3265"/>
      <c r="AC19" s="3265"/>
      <c r="AD19" s="3269"/>
      <c r="AE19" s="3265"/>
      <c r="AF19" s="3265"/>
      <c r="AG19" s="3265"/>
      <c r="AH19" s="3265"/>
      <c r="AI19" s="57"/>
      <c r="AJ19" s="57"/>
      <c r="AK19" s="57"/>
      <c r="AL19" s="57"/>
      <c r="AM19" s="57"/>
    </row>
    <row r="20" spans="1:39" s="58" customFormat="1" ht="19.5" x14ac:dyDescent="0.2">
      <c r="A20" s="52">
        <v>110215</v>
      </c>
      <c r="B20" s="53"/>
      <c r="C20" s="42"/>
      <c r="D20" s="59" t="s">
        <v>556</v>
      </c>
      <c r="E20" s="55">
        <v>30</v>
      </c>
      <c r="F20" s="55">
        <v>30</v>
      </c>
      <c r="G20" s="55">
        <v>30</v>
      </c>
      <c r="H20" s="55">
        <v>30</v>
      </c>
      <c r="I20" s="56">
        <v>30</v>
      </c>
      <c r="J20" s="4"/>
      <c r="K20" s="4"/>
      <c r="L20" s="3265"/>
      <c r="M20" s="4"/>
      <c r="N20" s="4">
        <v>240</v>
      </c>
      <c r="O20" s="4" t="s">
        <v>77</v>
      </c>
      <c r="P20" s="3268" t="s">
        <v>76</v>
      </c>
      <c r="Q20" s="3268" t="s">
        <v>76</v>
      </c>
      <c r="R20" s="3265"/>
      <c r="S20" s="3266">
        <v>0</v>
      </c>
      <c r="T20" s="3265"/>
      <c r="U20" s="3267">
        <f t="shared" si="1"/>
        <v>150</v>
      </c>
      <c r="V20" s="3265"/>
      <c r="W20" s="3265"/>
      <c r="X20" s="3265"/>
      <c r="Y20" s="3265"/>
      <c r="Z20" s="3265"/>
      <c r="AA20" s="3265"/>
      <c r="AB20" s="3265"/>
      <c r="AC20" s="3265"/>
      <c r="AD20" s="3269"/>
      <c r="AE20" s="3265"/>
      <c r="AF20" s="3265"/>
      <c r="AG20" s="3265"/>
      <c r="AH20" s="3265"/>
      <c r="AI20" s="57"/>
      <c r="AJ20" s="57"/>
      <c r="AK20" s="57"/>
      <c r="AL20" s="57"/>
      <c r="AM20" s="57"/>
    </row>
    <row r="21" spans="1:39" s="58" customFormat="1" ht="19.5" x14ac:dyDescent="0.2">
      <c r="A21" s="52">
        <v>110225</v>
      </c>
      <c r="B21" s="53"/>
      <c r="C21" s="42"/>
      <c r="D21" s="59" t="s">
        <v>557</v>
      </c>
      <c r="E21" s="55">
        <v>30</v>
      </c>
      <c r="F21" s="55">
        <v>30</v>
      </c>
      <c r="G21" s="55">
        <v>30</v>
      </c>
      <c r="H21" s="55">
        <v>30</v>
      </c>
      <c r="I21" s="56">
        <v>30</v>
      </c>
      <c r="J21" s="4"/>
      <c r="K21" s="4"/>
      <c r="L21" s="3265"/>
      <c r="M21" s="4"/>
      <c r="N21" s="4">
        <v>270</v>
      </c>
      <c r="O21" s="4" t="s">
        <v>79</v>
      </c>
      <c r="P21" s="3268" t="s">
        <v>78</v>
      </c>
      <c r="Q21" s="3268" t="s">
        <v>78</v>
      </c>
      <c r="R21" s="3265"/>
      <c r="S21" s="3266">
        <v>0</v>
      </c>
      <c r="T21" s="3265"/>
      <c r="U21" s="3267">
        <f t="shared" si="1"/>
        <v>150</v>
      </c>
      <c r="V21" s="3265"/>
      <c r="W21" s="3265"/>
      <c r="X21" s="3265"/>
      <c r="Y21" s="3265"/>
      <c r="Z21" s="3265"/>
      <c r="AA21" s="3265"/>
      <c r="AB21" s="3265"/>
      <c r="AC21" s="3265"/>
      <c r="AD21" s="3269"/>
      <c r="AE21" s="3265"/>
      <c r="AF21" s="3265"/>
      <c r="AG21" s="3265"/>
      <c r="AH21" s="3265"/>
      <c r="AI21" s="57"/>
      <c r="AJ21" s="57"/>
      <c r="AK21" s="57"/>
      <c r="AL21" s="57"/>
      <c r="AM21" s="57"/>
    </row>
    <row r="22" spans="1:39" s="58" customFormat="1" ht="19.5" x14ac:dyDescent="0.2">
      <c r="A22" s="52">
        <v>110235</v>
      </c>
      <c r="B22" s="53"/>
      <c r="C22" s="42"/>
      <c r="D22" s="59" t="s">
        <v>558</v>
      </c>
      <c r="E22" s="55">
        <v>30</v>
      </c>
      <c r="F22" s="55">
        <v>30</v>
      </c>
      <c r="G22" s="55">
        <v>30</v>
      </c>
      <c r="H22" s="55">
        <v>30</v>
      </c>
      <c r="I22" s="56">
        <v>30</v>
      </c>
      <c r="J22" s="4"/>
      <c r="K22" s="4"/>
      <c r="L22" s="3265"/>
      <c r="M22" s="4"/>
      <c r="N22" s="4">
        <v>300</v>
      </c>
      <c r="O22" s="4" t="s">
        <v>81</v>
      </c>
      <c r="P22" s="3268" t="s">
        <v>80</v>
      </c>
      <c r="Q22" s="3268" t="s">
        <v>80</v>
      </c>
      <c r="R22" s="3265"/>
      <c r="S22" s="3266">
        <v>0</v>
      </c>
      <c r="T22" s="3265"/>
      <c r="U22" s="3267">
        <f t="shared" si="1"/>
        <v>150</v>
      </c>
      <c r="V22" s="3265"/>
      <c r="W22" s="3265"/>
      <c r="X22" s="3265"/>
      <c r="Y22" s="3265"/>
      <c r="Z22" s="3265"/>
      <c r="AA22" s="3265"/>
      <c r="AB22" s="3265"/>
      <c r="AC22" s="3265"/>
      <c r="AD22" s="3269"/>
      <c r="AE22" s="3265"/>
      <c r="AF22" s="3265"/>
      <c r="AG22" s="3265"/>
      <c r="AH22" s="3265"/>
      <c r="AI22" s="57"/>
      <c r="AJ22" s="57"/>
      <c r="AK22" s="57"/>
      <c r="AL22" s="57"/>
      <c r="AM22" s="57"/>
    </row>
    <row r="23" spans="1:39" s="58" customFormat="1" ht="19.5" x14ac:dyDescent="0.2">
      <c r="A23" s="52">
        <v>110255</v>
      </c>
      <c r="B23" s="53"/>
      <c r="C23" s="42"/>
      <c r="D23" s="59" t="s">
        <v>559</v>
      </c>
      <c r="E23" s="55">
        <v>30</v>
      </c>
      <c r="F23" s="55">
        <v>30</v>
      </c>
      <c r="G23" s="55">
        <v>30</v>
      </c>
      <c r="H23" s="55">
        <v>30</v>
      </c>
      <c r="I23" s="56">
        <v>30</v>
      </c>
      <c r="J23" s="4"/>
      <c r="K23" s="4"/>
      <c r="L23" s="3265"/>
      <c r="M23" s="4"/>
      <c r="N23" s="4">
        <v>330</v>
      </c>
      <c r="O23" s="4" t="s">
        <v>83</v>
      </c>
      <c r="P23" s="3268" t="s">
        <v>82</v>
      </c>
      <c r="Q23" s="3268" t="s">
        <v>82</v>
      </c>
      <c r="R23" s="3265"/>
      <c r="S23" s="3266">
        <v>0</v>
      </c>
      <c r="T23" s="3265"/>
      <c r="U23" s="3267">
        <f t="shared" si="1"/>
        <v>150</v>
      </c>
      <c r="V23" s="3265"/>
      <c r="W23" s="3265"/>
      <c r="X23" s="3265"/>
      <c r="Y23" s="3265"/>
      <c r="Z23" s="3265"/>
      <c r="AA23" s="3265"/>
      <c r="AB23" s="3265"/>
      <c r="AC23" s="3265"/>
      <c r="AD23" s="3269"/>
      <c r="AE23" s="3265"/>
      <c r="AF23" s="3265"/>
      <c r="AG23" s="3265"/>
      <c r="AH23" s="3265"/>
      <c r="AI23" s="57"/>
      <c r="AJ23" s="57"/>
      <c r="AK23" s="57"/>
      <c r="AL23" s="57"/>
      <c r="AM23" s="57"/>
    </row>
    <row r="24" spans="1:39" s="58" customFormat="1" ht="19.5" x14ac:dyDescent="0.2">
      <c r="A24" s="52">
        <v>129700</v>
      </c>
      <c r="B24" s="53"/>
      <c r="C24" s="42"/>
      <c r="D24" s="59" t="s">
        <v>560</v>
      </c>
      <c r="E24" s="55">
        <v>30</v>
      </c>
      <c r="F24" s="55">
        <v>30</v>
      </c>
      <c r="G24" s="55">
        <v>30</v>
      </c>
      <c r="H24" s="55">
        <v>30</v>
      </c>
      <c r="I24" s="56">
        <v>30</v>
      </c>
      <c r="J24" s="4"/>
      <c r="K24" s="4"/>
      <c r="L24" s="3265"/>
      <c r="M24" s="4"/>
      <c r="N24" s="4"/>
      <c r="O24" s="4" t="s">
        <v>85</v>
      </c>
      <c r="P24" s="3268" t="s">
        <v>84</v>
      </c>
      <c r="Q24" s="3265"/>
      <c r="R24" s="3265"/>
      <c r="S24" s="3266">
        <v>0</v>
      </c>
      <c r="T24" s="3265"/>
      <c r="U24" s="3267">
        <f t="shared" si="1"/>
        <v>150</v>
      </c>
      <c r="V24" s="3265"/>
      <c r="W24" s="3265"/>
      <c r="X24" s="3265"/>
      <c r="Y24" s="3265"/>
      <c r="Z24" s="3265"/>
      <c r="AA24" s="3265"/>
      <c r="AB24" s="3265"/>
      <c r="AC24" s="3265"/>
      <c r="AD24" s="3269"/>
      <c r="AE24" s="3265"/>
      <c r="AF24" s="3265"/>
      <c r="AG24" s="3265"/>
      <c r="AH24" s="3265"/>
      <c r="AI24" s="57"/>
      <c r="AJ24" s="57"/>
      <c r="AK24" s="57"/>
      <c r="AL24" s="57"/>
      <c r="AM24" s="57"/>
    </row>
    <row r="25" spans="1:39" s="58" customFormat="1" ht="19.5" x14ac:dyDescent="0.2">
      <c r="A25" s="52">
        <v>110260</v>
      </c>
      <c r="B25" s="53"/>
      <c r="C25" s="42"/>
      <c r="D25" s="59" t="s">
        <v>561</v>
      </c>
      <c r="E25" s="55">
        <v>30</v>
      </c>
      <c r="F25" s="55">
        <v>30</v>
      </c>
      <c r="G25" s="55">
        <v>30</v>
      </c>
      <c r="H25" s="55">
        <v>30</v>
      </c>
      <c r="I25" s="56">
        <v>30</v>
      </c>
      <c r="J25" s="4"/>
      <c r="K25" s="4"/>
      <c r="L25" s="3265"/>
      <c r="M25" s="4"/>
      <c r="N25" s="4"/>
      <c r="O25" s="4"/>
      <c r="P25" s="3268" t="s">
        <v>562</v>
      </c>
      <c r="Q25" s="3265"/>
      <c r="R25" s="3265"/>
      <c r="S25" s="3266">
        <v>0</v>
      </c>
      <c r="T25" s="3265"/>
      <c r="U25" s="3267">
        <f t="shared" si="1"/>
        <v>150</v>
      </c>
      <c r="V25" s="3265"/>
      <c r="W25" s="3265"/>
      <c r="X25" s="3265"/>
      <c r="Y25" s="3265"/>
      <c r="Z25" s="3265"/>
      <c r="AA25" s="3265"/>
      <c r="AB25" s="3265"/>
      <c r="AC25" s="3265"/>
      <c r="AD25" s="3269"/>
      <c r="AE25" s="3265"/>
      <c r="AF25" s="3265"/>
      <c r="AG25" s="3265"/>
      <c r="AH25" s="3265"/>
      <c r="AI25" s="57"/>
      <c r="AJ25" s="57"/>
      <c r="AK25" s="57"/>
      <c r="AL25" s="57"/>
      <c r="AM25" s="57"/>
    </row>
    <row r="26" spans="1:39" s="58" customFormat="1" ht="19.5" x14ac:dyDescent="0.2">
      <c r="A26" s="52">
        <v>1102</v>
      </c>
      <c r="B26" s="53"/>
      <c r="C26" s="60" t="s">
        <v>563</v>
      </c>
      <c r="D26" s="61"/>
      <c r="E26" s="62">
        <f>SUM(E18:E25)</f>
        <v>240</v>
      </c>
      <c r="F26" s="62">
        <f>SUM(F18:F25)</f>
        <v>240</v>
      </c>
      <c r="G26" s="62">
        <f>SUM(G18:G25)</f>
        <v>240</v>
      </c>
      <c r="H26" s="62">
        <f>SUM(H18:H25)</f>
        <v>240</v>
      </c>
      <c r="I26" s="63">
        <f>SUM(I18:I25)</f>
        <v>240</v>
      </c>
      <c r="J26" s="4"/>
      <c r="K26" s="4"/>
      <c r="L26" s="3265"/>
      <c r="M26" s="4"/>
      <c r="N26" s="4"/>
      <c r="O26" s="4"/>
      <c r="P26" s="3268" t="s">
        <v>564</v>
      </c>
      <c r="Q26" s="3265"/>
      <c r="R26" s="3265"/>
      <c r="S26" s="3266">
        <v>0</v>
      </c>
      <c r="T26" s="3265"/>
      <c r="U26" s="3267">
        <f t="shared" si="1"/>
        <v>1200</v>
      </c>
      <c r="V26" s="3265"/>
      <c r="W26" s="3265"/>
      <c r="X26" s="3265"/>
      <c r="Y26" s="3265"/>
      <c r="Z26" s="3265"/>
      <c r="AA26" s="3265"/>
      <c r="AB26" s="3265"/>
      <c r="AC26" s="3265"/>
      <c r="AD26" s="3269"/>
      <c r="AE26" s="3265"/>
      <c r="AF26" s="3265"/>
      <c r="AG26" s="3265"/>
      <c r="AH26" s="3265"/>
      <c r="AI26" s="57"/>
      <c r="AJ26" s="57"/>
      <c r="AK26" s="57"/>
      <c r="AL26" s="57"/>
      <c r="AM26" s="57"/>
    </row>
    <row r="27" spans="1:39" s="58" customFormat="1" ht="19.5" x14ac:dyDescent="0.2">
      <c r="A27" s="52"/>
      <c r="B27" s="47"/>
      <c r="C27" s="48" t="s">
        <v>565</v>
      </c>
      <c r="D27" s="65"/>
      <c r="E27" s="66"/>
      <c r="F27" s="66"/>
      <c r="G27" s="66"/>
      <c r="H27" s="66"/>
      <c r="I27" s="67"/>
      <c r="J27" s="4"/>
      <c r="K27" s="4"/>
      <c r="L27" s="3265"/>
      <c r="M27" s="4"/>
      <c r="N27" s="4"/>
      <c r="O27" s="4"/>
      <c r="P27" s="3268" t="s">
        <v>566</v>
      </c>
      <c r="Q27" s="3265"/>
      <c r="R27" s="3265"/>
      <c r="S27" s="3266">
        <v>0</v>
      </c>
      <c r="T27" s="3265"/>
      <c r="U27" s="3267">
        <f>U33</f>
        <v>450</v>
      </c>
      <c r="V27" s="3265"/>
      <c r="W27" s="3265"/>
      <c r="X27" s="3265"/>
      <c r="Y27" s="3265"/>
      <c r="Z27" s="3265"/>
      <c r="AA27" s="3265"/>
      <c r="AB27" s="3265"/>
      <c r="AC27" s="3265"/>
      <c r="AD27" s="3269"/>
      <c r="AE27" s="3265"/>
      <c r="AF27" s="3265"/>
      <c r="AG27" s="3265"/>
      <c r="AH27" s="3265"/>
      <c r="AI27" s="57"/>
      <c r="AJ27" s="57"/>
      <c r="AK27" s="57"/>
      <c r="AL27" s="57"/>
      <c r="AM27" s="57"/>
    </row>
    <row r="28" spans="1:39" s="58" customFormat="1" ht="19.5" x14ac:dyDescent="0.2">
      <c r="A28" s="52">
        <v>110305</v>
      </c>
      <c r="B28" s="53"/>
      <c r="C28" s="42"/>
      <c r="D28" s="54" t="s">
        <v>567</v>
      </c>
      <c r="E28" s="55">
        <v>30</v>
      </c>
      <c r="F28" s="55">
        <v>30</v>
      </c>
      <c r="G28" s="55">
        <v>30</v>
      </c>
      <c r="H28" s="55">
        <v>30</v>
      </c>
      <c r="I28" s="56">
        <v>30</v>
      </c>
      <c r="J28" s="4"/>
      <c r="K28" s="4"/>
      <c r="L28" s="3265"/>
      <c r="M28" s="4"/>
      <c r="N28" s="4"/>
      <c r="O28" s="4"/>
      <c r="P28" s="3268" t="s">
        <v>568</v>
      </c>
      <c r="Q28" s="3265"/>
      <c r="R28" s="3265"/>
      <c r="S28" s="3266">
        <v>0</v>
      </c>
      <c r="T28" s="3265"/>
      <c r="U28" s="3267">
        <f t="shared" ref="U28:U33" si="2">SUM(E28:I28)</f>
        <v>150</v>
      </c>
      <c r="V28" s="3265"/>
      <c r="W28" s="3265"/>
      <c r="X28" s="3265"/>
      <c r="Y28" s="3265"/>
      <c r="Z28" s="3265"/>
      <c r="AA28" s="3265"/>
      <c r="AB28" s="3265"/>
      <c r="AC28" s="3265"/>
      <c r="AD28" s="3269"/>
      <c r="AE28" s="3265"/>
      <c r="AF28" s="3265"/>
      <c r="AG28" s="3265"/>
      <c r="AH28" s="3265"/>
      <c r="AI28" s="57"/>
      <c r="AJ28" s="57"/>
      <c r="AK28" s="57"/>
      <c r="AL28" s="57"/>
      <c r="AM28" s="57"/>
    </row>
    <row r="29" spans="1:39" s="58" customFormat="1" ht="19.5" x14ac:dyDescent="0.2">
      <c r="A29" s="52">
        <v>130510</v>
      </c>
      <c r="B29" s="53"/>
      <c r="C29" s="42"/>
      <c r="D29" s="59" t="s">
        <v>569</v>
      </c>
      <c r="E29" s="55">
        <v>30</v>
      </c>
      <c r="F29" s="55">
        <v>30</v>
      </c>
      <c r="G29" s="55">
        <v>30</v>
      </c>
      <c r="H29" s="55">
        <v>30</v>
      </c>
      <c r="I29" s="56">
        <v>30</v>
      </c>
      <c r="J29" s="4"/>
      <c r="K29" s="4"/>
      <c r="L29" s="3265"/>
      <c r="M29" s="4"/>
      <c r="N29" s="4"/>
      <c r="O29" s="4"/>
      <c r="P29" s="3268" t="s">
        <v>570</v>
      </c>
      <c r="Q29" s="3265"/>
      <c r="R29" s="3265"/>
      <c r="S29" s="3266">
        <v>0</v>
      </c>
      <c r="T29" s="3265"/>
      <c r="U29" s="3267">
        <f t="shared" si="2"/>
        <v>150</v>
      </c>
      <c r="V29" s="3265"/>
      <c r="W29" s="3265"/>
      <c r="X29" s="3265"/>
      <c r="Y29" s="3265"/>
      <c r="Z29" s="3265"/>
      <c r="AA29" s="3265"/>
      <c r="AB29" s="3265"/>
      <c r="AC29" s="3265"/>
      <c r="AD29" s="3269"/>
      <c r="AE29" s="3265"/>
      <c r="AF29" s="3265"/>
      <c r="AG29" s="3265"/>
      <c r="AH29" s="3265"/>
      <c r="AI29" s="57"/>
      <c r="AJ29" s="57"/>
      <c r="AK29" s="57"/>
      <c r="AL29" s="57"/>
      <c r="AM29" s="57"/>
    </row>
    <row r="30" spans="1:39" s="58" customFormat="1" ht="19.5" x14ac:dyDescent="0.2">
      <c r="A30" s="52">
        <v>131000</v>
      </c>
      <c r="B30" s="53"/>
      <c r="C30" s="42"/>
      <c r="D30" s="59" t="s">
        <v>571</v>
      </c>
      <c r="E30" s="55">
        <v>30</v>
      </c>
      <c r="F30" s="55">
        <v>30</v>
      </c>
      <c r="G30" s="55">
        <v>30</v>
      </c>
      <c r="H30" s="55">
        <v>30</v>
      </c>
      <c r="I30" s="56">
        <v>30</v>
      </c>
      <c r="J30" s="4"/>
      <c r="K30" s="4"/>
      <c r="L30" s="3265"/>
      <c r="M30" s="4"/>
      <c r="N30" s="4"/>
      <c r="O30" s="4"/>
      <c r="P30" s="3268" t="s">
        <v>572</v>
      </c>
      <c r="Q30" s="3265"/>
      <c r="R30" s="3265"/>
      <c r="S30" s="3266">
        <v>0</v>
      </c>
      <c r="T30" s="3265"/>
      <c r="U30" s="3267">
        <f t="shared" si="2"/>
        <v>150</v>
      </c>
      <c r="V30" s="3265"/>
      <c r="W30" s="3265"/>
      <c r="X30" s="3265"/>
      <c r="Y30" s="3265"/>
      <c r="Z30" s="3265"/>
      <c r="AA30" s="3265"/>
      <c r="AB30" s="3265"/>
      <c r="AC30" s="3265"/>
      <c r="AD30" s="3269"/>
      <c r="AE30" s="3265"/>
      <c r="AF30" s="3265"/>
      <c r="AG30" s="3265"/>
      <c r="AH30" s="3265"/>
      <c r="AI30" s="57"/>
      <c r="AJ30" s="57"/>
      <c r="AK30" s="57"/>
      <c r="AL30" s="57"/>
      <c r="AM30" s="57"/>
    </row>
    <row r="31" spans="1:39" s="58" customFormat="1" ht="19.5" x14ac:dyDescent="0.2">
      <c r="A31" s="52">
        <v>110390</v>
      </c>
      <c r="B31" s="53"/>
      <c r="C31" s="42"/>
      <c r="D31" s="59" t="s">
        <v>573</v>
      </c>
      <c r="E31" s="55">
        <v>30</v>
      </c>
      <c r="F31" s="55">
        <v>30</v>
      </c>
      <c r="G31" s="55">
        <v>30</v>
      </c>
      <c r="H31" s="55">
        <v>30</v>
      </c>
      <c r="I31" s="56">
        <v>30</v>
      </c>
      <c r="J31" s="4"/>
      <c r="K31" s="4"/>
      <c r="L31" s="3265"/>
      <c r="M31" s="4"/>
      <c r="N31" s="4"/>
      <c r="O31" s="4"/>
      <c r="P31" s="3268"/>
      <c r="Q31" s="3265"/>
      <c r="R31" s="3265"/>
      <c r="S31" s="3266">
        <v>0</v>
      </c>
      <c r="T31" s="3265"/>
      <c r="U31" s="3267">
        <f t="shared" si="2"/>
        <v>150</v>
      </c>
      <c r="V31" s="3265"/>
      <c r="W31" s="3265"/>
      <c r="X31" s="3265"/>
      <c r="Y31" s="3265"/>
      <c r="Z31" s="3265"/>
      <c r="AA31" s="3265"/>
      <c r="AB31" s="3265"/>
      <c r="AC31" s="3265"/>
      <c r="AD31" s="3269"/>
      <c r="AE31" s="3265"/>
      <c r="AF31" s="3265"/>
      <c r="AG31" s="3265"/>
      <c r="AH31" s="3265"/>
      <c r="AI31" s="57"/>
      <c r="AJ31" s="57"/>
      <c r="AK31" s="57"/>
      <c r="AL31" s="57"/>
      <c r="AM31" s="57"/>
    </row>
    <row r="32" spans="1:39" s="58" customFormat="1" ht="19.5" x14ac:dyDescent="0.2">
      <c r="A32" s="52">
        <v>110395</v>
      </c>
      <c r="B32" s="53"/>
      <c r="C32" s="42"/>
      <c r="D32" s="68" t="s">
        <v>574</v>
      </c>
      <c r="E32" s="55">
        <v>30</v>
      </c>
      <c r="F32" s="55">
        <v>30</v>
      </c>
      <c r="G32" s="55">
        <v>30</v>
      </c>
      <c r="H32" s="55">
        <v>30</v>
      </c>
      <c r="I32" s="56">
        <v>30</v>
      </c>
      <c r="J32" s="4"/>
      <c r="K32" s="4"/>
      <c r="L32" s="3265"/>
      <c r="M32" s="4"/>
      <c r="N32" s="4"/>
      <c r="O32" s="4"/>
      <c r="P32" s="3268"/>
      <c r="Q32" s="3265"/>
      <c r="R32" s="3265"/>
      <c r="S32" s="3266">
        <v>0</v>
      </c>
      <c r="T32" s="3265"/>
      <c r="U32" s="3267">
        <f t="shared" si="2"/>
        <v>150</v>
      </c>
      <c r="V32" s="3265"/>
      <c r="W32" s="3265"/>
      <c r="X32" s="3265"/>
      <c r="Y32" s="3265"/>
      <c r="Z32" s="3265"/>
      <c r="AA32" s="3265"/>
      <c r="AB32" s="3265"/>
      <c r="AC32" s="3265"/>
      <c r="AD32" s="3269"/>
      <c r="AE32" s="3265"/>
      <c r="AF32" s="3265"/>
      <c r="AG32" s="3265"/>
      <c r="AH32" s="3265"/>
      <c r="AI32" s="57"/>
      <c r="AJ32" s="57"/>
      <c r="AK32" s="57"/>
      <c r="AL32" s="57"/>
      <c r="AM32" s="57"/>
    </row>
    <row r="33" spans="1:39" s="58" customFormat="1" ht="19.5" x14ac:dyDescent="0.2">
      <c r="A33" s="52">
        <v>1103</v>
      </c>
      <c r="B33" s="53"/>
      <c r="C33" s="60" t="s">
        <v>575</v>
      </c>
      <c r="D33" s="61"/>
      <c r="E33" s="62">
        <f>SUM(E28:E31)-E32</f>
        <v>90</v>
      </c>
      <c r="F33" s="62">
        <f>SUM(F28:F31)-F32</f>
        <v>90</v>
      </c>
      <c r="G33" s="62">
        <f>SUM(G28:G31)-G32</f>
        <v>90</v>
      </c>
      <c r="H33" s="62">
        <f>SUM(H28:H31)-H32</f>
        <v>90</v>
      </c>
      <c r="I33" s="63">
        <f>SUM(I28:I31)-I32</f>
        <v>90</v>
      </c>
      <c r="J33" s="4"/>
      <c r="K33" s="4"/>
      <c r="L33" s="3265"/>
      <c r="M33" s="4"/>
      <c r="N33" s="4"/>
      <c r="O33" s="4"/>
      <c r="P33" s="3268"/>
      <c r="Q33" s="3265"/>
      <c r="R33" s="3265"/>
      <c r="S33" s="3266">
        <v>0</v>
      </c>
      <c r="T33" s="3265"/>
      <c r="U33" s="3267">
        <f t="shared" si="2"/>
        <v>450</v>
      </c>
      <c r="V33" s="3265"/>
      <c r="W33" s="3265"/>
      <c r="X33" s="3265"/>
      <c r="Y33" s="3265"/>
      <c r="Z33" s="3265"/>
      <c r="AA33" s="3265"/>
      <c r="AB33" s="3265"/>
      <c r="AC33" s="3265"/>
      <c r="AD33" s="3269"/>
      <c r="AE33" s="3265"/>
      <c r="AF33" s="3265"/>
      <c r="AG33" s="3265"/>
      <c r="AH33" s="3265"/>
      <c r="AI33" s="57"/>
      <c r="AJ33" s="57"/>
      <c r="AK33" s="57"/>
      <c r="AL33" s="57"/>
      <c r="AM33" s="57"/>
    </row>
    <row r="34" spans="1:39" s="58" customFormat="1" ht="19.5" x14ac:dyDescent="0.2">
      <c r="A34" s="52"/>
      <c r="B34" s="47"/>
      <c r="C34" s="48" t="s">
        <v>576</v>
      </c>
      <c r="D34" s="65"/>
      <c r="E34" s="66"/>
      <c r="F34" s="66"/>
      <c r="G34" s="66"/>
      <c r="H34" s="66"/>
      <c r="I34" s="67"/>
      <c r="J34" s="4"/>
      <c r="K34" s="4"/>
      <c r="L34" s="3265"/>
      <c r="M34" s="4"/>
      <c r="N34" s="4"/>
      <c r="O34" s="4"/>
      <c r="P34" s="3268"/>
      <c r="Q34" s="3265"/>
      <c r="R34" s="3265"/>
      <c r="S34" s="3266">
        <v>0</v>
      </c>
      <c r="T34" s="3265"/>
      <c r="U34" s="3267">
        <f>U49</f>
        <v>2100</v>
      </c>
      <c r="V34" s="3265"/>
      <c r="W34" s="3265"/>
      <c r="X34" s="3265"/>
      <c r="Y34" s="3265"/>
      <c r="Z34" s="3265"/>
      <c r="AA34" s="3265"/>
      <c r="AB34" s="3265"/>
      <c r="AC34" s="3265"/>
      <c r="AD34" s="3269"/>
      <c r="AE34" s="3265"/>
      <c r="AF34" s="3265"/>
      <c r="AG34" s="3265"/>
      <c r="AH34" s="3265"/>
      <c r="AI34" s="57"/>
      <c r="AJ34" s="57"/>
      <c r="AK34" s="57"/>
      <c r="AL34" s="57"/>
      <c r="AM34" s="57"/>
    </row>
    <row r="35" spans="1:39" s="58" customFormat="1" ht="19.5" x14ac:dyDescent="0.2">
      <c r="A35" s="52">
        <v>132000</v>
      </c>
      <c r="B35" s="53"/>
      <c r="C35" s="42"/>
      <c r="D35" s="54" t="s">
        <v>577</v>
      </c>
      <c r="E35" s="55">
        <v>30</v>
      </c>
      <c r="F35" s="55">
        <v>30</v>
      </c>
      <c r="G35" s="55">
        <v>30</v>
      </c>
      <c r="H35" s="55">
        <v>30</v>
      </c>
      <c r="I35" s="56">
        <v>30</v>
      </c>
      <c r="J35" s="4"/>
      <c r="K35" s="4"/>
      <c r="L35" s="3265"/>
      <c r="M35" s="4"/>
      <c r="N35" s="4"/>
      <c r="O35" s="4"/>
      <c r="P35" s="3268"/>
      <c r="Q35" s="3265"/>
      <c r="R35" s="3265"/>
      <c r="S35" s="3266">
        <v>0</v>
      </c>
      <c r="T35" s="3265"/>
      <c r="U35" s="3267">
        <f t="shared" ref="U35:U49" si="3">SUM(E35:I35)</f>
        <v>150</v>
      </c>
      <c r="V35" s="3265"/>
      <c r="W35" s="3265"/>
      <c r="X35" s="3265"/>
      <c r="Y35" s="3265"/>
      <c r="Z35" s="3265"/>
      <c r="AA35" s="3265"/>
      <c r="AB35" s="3265"/>
      <c r="AC35" s="3265"/>
      <c r="AD35" s="3269"/>
      <c r="AE35" s="3265"/>
      <c r="AF35" s="3265"/>
      <c r="AG35" s="3265"/>
      <c r="AH35" s="3265"/>
      <c r="AI35" s="57"/>
      <c r="AJ35" s="57"/>
      <c r="AK35" s="57"/>
      <c r="AL35" s="57"/>
      <c r="AM35" s="57"/>
    </row>
    <row r="36" spans="1:39" s="58" customFormat="1" ht="19.5" x14ac:dyDescent="0.2">
      <c r="A36" s="52">
        <v>132500</v>
      </c>
      <c r="B36" s="53"/>
      <c r="C36" s="42"/>
      <c r="D36" s="59" t="s">
        <v>578</v>
      </c>
      <c r="E36" s="69">
        <v>30</v>
      </c>
      <c r="F36" s="69">
        <v>30</v>
      </c>
      <c r="G36" s="69">
        <v>30</v>
      </c>
      <c r="H36" s="69">
        <v>30</v>
      </c>
      <c r="I36" s="70">
        <v>30</v>
      </c>
      <c r="J36" s="4"/>
      <c r="K36" s="4"/>
      <c r="L36" s="3265"/>
      <c r="M36" s="4"/>
      <c r="N36" s="4"/>
      <c r="O36" s="4"/>
      <c r="P36" s="3268"/>
      <c r="Q36" s="3265"/>
      <c r="R36" s="3265"/>
      <c r="S36" s="3266">
        <v>0</v>
      </c>
      <c r="T36" s="3265"/>
      <c r="U36" s="3267">
        <f t="shared" si="3"/>
        <v>150</v>
      </c>
      <c r="V36" s="3265"/>
      <c r="W36" s="3265"/>
      <c r="X36" s="3265"/>
      <c r="Y36" s="3265"/>
      <c r="Z36" s="3265"/>
      <c r="AA36" s="3265"/>
      <c r="AB36" s="3265"/>
      <c r="AC36" s="3265"/>
      <c r="AD36" s="3269"/>
      <c r="AE36" s="3265"/>
      <c r="AF36" s="3265"/>
      <c r="AG36" s="3265"/>
      <c r="AH36" s="3265"/>
      <c r="AI36" s="57"/>
      <c r="AJ36" s="57"/>
      <c r="AK36" s="57"/>
      <c r="AL36" s="57"/>
      <c r="AM36" s="57"/>
    </row>
    <row r="37" spans="1:39" s="58" customFormat="1" ht="19.5" x14ac:dyDescent="0.2">
      <c r="A37" s="52">
        <v>133000</v>
      </c>
      <c r="B37" s="53"/>
      <c r="C37" s="42"/>
      <c r="D37" s="59" t="s">
        <v>579</v>
      </c>
      <c r="E37" s="69">
        <v>30</v>
      </c>
      <c r="F37" s="69">
        <v>30</v>
      </c>
      <c r="G37" s="69">
        <v>30</v>
      </c>
      <c r="H37" s="69">
        <v>30</v>
      </c>
      <c r="I37" s="70">
        <v>30</v>
      </c>
      <c r="J37" s="4"/>
      <c r="K37" s="4"/>
      <c r="L37" s="3265"/>
      <c r="M37" s="4"/>
      <c r="N37" s="4"/>
      <c r="O37" s="4"/>
      <c r="P37" s="3268"/>
      <c r="Q37" s="3265"/>
      <c r="R37" s="3265"/>
      <c r="S37" s="3266">
        <v>0</v>
      </c>
      <c r="T37" s="3265"/>
      <c r="U37" s="3267">
        <f t="shared" si="3"/>
        <v>150</v>
      </c>
      <c r="V37" s="3265"/>
      <c r="W37" s="3265"/>
      <c r="X37" s="3265"/>
      <c r="Y37" s="3265"/>
      <c r="Z37" s="3265"/>
      <c r="AA37" s="3265"/>
      <c r="AB37" s="3265"/>
      <c r="AC37" s="3265"/>
      <c r="AD37" s="3269"/>
      <c r="AE37" s="3265"/>
      <c r="AF37" s="3265"/>
      <c r="AG37" s="3265"/>
      <c r="AH37" s="3265"/>
      <c r="AI37" s="57"/>
      <c r="AJ37" s="57"/>
      <c r="AK37" s="57"/>
      <c r="AL37" s="57"/>
      <c r="AM37" s="57"/>
    </row>
    <row r="38" spans="1:39" s="58" customFormat="1" ht="19.5" x14ac:dyDescent="0.2">
      <c r="A38" s="52">
        <v>133500</v>
      </c>
      <c r="B38" s="53"/>
      <c r="C38" s="42"/>
      <c r="D38" s="59" t="s">
        <v>580</v>
      </c>
      <c r="E38" s="69">
        <v>30</v>
      </c>
      <c r="F38" s="69">
        <v>30</v>
      </c>
      <c r="G38" s="69">
        <v>30</v>
      </c>
      <c r="H38" s="69">
        <v>30</v>
      </c>
      <c r="I38" s="70">
        <v>30</v>
      </c>
      <c r="J38" s="4"/>
      <c r="K38" s="4"/>
      <c r="L38" s="3265"/>
      <c r="M38" s="4"/>
      <c r="N38" s="4"/>
      <c r="O38" s="4"/>
      <c r="P38" s="3268"/>
      <c r="Q38" s="3265"/>
      <c r="R38" s="3265"/>
      <c r="S38" s="3266">
        <v>0</v>
      </c>
      <c r="T38" s="3265"/>
      <c r="U38" s="3267">
        <f t="shared" si="3"/>
        <v>150</v>
      </c>
      <c r="V38" s="3265"/>
      <c r="W38" s="3265"/>
      <c r="X38" s="3265"/>
      <c r="Y38" s="3265"/>
      <c r="Z38" s="3265"/>
      <c r="AA38" s="3265"/>
      <c r="AB38" s="3265"/>
      <c r="AC38" s="3265"/>
      <c r="AD38" s="3269"/>
      <c r="AE38" s="3265"/>
      <c r="AF38" s="3265"/>
      <c r="AG38" s="3265"/>
      <c r="AH38" s="3265"/>
      <c r="AI38" s="57"/>
      <c r="AJ38" s="57"/>
      <c r="AK38" s="57"/>
      <c r="AL38" s="57"/>
      <c r="AM38" s="57"/>
    </row>
    <row r="39" spans="1:39" s="58" customFormat="1" ht="19.5" x14ac:dyDescent="0.2">
      <c r="A39" s="52">
        <v>134000</v>
      </c>
      <c r="B39" s="53"/>
      <c r="C39" s="42"/>
      <c r="D39" s="59" t="s">
        <v>581</v>
      </c>
      <c r="E39" s="69">
        <v>30</v>
      </c>
      <c r="F39" s="69">
        <v>30</v>
      </c>
      <c r="G39" s="69">
        <v>30</v>
      </c>
      <c r="H39" s="69">
        <v>30</v>
      </c>
      <c r="I39" s="70">
        <v>30</v>
      </c>
      <c r="J39" s="4"/>
      <c r="K39" s="4"/>
      <c r="L39" s="3265"/>
      <c r="M39" s="4"/>
      <c r="N39" s="4"/>
      <c r="O39" s="4"/>
      <c r="P39" s="3268"/>
      <c r="Q39" s="3265"/>
      <c r="R39" s="3265"/>
      <c r="S39" s="3266">
        <v>0</v>
      </c>
      <c r="T39" s="3265"/>
      <c r="U39" s="3267">
        <f t="shared" si="3"/>
        <v>150</v>
      </c>
      <c r="V39" s="3265"/>
      <c r="W39" s="3265"/>
      <c r="X39" s="3265"/>
      <c r="Y39" s="3265"/>
      <c r="Z39" s="3265"/>
      <c r="AA39" s="3265"/>
      <c r="AB39" s="3265"/>
      <c r="AC39" s="3265"/>
      <c r="AD39" s="3269"/>
      <c r="AE39" s="3265"/>
      <c r="AF39" s="3265"/>
      <c r="AG39" s="3265"/>
      <c r="AH39" s="3265"/>
      <c r="AI39" s="57"/>
      <c r="AJ39" s="57"/>
      <c r="AK39" s="57"/>
      <c r="AL39" s="57"/>
      <c r="AM39" s="57"/>
    </row>
    <row r="40" spans="1:39" s="58" customFormat="1" ht="19.5" x14ac:dyDescent="0.2">
      <c r="A40" s="52">
        <v>134500</v>
      </c>
      <c r="B40" s="53"/>
      <c r="C40" s="42"/>
      <c r="D40" s="59" t="s">
        <v>582</v>
      </c>
      <c r="E40" s="69">
        <v>30</v>
      </c>
      <c r="F40" s="69">
        <v>30</v>
      </c>
      <c r="G40" s="69">
        <v>30</v>
      </c>
      <c r="H40" s="69">
        <v>30</v>
      </c>
      <c r="I40" s="70">
        <v>30</v>
      </c>
      <c r="J40" s="4"/>
      <c r="K40" s="4"/>
      <c r="L40" s="3265"/>
      <c r="M40" s="4"/>
      <c r="N40" s="4"/>
      <c r="O40" s="4"/>
      <c r="P40" s="3268"/>
      <c r="Q40" s="3265"/>
      <c r="R40" s="3265"/>
      <c r="S40" s="3266">
        <v>0</v>
      </c>
      <c r="T40" s="3265"/>
      <c r="U40" s="3267">
        <f t="shared" si="3"/>
        <v>150</v>
      </c>
      <c r="V40" s="3265"/>
      <c r="W40" s="3265"/>
      <c r="X40" s="3265"/>
      <c r="Y40" s="3265"/>
      <c r="Z40" s="3265"/>
      <c r="AA40" s="3265"/>
      <c r="AB40" s="3265"/>
      <c r="AC40" s="3265"/>
      <c r="AD40" s="3269"/>
      <c r="AE40" s="3265"/>
      <c r="AF40" s="3265"/>
      <c r="AG40" s="3265"/>
      <c r="AH40" s="3265"/>
      <c r="AI40" s="57"/>
      <c r="AJ40" s="57"/>
      <c r="AK40" s="57"/>
      <c r="AL40" s="57"/>
      <c r="AM40" s="57"/>
    </row>
    <row r="41" spans="1:39" s="58" customFormat="1" ht="19.5" x14ac:dyDescent="0.2">
      <c r="A41" s="52">
        <v>135000</v>
      </c>
      <c r="B41" s="53"/>
      <c r="C41" s="42"/>
      <c r="D41" s="59" t="s">
        <v>583</v>
      </c>
      <c r="E41" s="69">
        <v>30</v>
      </c>
      <c r="F41" s="69">
        <v>30</v>
      </c>
      <c r="G41" s="69">
        <v>30</v>
      </c>
      <c r="H41" s="69">
        <v>30</v>
      </c>
      <c r="I41" s="70">
        <v>30</v>
      </c>
      <c r="J41" s="4"/>
      <c r="K41" s="4"/>
      <c r="L41" s="3265"/>
      <c r="M41" s="4"/>
      <c r="N41" s="4"/>
      <c r="O41" s="4"/>
      <c r="P41" s="3268"/>
      <c r="Q41" s="3265"/>
      <c r="R41" s="3265"/>
      <c r="S41" s="3266">
        <v>0</v>
      </c>
      <c r="T41" s="3265"/>
      <c r="U41" s="3267">
        <f t="shared" si="3"/>
        <v>150</v>
      </c>
      <c r="V41" s="3265"/>
      <c r="W41" s="3265"/>
      <c r="X41" s="3265"/>
      <c r="Y41" s="3265"/>
      <c r="Z41" s="3265"/>
      <c r="AA41" s="3265"/>
      <c r="AB41" s="3265"/>
      <c r="AC41" s="3265"/>
      <c r="AD41" s="3269"/>
      <c r="AE41" s="3265"/>
      <c r="AF41" s="3265"/>
      <c r="AG41" s="3265"/>
      <c r="AH41" s="3265"/>
      <c r="AI41" s="57"/>
      <c r="AJ41" s="57"/>
      <c r="AK41" s="57"/>
      <c r="AL41" s="57"/>
      <c r="AM41" s="57"/>
    </row>
    <row r="42" spans="1:39" s="58" customFormat="1" ht="19.5" x14ac:dyDescent="0.2">
      <c r="A42" s="52">
        <v>135500</v>
      </c>
      <c r="B42" s="53"/>
      <c r="C42" s="42"/>
      <c r="D42" s="59" t="s">
        <v>584</v>
      </c>
      <c r="E42" s="69">
        <v>30</v>
      </c>
      <c r="F42" s="69">
        <v>30</v>
      </c>
      <c r="G42" s="69">
        <v>30</v>
      </c>
      <c r="H42" s="69">
        <v>30</v>
      </c>
      <c r="I42" s="70">
        <v>30</v>
      </c>
      <c r="J42" s="4"/>
      <c r="K42" s="4"/>
      <c r="L42" s="3265"/>
      <c r="M42" s="4"/>
      <c r="N42" s="4"/>
      <c r="O42" s="4"/>
      <c r="P42" s="3268"/>
      <c r="Q42" s="3265"/>
      <c r="R42" s="3265"/>
      <c r="S42" s="3266">
        <v>0</v>
      </c>
      <c r="T42" s="3265"/>
      <c r="U42" s="3267">
        <f t="shared" si="3"/>
        <v>150</v>
      </c>
      <c r="V42" s="3265"/>
      <c r="W42" s="3265"/>
      <c r="X42" s="3265"/>
      <c r="Y42" s="3265"/>
      <c r="Z42" s="3265"/>
      <c r="AA42" s="3265"/>
      <c r="AB42" s="3265"/>
      <c r="AC42" s="3265"/>
      <c r="AD42" s="3269"/>
      <c r="AE42" s="3265"/>
      <c r="AF42" s="3265"/>
      <c r="AG42" s="3265"/>
      <c r="AH42" s="3265"/>
      <c r="AI42" s="57"/>
      <c r="AJ42" s="57"/>
      <c r="AK42" s="57"/>
      <c r="AL42" s="57"/>
      <c r="AM42" s="57"/>
    </row>
    <row r="43" spans="1:39" s="58" customFormat="1" ht="19.5" x14ac:dyDescent="0.2">
      <c r="A43" s="52">
        <v>136000</v>
      </c>
      <c r="B43" s="53"/>
      <c r="C43" s="42"/>
      <c r="D43" s="59" t="s">
        <v>585</v>
      </c>
      <c r="E43" s="69">
        <v>30</v>
      </c>
      <c r="F43" s="69">
        <v>30</v>
      </c>
      <c r="G43" s="69">
        <v>30</v>
      </c>
      <c r="H43" s="69">
        <v>30</v>
      </c>
      <c r="I43" s="70">
        <v>30</v>
      </c>
      <c r="J43" s="4"/>
      <c r="K43" s="4"/>
      <c r="L43" s="3265"/>
      <c r="M43" s="4"/>
      <c r="N43" s="4"/>
      <c r="O43" s="4"/>
      <c r="P43" s="3268"/>
      <c r="Q43" s="3265"/>
      <c r="R43" s="3265"/>
      <c r="S43" s="3266">
        <v>0</v>
      </c>
      <c r="T43" s="3265"/>
      <c r="U43" s="3267">
        <f t="shared" si="3"/>
        <v>150</v>
      </c>
      <c r="V43" s="3265"/>
      <c r="W43" s="3265"/>
      <c r="X43" s="3265"/>
      <c r="Y43" s="3265"/>
      <c r="Z43" s="3265"/>
      <c r="AA43" s="3265"/>
      <c r="AB43" s="3265"/>
      <c r="AC43" s="3265"/>
      <c r="AD43" s="3265"/>
      <c r="AE43" s="3265"/>
      <c r="AF43" s="3265"/>
      <c r="AG43" s="3265"/>
      <c r="AH43" s="3265"/>
      <c r="AI43" s="57"/>
      <c r="AJ43" s="57"/>
      <c r="AK43" s="57"/>
      <c r="AL43" s="57"/>
      <c r="AM43" s="57"/>
    </row>
    <row r="44" spans="1:39" s="58" customFormat="1" ht="19.5" x14ac:dyDescent="0.2">
      <c r="A44" s="52">
        <v>136500</v>
      </c>
      <c r="B44" s="53"/>
      <c r="C44" s="42"/>
      <c r="D44" s="59" t="s">
        <v>586</v>
      </c>
      <c r="E44" s="69">
        <v>30</v>
      </c>
      <c r="F44" s="69">
        <v>30</v>
      </c>
      <c r="G44" s="69">
        <v>30</v>
      </c>
      <c r="H44" s="69">
        <v>30</v>
      </c>
      <c r="I44" s="70">
        <v>30</v>
      </c>
      <c r="J44" s="4"/>
      <c r="K44" s="4"/>
      <c r="L44" s="3265"/>
      <c r="M44" s="4"/>
      <c r="N44" s="4"/>
      <c r="O44" s="4"/>
      <c r="P44" s="3268"/>
      <c r="Q44" s="3265"/>
      <c r="R44" s="3265"/>
      <c r="S44" s="3266">
        <v>0</v>
      </c>
      <c r="T44" s="3265"/>
      <c r="U44" s="3267">
        <f t="shared" si="3"/>
        <v>150</v>
      </c>
      <c r="V44" s="3265"/>
      <c r="W44" s="3265"/>
      <c r="X44" s="3265"/>
      <c r="Y44" s="3265"/>
      <c r="Z44" s="3265"/>
      <c r="AA44" s="3265"/>
      <c r="AB44" s="3265"/>
      <c r="AC44" s="3265"/>
      <c r="AD44" s="3265"/>
      <c r="AE44" s="3265"/>
      <c r="AF44" s="3265"/>
      <c r="AG44" s="3265"/>
      <c r="AH44" s="3265"/>
      <c r="AI44" s="57"/>
      <c r="AJ44" s="57"/>
      <c r="AK44" s="57"/>
      <c r="AL44" s="57"/>
      <c r="AM44" s="57"/>
    </row>
    <row r="45" spans="1:39" s="58" customFormat="1" ht="19.5" x14ac:dyDescent="0.2">
      <c r="A45" s="52">
        <v>137000</v>
      </c>
      <c r="B45" s="53"/>
      <c r="C45" s="42"/>
      <c r="D45" s="59" t="s">
        <v>587</v>
      </c>
      <c r="E45" s="69">
        <v>30</v>
      </c>
      <c r="F45" s="69">
        <v>30</v>
      </c>
      <c r="G45" s="69">
        <v>30</v>
      </c>
      <c r="H45" s="69">
        <v>30</v>
      </c>
      <c r="I45" s="70">
        <v>30</v>
      </c>
      <c r="J45" s="4"/>
      <c r="K45" s="4"/>
      <c r="L45" s="3265"/>
      <c r="M45" s="4"/>
      <c r="N45" s="4"/>
      <c r="O45" s="4"/>
      <c r="P45" s="3268"/>
      <c r="Q45" s="3265"/>
      <c r="R45" s="3265"/>
      <c r="S45" s="3266">
        <v>0</v>
      </c>
      <c r="T45" s="3265"/>
      <c r="U45" s="3267">
        <f t="shared" si="3"/>
        <v>150</v>
      </c>
      <c r="V45" s="3265"/>
      <c r="W45" s="3265"/>
      <c r="X45" s="3265"/>
      <c r="Y45" s="3265"/>
      <c r="Z45" s="3265"/>
      <c r="AA45" s="3265"/>
      <c r="AB45" s="3265"/>
      <c r="AC45" s="3265"/>
      <c r="AD45" s="3265"/>
      <c r="AE45" s="3265"/>
      <c r="AF45" s="3265"/>
      <c r="AG45" s="3265"/>
      <c r="AH45" s="3265"/>
      <c r="AI45" s="57"/>
      <c r="AJ45" s="57"/>
      <c r="AK45" s="57"/>
      <c r="AL45" s="57"/>
      <c r="AM45" s="57"/>
    </row>
    <row r="46" spans="1:39" s="58" customFormat="1" ht="19.5" x14ac:dyDescent="0.2">
      <c r="A46" s="52">
        <v>139000</v>
      </c>
      <c r="B46" s="53"/>
      <c r="C46" s="42"/>
      <c r="D46" s="59" t="s">
        <v>588</v>
      </c>
      <c r="E46" s="69">
        <v>30</v>
      </c>
      <c r="F46" s="69">
        <v>30</v>
      </c>
      <c r="G46" s="69">
        <v>30</v>
      </c>
      <c r="H46" s="69">
        <v>30</v>
      </c>
      <c r="I46" s="70">
        <v>30</v>
      </c>
      <c r="J46" s="4"/>
      <c r="K46" s="4"/>
      <c r="L46" s="3265"/>
      <c r="M46" s="4"/>
      <c r="N46" s="4"/>
      <c r="O46" s="4"/>
      <c r="P46" s="3268"/>
      <c r="Q46" s="3265"/>
      <c r="R46" s="3265"/>
      <c r="S46" s="3266">
        <v>0</v>
      </c>
      <c r="T46" s="3265"/>
      <c r="U46" s="3267">
        <f t="shared" si="3"/>
        <v>150</v>
      </c>
      <c r="V46" s="3265"/>
      <c r="W46" s="3265"/>
      <c r="X46" s="3265"/>
      <c r="Y46" s="3265"/>
      <c r="Z46" s="3265"/>
      <c r="AA46" s="3265"/>
      <c r="AB46" s="3265"/>
      <c r="AC46" s="3265"/>
      <c r="AD46" s="3265"/>
      <c r="AE46" s="3265"/>
      <c r="AF46" s="3265"/>
      <c r="AG46" s="3265"/>
      <c r="AH46" s="3265"/>
      <c r="AI46" s="57"/>
      <c r="AJ46" s="57"/>
      <c r="AK46" s="57"/>
      <c r="AL46" s="57"/>
      <c r="AM46" s="57"/>
    </row>
    <row r="47" spans="1:39" s="58" customFormat="1" ht="19.5" x14ac:dyDescent="0.2">
      <c r="A47" s="52">
        <v>139500</v>
      </c>
      <c r="B47" s="53"/>
      <c r="C47" s="42"/>
      <c r="D47" s="59" t="s">
        <v>589</v>
      </c>
      <c r="E47" s="69">
        <v>30</v>
      </c>
      <c r="F47" s="69">
        <v>30</v>
      </c>
      <c r="G47" s="69">
        <v>30</v>
      </c>
      <c r="H47" s="69">
        <v>30</v>
      </c>
      <c r="I47" s="70">
        <v>30</v>
      </c>
      <c r="J47" s="4"/>
      <c r="K47" s="4"/>
      <c r="L47" s="3265"/>
      <c r="M47" s="4"/>
      <c r="N47" s="4"/>
      <c r="O47" s="4"/>
      <c r="P47" s="3268"/>
      <c r="Q47" s="3265"/>
      <c r="R47" s="3265"/>
      <c r="S47" s="3266">
        <v>0</v>
      </c>
      <c r="T47" s="3265"/>
      <c r="U47" s="3267">
        <f t="shared" si="3"/>
        <v>150</v>
      </c>
      <c r="V47" s="3265"/>
      <c r="W47" s="3265"/>
      <c r="X47" s="3265"/>
      <c r="Y47" s="3265"/>
      <c r="Z47" s="3265"/>
      <c r="AA47" s="3265"/>
      <c r="AB47" s="3265"/>
      <c r="AC47" s="3265"/>
      <c r="AD47" s="3265"/>
      <c r="AE47" s="3265"/>
      <c r="AF47" s="3265"/>
      <c r="AG47" s="3265"/>
      <c r="AH47" s="3265"/>
      <c r="AI47" s="57"/>
      <c r="AJ47" s="57"/>
      <c r="AK47" s="57"/>
      <c r="AL47" s="57"/>
      <c r="AM47" s="57"/>
    </row>
    <row r="48" spans="1:39" s="58" customFormat="1" ht="19.5" x14ac:dyDescent="0.2">
      <c r="A48" s="52">
        <v>139905</v>
      </c>
      <c r="B48" s="53"/>
      <c r="C48" s="42"/>
      <c r="D48" s="59" t="s">
        <v>574</v>
      </c>
      <c r="E48" s="69">
        <v>30</v>
      </c>
      <c r="F48" s="69">
        <v>30</v>
      </c>
      <c r="G48" s="69">
        <v>30</v>
      </c>
      <c r="H48" s="69">
        <v>30</v>
      </c>
      <c r="I48" s="70">
        <v>30</v>
      </c>
      <c r="J48" s="4"/>
      <c r="K48" s="4"/>
      <c r="L48" s="3265"/>
      <c r="M48" s="4"/>
      <c r="N48" s="4"/>
      <c r="O48" s="4"/>
      <c r="P48" s="3268"/>
      <c r="Q48" s="3265"/>
      <c r="R48" s="3265"/>
      <c r="S48" s="3266">
        <v>0</v>
      </c>
      <c r="T48" s="3265"/>
      <c r="U48" s="3267">
        <f t="shared" si="3"/>
        <v>150</v>
      </c>
      <c r="V48" s="3265"/>
      <c r="W48" s="3265"/>
      <c r="X48" s="3265"/>
      <c r="Y48" s="3265"/>
      <c r="Z48" s="3265"/>
      <c r="AA48" s="3265"/>
      <c r="AB48" s="3265"/>
      <c r="AC48" s="3265"/>
      <c r="AD48" s="3265"/>
      <c r="AE48" s="3265"/>
      <c r="AF48" s="3265"/>
      <c r="AG48" s="3265"/>
      <c r="AH48" s="3265"/>
      <c r="AI48" s="57"/>
      <c r="AJ48" s="57"/>
      <c r="AK48" s="57"/>
      <c r="AL48" s="57"/>
      <c r="AM48" s="57"/>
    </row>
    <row r="49" spans="1:39" s="58" customFormat="1" ht="19.5" x14ac:dyDescent="0.2">
      <c r="A49" s="52">
        <v>1106</v>
      </c>
      <c r="B49" s="53"/>
      <c r="C49" s="60" t="s">
        <v>590</v>
      </c>
      <c r="D49" s="61"/>
      <c r="E49" s="62">
        <f>SUM(E35:E48)</f>
        <v>420</v>
      </c>
      <c r="F49" s="62">
        <f>SUM(F35:F48)</f>
        <v>420</v>
      </c>
      <c r="G49" s="62">
        <f>SUM(G35:G48)</f>
        <v>420</v>
      </c>
      <c r="H49" s="62">
        <f>SUM(H35:H48)</f>
        <v>420</v>
      </c>
      <c r="I49" s="63">
        <f>SUM(I35:I48)</f>
        <v>420</v>
      </c>
      <c r="J49" s="4"/>
      <c r="K49" s="4"/>
      <c r="L49" s="3265"/>
      <c r="M49" s="4"/>
      <c r="N49" s="4"/>
      <c r="O49" s="4"/>
      <c r="P49" s="3268"/>
      <c r="Q49" s="3265"/>
      <c r="R49" s="3265"/>
      <c r="S49" s="3266">
        <v>0</v>
      </c>
      <c r="T49" s="3265"/>
      <c r="U49" s="3267">
        <f t="shared" si="3"/>
        <v>2100</v>
      </c>
      <c r="V49" s="3265"/>
      <c r="W49" s="3265"/>
      <c r="X49" s="3265"/>
      <c r="Y49" s="3265"/>
      <c r="Z49" s="3265"/>
      <c r="AA49" s="3265"/>
      <c r="AB49" s="3265"/>
      <c r="AC49" s="3265"/>
      <c r="AD49" s="3265"/>
      <c r="AE49" s="3265"/>
      <c r="AF49" s="3265"/>
      <c r="AG49" s="3265"/>
      <c r="AH49" s="3265"/>
      <c r="AI49" s="57"/>
      <c r="AJ49" s="57"/>
      <c r="AK49" s="57"/>
      <c r="AL49" s="57"/>
      <c r="AM49" s="57"/>
    </row>
    <row r="50" spans="1:39" s="58" customFormat="1" ht="19.5" x14ac:dyDescent="0.2">
      <c r="A50" s="52"/>
      <c r="B50" s="47"/>
      <c r="C50" s="48" t="s">
        <v>591</v>
      </c>
      <c r="D50" s="65"/>
      <c r="E50" s="66"/>
      <c r="F50" s="66"/>
      <c r="G50" s="66"/>
      <c r="H50" s="66"/>
      <c r="I50" s="67"/>
      <c r="J50" s="4"/>
      <c r="K50" s="4"/>
      <c r="L50" s="3265"/>
      <c r="M50" s="4"/>
      <c r="N50" s="4"/>
      <c r="O50" s="4"/>
      <c r="P50" s="3268"/>
      <c r="Q50" s="3265"/>
      <c r="R50" s="3265"/>
      <c r="S50" s="3266">
        <v>0</v>
      </c>
      <c r="T50" s="3265"/>
      <c r="U50" s="3267">
        <f>U64</f>
        <v>1950</v>
      </c>
      <c r="V50" s="3265"/>
      <c r="W50" s="3265"/>
      <c r="X50" s="3265"/>
      <c r="Y50" s="3265"/>
      <c r="Z50" s="3265"/>
      <c r="AA50" s="3265"/>
      <c r="AB50" s="3265"/>
      <c r="AC50" s="3265"/>
      <c r="AD50" s="3265"/>
      <c r="AE50" s="3265"/>
      <c r="AF50" s="3265"/>
      <c r="AG50" s="3265"/>
      <c r="AH50" s="3265"/>
      <c r="AI50" s="57"/>
      <c r="AJ50" s="57"/>
      <c r="AK50" s="57"/>
      <c r="AL50" s="57"/>
      <c r="AM50" s="57"/>
    </row>
    <row r="51" spans="1:39" s="58" customFormat="1" ht="19.5" x14ac:dyDescent="0.2">
      <c r="A51" s="52">
        <v>110405</v>
      </c>
      <c r="B51" s="53"/>
      <c r="C51" s="42"/>
      <c r="D51" s="54" t="s">
        <v>592</v>
      </c>
      <c r="E51" s="55">
        <v>30</v>
      </c>
      <c r="F51" s="55">
        <v>30</v>
      </c>
      <c r="G51" s="55">
        <v>30</v>
      </c>
      <c r="H51" s="55">
        <v>30</v>
      </c>
      <c r="I51" s="56">
        <v>30</v>
      </c>
      <c r="J51" s="4"/>
      <c r="K51" s="4"/>
      <c r="L51" s="3265"/>
      <c r="M51" s="4"/>
      <c r="N51" s="4"/>
      <c r="O51" s="4"/>
      <c r="P51" s="3268"/>
      <c r="Q51" s="3265"/>
      <c r="R51" s="3265"/>
      <c r="S51" s="3266">
        <v>0</v>
      </c>
      <c r="T51" s="3265"/>
      <c r="U51" s="3267">
        <f t="shared" ref="U51:U64" si="4">SUM(E51:I51)</f>
        <v>150</v>
      </c>
      <c r="V51" s="3265"/>
      <c r="W51" s="3265"/>
      <c r="X51" s="3265"/>
      <c r="Y51" s="3265"/>
      <c r="Z51" s="3265"/>
      <c r="AA51" s="3265"/>
      <c r="AB51" s="3265"/>
      <c r="AC51" s="3265"/>
      <c r="AD51" s="3265"/>
      <c r="AE51" s="3265"/>
      <c r="AF51" s="3265"/>
      <c r="AG51" s="3265"/>
      <c r="AH51" s="3265"/>
      <c r="AI51" s="57"/>
      <c r="AJ51" s="57"/>
      <c r="AK51" s="57"/>
      <c r="AL51" s="57"/>
      <c r="AM51" s="57"/>
    </row>
    <row r="52" spans="1:39" s="58" customFormat="1" ht="19.5" x14ac:dyDescent="0.2">
      <c r="A52" s="52">
        <v>110410</v>
      </c>
      <c r="B52" s="53"/>
      <c r="C52" s="42"/>
      <c r="D52" s="59" t="s">
        <v>593</v>
      </c>
      <c r="E52" s="69">
        <v>30</v>
      </c>
      <c r="F52" s="69">
        <v>30</v>
      </c>
      <c r="G52" s="69">
        <v>30</v>
      </c>
      <c r="H52" s="69">
        <v>30</v>
      </c>
      <c r="I52" s="70">
        <v>30</v>
      </c>
      <c r="J52" s="4"/>
      <c r="K52" s="4"/>
      <c r="L52" s="3265"/>
      <c r="M52" s="4"/>
      <c r="N52" s="4"/>
      <c r="O52" s="4"/>
      <c r="P52" s="3268"/>
      <c r="Q52" s="3265"/>
      <c r="R52" s="3265"/>
      <c r="S52" s="3266">
        <v>0</v>
      </c>
      <c r="T52" s="3265"/>
      <c r="U52" s="3267">
        <f t="shared" si="4"/>
        <v>150</v>
      </c>
      <c r="V52" s="3265"/>
      <c r="W52" s="3265"/>
      <c r="X52" s="3265"/>
      <c r="Y52" s="3265"/>
      <c r="Z52" s="3265"/>
      <c r="AA52" s="3265"/>
      <c r="AB52" s="3265"/>
      <c r="AC52" s="3265"/>
      <c r="AD52" s="3265"/>
      <c r="AE52" s="3265"/>
      <c r="AF52" s="3265"/>
      <c r="AG52" s="3265"/>
      <c r="AH52" s="3265"/>
      <c r="AI52" s="57"/>
      <c r="AJ52" s="57"/>
      <c r="AK52" s="57"/>
      <c r="AL52" s="57"/>
      <c r="AM52" s="57"/>
    </row>
    <row r="53" spans="1:39" s="58" customFormat="1" ht="19.5" x14ac:dyDescent="0.2">
      <c r="A53" s="52">
        <v>142500</v>
      </c>
      <c r="B53" s="53"/>
      <c r="C53" s="42"/>
      <c r="D53" s="59" t="s">
        <v>594</v>
      </c>
      <c r="E53" s="69">
        <v>30</v>
      </c>
      <c r="F53" s="69">
        <v>30</v>
      </c>
      <c r="G53" s="69">
        <v>30</v>
      </c>
      <c r="H53" s="69">
        <v>30</v>
      </c>
      <c r="I53" s="70">
        <v>30</v>
      </c>
      <c r="J53" s="4"/>
      <c r="K53" s="4"/>
      <c r="L53" s="3265"/>
      <c r="M53" s="4"/>
      <c r="N53" s="4"/>
      <c r="O53" s="4"/>
      <c r="P53" s="3268"/>
      <c r="Q53" s="3265"/>
      <c r="R53" s="3265"/>
      <c r="S53" s="3266">
        <v>0</v>
      </c>
      <c r="T53" s="3265"/>
      <c r="U53" s="3267">
        <f t="shared" si="4"/>
        <v>150</v>
      </c>
      <c r="V53" s="3265"/>
      <c r="W53" s="3265"/>
      <c r="X53" s="3265"/>
      <c r="Y53" s="3265"/>
      <c r="Z53" s="3265"/>
      <c r="AA53" s="3265"/>
      <c r="AB53" s="3265"/>
      <c r="AC53" s="3265"/>
      <c r="AD53" s="3265"/>
      <c r="AE53" s="3265"/>
      <c r="AF53" s="3265"/>
      <c r="AG53" s="3265"/>
      <c r="AH53" s="3265"/>
      <c r="AI53" s="57"/>
      <c r="AJ53" s="57"/>
      <c r="AK53" s="57"/>
      <c r="AL53" s="57"/>
      <c r="AM53" s="57"/>
    </row>
    <row r="54" spans="1:39" s="58" customFormat="1" ht="19.5" x14ac:dyDescent="0.2">
      <c r="A54" s="52">
        <v>110415</v>
      </c>
      <c r="B54" s="53"/>
      <c r="C54" s="42"/>
      <c r="D54" s="59" t="s">
        <v>595</v>
      </c>
      <c r="E54" s="69">
        <v>30</v>
      </c>
      <c r="F54" s="69">
        <v>30</v>
      </c>
      <c r="G54" s="69">
        <v>30</v>
      </c>
      <c r="H54" s="69">
        <v>30</v>
      </c>
      <c r="I54" s="70">
        <v>30</v>
      </c>
      <c r="J54" s="4"/>
      <c r="K54" s="4"/>
      <c r="L54" s="3265"/>
      <c r="M54" s="4"/>
      <c r="N54" s="4"/>
      <c r="O54" s="4"/>
      <c r="P54" s="3268"/>
      <c r="Q54" s="3265"/>
      <c r="R54" s="3265"/>
      <c r="S54" s="3266">
        <v>0</v>
      </c>
      <c r="T54" s="3265"/>
      <c r="U54" s="3267">
        <f t="shared" si="4"/>
        <v>150</v>
      </c>
      <c r="V54" s="3265"/>
      <c r="W54" s="3265"/>
      <c r="X54" s="3265"/>
      <c r="Y54" s="3265"/>
      <c r="Z54" s="3265"/>
      <c r="AA54" s="3265"/>
      <c r="AB54" s="3265"/>
      <c r="AC54" s="3265"/>
      <c r="AD54" s="3265"/>
      <c r="AE54" s="3265"/>
      <c r="AF54" s="3265"/>
      <c r="AG54" s="3265"/>
      <c r="AH54" s="3265"/>
      <c r="AI54" s="57"/>
      <c r="AJ54" s="57"/>
      <c r="AK54" s="57"/>
      <c r="AL54" s="57"/>
      <c r="AM54" s="57"/>
    </row>
    <row r="55" spans="1:39" s="58" customFormat="1" ht="19.5" x14ac:dyDescent="0.2">
      <c r="A55" s="52">
        <v>143500</v>
      </c>
      <c r="B55" s="53"/>
      <c r="C55" s="42"/>
      <c r="D55" s="59" t="s">
        <v>596</v>
      </c>
      <c r="E55" s="69">
        <v>30</v>
      </c>
      <c r="F55" s="69">
        <v>30</v>
      </c>
      <c r="G55" s="69">
        <v>30</v>
      </c>
      <c r="H55" s="69">
        <v>30</v>
      </c>
      <c r="I55" s="70">
        <v>30</v>
      </c>
      <c r="J55" s="4"/>
      <c r="K55" s="4"/>
      <c r="L55" s="3265"/>
      <c r="M55" s="4"/>
      <c r="N55" s="4"/>
      <c r="O55" s="4"/>
      <c r="P55" s="3268"/>
      <c r="Q55" s="3265"/>
      <c r="R55" s="3265"/>
      <c r="S55" s="3266">
        <v>0</v>
      </c>
      <c r="T55" s="3265"/>
      <c r="U55" s="3267">
        <f t="shared" si="4"/>
        <v>150</v>
      </c>
      <c r="V55" s="3265"/>
      <c r="W55" s="3265"/>
      <c r="X55" s="3265"/>
      <c r="Y55" s="3265"/>
      <c r="Z55" s="3265"/>
      <c r="AA55" s="3265"/>
      <c r="AB55" s="3265"/>
      <c r="AC55" s="3265"/>
      <c r="AD55" s="3265"/>
      <c r="AE55" s="3265"/>
      <c r="AF55" s="3265"/>
      <c r="AG55" s="3265"/>
      <c r="AH55" s="3265"/>
      <c r="AI55" s="57"/>
      <c r="AJ55" s="57"/>
      <c r="AK55" s="57"/>
      <c r="AL55" s="57"/>
      <c r="AM55" s="57"/>
    </row>
    <row r="56" spans="1:39" s="58" customFormat="1" ht="19.5" x14ac:dyDescent="0.2">
      <c r="A56" s="52">
        <v>110420</v>
      </c>
      <c r="B56" s="53"/>
      <c r="C56" s="42"/>
      <c r="D56" s="59" t="s">
        <v>597</v>
      </c>
      <c r="E56" s="69">
        <v>30</v>
      </c>
      <c r="F56" s="69">
        <v>30</v>
      </c>
      <c r="G56" s="69">
        <v>30</v>
      </c>
      <c r="H56" s="69">
        <v>30</v>
      </c>
      <c r="I56" s="70">
        <v>30</v>
      </c>
      <c r="J56" s="4"/>
      <c r="K56" s="4"/>
      <c r="L56" s="3265"/>
      <c r="M56" s="4"/>
      <c r="N56" s="4"/>
      <c r="O56" s="4"/>
      <c r="P56" s="3268"/>
      <c r="Q56" s="3265"/>
      <c r="R56" s="3265"/>
      <c r="S56" s="3266">
        <v>0</v>
      </c>
      <c r="T56" s="3265"/>
      <c r="U56" s="3267">
        <f t="shared" si="4"/>
        <v>150</v>
      </c>
      <c r="V56" s="3265"/>
      <c r="W56" s="3265"/>
      <c r="X56" s="3265"/>
      <c r="Y56" s="3265"/>
      <c r="Z56" s="3265"/>
      <c r="AA56" s="3265"/>
      <c r="AB56" s="3265"/>
      <c r="AC56" s="3265"/>
      <c r="AD56" s="3265"/>
      <c r="AE56" s="3265"/>
      <c r="AF56" s="3265"/>
      <c r="AG56" s="3265"/>
      <c r="AH56" s="3265"/>
      <c r="AI56" s="57"/>
      <c r="AJ56" s="57"/>
      <c r="AK56" s="57"/>
      <c r="AL56" s="57"/>
      <c r="AM56" s="57"/>
    </row>
    <row r="57" spans="1:39" s="58" customFormat="1" ht="19.5" x14ac:dyDescent="0.2">
      <c r="A57" s="52">
        <v>110495</v>
      </c>
      <c r="B57" s="53"/>
      <c r="C57" s="42"/>
      <c r="D57" s="59" t="s">
        <v>453</v>
      </c>
      <c r="E57" s="69">
        <v>30</v>
      </c>
      <c r="F57" s="69">
        <v>30</v>
      </c>
      <c r="G57" s="69">
        <v>30</v>
      </c>
      <c r="H57" s="69">
        <v>30</v>
      </c>
      <c r="I57" s="70">
        <v>30</v>
      </c>
      <c r="J57" s="4"/>
      <c r="K57" s="4"/>
      <c r="L57" s="3265"/>
      <c r="M57" s="4"/>
      <c r="N57" s="4"/>
      <c r="O57" s="4"/>
      <c r="P57" s="3268"/>
      <c r="Q57" s="3265"/>
      <c r="R57" s="3265"/>
      <c r="S57" s="3266">
        <v>0</v>
      </c>
      <c r="T57" s="3265"/>
      <c r="U57" s="3267">
        <f t="shared" si="4"/>
        <v>150</v>
      </c>
      <c r="V57" s="3265"/>
      <c r="W57" s="3265"/>
      <c r="X57" s="3265"/>
      <c r="Y57" s="3265"/>
      <c r="Z57" s="3265"/>
      <c r="AA57" s="3265"/>
      <c r="AB57" s="3265"/>
      <c r="AC57" s="3265"/>
      <c r="AD57" s="3265"/>
      <c r="AE57" s="3265"/>
      <c r="AF57" s="3265"/>
      <c r="AG57" s="3265"/>
      <c r="AH57" s="3265"/>
      <c r="AI57" s="57"/>
      <c r="AJ57" s="57"/>
      <c r="AK57" s="57"/>
      <c r="AL57" s="57"/>
      <c r="AM57" s="57"/>
    </row>
    <row r="58" spans="1:39" s="58" customFormat="1" ht="18.95" hidden="1" customHeight="1" x14ac:dyDescent="0.2">
      <c r="A58" s="52"/>
      <c r="B58" s="53"/>
      <c r="C58" s="42"/>
      <c r="D58" s="59"/>
      <c r="E58" s="69">
        <v>30</v>
      </c>
      <c r="F58" s="69">
        <v>30</v>
      </c>
      <c r="G58" s="69">
        <v>30</v>
      </c>
      <c r="H58" s="69">
        <v>30</v>
      </c>
      <c r="I58" s="70">
        <v>30</v>
      </c>
      <c r="J58" s="4"/>
      <c r="K58" s="4"/>
      <c r="L58" s="3265"/>
      <c r="M58" s="4"/>
      <c r="N58" s="4"/>
      <c r="O58" s="4"/>
      <c r="P58" s="3268"/>
      <c r="Q58" s="3265"/>
      <c r="R58" s="3265"/>
      <c r="S58" s="3266">
        <v>1</v>
      </c>
      <c r="T58" s="3265"/>
      <c r="U58" s="3267">
        <f t="shared" si="4"/>
        <v>150</v>
      </c>
      <c r="V58" s="3265"/>
      <c r="W58" s="3265"/>
      <c r="X58" s="3265"/>
      <c r="Y58" s="3265"/>
      <c r="Z58" s="3265"/>
      <c r="AA58" s="3265"/>
      <c r="AB58" s="3265"/>
      <c r="AC58" s="3265"/>
      <c r="AD58" s="3265"/>
      <c r="AE58" s="3265"/>
      <c r="AF58" s="3265"/>
      <c r="AG58" s="3265"/>
      <c r="AH58" s="3265"/>
      <c r="AI58" s="57"/>
      <c r="AJ58" s="57"/>
      <c r="AK58" s="57"/>
      <c r="AL58" s="57"/>
      <c r="AM58" s="57"/>
    </row>
    <row r="59" spans="1:39" s="58" customFormat="1" ht="18.95" hidden="1" customHeight="1" x14ac:dyDescent="0.2">
      <c r="A59" s="52"/>
      <c r="B59" s="53"/>
      <c r="C59" s="42"/>
      <c r="D59" s="59"/>
      <c r="E59" s="69">
        <v>30</v>
      </c>
      <c r="F59" s="69">
        <v>30</v>
      </c>
      <c r="G59" s="69">
        <v>30</v>
      </c>
      <c r="H59" s="69">
        <v>30</v>
      </c>
      <c r="I59" s="70">
        <v>30</v>
      </c>
      <c r="J59" s="4"/>
      <c r="K59" s="4"/>
      <c r="L59" s="3265"/>
      <c r="M59" s="4"/>
      <c r="N59" s="4"/>
      <c r="O59" s="4"/>
      <c r="P59" s="3268"/>
      <c r="Q59" s="3265"/>
      <c r="R59" s="3265"/>
      <c r="S59" s="3266">
        <v>1</v>
      </c>
      <c r="T59" s="3265"/>
      <c r="U59" s="3267">
        <f t="shared" si="4"/>
        <v>150</v>
      </c>
      <c r="V59" s="3265"/>
      <c r="W59" s="3265"/>
      <c r="X59" s="3265"/>
      <c r="Y59" s="3265"/>
      <c r="Z59" s="3265"/>
      <c r="AA59" s="3265"/>
      <c r="AB59" s="3265"/>
      <c r="AC59" s="3265"/>
      <c r="AD59" s="3265"/>
      <c r="AE59" s="3265"/>
      <c r="AF59" s="3265"/>
      <c r="AG59" s="3265"/>
      <c r="AH59" s="3265"/>
      <c r="AI59" s="57"/>
      <c r="AJ59" s="57"/>
      <c r="AK59" s="57"/>
      <c r="AL59" s="57"/>
      <c r="AM59" s="57"/>
    </row>
    <row r="60" spans="1:39" s="58" customFormat="1" ht="18.95" hidden="1" customHeight="1" x14ac:dyDescent="0.2">
      <c r="A60" s="52"/>
      <c r="B60" s="53"/>
      <c r="C60" s="42"/>
      <c r="D60" s="59"/>
      <c r="E60" s="69">
        <v>30</v>
      </c>
      <c r="F60" s="69">
        <v>30</v>
      </c>
      <c r="G60" s="69">
        <v>30</v>
      </c>
      <c r="H60" s="69">
        <v>30</v>
      </c>
      <c r="I60" s="70">
        <v>30</v>
      </c>
      <c r="J60" s="4"/>
      <c r="K60" s="4"/>
      <c r="L60" s="3265"/>
      <c r="M60" s="4"/>
      <c r="N60" s="4"/>
      <c r="O60" s="4"/>
      <c r="P60" s="3268"/>
      <c r="Q60" s="3265"/>
      <c r="R60" s="3265"/>
      <c r="S60" s="3266">
        <v>1</v>
      </c>
      <c r="T60" s="3265"/>
      <c r="U60" s="3267">
        <f t="shared" si="4"/>
        <v>150</v>
      </c>
      <c r="V60" s="3265"/>
      <c r="W60" s="3265"/>
      <c r="X60" s="3265"/>
      <c r="Y60" s="3265"/>
      <c r="Z60" s="3265"/>
      <c r="AA60" s="3265"/>
      <c r="AB60" s="3265"/>
      <c r="AC60" s="3265"/>
      <c r="AD60" s="3265"/>
      <c r="AE60" s="3265"/>
      <c r="AF60" s="3265"/>
      <c r="AG60" s="3265"/>
      <c r="AH60" s="3265"/>
      <c r="AI60" s="57"/>
      <c r="AJ60" s="57"/>
      <c r="AK60" s="57"/>
      <c r="AL60" s="57"/>
      <c r="AM60" s="57"/>
    </row>
    <row r="61" spans="1:39" s="58" customFormat="1" ht="19.5" x14ac:dyDescent="0.2">
      <c r="A61" s="52">
        <v>110490</v>
      </c>
      <c r="B61" s="53"/>
      <c r="C61" s="42"/>
      <c r="D61" s="59" t="s">
        <v>598</v>
      </c>
      <c r="E61" s="69">
        <v>30</v>
      </c>
      <c r="F61" s="69">
        <v>30</v>
      </c>
      <c r="G61" s="69">
        <v>30</v>
      </c>
      <c r="H61" s="69">
        <v>30</v>
      </c>
      <c r="I61" s="70">
        <v>30</v>
      </c>
      <c r="J61" s="4"/>
      <c r="K61" s="4"/>
      <c r="L61" s="3265"/>
      <c r="M61" s="4"/>
      <c r="N61" s="4"/>
      <c r="O61" s="4"/>
      <c r="P61" s="3268"/>
      <c r="Q61" s="3265"/>
      <c r="R61" s="3265"/>
      <c r="S61" s="3266">
        <v>0</v>
      </c>
      <c r="T61" s="3265"/>
      <c r="U61" s="3267">
        <f t="shared" si="4"/>
        <v>150</v>
      </c>
      <c r="V61" s="3265"/>
      <c r="W61" s="3265"/>
      <c r="X61" s="3265"/>
      <c r="Y61" s="3265"/>
      <c r="Z61" s="3265"/>
      <c r="AA61" s="3265"/>
      <c r="AB61" s="3265"/>
      <c r="AC61" s="3265"/>
      <c r="AD61" s="3265"/>
      <c r="AE61" s="3265"/>
      <c r="AF61" s="3265"/>
      <c r="AG61" s="3265"/>
      <c r="AH61" s="3265"/>
      <c r="AI61" s="57"/>
      <c r="AJ61" s="57"/>
      <c r="AK61" s="57"/>
      <c r="AL61" s="57"/>
      <c r="AM61" s="57"/>
    </row>
    <row r="62" spans="1:39" s="58" customFormat="1" ht="19.5" x14ac:dyDescent="0.2">
      <c r="A62" s="52">
        <v>110491</v>
      </c>
      <c r="B62" s="53"/>
      <c r="C62" s="42"/>
      <c r="D62" s="59" t="s">
        <v>560</v>
      </c>
      <c r="E62" s="69">
        <v>30</v>
      </c>
      <c r="F62" s="69">
        <v>30</v>
      </c>
      <c r="G62" s="69">
        <v>30</v>
      </c>
      <c r="H62" s="69">
        <v>30</v>
      </c>
      <c r="I62" s="70">
        <v>30</v>
      </c>
      <c r="J62" s="4"/>
      <c r="K62" s="4"/>
      <c r="L62" s="3265"/>
      <c r="M62" s="4"/>
      <c r="N62" s="4"/>
      <c r="O62" s="4"/>
      <c r="P62" s="3268"/>
      <c r="Q62" s="3265"/>
      <c r="R62" s="3265"/>
      <c r="S62" s="3266">
        <v>0</v>
      </c>
      <c r="T62" s="3265"/>
      <c r="U62" s="3267">
        <f t="shared" si="4"/>
        <v>150</v>
      </c>
      <c r="V62" s="3265"/>
      <c r="W62" s="3265"/>
      <c r="X62" s="3265"/>
      <c r="Y62" s="3265"/>
      <c r="Z62" s="3265"/>
      <c r="AA62" s="3265"/>
      <c r="AB62" s="3265"/>
      <c r="AC62" s="3265"/>
      <c r="AD62" s="3265"/>
      <c r="AE62" s="3265"/>
      <c r="AF62" s="3265"/>
      <c r="AG62" s="3265"/>
      <c r="AH62" s="3265"/>
      <c r="AI62" s="57"/>
      <c r="AJ62" s="57"/>
      <c r="AK62" s="57"/>
      <c r="AL62" s="57"/>
      <c r="AM62" s="57"/>
    </row>
    <row r="63" spans="1:39" s="58" customFormat="1" ht="19.5" x14ac:dyDescent="0.2">
      <c r="A63" s="52">
        <v>149900</v>
      </c>
      <c r="B63" s="53"/>
      <c r="C63" s="42"/>
      <c r="D63" s="68" t="s">
        <v>574</v>
      </c>
      <c r="E63" s="69">
        <v>30</v>
      </c>
      <c r="F63" s="69">
        <v>30</v>
      </c>
      <c r="G63" s="69">
        <v>30</v>
      </c>
      <c r="H63" s="69">
        <v>30</v>
      </c>
      <c r="I63" s="70">
        <v>30</v>
      </c>
      <c r="J63" s="4"/>
      <c r="K63" s="4"/>
      <c r="L63" s="3265"/>
      <c r="M63" s="4"/>
      <c r="N63" s="4"/>
      <c r="O63" s="4"/>
      <c r="P63" s="3268"/>
      <c r="Q63" s="3265"/>
      <c r="R63" s="3265"/>
      <c r="S63" s="3266">
        <v>0</v>
      </c>
      <c r="T63" s="3265"/>
      <c r="U63" s="3267">
        <f t="shared" si="4"/>
        <v>150</v>
      </c>
      <c r="V63" s="3265"/>
      <c r="W63" s="3265"/>
      <c r="X63" s="3265"/>
      <c r="Y63" s="3265"/>
      <c r="Z63" s="3265"/>
      <c r="AA63" s="3265"/>
      <c r="AB63" s="3265"/>
      <c r="AC63" s="3265"/>
      <c r="AD63" s="3265"/>
      <c r="AE63" s="3265"/>
      <c r="AF63" s="3265"/>
      <c r="AG63" s="3265"/>
      <c r="AH63" s="3265"/>
      <c r="AI63" s="57"/>
      <c r="AJ63" s="57"/>
      <c r="AK63" s="57"/>
      <c r="AL63" s="57"/>
      <c r="AM63" s="57"/>
    </row>
    <row r="64" spans="1:39" s="58" customFormat="1" ht="19.5" x14ac:dyDescent="0.2">
      <c r="A64" s="52">
        <v>140005</v>
      </c>
      <c r="B64" s="53"/>
      <c r="C64" s="60" t="s">
        <v>599</v>
      </c>
      <c r="D64" s="61"/>
      <c r="E64" s="62">
        <f>SUM(E51:E63)</f>
        <v>390</v>
      </c>
      <c r="F64" s="62">
        <f>SUM(F51:F63)</f>
        <v>390</v>
      </c>
      <c r="G64" s="62">
        <f>SUM(G51:G63)</f>
        <v>390</v>
      </c>
      <c r="H64" s="62">
        <f>SUM(H51:H63)</f>
        <v>390</v>
      </c>
      <c r="I64" s="63">
        <f>SUM(I51:I63)</f>
        <v>390</v>
      </c>
      <c r="J64" s="4"/>
      <c r="K64" s="4"/>
      <c r="L64" s="3265"/>
      <c r="M64" s="4"/>
      <c r="N64" s="4"/>
      <c r="O64" s="4"/>
      <c r="P64" s="3268"/>
      <c r="Q64" s="3265"/>
      <c r="R64" s="3265"/>
      <c r="S64" s="3266">
        <v>0</v>
      </c>
      <c r="T64" s="3265"/>
      <c r="U64" s="3267">
        <f t="shared" si="4"/>
        <v>1950</v>
      </c>
      <c r="V64" s="3265"/>
      <c r="W64" s="3265"/>
      <c r="X64" s="3265"/>
      <c r="Y64" s="3265"/>
      <c r="Z64" s="3265"/>
      <c r="AA64" s="4"/>
      <c r="AB64" s="3265"/>
      <c r="AC64" s="3265"/>
      <c r="AD64" s="3265"/>
      <c r="AE64" s="3265"/>
      <c r="AF64" s="3265"/>
      <c r="AG64" s="3265"/>
      <c r="AH64" s="3265"/>
      <c r="AI64" s="57"/>
      <c r="AJ64" s="57"/>
      <c r="AK64" s="57"/>
      <c r="AL64" s="57"/>
      <c r="AM64" s="57"/>
    </row>
    <row r="65" spans="1:39" s="58" customFormat="1" ht="19.5" x14ac:dyDescent="0.2">
      <c r="A65" s="52"/>
      <c r="B65" s="47"/>
      <c r="C65" s="48" t="s">
        <v>600</v>
      </c>
      <c r="D65" s="65"/>
      <c r="E65" s="66"/>
      <c r="F65" s="66"/>
      <c r="G65" s="66"/>
      <c r="H65" s="66"/>
      <c r="I65" s="67"/>
      <c r="J65" s="4"/>
      <c r="K65" s="4"/>
      <c r="L65" s="3265"/>
      <c r="M65" s="4"/>
      <c r="N65" s="4"/>
      <c r="O65" s="4"/>
      <c r="P65" s="3268"/>
      <c r="Q65" s="3265"/>
      <c r="R65" s="3265"/>
      <c r="S65" s="3266">
        <v>0</v>
      </c>
      <c r="T65" s="3265"/>
      <c r="U65" s="3267">
        <f>U76</f>
        <v>1500</v>
      </c>
      <c r="V65" s="3265"/>
      <c r="W65" s="3265"/>
      <c r="X65" s="3265"/>
      <c r="Y65" s="3265"/>
      <c r="Z65" s="3265"/>
      <c r="AA65" s="4"/>
      <c r="AB65" s="3265"/>
      <c r="AC65" s="3265"/>
      <c r="AD65" s="3265"/>
      <c r="AE65" s="3265"/>
      <c r="AF65" s="3265"/>
      <c r="AG65" s="3265"/>
      <c r="AH65" s="3265"/>
      <c r="AI65" s="57"/>
      <c r="AJ65" s="57"/>
      <c r="AK65" s="57"/>
      <c r="AL65" s="57"/>
      <c r="AM65" s="57"/>
    </row>
    <row r="66" spans="1:39" s="58" customFormat="1" ht="19.5" x14ac:dyDescent="0.2">
      <c r="A66" s="52">
        <v>145500</v>
      </c>
      <c r="B66" s="53"/>
      <c r="C66" s="71"/>
      <c r="D66" s="54" t="s">
        <v>601</v>
      </c>
      <c r="E66" s="55">
        <v>30</v>
      </c>
      <c r="F66" s="55">
        <v>30</v>
      </c>
      <c r="G66" s="55">
        <v>30</v>
      </c>
      <c r="H66" s="55">
        <v>30</v>
      </c>
      <c r="I66" s="56">
        <v>30</v>
      </c>
      <c r="J66" s="4"/>
      <c r="K66" s="4"/>
      <c r="L66" s="3265"/>
      <c r="M66" s="4"/>
      <c r="N66" s="4"/>
      <c r="O66" s="4"/>
      <c r="P66" s="3268"/>
      <c r="Q66" s="3265"/>
      <c r="R66" s="3265"/>
      <c r="S66" s="3266">
        <v>0</v>
      </c>
      <c r="T66" s="3265"/>
      <c r="U66" s="3267">
        <f t="shared" ref="U66:U76" si="5">SUM(E66:I66)</f>
        <v>150</v>
      </c>
      <c r="V66" s="3265"/>
      <c r="W66" s="3265"/>
      <c r="X66" s="3265"/>
      <c r="Y66" s="3265"/>
      <c r="Z66" s="3265"/>
      <c r="AA66" s="4"/>
      <c r="AB66" s="3265"/>
      <c r="AC66" s="3265"/>
      <c r="AD66" s="3265"/>
      <c r="AE66" s="3265"/>
      <c r="AF66" s="3265"/>
      <c r="AG66" s="3265"/>
      <c r="AH66" s="3265"/>
      <c r="AI66" s="57"/>
      <c r="AJ66" s="57"/>
      <c r="AK66" s="57"/>
      <c r="AL66" s="57"/>
      <c r="AM66" s="57"/>
    </row>
    <row r="67" spans="1:39" s="58" customFormat="1" ht="19.5" x14ac:dyDescent="0.2">
      <c r="A67" s="52">
        <v>146000</v>
      </c>
      <c r="B67" s="53"/>
      <c r="C67" s="42"/>
      <c r="D67" s="59" t="s">
        <v>602</v>
      </c>
      <c r="E67" s="69">
        <v>30</v>
      </c>
      <c r="F67" s="69">
        <v>30</v>
      </c>
      <c r="G67" s="69">
        <v>30</v>
      </c>
      <c r="H67" s="69">
        <v>30</v>
      </c>
      <c r="I67" s="70">
        <v>30</v>
      </c>
      <c r="J67" s="4"/>
      <c r="K67" s="4"/>
      <c r="L67" s="3265"/>
      <c r="M67" s="4"/>
      <c r="N67" s="4"/>
      <c r="O67" s="4"/>
      <c r="P67" s="3268"/>
      <c r="Q67" s="3265"/>
      <c r="R67" s="3265"/>
      <c r="S67" s="3266">
        <v>0</v>
      </c>
      <c r="T67" s="3265"/>
      <c r="U67" s="3267">
        <f t="shared" si="5"/>
        <v>150</v>
      </c>
      <c r="V67" s="3265"/>
      <c r="W67" s="3265"/>
      <c r="X67" s="3265"/>
      <c r="Y67" s="3265"/>
      <c r="Z67" s="3265"/>
      <c r="AA67" s="4"/>
      <c r="AB67" s="3265"/>
      <c r="AC67" s="3265"/>
      <c r="AD67" s="3265"/>
      <c r="AE67" s="3265"/>
      <c r="AF67" s="3265"/>
      <c r="AG67" s="3265"/>
      <c r="AH67" s="3265"/>
      <c r="AI67" s="57"/>
      <c r="AJ67" s="57"/>
      <c r="AK67" s="57"/>
      <c r="AL67" s="57"/>
      <c r="AM67" s="57"/>
    </row>
    <row r="68" spans="1:39" s="58" customFormat="1" ht="18.95" hidden="1" customHeight="1" x14ac:dyDescent="0.2">
      <c r="A68" s="52"/>
      <c r="B68" s="53"/>
      <c r="C68" s="42"/>
      <c r="D68" s="59"/>
      <c r="E68" s="69">
        <v>30</v>
      </c>
      <c r="F68" s="69">
        <v>30</v>
      </c>
      <c r="G68" s="69">
        <v>30</v>
      </c>
      <c r="H68" s="69">
        <v>30</v>
      </c>
      <c r="I68" s="70">
        <v>30</v>
      </c>
      <c r="J68" s="4"/>
      <c r="K68" s="4"/>
      <c r="L68" s="3265"/>
      <c r="M68" s="4"/>
      <c r="N68" s="4"/>
      <c r="O68" s="4"/>
      <c r="P68" s="3268"/>
      <c r="Q68" s="3265"/>
      <c r="R68" s="3265"/>
      <c r="S68" s="3266">
        <v>1</v>
      </c>
      <c r="T68" s="3265"/>
      <c r="U68" s="3267">
        <f t="shared" si="5"/>
        <v>150</v>
      </c>
      <c r="V68" s="3265"/>
      <c r="W68" s="3265"/>
      <c r="X68" s="3265"/>
      <c r="Y68" s="3265"/>
      <c r="Z68" s="3265"/>
      <c r="AA68" s="4"/>
      <c r="AB68" s="3265"/>
      <c r="AC68" s="3265"/>
      <c r="AD68" s="3265"/>
      <c r="AE68" s="3265"/>
      <c r="AF68" s="3265"/>
      <c r="AG68" s="3265"/>
      <c r="AH68" s="3265"/>
      <c r="AI68" s="57"/>
      <c r="AJ68" s="57"/>
      <c r="AK68" s="57"/>
      <c r="AL68" s="57"/>
      <c r="AM68" s="57"/>
    </row>
    <row r="69" spans="1:39" s="58" customFormat="1" ht="19.5" x14ac:dyDescent="0.2">
      <c r="A69" s="52">
        <v>149510</v>
      </c>
      <c r="B69" s="53"/>
      <c r="C69" s="42"/>
      <c r="D69" s="59" t="s">
        <v>453</v>
      </c>
      <c r="E69" s="69">
        <v>30</v>
      </c>
      <c r="F69" s="69">
        <v>30</v>
      </c>
      <c r="G69" s="69">
        <v>30</v>
      </c>
      <c r="H69" s="69">
        <v>30</v>
      </c>
      <c r="I69" s="70">
        <v>30</v>
      </c>
      <c r="J69" s="4"/>
      <c r="K69" s="4"/>
      <c r="L69" s="3265"/>
      <c r="M69" s="4"/>
      <c r="N69" s="4"/>
      <c r="O69" s="4"/>
      <c r="P69" s="3268"/>
      <c r="Q69" s="3265"/>
      <c r="R69" s="3265"/>
      <c r="S69" s="3266">
        <v>0</v>
      </c>
      <c r="T69" s="3265"/>
      <c r="U69" s="3267">
        <f t="shared" si="5"/>
        <v>150</v>
      </c>
      <c r="V69" s="3265"/>
      <c r="W69" s="3265"/>
      <c r="X69" s="3265"/>
      <c r="Y69" s="3265"/>
      <c r="Z69" s="3265"/>
      <c r="AA69" s="4"/>
      <c r="AB69" s="3265"/>
      <c r="AC69" s="3265"/>
      <c r="AD69" s="3265"/>
      <c r="AE69" s="3265"/>
      <c r="AF69" s="3265"/>
      <c r="AG69" s="3265"/>
      <c r="AH69" s="3265"/>
      <c r="AI69" s="57"/>
      <c r="AJ69" s="57"/>
      <c r="AK69" s="57"/>
      <c r="AL69" s="57"/>
      <c r="AM69" s="57"/>
    </row>
    <row r="70" spans="1:39" s="58" customFormat="1" ht="18.95" hidden="1" customHeight="1" x14ac:dyDescent="0.2">
      <c r="A70" s="52"/>
      <c r="B70" s="53"/>
      <c r="C70" s="42"/>
      <c r="D70" s="59"/>
      <c r="E70" s="69">
        <v>30</v>
      </c>
      <c r="F70" s="69">
        <v>30</v>
      </c>
      <c r="G70" s="69">
        <v>30</v>
      </c>
      <c r="H70" s="69">
        <v>30</v>
      </c>
      <c r="I70" s="70">
        <v>30</v>
      </c>
      <c r="J70" s="4"/>
      <c r="K70" s="4"/>
      <c r="L70" s="3265"/>
      <c r="M70" s="4"/>
      <c r="N70" s="4"/>
      <c r="O70" s="4"/>
      <c r="P70" s="3268"/>
      <c r="Q70" s="3265"/>
      <c r="R70" s="3265"/>
      <c r="S70" s="3266">
        <v>1</v>
      </c>
      <c r="T70" s="3265"/>
      <c r="U70" s="3267">
        <f t="shared" si="5"/>
        <v>150</v>
      </c>
      <c r="V70" s="3265"/>
      <c r="W70" s="3265"/>
      <c r="X70" s="3265"/>
      <c r="Y70" s="3265"/>
      <c r="Z70" s="3265"/>
      <c r="AA70" s="4"/>
      <c r="AB70" s="3265"/>
      <c r="AC70" s="3265"/>
      <c r="AD70" s="3265"/>
      <c r="AE70" s="3265"/>
      <c r="AF70" s="3265"/>
      <c r="AG70" s="3265"/>
      <c r="AH70" s="3265"/>
      <c r="AI70" s="57"/>
      <c r="AJ70" s="57"/>
      <c r="AK70" s="57"/>
      <c r="AL70" s="57"/>
      <c r="AM70" s="57"/>
    </row>
    <row r="71" spans="1:39" s="58" customFormat="1" ht="18.95" hidden="1" customHeight="1" x14ac:dyDescent="0.2">
      <c r="A71" s="52"/>
      <c r="B71" s="53"/>
      <c r="C71" s="42"/>
      <c r="D71" s="59"/>
      <c r="E71" s="69">
        <v>30</v>
      </c>
      <c r="F71" s="69">
        <v>30</v>
      </c>
      <c r="G71" s="69">
        <v>30</v>
      </c>
      <c r="H71" s="69">
        <v>30</v>
      </c>
      <c r="I71" s="70">
        <v>30</v>
      </c>
      <c r="J71" s="4"/>
      <c r="K71" s="4"/>
      <c r="L71" s="3265"/>
      <c r="M71" s="4"/>
      <c r="N71" s="4"/>
      <c r="O71" s="4"/>
      <c r="P71" s="3268"/>
      <c r="Q71" s="3265"/>
      <c r="R71" s="3265"/>
      <c r="S71" s="3266">
        <v>1</v>
      </c>
      <c r="T71" s="3265"/>
      <c r="U71" s="3267">
        <f t="shared" si="5"/>
        <v>150</v>
      </c>
      <c r="V71" s="3265"/>
      <c r="W71" s="3265"/>
      <c r="X71" s="3265"/>
      <c r="Y71" s="3265"/>
      <c r="Z71" s="3265"/>
      <c r="AA71" s="4"/>
      <c r="AB71" s="3265"/>
      <c r="AC71" s="3265"/>
      <c r="AD71" s="3265"/>
      <c r="AE71" s="3265"/>
      <c r="AF71" s="3265"/>
      <c r="AG71" s="3265"/>
      <c r="AH71" s="3265"/>
      <c r="AI71" s="57"/>
      <c r="AJ71" s="57"/>
      <c r="AK71" s="57"/>
      <c r="AL71" s="57"/>
      <c r="AM71" s="57"/>
    </row>
    <row r="72" spans="1:39" s="58" customFormat="1" ht="18.95" hidden="1" customHeight="1" x14ac:dyDescent="0.2">
      <c r="A72" s="52"/>
      <c r="B72" s="53"/>
      <c r="C72" s="42"/>
      <c r="D72" s="59"/>
      <c r="E72" s="69">
        <v>30</v>
      </c>
      <c r="F72" s="69">
        <v>30</v>
      </c>
      <c r="G72" s="69">
        <v>30</v>
      </c>
      <c r="H72" s="69">
        <v>30</v>
      </c>
      <c r="I72" s="70">
        <v>30</v>
      </c>
      <c r="J72" s="4"/>
      <c r="K72" s="4"/>
      <c r="L72" s="3265"/>
      <c r="M72" s="4"/>
      <c r="N72" s="4"/>
      <c r="O72" s="4"/>
      <c r="P72" s="3268"/>
      <c r="Q72" s="3265"/>
      <c r="R72" s="3265"/>
      <c r="S72" s="3266">
        <v>1</v>
      </c>
      <c r="T72" s="3265"/>
      <c r="U72" s="3267">
        <f t="shared" si="5"/>
        <v>150</v>
      </c>
      <c r="V72" s="3265"/>
      <c r="W72" s="3265"/>
      <c r="X72" s="3265"/>
      <c r="Y72" s="3265"/>
      <c r="Z72" s="3265"/>
      <c r="AA72" s="4"/>
      <c r="AB72" s="3265"/>
      <c r="AC72" s="3265"/>
      <c r="AD72" s="3265"/>
      <c r="AE72" s="3265"/>
      <c r="AF72" s="3265"/>
      <c r="AG72" s="3265"/>
      <c r="AH72" s="3265"/>
      <c r="AI72" s="57"/>
      <c r="AJ72" s="57"/>
      <c r="AK72" s="57"/>
      <c r="AL72" s="57"/>
      <c r="AM72" s="57"/>
    </row>
    <row r="73" spans="1:39" s="58" customFormat="1" ht="19.5" x14ac:dyDescent="0.2">
      <c r="A73" s="52">
        <v>149901</v>
      </c>
      <c r="B73" s="53"/>
      <c r="C73" s="42"/>
      <c r="D73" s="59" t="s">
        <v>598</v>
      </c>
      <c r="E73" s="69">
        <v>30</v>
      </c>
      <c r="F73" s="69">
        <v>30</v>
      </c>
      <c r="G73" s="69">
        <v>30</v>
      </c>
      <c r="H73" s="69">
        <v>30</v>
      </c>
      <c r="I73" s="70">
        <v>30</v>
      </c>
      <c r="J73" s="4"/>
      <c r="K73" s="4"/>
      <c r="L73" s="3265"/>
      <c r="M73" s="4"/>
      <c r="N73" s="4"/>
      <c r="O73" s="4"/>
      <c r="P73" s="3268"/>
      <c r="Q73" s="3265"/>
      <c r="R73" s="3265"/>
      <c r="S73" s="3266">
        <v>0</v>
      </c>
      <c r="T73" s="3265"/>
      <c r="U73" s="3267">
        <f t="shared" si="5"/>
        <v>150</v>
      </c>
      <c r="V73" s="3265"/>
      <c r="W73" s="3265"/>
      <c r="X73" s="3265"/>
      <c r="Y73" s="3265"/>
      <c r="Z73" s="3265"/>
      <c r="AA73" s="4"/>
      <c r="AB73" s="3265"/>
      <c r="AC73" s="3265"/>
      <c r="AD73" s="3265"/>
      <c r="AE73" s="3265"/>
      <c r="AF73" s="3265"/>
      <c r="AG73" s="3265"/>
      <c r="AH73" s="3265"/>
      <c r="AI73" s="57"/>
      <c r="AJ73" s="57"/>
      <c r="AK73" s="57"/>
      <c r="AL73" s="57"/>
      <c r="AM73" s="57"/>
    </row>
    <row r="74" spans="1:39" s="58" customFormat="1" ht="19.5" x14ac:dyDescent="0.2">
      <c r="A74" s="52">
        <v>149902</v>
      </c>
      <c r="B74" s="53"/>
      <c r="C74" s="42"/>
      <c r="D74" s="59" t="s">
        <v>560</v>
      </c>
      <c r="E74" s="69">
        <v>30</v>
      </c>
      <c r="F74" s="69">
        <v>30</v>
      </c>
      <c r="G74" s="69">
        <v>30</v>
      </c>
      <c r="H74" s="69">
        <v>30</v>
      </c>
      <c r="I74" s="70">
        <v>30</v>
      </c>
      <c r="J74" s="4"/>
      <c r="K74" s="4"/>
      <c r="L74" s="3265"/>
      <c r="M74" s="4"/>
      <c r="N74" s="4"/>
      <c r="O74" s="4"/>
      <c r="P74" s="3268"/>
      <c r="Q74" s="3265"/>
      <c r="R74" s="3265"/>
      <c r="S74" s="3266">
        <v>0</v>
      </c>
      <c r="T74" s="3265"/>
      <c r="U74" s="3267">
        <f t="shared" si="5"/>
        <v>150</v>
      </c>
      <c r="V74" s="3265"/>
      <c r="W74" s="3265"/>
      <c r="X74" s="3265"/>
      <c r="Y74" s="3265"/>
      <c r="Z74" s="3265"/>
      <c r="AA74" s="4"/>
      <c r="AB74" s="3265"/>
      <c r="AC74" s="3265"/>
      <c r="AD74" s="3265"/>
      <c r="AE74" s="3265"/>
      <c r="AF74" s="3265"/>
      <c r="AG74" s="3265"/>
      <c r="AH74" s="3265"/>
      <c r="AI74" s="57"/>
      <c r="AJ74" s="57"/>
      <c r="AK74" s="57"/>
      <c r="AL74" s="57"/>
      <c r="AM74" s="57"/>
    </row>
    <row r="75" spans="1:39" s="58" customFormat="1" ht="19.5" x14ac:dyDescent="0.2">
      <c r="A75" s="52">
        <v>149910</v>
      </c>
      <c r="B75" s="53"/>
      <c r="C75" s="42"/>
      <c r="D75" s="59" t="s">
        <v>603</v>
      </c>
      <c r="E75" s="69">
        <v>30</v>
      </c>
      <c r="F75" s="69">
        <v>30</v>
      </c>
      <c r="G75" s="69">
        <v>30</v>
      </c>
      <c r="H75" s="69">
        <v>30</v>
      </c>
      <c r="I75" s="70">
        <v>30</v>
      </c>
      <c r="J75" s="4"/>
      <c r="K75" s="4"/>
      <c r="L75" s="3265"/>
      <c r="M75" s="4"/>
      <c r="N75" s="4"/>
      <c r="O75" s="4"/>
      <c r="P75" s="3268"/>
      <c r="Q75" s="3265"/>
      <c r="R75" s="3265"/>
      <c r="S75" s="3266">
        <v>0</v>
      </c>
      <c r="T75" s="3265"/>
      <c r="U75" s="3267">
        <f t="shared" si="5"/>
        <v>150</v>
      </c>
      <c r="V75" s="3265"/>
      <c r="W75" s="3265"/>
      <c r="X75" s="3265"/>
      <c r="Y75" s="3265"/>
      <c r="Z75" s="3265"/>
      <c r="AA75" s="4"/>
      <c r="AB75" s="3265"/>
      <c r="AC75" s="3265"/>
      <c r="AD75" s="3265"/>
      <c r="AE75" s="3265"/>
      <c r="AF75" s="3265"/>
      <c r="AG75" s="3265"/>
      <c r="AH75" s="3265"/>
      <c r="AI75" s="57"/>
      <c r="AJ75" s="57"/>
      <c r="AK75" s="57"/>
      <c r="AL75" s="57"/>
      <c r="AM75" s="57"/>
    </row>
    <row r="76" spans="1:39" s="58" customFormat="1" ht="19.5" x14ac:dyDescent="0.2">
      <c r="A76" s="52">
        <v>140010</v>
      </c>
      <c r="B76" s="53"/>
      <c r="C76" s="60" t="s">
        <v>604</v>
      </c>
      <c r="D76" s="61"/>
      <c r="E76" s="62">
        <f>SUM(E66:E75)</f>
        <v>300</v>
      </c>
      <c r="F76" s="62">
        <f>SUM(F66:F75)</f>
        <v>300</v>
      </c>
      <c r="G76" s="62">
        <f>SUM(G66:G75)</f>
        <v>300</v>
      </c>
      <c r="H76" s="62">
        <f>SUM(H66:H75)</f>
        <v>300</v>
      </c>
      <c r="I76" s="63">
        <f>SUM(I66:I75)</f>
        <v>300</v>
      </c>
      <c r="J76" s="4"/>
      <c r="K76" s="4"/>
      <c r="L76" s="3265"/>
      <c r="M76" s="4"/>
      <c r="N76" s="4"/>
      <c r="O76" s="4"/>
      <c r="P76" s="3268"/>
      <c r="Q76" s="3265"/>
      <c r="R76" s="3265"/>
      <c r="S76" s="3266">
        <v>0</v>
      </c>
      <c r="T76" s="3265"/>
      <c r="U76" s="3267">
        <f t="shared" si="5"/>
        <v>1500</v>
      </c>
      <c r="V76" s="3265"/>
      <c r="W76" s="3265"/>
      <c r="X76" s="3265"/>
      <c r="Y76" s="3265"/>
      <c r="Z76" s="3265"/>
      <c r="AA76" s="4"/>
      <c r="AB76" s="3265"/>
      <c r="AC76" s="3265"/>
      <c r="AD76" s="3265"/>
      <c r="AE76" s="3265"/>
      <c r="AF76" s="3265"/>
      <c r="AG76" s="3265"/>
      <c r="AH76" s="3265"/>
      <c r="AI76" s="57"/>
      <c r="AJ76" s="57"/>
      <c r="AK76" s="57"/>
      <c r="AL76" s="57"/>
      <c r="AM76" s="57"/>
    </row>
    <row r="77" spans="1:39" s="58" customFormat="1" ht="19.5" x14ac:dyDescent="0.2">
      <c r="A77" s="52"/>
      <c r="B77" s="47"/>
      <c r="C77" s="48" t="s">
        <v>605</v>
      </c>
      <c r="D77" s="65"/>
      <c r="E77" s="66"/>
      <c r="F77" s="66"/>
      <c r="G77" s="66"/>
      <c r="H77" s="66"/>
      <c r="I77" s="67"/>
      <c r="J77" s="4"/>
      <c r="K77" s="4"/>
      <c r="L77" s="3265"/>
      <c r="M77" s="4"/>
      <c r="N77" s="4"/>
      <c r="O77" s="4"/>
      <c r="P77" s="3268"/>
      <c r="Q77" s="3265"/>
      <c r="R77" s="3265"/>
      <c r="S77" s="3266">
        <v>0</v>
      </c>
      <c r="T77" s="3265"/>
      <c r="U77" s="3267">
        <f>U84</f>
        <v>900</v>
      </c>
      <c r="V77" s="3265"/>
      <c r="W77" s="3265"/>
      <c r="X77" s="3265"/>
      <c r="Y77" s="3265"/>
      <c r="Z77" s="3265"/>
      <c r="AA77" s="4"/>
      <c r="AB77" s="3265"/>
      <c r="AC77" s="3265"/>
      <c r="AD77" s="3265"/>
      <c r="AE77" s="3265"/>
      <c r="AF77" s="3265"/>
      <c r="AG77" s="3265"/>
      <c r="AH77" s="3265"/>
      <c r="AI77" s="57"/>
      <c r="AJ77" s="57"/>
      <c r="AK77" s="57"/>
      <c r="AL77" s="57"/>
      <c r="AM77" s="57"/>
    </row>
    <row r="78" spans="1:39" s="58" customFormat="1" ht="19.5" x14ac:dyDescent="0.2">
      <c r="A78" s="52">
        <v>170500</v>
      </c>
      <c r="B78" s="53"/>
      <c r="C78" s="42"/>
      <c r="D78" s="54" t="s">
        <v>606</v>
      </c>
      <c r="E78" s="55">
        <v>30</v>
      </c>
      <c r="F78" s="55">
        <v>30</v>
      </c>
      <c r="G78" s="55">
        <v>30</v>
      </c>
      <c r="H78" s="55">
        <v>30</v>
      </c>
      <c r="I78" s="56">
        <v>30</v>
      </c>
      <c r="J78" s="4"/>
      <c r="K78" s="4"/>
      <c r="L78" s="3265"/>
      <c r="M78" s="4"/>
      <c r="N78" s="4"/>
      <c r="O78" s="4"/>
      <c r="P78" s="3268"/>
      <c r="Q78" s="3265"/>
      <c r="R78" s="3265"/>
      <c r="S78" s="3266">
        <v>0</v>
      </c>
      <c r="T78" s="3265"/>
      <c r="U78" s="3267">
        <f t="shared" ref="U78:U84" si="6">SUM(E78:I78)</f>
        <v>150</v>
      </c>
      <c r="V78" s="3265"/>
      <c r="W78" s="3265"/>
      <c r="X78" s="3265"/>
      <c r="Y78" s="3265"/>
      <c r="Z78" s="3265"/>
      <c r="AA78" s="4"/>
      <c r="AB78" s="3265"/>
      <c r="AC78" s="3265"/>
      <c r="AD78" s="3265"/>
      <c r="AE78" s="3265"/>
      <c r="AF78" s="3265"/>
      <c r="AG78" s="3265"/>
      <c r="AH78" s="3265"/>
      <c r="AI78" s="57"/>
      <c r="AJ78" s="57"/>
      <c r="AK78" s="57"/>
      <c r="AL78" s="57"/>
      <c r="AM78" s="57"/>
    </row>
    <row r="79" spans="1:39" s="58" customFormat="1" ht="19.5" x14ac:dyDescent="0.2">
      <c r="A79" s="52">
        <v>171000</v>
      </c>
      <c r="B79" s="53"/>
      <c r="C79" s="42"/>
      <c r="D79" s="59" t="s">
        <v>607</v>
      </c>
      <c r="E79" s="69">
        <v>30</v>
      </c>
      <c r="F79" s="69">
        <v>30</v>
      </c>
      <c r="G79" s="69">
        <v>30</v>
      </c>
      <c r="H79" s="69">
        <v>30</v>
      </c>
      <c r="I79" s="70">
        <v>30</v>
      </c>
      <c r="J79" s="4"/>
      <c r="K79" s="4"/>
      <c r="L79" s="3265"/>
      <c r="M79" s="4"/>
      <c r="N79" s="4"/>
      <c r="O79" s="4"/>
      <c r="P79" s="3268"/>
      <c r="Q79" s="3265"/>
      <c r="R79" s="3265"/>
      <c r="S79" s="3266">
        <v>0</v>
      </c>
      <c r="T79" s="3265"/>
      <c r="U79" s="3267">
        <f t="shared" si="6"/>
        <v>150</v>
      </c>
      <c r="V79" s="3265"/>
      <c r="W79" s="3265"/>
      <c r="X79" s="3265"/>
      <c r="Y79" s="3265"/>
      <c r="Z79" s="3265"/>
      <c r="AA79" s="4"/>
      <c r="AB79" s="3265"/>
      <c r="AC79" s="3265"/>
      <c r="AD79" s="3265"/>
      <c r="AE79" s="3265"/>
      <c r="AF79" s="3265"/>
      <c r="AG79" s="3265"/>
      <c r="AH79" s="3265"/>
      <c r="AI79" s="57"/>
      <c r="AJ79" s="57"/>
      <c r="AK79" s="57"/>
      <c r="AL79" s="57"/>
      <c r="AM79" s="57"/>
    </row>
    <row r="80" spans="1:39" s="58" customFormat="1" ht="19.5" x14ac:dyDescent="0.2">
      <c r="A80" s="52">
        <v>173000</v>
      </c>
      <c r="B80" s="53"/>
      <c r="C80" s="42"/>
      <c r="D80" s="59" t="s">
        <v>608</v>
      </c>
      <c r="E80" s="69">
        <v>30</v>
      </c>
      <c r="F80" s="69">
        <v>30</v>
      </c>
      <c r="G80" s="69">
        <v>30</v>
      </c>
      <c r="H80" s="69">
        <v>30</v>
      </c>
      <c r="I80" s="70">
        <v>30</v>
      </c>
      <c r="J80" s="4"/>
      <c r="K80" s="4"/>
      <c r="L80" s="3265"/>
      <c r="M80" s="4"/>
      <c r="N80" s="4"/>
      <c r="O80" s="4"/>
      <c r="P80" s="3268"/>
      <c r="Q80" s="3265"/>
      <c r="R80" s="3265"/>
      <c r="S80" s="3266">
        <v>0</v>
      </c>
      <c r="T80" s="3265"/>
      <c r="U80" s="3267">
        <f t="shared" si="6"/>
        <v>150</v>
      </c>
      <c r="V80" s="3265"/>
      <c r="W80" s="3265"/>
      <c r="X80" s="3265"/>
      <c r="Y80" s="3265"/>
      <c r="Z80" s="3265"/>
      <c r="AA80" s="4"/>
      <c r="AB80" s="3265"/>
      <c r="AC80" s="3265"/>
      <c r="AD80" s="3265"/>
      <c r="AE80" s="3265"/>
      <c r="AF80" s="3265"/>
      <c r="AG80" s="3265"/>
      <c r="AH80" s="3265"/>
      <c r="AI80" s="57"/>
      <c r="AJ80" s="57"/>
      <c r="AK80" s="57"/>
      <c r="AL80" s="57"/>
      <c r="AM80" s="57"/>
    </row>
    <row r="81" spans="1:39" s="58" customFormat="1" ht="19.5" x14ac:dyDescent="0.2">
      <c r="A81" s="52">
        <v>179500</v>
      </c>
      <c r="B81" s="53"/>
      <c r="C81" s="42"/>
      <c r="D81" s="59" t="s">
        <v>609</v>
      </c>
      <c r="E81" s="69">
        <v>30</v>
      </c>
      <c r="F81" s="69">
        <v>30</v>
      </c>
      <c r="G81" s="69">
        <v>30</v>
      </c>
      <c r="H81" s="69">
        <v>30</v>
      </c>
      <c r="I81" s="70">
        <v>30</v>
      </c>
      <c r="J81" s="4"/>
      <c r="K81" s="4"/>
      <c r="L81" s="3265"/>
      <c r="M81" s="4"/>
      <c r="N81" s="4"/>
      <c r="O81" s="4"/>
      <c r="P81" s="3268"/>
      <c r="Q81" s="3265"/>
      <c r="R81" s="3265"/>
      <c r="S81" s="3266">
        <v>0</v>
      </c>
      <c r="T81" s="3265"/>
      <c r="U81" s="3267">
        <f t="shared" si="6"/>
        <v>150</v>
      </c>
      <c r="V81" s="3265"/>
      <c r="W81" s="3265"/>
      <c r="X81" s="3265"/>
      <c r="Y81" s="3265"/>
      <c r="Z81" s="3265"/>
      <c r="AA81" s="4"/>
      <c r="AB81" s="3265"/>
      <c r="AC81" s="3265"/>
      <c r="AD81" s="3265"/>
      <c r="AE81" s="3265"/>
      <c r="AF81" s="3265"/>
      <c r="AG81" s="3265"/>
      <c r="AH81" s="3265"/>
      <c r="AI81" s="57"/>
      <c r="AJ81" s="57"/>
      <c r="AK81" s="57"/>
      <c r="AL81" s="57"/>
      <c r="AM81" s="57"/>
    </row>
    <row r="82" spans="1:39" s="58" customFormat="1" ht="18.95" hidden="1" customHeight="1" x14ac:dyDescent="0.2">
      <c r="A82" s="52"/>
      <c r="B82" s="53"/>
      <c r="C82" s="42"/>
      <c r="D82" s="59"/>
      <c r="E82" s="69">
        <v>30</v>
      </c>
      <c r="F82" s="69">
        <v>30</v>
      </c>
      <c r="G82" s="69">
        <v>30</v>
      </c>
      <c r="H82" s="69">
        <v>30</v>
      </c>
      <c r="I82" s="70">
        <v>30</v>
      </c>
      <c r="J82" s="4"/>
      <c r="K82" s="4"/>
      <c r="L82" s="3265"/>
      <c r="M82" s="4"/>
      <c r="N82" s="4"/>
      <c r="O82" s="4"/>
      <c r="P82" s="3268"/>
      <c r="Q82" s="3265"/>
      <c r="R82" s="3265"/>
      <c r="S82" s="3266">
        <v>1</v>
      </c>
      <c r="T82" s="3265"/>
      <c r="U82" s="3267">
        <f t="shared" si="6"/>
        <v>150</v>
      </c>
      <c r="V82" s="3265"/>
      <c r="W82" s="3265"/>
      <c r="X82" s="3265"/>
      <c r="Y82" s="3265"/>
      <c r="Z82" s="3265"/>
      <c r="AA82" s="4"/>
      <c r="AB82" s="3265"/>
      <c r="AC82" s="3265"/>
      <c r="AD82" s="3265"/>
      <c r="AE82" s="3265"/>
      <c r="AF82" s="3265"/>
      <c r="AG82" s="3265"/>
      <c r="AH82" s="3265"/>
      <c r="AI82" s="57"/>
      <c r="AJ82" s="57"/>
      <c r="AK82" s="57"/>
      <c r="AL82" s="57"/>
      <c r="AM82" s="57"/>
    </row>
    <row r="83" spans="1:39" s="58" customFormat="1" ht="19.5" x14ac:dyDescent="0.2">
      <c r="A83" s="52">
        <v>179700</v>
      </c>
      <c r="B83" s="53"/>
      <c r="C83" s="42"/>
      <c r="D83" s="59" t="s">
        <v>560</v>
      </c>
      <c r="E83" s="69">
        <v>30</v>
      </c>
      <c r="F83" s="69">
        <v>30</v>
      </c>
      <c r="G83" s="69">
        <v>30</v>
      </c>
      <c r="H83" s="69">
        <v>30</v>
      </c>
      <c r="I83" s="70">
        <v>30</v>
      </c>
      <c r="J83" s="4"/>
      <c r="K83" s="4"/>
      <c r="L83" s="3265"/>
      <c r="M83" s="4"/>
      <c r="N83" s="4"/>
      <c r="O83" s="4"/>
      <c r="P83" s="3268"/>
      <c r="Q83" s="3265"/>
      <c r="R83" s="3265"/>
      <c r="S83" s="3266">
        <v>0</v>
      </c>
      <c r="T83" s="3265"/>
      <c r="U83" s="3267">
        <f t="shared" si="6"/>
        <v>150</v>
      </c>
      <c r="V83" s="3265"/>
      <c r="W83" s="3265"/>
      <c r="X83" s="3265"/>
      <c r="Y83" s="3265"/>
      <c r="Z83" s="3265"/>
      <c r="AA83" s="4"/>
      <c r="AB83" s="3265"/>
      <c r="AC83" s="3265"/>
      <c r="AD83" s="3265"/>
      <c r="AE83" s="3265"/>
      <c r="AF83" s="3265"/>
      <c r="AG83" s="3265"/>
      <c r="AH83" s="3265"/>
      <c r="AI83" s="57"/>
      <c r="AJ83" s="57"/>
      <c r="AK83" s="57"/>
      <c r="AL83" s="57"/>
      <c r="AM83" s="57"/>
    </row>
    <row r="84" spans="1:39" s="58" customFormat="1" ht="19.5" x14ac:dyDescent="0.2">
      <c r="A84" s="52">
        <v>1107</v>
      </c>
      <c r="B84" s="53"/>
      <c r="C84" s="60" t="s">
        <v>610</v>
      </c>
      <c r="D84" s="61"/>
      <c r="E84" s="62">
        <f>SUM(E78:E83)</f>
        <v>180</v>
      </c>
      <c r="F84" s="62">
        <f>SUM(F78:F83)</f>
        <v>180</v>
      </c>
      <c r="G84" s="62">
        <f>SUM(G78:G83)</f>
        <v>180</v>
      </c>
      <c r="H84" s="62">
        <f>SUM(H78:H83)</f>
        <v>180</v>
      </c>
      <c r="I84" s="63">
        <f>SUM(I78:I83)</f>
        <v>180</v>
      </c>
      <c r="J84" s="4"/>
      <c r="K84" s="4"/>
      <c r="L84" s="3265"/>
      <c r="M84" s="4"/>
      <c r="N84" s="4"/>
      <c r="O84" s="4"/>
      <c r="P84" s="3268"/>
      <c r="Q84" s="3265"/>
      <c r="R84" s="3265"/>
      <c r="S84" s="3266">
        <v>0</v>
      </c>
      <c r="T84" s="3265"/>
      <c r="U84" s="3267">
        <f t="shared" si="6"/>
        <v>900</v>
      </c>
      <c r="V84" s="3265"/>
      <c r="W84" s="3265"/>
      <c r="X84" s="3265"/>
      <c r="Y84" s="3265"/>
      <c r="Z84" s="3265"/>
      <c r="AA84" s="4"/>
      <c r="AB84" s="3265"/>
      <c r="AC84" s="3265"/>
      <c r="AD84" s="3265"/>
      <c r="AE84" s="3265"/>
      <c r="AF84" s="3265"/>
      <c r="AG84" s="3265"/>
      <c r="AH84" s="3265"/>
      <c r="AI84" s="57"/>
      <c r="AJ84" s="57"/>
      <c r="AK84" s="57"/>
      <c r="AL84" s="57"/>
      <c r="AM84" s="57"/>
    </row>
    <row r="85" spans="1:39" s="58" customFormat="1" ht="19.5" x14ac:dyDescent="0.2">
      <c r="A85" s="52"/>
      <c r="B85" s="47"/>
      <c r="C85" s="48" t="s">
        <v>611</v>
      </c>
      <c r="D85" s="65"/>
      <c r="E85" s="66"/>
      <c r="F85" s="66"/>
      <c r="G85" s="66"/>
      <c r="H85" s="66"/>
      <c r="I85" s="67"/>
      <c r="J85" s="4"/>
      <c r="K85" s="4"/>
      <c r="L85" s="3265"/>
      <c r="M85" s="4"/>
      <c r="N85" s="4"/>
      <c r="O85" s="4"/>
      <c r="P85" s="3268"/>
      <c r="Q85" s="3265"/>
      <c r="R85" s="3265"/>
      <c r="S85" s="3266">
        <v>0</v>
      </c>
      <c r="T85" s="3265"/>
      <c r="U85" s="3267">
        <f>U90</f>
        <v>450</v>
      </c>
      <c r="V85" s="3265"/>
      <c r="W85" s="3265"/>
      <c r="X85" s="3265"/>
      <c r="Y85" s="3265"/>
      <c r="Z85" s="3265"/>
      <c r="AA85" s="4"/>
      <c r="AB85" s="3265"/>
      <c r="AC85" s="3265"/>
      <c r="AD85" s="3265"/>
      <c r="AE85" s="3265"/>
      <c r="AF85" s="3265"/>
      <c r="AG85" s="3265"/>
      <c r="AH85" s="3265"/>
      <c r="AI85" s="57"/>
      <c r="AJ85" s="57"/>
      <c r="AK85" s="57"/>
      <c r="AL85" s="57"/>
      <c r="AM85" s="57"/>
    </row>
    <row r="86" spans="1:39" s="58" customFormat="1" ht="19.5" x14ac:dyDescent="0.2">
      <c r="A86" s="52">
        <v>189500</v>
      </c>
      <c r="B86" s="53"/>
      <c r="C86" s="42"/>
      <c r="D86" s="68" t="s">
        <v>612</v>
      </c>
      <c r="E86" s="55">
        <v>30</v>
      </c>
      <c r="F86" s="55">
        <v>30</v>
      </c>
      <c r="G86" s="55">
        <v>30</v>
      </c>
      <c r="H86" s="55">
        <v>30</v>
      </c>
      <c r="I86" s="56">
        <v>30</v>
      </c>
      <c r="J86" s="4"/>
      <c r="K86" s="4"/>
      <c r="L86" s="3265"/>
      <c r="M86" s="4"/>
      <c r="N86" s="4"/>
      <c r="O86" s="4"/>
      <c r="P86" s="3268"/>
      <c r="Q86" s="3265"/>
      <c r="R86" s="3265"/>
      <c r="S86" s="3266">
        <v>0</v>
      </c>
      <c r="T86" s="3265"/>
      <c r="U86" s="3267">
        <f t="shared" ref="U86:U91" si="7">SUM(E86:I86)</f>
        <v>150</v>
      </c>
      <c r="V86" s="3265"/>
      <c r="W86" s="3265"/>
      <c r="X86" s="3265"/>
      <c r="Y86" s="3265"/>
      <c r="Z86" s="3265"/>
      <c r="AA86" s="4"/>
      <c r="AB86" s="3265"/>
      <c r="AC86" s="3265"/>
      <c r="AD86" s="3265"/>
      <c r="AE86" s="3265"/>
      <c r="AF86" s="3265"/>
      <c r="AG86" s="3265"/>
      <c r="AH86" s="3265"/>
      <c r="AI86" s="57"/>
      <c r="AJ86" s="57"/>
      <c r="AK86" s="57"/>
      <c r="AL86" s="57"/>
      <c r="AM86" s="57"/>
    </row>
    <row r="87" spans="1:39" s="58" customFormat="1" ht="18.95" hidden="1" customHeight="1" x14ac:dyDescent="0.2">
      <c r="A87" s="52"/>
      <c r="B87" s="53"/>
      <c r="C87" s="42"/>
      <c r="D87" s="59"/>
      <c r="E87" s="69">
        <v>30</v>
      </c>
      <c r="F87" s="69">
        <v>30</v>
      </c>
      <c r="G87" s="69">
        <v>30</v>
      </c>
      <c r="H87" s="69">
        <v>30</v>
      </c>
      <c r="I87" s="70">
        <v>30</v>
      </c>
      <c r="J87" s="4"/>
      <c r="K87" s="4"/>
      <c r="L87" s="3265"/>
      <c r="M87" s="4"/>
      <c r="N87" s="4"/>
      <c r="O87" s="4"/>
      <c r="P87" s="3268"/>
      <c r="Q87" s="3265"/>
      <c r="R87" s="3265"/>
      <c r="S87" s="3266">
        <v>1</v>
      </c>
      <c r="T87" s="3265"/>
      <c r="U87" s="3267">
        <f t="shared" si="7"/>
        <v>150</v>
      </c>
      <c r="V87" s="3265"/>
      <c r="W87" s="3265"/>
      <c r="X87" s="3265"/>
      <c r="Y87" s="3265"/>
      <c r="Z87" s="3265"/>
      <c r="AA87" s="4"/>
      <c r="AB87" s="3265"/>
      <c r="AC87" s="3265"/>
      <c r="AD87" s="3265"/>
      <c r="AE87" s="3265"/>
      <c r="AF87" s="3265"/>
      <c r="AG87" s="3265"/>
      <c r="AH87" s="3265"/>
      <c r="AI87" s="57"/>
      <c r="AJ87" s="57"/>
      <c r="AK87" s="57"/>
      <c r="AL87" s="57"/>
      <c r="AM87" s="57"/>
    </row>
    <row r="88" spans="1:39" s="58" customFormat="1" ht="19.5" x14ac:dyDescent="0.2">
      <c r="A88" s="52">
        <v>181000</v>
      </c>
      <c r="B88" s="53"/>
      <c r="C88" s="42"/>
      <c r="D88" s="68" t="s">
        <v>613</v>
      </c>
      <c r="E88" s="69">
        <v>30</v>
      </c>
      <c r="F88" s="69">
        <v>30</v>
      </c>
      <c r="G88" s="69">
        <v>30</v>
      </c>
      <c r="H88" s="69">
        <v>30</v>
      </c>
      <c r="I88" s="70">
        <v>30</v>
      </c>
      <c r="J88" s="4"/>
      <c r="K88" s="4"/>
      <c r="L88" s="3265"/>
      <c r="M88" s="4"/>
      <c r="N88" s="4"/>
      <c r="O88" s="4"/>
      <c r="P88" s="3268"/>
      <c r="Q88" s="3265"/>
      <c r="R88" s="3265"/>
      <c r="S88" s="3266">
        <v>0</v>
      </c>
      <c r="T88" s="3265"/>
      <c r="U88" s="3267">
        <f t="shared" si="7"/>
        <v>150</v>
      </c>
      <c r="V88" s="3265"/>
      <c r="W88" s="3265"/>
      <c r="X88" s="3265"/>
      <c r="Y88" s="3265"/>
      <c r="Z88" s="3265"/>
      <c r="AA88" s="4"/>
      <c r="AB88" s="3265"/>
      <c r="AC88" s="3265"/>
      <c r="AD88" s="3265"/>
      <c r="AE88" s="3265"/>
      <c r="AF88" s="3265"/>
      <c r="AG88" s="3265"/>
      <c r="AH88" s="3265"/>
      <c r="AI88" s="57"/>
      <c r="AJ88" s="57"/>
      <c r="AK88" s="57"/>
      <c r="AL88" s="57"/>
      <c r="AM88" s="57"/>
    </row>
    <row r="89" spans="1:39" s="58" customFormat="1" ht="18.95" hidden="1" customHeight="1" x14ac:dyDescent="0.2">
      <c r="A89" s="52"/>
      <c r="B89" s="53"/>
      <c r="C89" s="42"/>
      <c r="D89" s="59"/>
      <c r="E89" s="69"/>
      <c r="F89" s="69"/>
      <c r="G89" s="72"/>
      <c r="H89" s="72"/>
      <c r="I89" s="59"/>
      <c r="J89" s="4"/>
      <c r="K89" s="4"/>
      <c r="L89" s="3265"/>
      <c r="M89" s="4"/>
      <c r="N89" s="4"/>
      <c r="O89" s="4"/>
      <c r="P89" s="3268"/>
      <c r="Q89" s="3265"/>
      <c r="R89" s="3265"/>
      <c r="S89" s="3266">
        <v>1</v>
      </c>
      <c r="T89" s="3265"/>
      <c r="U89" s="3267">
        <f t="shared" si="7"/>
        <v>0</v>
      </c>
      <c r="V89" s="3265"/>
      <c r="W89" s="3265"/>
      <c r="X89" s="3265"/>
      <c r="Y89" s="3265"/>
      <c r="Z89" s="3265"/>
      <c r="AA89" s="4"/>
      <c r="AB89" s="3265"/>
      <c r="AC89" s="3265"/>
      <c r="AD89" s="3265"/>
      <c r="AE89" s="3265"/>
      <c r="AF89" s="3265"/>
      <c r="AG89" s="3265"/>
      <c r="AH89" s="3265"/>
      <c r="AI89" s="57"/>
      <c r="AJ89" s="57"/>
      <c r="AK89" s="57"/>
      <c r="AL89" s="57"/>
      <c r="AM89" s="57"/>
    </row>
    <row r="90" spans="1:39" s="58" customFormat="1" ht="19.5" x14ac:dyDescent="0.2">
      <c r="A90" s="52">
        <v>180000</v>
      </c>
      <c r="B90" s="53"/>
      <c r="C90" s="73" t="s">
        <v>614</v>
      </c>
      <c r="D90" s="74"/>
      <c r="E90" s="75">
        <f>SUM(E86:E88)</f>
        <v>90</v>
      </c>
      <c r="F90" s="75">
        <f>SUM(F86:F88)</f>
        <v>90</v>
      </c>
      <c r="G90" s="75">
        <f>SUM(G86:G88)</f>
        <v>90</v>
      </c>
      <c r="H90" s="75">
        <f>SUM(H86:H88)</f>
        <v>90</v>
      </c>
      <c r="I90" s="76">
        <f>SUM(I86:I88)</f>
        <v>90</v>
      </c>
      <c r="J90" s="4"/>
      <c r="K90" s="4"/>
      <c r="L90" s="3265"/>
      <c r="M90" s="4"/>
      <c r="N90" s="4"/>
      <c r="O90" s="4"/>
      <c r="P90" s="3268"/>
      <c r="Q90" s="3265"/>
      <c r="R90" s="3265"/>
      <c r="S90" s="3266">
        <v>0</v>
      </c>
      <c r="T90" s="3265"/>
      <c r="U90" s="3267">
        <f t="shared" si="7"/>
        <v>450</v>
      </c>
      <c r="V90" s="3265"/>
      <c r="W90" s="3265"/>
      <c r="X90" s="3265"/>
      <c r="Y90" s="3265"/>
      <c r="Z90" s="3265"/>
      <c r="AA90" s="4"/>
      <c r="AB90" s="3265"/>
      <c r="AC90" s="3265"/>
      <c r="AD90" s="3265"/>
      <c r="AE90" s="3265"/>
      <c r="AF90" s="3265"/>
      <c r="AG90" s="3265"/>
      <c r="AH90" s="3265"/>
      <c r="AI90" s="57"/>
      <c r="AJ90" s="57"/>
      <c r="AK90" s="57"/>
      <c r="AL90" s="57"/>
      <c r="AM90" s="57"/>
    </row>
    <row r="91" spans="1:39" s="58" customFormat="1" ht="19.5" x14ac:dyDescent="0.2">
      <c r="A91" s="52">
        <v>11</v>
      </c>
      <c r="B91" s="77"/>
      <c r="C91" s="78" t="s">
        <v>615</v>
      </c>
      <c r="D91" s="79"/>
      <c r="E91" s="80">
        <f>E16+E26+E33+E49+E64+E76+E84+E90</f>
        <v>1860</v>
      </c>
      <c r="F91" s="80">
        <f>F16+F26+F33+F49+F64+F76+F84+F90</f>
        <v>1860</v>
      </c>
      <c r="G91" s="80">
        <f>G16+G26+G33+G49+G64+G76+G84+G90</f>
        <v>1860</v>
      </c>
      <c r="H91" s="80">
        <f>H16+H26+H33+H49+H64+H76+H84+H90</f>
        <v>1860</v>
      </c>
      <c r="I91" s="81">
        <f>I16+I26+I33+I49+I64+I76+I84+I90</f>
        <v>1860</v>
      </c>
      <c r="J91" s="4"/>
      <c r="K91" s="4"/>
      <c r="L91" s="3265"/>
      <c r="M91" s="4"/>
      <c r="N91" s="4"/>
      <c r="O91" s="4"/>
      <c r="P91" s="3268"/>
      <c r="Q91" s="3265"/>
      <c r="R91" s="3265"/>
      <c r="S91" s="3266">
        <v>0</v>
      </c>
      <c r="T91" s="3265"/>
      <c r="U91" s="3267">
        <f t="shared" si="7"/>
        <v>9300</v>
      </c>
      <c r="V91" s="3265"/>
      <c r="W91" s="3265"/>
      <c r="X91" s="3265"/>
      <c r="Y91" s="3265"/>
      <c r="Z91" s="3265"/>
      <c r="AA91" s="4"/>
      <c r="AB91" s="3265"/>
      <c r="AC91" s="3265"/>
      <c r="AD91" s="3265"/>
      <c r="AE91" s="3265"/>
      <c r="AF91" s="3265"/>
      <c r="AG91" s="3265"/>
      <c r="AH91" s="3265"/>
      <c r="AI91" s="57"/>
      <c r="AJ91" s="57"/>
      <c r="AK91" s="57"/>
      <c r="AL91" s="57"/>
      <c r="AM91" s="57"/>
    </row>
    <row r="92" spans="1:39" s="58" customFormat="1" ht="19.5" x14ac:dyDescent="0.2">
      <c r="A92" s="52"/>
      <c r="B92" s="47"/>
      <c r="C92" s="48" t="s">
        <v>616</v>
      </c>
      <c r="D92" s="82"/>
      <c r="E92" s="50"/>
      <c r="F92" s="50"/>
      <c r="G92" s="50"/>
      <c r="H92" s="50"/>
      <c r="I92" s="83"/>
      <c r="J92" s="4"/>
      <c r="K92" s="4"/>
      <c r="L92" s="3265"/>
      <c r="M92" s="4"/>
      <c r="N92" s="4"/>
      <c r="O92" s="4"/>
      <c r="P92" s="3268"/>
      <c r="Q92" s="3265"/>
      <c r="R92" s="3265"/>
      <c r="S92" s="3266">
        <v>0</v>
      </c>
      <c r="T92" s="3265"/>
      <c r="U92" s="3267">
        <f>U113</f>
        <v>3000</v>
      </c>
      <c r="V92" s="3265"/>
      <c r="W92" s="3265"/>
      <c r="X92" s="3265"/>
      <c r="Y92" s="3265"/>
      <c r="Z92" s="3265"/>
      <c r="AA92" s="4"/>
      <c r="AB92" s="3265"/>
      <c r="AC92" s="3265"/>
      <c r="AD92" s="3265"/>
      <c r="AE92" s="3265"/>
      <c r="AF92" s="3265"/>
      <c r="AG92" s="3265"/>
      <c r="AH92" s="3265"/>
      <c r="AI92" s="57"/>
      <c r="AJ92" s="57"/>
      <c r="AK92" s="57"/>
      <c r="AL92" s="57"/>
      <c r="AM92" s="57"/>
    </row>
    <row r="93" spans="1:39" s="58" customFormat="1" ht="19.5" x14ac:dyDescent="0.2">
      <c r="A93" s="52">
        <v>120104</v>
      </c>
      <c r="B93" s="53"/>
      <c r="C93" s="42"/>
      <c r="D93" s="54" t="s">
        <v>617</v>
      </c>
      <c r="E93" s="55">
        <v>30</v>
      </c>
      <c r="F93" s="55">
        <v>30</v>
      </c>
      <c r="G93" s="55">
        <v>30</v>
      </c>
      <c r="H93" s="55">
        <v>30</v>
      </c>
      <c r="I93" s="56">
        <v>30</v>
      </c>
      <c r="J93" s="4"/>
      <c r="K93" s="4"/>
      <c r="L93" s="3265"/>
      <c r="M93" s="4"/>
      <c r="N93" s="4"/>
      <c r="O93" s="4"/>
      <c r="P93" s="3268"/>
      <c r="Q93" s="3265"/>
      <c r="R93" s="3265"/>
      <c r="S93" s="3266">
        <v>0</v>
      </c>
      <c r="T93" s="3265"/>
      <c r="U93" s="3267">
        <f t="shared" ref="U93:U113" si="8">SUM(E93:I93)</f>
        <v>150</v>
      </c>
      <c r="V93" s="3265"/>
      <c r="W93" s="3265"/>
      <c r="X93" s="3265"/>
      <c r="Y93" s="3265"/>
      <c r="Z93" s="3265"/>
      <c r="AA93" s="4"/>
      <c r="AB93" s="3265"/>
      <c r="AC93" s="3265"/>
      <c r="AD93" s="3265"/>
      <c r="AE93" s="3265"/>
      <c r="AF93" s="3265"/>
      <c r="AG93" s="3265"/>
      <c r="AH93" s="3265"/>
      <c r="AI93" s="57"/>
      <c r="AJ93" s="57"/>
      <c r="AK93" s="57"/>
      <c r="AL93" s="57"/>
      <c r="AM93" s="57"/>
    </row>
    <row r="94" spans="1:39" s="58" customFormat="1" ht="19.5" x14ac:dyDescent="0.2">
      <c r="A94" s="52">
        <v>120108</v>
      </c>
      <c r="B94" s="53"/>
      <c r="C94" s="42"/>
      <c r="D94" s="59" t="s">
        <v>618</v>
      </c>
      <c r="E94" s="69">
        <v>30</v>
      </c>
      <c r="F94" s="69">
        <v>30</v>
      </c>
      <c r="G94" s="69">
        <v>30</v>
      </c>
      <c r="H94" s="69">
        <v>30</v>
      </c>
      <c r="I94" s="70">
        <v>30</v>
      </c>
      <c r="J94" s="4"/>
      <c r="K94" s="4"/>
      <c r="L94" s="3265"/>
      <c r="M94" s="4"/>
      <c r="N94" s="4"/>
      <c r="O94" s="4"/>
      <c r="P94" s="3268"/>
      <c r="Q94" s="3265"/>
      <c r="R94" s="3265"/>
      <c r="S94" s="3266">
        <v>0</v>
      </c>
      <c r="T94" s="3265"/>
      <c r="U94" s="3267">
        <f t="shared" si="8"/>
        <v>150</v>
      </c>
      <c r="V94" s="3265"/>
      <c r="W94" s="3265"/>
      <c r="X94" s="3265"/>
      <c r="Y94" s="3265"/>
      <c r="Z94" s="3265"/>
      <c r="AA94" s="4"/>
      <c r="AB94" s="3265"/>
      <c r="AC94" s="3265"/>
      <c r="AD94" s="3265"/>
      <c r="AE94" s="3265"/>
      <c r="AF94" s="3265"/>
      <c r="AG94" s="3265"/>
      <c r="AH94" s="3265"/>
      <c r="AI94" s="57"/>
      <c r="AJ94" s="57"/>
      <c r="AK94" s="57"/>
      <c r="AL94" s="57"/>
      <c r="AM94" s="57"/>
    </row>
    <row r="95" spans="1:39" s="58" customFormat="1" ht="19.5" x14ac:dyDescent="0.2">
      <c r="A95" s="52">
        <v>151201</v>
      </c>
      <c r="B95" s="53"/>
      <c r="C95" s="42"/>
      <c r="D95" s="59" t="s">
        <v>619</v>
      </c>
      <c r="E95" s="69">
        <v>30</v>
      </c>
      <c r="F95" s="69">
        <v>30</v>
      </c>
      <c r="G95" s="69">
        <v>30</v>
      </c>
      <c r="H95" s="69">
        <v>30</v>
      </c>
      <c r="I95" s="70">
        <v>30</v>
      </c>
      <c r="J95" s="4"/>
      <c r="K95" s="4"/>
      <c r="L95" s="3265"/>
      <c r="M95" s="4"/>
      <c r="N95" s="4"/>
      <c r="O95" s="4"/>
      <c r="P95" s="3268"/>
      <c r="Q95" s="3265"/>
      <c r="R95" s="3265"/>
      <c r="S95" s="3266">
        <v>0</v>
      </c>
      <c r="T95" s="3265"/>
      <c r="U95" s="3267">
        <f t="shared" si="8"/>
        <v>150</v>
      </c>
      <c r="V95" s="3265"/>
      <c r="W95" s="3265"/>
      <c r="X95" s="3265"/>
      <c r="Y95" s="3265"/>
      <c r="Z95" s="3265"/>
      <c r="AA95" s="4"/>
      <c r="AB95" s="3265"/>
      <c r="AC95" s="3265"/>
      <c r="AD95" s="3265"/>
      <c r="AE95" s="3265"/>
      <c r="AF95" s="3265"/>
      <c r="AG95" s="3265"/>
      <c r="AH95" s="3265"/>
      <c r="AI95" s="57"/>
      <c r="AJ95" s="57"/>
      <c r="AK95" s="57"/>
      <c r="AL95" s="57"/>
      <c r="AM95" s="57"/>
    </row>
    <row r="96" spans="1:39" s="58" customFormat="1" ht="19.5" x14ac:dyDescent="0.2">
      <c r="A96" s="52">
        <v>120116</v>
      </c>
      <c r="B96" s="53"/>
      <c r="C96" s="42"/>
      <c r="D96" s="59" t="s">
        <v>362</v>
      </c>
      <c r="E96" s="69">
        <v>30</v>
      </c>
      <c r="F96" s="69">
        <v>30</v>
      </c>
      <c r="G96" s="69">
        <v>30</v>
      </c>
      <c r="H96" s="69">
        <v>30</v>
      </c>
      <c r="I96" s="70">
        <v>30</v>
      </c>
      <c r="J96" s="4"/>
      <c r="K96" s="4"/>
      <c r="L96" s="3265"/>
      <c r="M96" s="4"/>
      <c r="N96" s="4"/>
      <c r="O96" s="4"/>
      <c r="P96" s="3268"/>
      <c r="Q96" s="3265"/>
      <c r="R96" s="3265"/>
      <c r="S96" s="3266">
        <v>0</v>
      </c>
      <c r="T96" s="3265"/>
      <c r="U96" s="3267">
        <f t="shared" si="8"/>
        <v>150</v>
      </c>
      <c r="V96" s="3265"/>
      <c r="W96" s="3265"/>
      <c r="X96" s="3265"/>
      <c r="Y96" s="3265"/>
      <c r="Z96" s="3265"/>
      <c r="AA96" s="4"/>
      <c r="AB96" s="3265"/>
      <c r="AC96" s="3265"/>
      <c r="AD96" s="3265"/>
      <c r="AE96" s="3265"/>
      <c r="AF96" s="3265"/>
      <c r="AG96" s="3265"/>
      <c r="AH96" s="3265"/>
      <c r="AI96" s="57"/>
      <c r="AJ96" s="57"/>
      <c r="AK96" s="57"/>
      <c r="AL96" s="57"/>
      <c r="AM96" s="57"/>
    </row>
    <row r="97" spans="1:39" s="58" customFormat="1" ht="19.5" x14ac:dyDescent="0.2">
      <c r="A97" s="52">
        <v>120120</v>
      </c>
      <c r="B97" s="53"/>
      <c r="C97" s="42"/>
      <c r="D97" s="59" t="s">
        <v>620</v>
      </c>
      <c r="E97" s="69">
        <v>30</v>
      </c>
      <c r="F97" s="69">
        <v>30</v>
      </c>
      <c r="G97" s="69">
        <v>30</v>
      </c>
      <c r="H97" s="69">
        <v>30</v>
      </c>
      <c r="I97" s="70">
        <v>30</v>
      </c>
      <c r="J97" s="4"/>
      <c r="K97" s="4"/>
      <c r="L97" s="3265"/>
      <c r="M97" s="4"/>
      <c r="N97" s="4"/>
      <c r="O97" s="4"/>
      <c r="P97" s="3268"/>
      <c r="Q97" s="3265"/>
      <c r="R97" s="3265"/>
      <c r="S97" s="3266">
        <v>0</v>
      </c>
      <c r="T97" s="3265"/>
      <c r="U97" s="3267">
        <f t="shared" si="8"/>
        <v>150</v>
      </c>
      <c r="V97" s="3265"/>
      <c r="W97" s="3265"/>
      <c r="X97" s="4"/>
      <c r="Y97" s="3265"/>
      <c r="Z97" s="3265"/>
      <c r="AA97" s="4"/>
      <c r="AB97" s="3265"/>
      <c r="AC97" s="3265"/>
      <c r="AD97" s="3265"/>
      <c r="AE97" s="3265"/>
      <c r="AF97" s="3265"/>
      <c r="AG97" s="3265"/>
      <c r="AH97" s="3265"/>
      <c r="AI97" s="57"/>
      <c r="AJ97" s="57"/>
      <c r="AK97" s="57"/>
      <c r="AL97" s="57"/>
      <c r="AM97" s="57"/>
    </row>
    <row r="98" spans="1:39" s="58" customFormat="1" ht="19.5" x14ac:dyDescent="0.2">
      <c r="A98" s="52">
        <v>120124</v>
      </c>
      <c r="B98" s="53"/>
      <c r="C98" s="42"/>
      <c r="D98" s="59" t="s">
        <v>621</v>
      </c>
      <c r="E98" s="69">
        <v>30</v>
      </c>
      <c r="F98" s="69">
        <v>30</v>
      </c>
      <c r="G98" s="69">
        <v>30</v>
      </c>
      <c r="H98" s="69">
        <v>30</v>
      </c>
      <c r="I98" s="70">
        <v>30</v>
      </c>
      <c r="J98" s="4"/>
      <c r="K98" s="4"/>
      <c r="L98" s="3265"/>
      <c r="M98" s="4"/>
      <c r="N98" s="4"/>
      <c r="O98" s="4"/>
      <c r="P98" s="3268"/>
      <c r="Q98" s="3265"/>
      <c r="R98" s="3265"/>
      <c r="S98" s="3266">
        <v>0</v>
      </c>
      <c r="T98" s="3265"/>
      <c r="U98" s="3267">
        <f t="shared" si="8"/>
        <v>150</v>
      </c>
      <c r="V98" s="3265"/>
      <c r="W98" s="3265"/>
      <c r="X98" s="4"/>
      <c r="Y98" s="3265"/>
      <c r="Z98" s="3265"/>
      <c r="AA98" s="4"/>
      <c r="AB98" s="3265"/>
      <c r="AC98" s="3265"/>
      <c r="AD98" s="3265"/>
      <c r="AE98" s="3265"/>
      <c r="AF98" s="3265"/>
      <c r="AG98" s="3265"/>
      <c r="AH98" s="3265"/>
      <c r="AI98" s="57"/>
      <c r="AJ98" s="57"/>
      <c r="AK98" s="57"/>
      <c r="AL98" s="57"/>
      <c r="AM98" s="57"/>
    </row>
    <row r="99" spans="1:39" s="58" customFormat="1" ht="19.5" x14ac:dyDescent="0.2">
      <c r="A99" s="52">
        <v>120128</v>
      </c>
      <c r="B99" s="53"/>
      <c r="C99" s="42"/>
      <c r="D99" s="59" t="s">
        <v>622</v>
      </c>
      <c r="E99" s="69">
        <v>30</v>
      </c>
      <c r="F99" s="69">
        <v>30</v>
      </c>
      <c r="G99" s="69">
        <v>30</v>
      </c>
      <c r="H99" s="69">
        <v>30</v>
      </c>
      <c r="I99" s="70">
        <v>30</v>
      </c>
      <c r="J99" s="4"/>
      <c r="K99" s="4"/>
      <c r="L99" s="3265"/>
      <c r="M99" s="4"/>
      <c r="N99" s="4"/>
      <c r="O99" s="4"/>
      <c r="P99" s="3268"/>
      <c r="Q99" s="3265"/>
      <c r="R99" s="3265"/>
      <c r="S99" s="3266">
        <v>0</v>
      </c>
      <c r="T99" s="3265"/>
      <c r="U99" s="3267">
        <f t="shared" si="8"/>
        <v>150</v>
      </c>
      <c r="V99" s="3265"/>
      <c r="W99" s="3265"/>
      <c r="X99" s="4"/>
      <c r="Y99" s="3265"/>
      <c r="Z99" s="3265"/>
      <c r="AA99" s="4"/>
      <c r="AB99" s="3265"/>
      <c r="AC99" s="3265"/>
      <c r="AD99" s="3265"/>
      <c r="AE99" s="3265"/>
      <c r="AF99" s="3265"/>
      <c r="AG99" s="3265"/>
      <c r="AH99" s="3265"/>
      <c r="AI99" s="57"/>
      <c r="AJ99" s="57"/>
      <c r="AK99" s="57"/>
      <c r="AL99" s="57"/>
      <c r="AM99" s="57"/>
    </row>
    <row r="100" spans="1:39" s="58" customFormat="1" ht="19.5" x14ac:dyDescent="0.2">
      <c r="A100" s="52">
        <v>120140</v>
      </c>
      <c r="B100" s="53"/>
      <c r="C100" s="42"/>
      <c r="D100" s="59" t="s">
        <v>623</v>
      </c>
      <c r="E100" s="69">
        <v>30</v>
      </c>
      <c r="F100" s="69">
        <v>30</v>
      </c>
      <c r="G100" s="69">
        <v>30</v>
      </c>
      <c r="H100" s="69">
        <v>30</v>
      </c>
      <c r="I100" s="70">
        <v>30</v>
      </c>
      <c r="J100" s="4"/>
      <c r="K100" s="4"/>
      <c r="L100" s="3265"/>
      <c r="M100" s="4"/>
      <c r="N100" s="4"/>
      <c r="O100" s="4"/>
      <c r="P100" s="3268"/>
      <c r="Q100" s="3265"/>
      <c r="R100" s="3265"/>
      <c r="S100" s="3266">
        <v>0</v>
      </c>
      <c r="T100" s="3265"/>
      <c r="U100" s="3267">
        <f t="shared" si="8"/>
        <v>150</v>
      </c>
      <c r="V100" s="3265"/>
      <c r="W100" s="3265"/>
      <c r="X100" s="4"/>
      <c r="Y100" s="3265"/>
      <c r="Z100" s="3265"/>
      <c r="AA100" s="3265"/>
      <c r="AB100" s="3265"/>
      <c r="AC100" s="3265"/>
      <c r="AD100" s="3265"/>
      <c r="AE100" s="3265"/>
      <c r="AF100" s="3265"/>
      <c r="AG100" s="3265"/>
      <c r="AH100" s="3265"/>
      <c r="AI100" s="57"/>
      <c r="AJ100" s="57"/>
      <c r="AK100" s="57"/>
      <c r="AL100" s="57"/>
      <c r="AM100" s="57"/>
    </row>
    <row r="101" spans="1:39" s="58" customFormat="1" ht="19.5" x14ac:dyDescent="0.2">
      <c r="A101" s="52">
        <v>155601</v>
      </c>
      <c r="B101" s="53"/>
      <c r="C101" s="42"/>
      <c r="D101" s="59" t="s">
        <v>624</v>
      </c>
      <c r="E101" s="69">
        <v>30</v>
      </c>
      <c r="F101" s="69">
        <v>30</v>
      </c>
      <c r="G101" s="69">
        <v>30</v>
      </c>
      <c r="H101" s="69">
        <v>30</v>
      </c>
      <c r="I101" s="70">
        <v>30</v>
      </c>
      <c r="J101" s="4"/>
      <c r="K101" s="4"/>
      <c r="L101" s="3265"/>
      <c r="M101" s="4"/>
      <c r="N101" s="4"/>
      <c r="O101" s="4"/>
      <c r="P101" s="3268"/>
      <c r="Q101" s="3265"/>
      <c r="R101" s="3265"/>
      <c r="S101" s="3266">
        <v>0</v>
      </c>
      <c r="T101" s="3265"/>
      <c r="U101" s="3267">
        <f t="shared" si="8"/>
        <v>150</v>
      </c>
      <c r="V101" s="3265"/>
      <c r="W101" s="3265"/>
      <c r="X101" s="4"/>
      <c r="Y101" s="3265"/>
      <c r="Z101" s="3265"/>
      <c r="AA101" s="3265"/>
      <c r="AB101" s="3265"/>
      <c r="AC101" s="3265"/>
      <c r="AD101" s="3265"/>
      <c r="AE101" s="3265"/>
      <c r="AF101" s="3265"/>
      <c r="AG101" s="3265"/>
      <c r="AH101" s="3265"/>
      <c r="AI101" s="57"/>
      <c r="AJ101" s="57"/>
      <c r="AK101" s="57"/>
      <c r="AL101" s="57"/>
      <c r="AM101" s="57"/>
    </row>
    <row r="102" spans="1:39" s="58" customFormat="1" ht="19.5" x14ac:dyDescent="0.2">
      <c r="A102" s="52">
        <v>156001</v>
      </c>
      <c r="B102" s="53"/>
      <c r="C102" s="42"/>
      <c r="D102" s="59" t="s">
        <v>625</v>
      </c>
      <c r="E102" s="69">
        <v>30</v>
      </c>
      <c r="F102" s="69">
        <v>30</v>
      </c>
      <c r="G102" s="69">
        <v>30</v>
      </c>
      <c r="H102" s="69">
        <v>30</v>
      </c>
      <c r="I102" s="70">
        <v>30</v>
      </c>
      <c r="J102" s="4"/>
      <c r="K102" s="4"/>
      <c r="L102" s="3265"/>
      <c r="M102" s="4"/>
      <c r="N102" s="4"/>
      <c r="O102" s="4"/>
      <c r="P102" s="3268"/>
      <c r="Q102" s="3265"/>
      <c r="R102" s="3265"/>
      <c r="S102" s="3266">
        <v>0</v>
      </c>
      <c r="T102" s="3265"/>
      <c r="U102" s="3267">
        <f t="shared" si="8"/>
        <v>150</v>
      </c>
      <c r="V102" s="3265"/>
      <c r="W102" s="3265"/>
      <c r="X102" s="4"/>
      <c r="Y102" s="3265"/>
      <c r="Z102" s="3265"/>
      <c r="AA102" s="3265"/>
      <c r="AB102" s="3265"/>
      <c r="AC102" s="3265"/>
      <c r="AD102" s="3265"/>
      <c r="AE102" s="3265"/>
      <c r="AF102" s="3265"/>
      <c r="AG102" s="3265"/>
      <c r="AH102" s="3265"/>
      <c r="AI102" s="57"/>
      <c r="AJ102" s="57"/>
      <c r="AK102" s="57"/>
      <c r="AL102" s="57"/>
      <c r="AM102" s="57"/>
    </row>
    <row r="103" spans="1:39" s="58" customFormat="1" ht="19.5" x14ac:dyDescent="0.2">
      <c r="A103" s="52">
        <v>156401</v>
      </c>
      <c r="B103" s="53"/>
      <c r="C103" s="42"/>
      <c r="D103" s="59" t="s">
        <v>626</v>
      </c>
      <c r="E103" s="69">
        <v>30</v>
      </c>
      <c r="F103" s="69">
        <v>30</v>
      </c>
      <c r="G103" s="69">
        <v>30</v>
      </c>
      <c r="H103" s="69">
        <v>30</v>
      </c>
      <c r="I103" s="70">
        <v>30</v>
      </c>
      <c r="J103" s="4"/>
      <c r="K103" s="4"/>
      <c r="L103" s="3265"/>
      <c r="M103" s="4"/>
      <c r="N103" s="4"/>
      <c r="O103" s="4"/>
      <c r="P103" s="3268"/>
      <c r="Q103" s="3265"/>
      <c r="R103" s="3265"/>
      <c r="S103" s="3266">
        <v>0</v>
      </c>
      <c r="T103" s="3265"/>
      <c r="U103" s="3267">
        <f t="shared" si="8"/>
        <v>150</v>
      </c>
      <c r="V103" s="3265"/>
      <c r="W103" s="3265"/>
      <c r="X103" s="4"/>
      <c r="Y103" s="3265"/>
      <c r="Z103" s="3265"/>
      <c r="AA103" s="3265"/>
      <c r="AB103" s="3265"/>
      <c r="AC103" s="3265"/>
      <c r="AD103" s="3265"/>
      <c r="AE103" s="3265"/>
      <c r="AF103" s="3265"/>
      <c r="AG103" s="3265"/>
      <c r="AH103" s="3265"/>
      <c r="AI103" s="57"/>
      <c r="AJ103" s="57"/>
      <c r="AK103" s="57"/>
      <c r="AL103" s="57"/>
      <c r="AM103" s="57"/>
    </row>
    <row r="104" spans="1:39" s="58" customFormat="1" ht="19.5" x14ac:dyDescent="0.2">
      <c r="A104" s="52">
        <v>157201</v>
      </c>
      <c r="B104" s="53"/>
      <c r="C104" s="42"/>
      <c r="D104" s="59" t="s">
        <v>627</v>
      </c>
      <c r="E104" s="69">
        <v>30</v>
      </c>
      <c r="F104" s="69">
        <v>30</v>
      </c>
      <c r="G104" s="69">
        <v>30</v>
      </c>
      <c r="H104" s="69">
        <v>30</v>
      </c>
      <c r="I104" s="70">
        <v>30</v>
      </c>
      <c r="J104" s="4"/>
      <c r="K104" s="4"/>
      <c r="L104" s="3265"/>
      <c r="M104" s="4"/>
      <c r="N104" s="4"/>
      <c r="O104" s="4"/>
      <c r="P104" s="3268"/>
      <c r="Q104" s="3265"/>
      <c r="R104" s="3265"/>
      <c r="S104" s="3266">
        <v>0</v>
      </c>
      <c r="T104" s="3265"/>
      <c r="U104" s="3267">
        <f t="shared" si="8"/>
        <v>150</v>
      </c>
      <c r="V104" s="3265"/>
      <c r="W104" s="3265"/>
      <c r="X104" s="4"/>
      <c r="Y104" s="3265"/>
      <c r="Z104" s="3265"/>
      <c r="AA104" s="3265"/>
      <c r="AB104" s="3265"/>
      <c r="AC104" s="3265"/>
      <c r="AD104" s="3265"/>
      <c r="AE104" s="3265"/>
      <c r="AF104" s="3265"/>
      <c r="AG104" s="3265"/>
      <c r="AH104" s="3265"/>
      <c r="AI104" s="57"/>
      <c r="AJ104" s="57"/>
      <c r="AK104" s="57"/>
      <c r="AL104" s="57"/>
      <c r="AM104" s="57"/>
    </row>
    <row r="105" spans="1:39" s="58" customFormat="1" ht="19.5" x14ac:dyDescent="0.2">
      <c r="A105" s="52">
        <v>157601</v>
      </c>
      <c r="B105" s="53"/>
      <c r="C105" s="42"/>
      <c r="D105" s="59" t="s">
        <v>628</v>
      </c>
      <c r="E105" s="69">
        <v>30</v>
      </c>
      <c r="F105" s="69">
        <v>30</v>
      </c>
      <c r="G105" s="69">
        <v>30</v>
      </c>
      <c r="H105" s="69">
        <v>30</v>
      </c>
      <c r="I105" s="70">
        <v>30</v>
      </c>
      <c r="J105" s="4"/>
      <c r="K105" s="4"/>
      <c r="L105" s="3265"/>
      <c r="M105" s="4"/>
      <c r="N105" s="4"/>
      <c r="O105" s="4"/>
      <c r="P105" s="3268"/>
      <c r="Q105" s="3265"/>
      <c r="R105" s="3265"/>
      <c r="S105" s="3266">
        <v>0</v>
      </c>
      <c r="T105" s="3265"/>
      <c r="U105" s="3267">
        <f t="shared" si="8"/>
        <v>150</v>
      </c>
      <c r="V105" s="3265"/>
      <c r="W105" s="3265"/>
      <c r="X105" s="4"/>
      <c r="Y105" s="3265"/>
      <c r="Z105" s="3265"/>
      <c r="AA105" s="3265"/>
      <c r="AB105" s="3265"/>
      <c r="AC105" s="3265"/>
      <c r="AD105" s="3265"/>
      <c r="AE105" s="3265"/>
      <c r="AF105" s="3265"/>
      <c r="AG105" s="3265"/>
      <c r="AH105" s="3265"/>
      <c r="AI105" s="57"/>
      <c r="AJ105" s="57"/>
      <c r="AK105" s="57"/>
      <c r="AL105" s="57"/>
      <c r="AM105" s="57"/>
    </row>
    <row r="106" spans="1:39" s="58" customFormat="1" ht="19.5" x14ac:dyDescent="0.2">
      <c r="A106" s="52">
        <v>158401</v>
      </c>
      <c r="B106" s="53"/>
      <c r="C106" s="42"/>
      <c r="D106" s="59" t="s">
        <v>629</v>
      </c>
      <c r="E106" s="69">
        <v>30</v>
      </c>
      <c r="F106" s="69">
        <v>30</v>
      </c>
      <c r="G106" s="69">
        <v>30</v>
      </c>
      <c r="H106" s="69">
        <v>30</v>
      </c>
      <c r="I106" s="70">
        <v>30</v>
      </c>
      <c r="J106" s="4"/>
      <c r="K106" s="4"/>
      <c r="L106" s="3265"/>
      <c r="M106" s="4"/>
      <c r="N106" s="4"/>
      <c r="O106" s="4"/>
      <c r="P106" s="3268"/>
      <c r="Q106" s="3265"/>
      <c r="R106" s="3265"/>
      <c r="S106" s="3266">
        <v>0</v>
      </c>
      <c r="T106" s="3265"/>
      <c r="U106" s="3267">
        <f t="shared" si="8"/>
        <v>150</v>
      </c>
      <c r="V106" s="3265"/>
      <c r="W106" s="3265"/>
      <c r="X106" s="4"/>
      <c r="Y106" s="3265"/>
      <c r="Z106" s="3265"/>
      <c r="AA106" s="3265"/>
      <c r="AB106" s="3265"/>
      <c r="AC106" s="3265"/>
      <c r="AD106" s="3265"/>
      <c r="AE106" s="3265"/>
      <c r="AF106" s="3265"/>
      <c r="AG106" s="3265"/>
      <c r="AH106" s="3265"/>
      <c r="AI106" s="57"/>
      <c r="AJ106" s="57"/>
      <c r="AK106" s="57"/>
      <c r="AL106" s="57"/>
      <c r="AM106" s="57"/>
    </row>
    <row r="107" spans="1:39" s="58" customFormat="1" ht="19.5" x14ac:dyDescent="0.2">
      <c r="A107" s="52">
        <v>158801</v>
      </c>
      <c r="B107" s="53"/>
      <c r="C107" s="42"/>
      <c r="D107" s="59" t="s">
        <v>630</v>
      </c>
      <c r="E107" s="69">
        <v>30</v>
      </c>
      <c r="F107" s="69">
        <v>30</v>
      </c>
      <c r="G107" s="69">
        <v>30</v>
      </c>
      <c r="H107" s="69">
        <v>30</v>
      </c>
      <c r="I107" s="70">
        <v>30</v>
      </c>
      <c r="J107" s="4"/>
      <c r="K107" s="4"/>
      <c r="L107" s="3265"/>
      <c r="M107" s="4"/>
      <c r="N107" s="4"/>
      <c r="O107" s="4"/>
      <c r="P107" s="3268"/>
      <c r="Q107" s="3265"/>
      <c r="R107" s="3265"/>
      <c r="S107" s="3266">
        <v>0</v>
      </c>
      <c r="T107" s="3265"/>
      <c r="U107" s="3267">
        <f t="shared" si="8"/>
        <v>150</v>
      </c>
      <c r="V107" s="3265"/>
      <c r="W107" s="3265"/>
      <c r="X107" s="4"/>
      <c r="Y107" s="3265"/>
      <c r="Z107" s="3265"/>
      <c r="AA107" s="3265"/>
      <c r="AB107" s="3265"/>
      <c r="AC107" s="3265"/>
      <c r="AD107" s="3265"/>
      <c r="AE107" s="3265"/>
      <c r="AF107" s="3265"/>
      <c r="AG107" s="3265"/>
      <c r="AH107" s="3265"/>
      <c r="AI107" s="57"/>
      <c r="AJ107" s="57"/>
      <c r="AK107" s="57"/>
      <c r="AL107" s="57"/>
      <c r="AM107" s="57"/>
    </row>
    <row r="108" spans="1:39" s="58" customFormat="1" ht="19.5" x14ac:dyDescent="0.2">
      <c r="A108" s="52">
        <v>120145</v>
      </c>
      <c r="B108" s="53"/>
      <c r="C108" s="42"/>
      <c r="D108" s="59" t="s">
        <v>453</v>
      </c>
      <c r="E108" s="69">
        <v>30</v>
      </c>
      <c r="F108" s="69">
        <v>30</v>
      </c>
      <c r="G108" s="69">
        <v>30</v>
      </c>
      <c r="H108" s="69">
        <v>30</v>
      </c>
      <c r="I108" s="70">
        <v>30</v>
      </c>
      <c r="J108" s="4"/>
      <c r="K108" s="4"/>
      <c r="L108" s="3265"/>
      <c r="M108" s="4"/>
      <c r="N108" s="4"/>
      <c r="O108" s="4"/>
      <c r="P108" s="3268"/>
      <c r="Q108" s="3265"/>
      <c r="R108" s="3265"/>
      <c r="S108" s="3266">
        <v>0</v>
      </c>
      <c r="T108" s="3265"/>
      <c r="U108" s="3267">
        <f t="shared" si="8"/>
        <v>150</v>
      </c>
      <c r="V108" s="3265"/>
      <c r="W108" s="3265"/>
      <c r="X108" s="4"/>
      <c r="Y108" s="3265"/>
      <c r="Z108" s="3265"/>
      <c r="AA108" s="3265"/>
      <c r="AB108" s="3265"/>
      <c r="AC108" s="3265"/>
      <c r="AD108" s="3265"/>
      <c r="AE108" s="3265"/>
      <c r="AF108" s="3265"/>
      <c r="AG108" s="3265"/>
      <c r="AH108" s="3265"/>
      <c r="AI108" s="57"/>
      <c r="AJ108" s="57"/>
      <c r="AK108" s="57"/>
      <c r="AL108" s="57"/>
      <c r="AM108" s="57"/>
    </row>
    <row r="109" spans="1:39" s="58" customFormat="1" ht="19.5" x14ac:dyDescent="0.2">
      <c r="A109" s="52">
        <v>120195</v>
      </c>
      <c r="B109" s="53"/>
      <c r="C109" s="42"/>
      <c r="D109" s="59" t="s">
        <v>631</v>
      </c>
      <c r="E109" s="69">
        <v>30</v>
      </c>
      <c r="F109" s="69">
        <v>30</v>
      </c>
      <c r="G109" s="69">
        <v>30</v>
      </c>
      <c r="H109" s="69">
        <v>30</v>
      </c>
      <c r="I109" s="70">
        <v>30</v>
      </c>
      <c r="J109" s="4"/>
      <c r="K109" s="4"/>
      <c r="L109" s="3265"/>
      <c r="M109" s="4"/>
      <c r="N109" s="4"/>
      <c r="O109" s="4"/>
      <c r="P109" s="3268"/>
      <c r="Q109" s="3265"/>
      <c r="R109" s="3265"/>
      <c r="S109" s="3266">
        <v>0</v>
      </c>
      <c r="T109" s="3265"/>
      <c r="U109" s="3267">
        <f t="shared" si="8"/>
        <v>150</v>
      </c>
      <c r="V109" s="3265"/>
      <c r="W109" s="3265"/>
      <c r="X109" s="4"/>
      <c r="Y109" s="3265"/>
      <c r="Z109" s="3265"/>
      <c r="AA109" s="3265"/>
      <c r="AB109" s="3265"/>
      <c r="AC109" s="3265"/>
      <c r="AD109" s="3265"/>
      <c r="AE109" s="3265"/>
      <c r="AF109" s="3265"/>
      <c r="AG109" s="3265"/>
      <c r="AH109" s="3265"/>
      <c r="AI109" s="57"/>
      <c r="AJ109" s="57"/>
      <c r="AK109" s="57"/>
      <c r="AL109" s="57"/>
      <c r="AM109" s="57"/>
    </row>
    <row r="110" spans="1:39" s="58" customFormat="1" ht="19.5" x14ac:dyDescent="0.2">
      <c r="A110" s="52">
        <v>159701</v>
      </c>
      <c r="B110" s="53"/>
      <c r="C110" s="42"/>
      <c r="D110" s="59" t="s">
        <v>632</v>
      </c>
      <c r="E110" s="69">
        <v>30</v>
      </c>
      <c r="F110" s="69">
        <v>30</v>
      </c>
      <c r="G110" s="69">
        <v>30</v>
      </c>
      <c r="H110" s="69">
        <v>30</v>
      </c>
      <c r="I110" s="70">
        <v>30</v>
      </c>
      <c r="J110" s="4"/>
      <c r="K110" s="4"/>
      <c r="L110" s="3265"/>
      <c r="M110" s="4"/>
      <c r="N110" s="4"/>
      <c r="O110" s="4"/>
      <c r="P110" s="3268"/>
      <c r="Q110" s="3265"/>
      <c r="R110" s="3265"/>
      <c r="S110" s="3266">
        <v>0</v>
      </c>
      <c r="T110" s="3265"/>
      <c r="U110" s="3267">
        <f t="shared" si="8"/>
        <v>150</v>
      </c>
      <c r="V110" s="3265"/>
      <c r="W110" s="3265"/>
      <c r="X110" s="4"/>
      <c r="Y110" s="3265"/>
      <c r="Z110" s="3265"/>
      <c r="AA110" s="3265"/>
      <c r="AB110" s="3265"/>
      <c r="AC110" s="3265"/>
      <c r="AD110" s="3265"/>
      <c r="AE110" s="3265"/>
      <c r="AF110" s="3265"/>
      <c r="AG110" s="3265"/>
      <c r="AH110" s="3265"/>
      <c r="AI110" s="57"/>
      <c r="AJ110" s="57"/>
      <c r="AK110" s="57"/>
      <c r="AL110" s="57"/>
      <c r="AM110" s="57"/>
    </row>
    <row r="111" spans="1:39" s="58" customFormat="1" ht="19.5" x14ac:dyDescent="0.2">
      <c r="A111" s="52">
        <v>159899</v>
      </c>
      <c r="B111" s="53"/>
      <c r="C111" s="42"/>
      <c r="D111" s="59" t="s">
        <v>560</v>
      </c>
      <c r="E111" s="69">
        <v>30</v>
      </c>
      <c r="F111" s="69">
        <v>30</v>
      </c>
      <c r="G111" s="69">
        <v>30</v>
      </c>
      <c r="H111" s="69">
        <v>30</v>
      </c>
      <c r="I111" s="70">
        <v>30</v>
      </c>
      <c r="J111" s="4"/>
      <c r="K111" s="4"/>
      <c r="L111" s="3265"/>
      <c r="M111" s="4"/>
      <c r="N111" s="4"/>
      <c r="O111" s="4"/>
      <c r="P111" s="3268"/>
      <c r="Q111" s="3265"/>
      <c r="R111" s="3265"/>
      <c r="S111" s="3266">
        <v>0</v>
      </c>
      <c r="T111" s="3265"/>
      <c r="U111" s="3267">
        <f t="shared" si="8"/>
        <v>150</v>
      </c>
      <c r="V111" s="3265"/>
      <c r="W111" s="3265"/>
      <c r="X111" s="4"/>
      <c r="Y111" s="3265"/>
      <c r="Z111" s="3265"/>
      <c r="AA111" s="3265"/>
      <c r="AB111" s="3265"/>
      <c r="AC111" s="3265"/>
      <c r="AD111" s="3265"/>
      <c r="AE111" s="3265"/>
      <c r="AF111" s="3265"/>
      <c r="AG111" s="3265"/>
      <c r="AH111" s="3265"/>
      <c r="AI111" s="57"/>
      <c r="AJ111" s="57"/>
      <c r="AK111" s="57"/>
      <c r="AL111" s="57"/>
      <c r="AM111" s="57"/>
    </row>
    <row r="112" spans="1:39" s="58" customFormat="1" ht="19.5" x14ac:dyDescent="0.2">
      <c r="A112" s="52">
        <v>159901</v>
      </c>
      <c r="B112" s="53"/>
      <c r="C112" s="42"/>
      <c r="D112" s="59" t="s">
        <v>603</v>
      </c>
      <c r="E112" s="69">
        <v>30</v>
      </c>
      <c r="F112" s="69">
        <v>30</v>
      </c>
      <c r="G112" s="69">
        <v>30</v>
      </c>
      <c r="H112" s="69">
        <v>30</v>
      </c>
      <c r="I112" s="70">
        <v>30</v>
      </c>
      <c r="J112" s="4"/>
      <c r="K112" s="4"/>
      <c r="L112" s="3265"/>
      <c r="M112" s="4"/>
      <c r="N112" s="4"/>
      <c r="O112" s="4"/>
      <c r="P112" s="3268"/>
      <c r="Q112" s="3265"/>
      <c r="R112" s="3265"/>
      <c r="S112" s="3266">
        <v>0</v>
      </c>
      <c r="T112" s="3265"/>
      <c r="U112" s="3267">
        <f t="shared" si="8"/>
        <v>150</v>
      </c>
      <c r="V112" s="3265"/>
      <c r="W112" s="3265"/>
      <c r="X112" s="4"/>
      <c r="Y112" s="3265"/>
      <c r="Z112" s="3265"/>
      <c r="AA112" s="3265"/>
      <c r="AB112" s="3265"/>
      <c r="AC112" s="3265"/>
      <c r="AD112" s="3265"/>
      <c r="AE112" s="3265"/>
      <c r="AF112" s="3265"/>
      <c r="AG112" s="3265"/>
      <c r="AH112" s="3265"/>
      <c r="AI112" s="57"/>
      <c r="AJ112" s="57"/>
      <c r="AK112" s="57"/>
      <c r="AL112" s="57"/>
      <c r="AM112" s="57"/>
    </row>
    <row r="113" spans="1:39" s="58" customFormat="1" ht="19.5" x14ac:dyDescent="0.2">
      <c r="A113" s="52">
        <v>1201</v>
      </c>
      <c r="B113" s="53"/>
      <c r="C113" s="60" t="s">
        <v>633</v>
      </c>
      <c r="D113" s="61"/>
      <c r="E113" s="62">
        <f>SUM(E93:E112)</f>
        <v>600</v>
      </c>
      <c r="F113" s="62">
        <f>SUM(F93:F112)</f>
        <v>600</v>
      </c>
      <c r="G113" s="62">
        <f>SUM(G93:G112)</f>
        <v>600</v>
      </c>
      <c r="H113" s="62">
        <f>SUM(H93:H112)</f>
        <v>600</v>
      </c>
      <c r="I113" s="63">
        <f>SUM(I93:I112)</f>
        <v>600</v>
      </c>
      <c r="J113" s="4"/>
      <c r="K113" s="4"/>
      <c r="L113" s="3265"/>
      <c r="M113" s="4"/>
      <c r="N113" s="4"/>
      <c r="O113" s="4"/>
      <c r="P113" s="3268"/>
      <c r="Q113" s="3265"/>
      <c r="R113" s="3265"/>
      <c r="S113" s="3266">
        <v>0</v>
      </c>
      <c r="T113" s="3265"/>
      <c r="U113" s="3267">
        <f t="shared" si="8"/>
        <v>3000</v>
      </c>
      <c r="V113" s="3265"/>
      <c r="W113" s="3265"/>
      <c r="X113" s="4"/>
      <c r="Y113" s="3265"/>
      <c r="Z113" s="3265"/>
      <c r="AA113" s="3265"/>
      <c r="AB113" s="3265"/>
      <c r="AC113" s="3265"/>
      <c r="AD113" s="3265"/>
      <c r="AE113" s="3265"/>
      <c r="AF113" s="3265"/>
      <c r="AG113" s="3265"/>
      <c r="AH113" s="3265"/>
      <c r="AI113" s="57"/>
      <c r="AJ113" s="57"/>
      <c r="AK113" s="57"/>
      <c r="AL113" s="57"/>
      <c r="AM113" s="57"/>
    </row>
    <row r="114" spans="1:39" s="58" customFormat="1" ht="19.5" x14ac:dyDescent="0.2">
      <c r="A114" s="52"/>
      <c r="B114" s="47"/>
      <c r="C114" s="48" t="s">
        <v>634</v>
      </c>
      <c r="D114" s="65"/>
      <c r="E114" s="66"/>
      <c r="F114" s="66"/>
      <c r="G114" s="66"/>
      <c r="H114" s="66"/>
      <c r="I114" s="67"/>
      <c r="J114" s="4"/>
      <c r="K114" s="4"/>
      <c r="L114" s="3265"/>
      <c r="M114" s="4"/>
      <c r="N114" s="4"/>
      <c r="O114" s="4"/>
      <c r="P114" s="3268"/>
      <c r="Q114" s="3265"/>
      <c r="R114" s="3265"/>
      <c r="S114" s="3266">
        <v>0</v>
      </c>
      <c r="T114" s="3265"/>
      <c r="U114" s="3267">
        <f>U135</f>
        <v>3000</v>
      </c>
      <c r="V114" s="3265"/>
      <c r="W114" s="3265"/>
      <c r="X114" s="4"/>
      <c r="Y114" s="3265"/>
      <c r="Z114" s="3265"/>
      <c r="AA114" s="3265"/>
      <c r="AB114" s="3265"/>
      <c r="AC114" s="3265"/>
      <c r="AD114" s="3265"/>
      <c r="AE114" s="3265"/>
      <c r="AF114" s="3265"/>
      <c r="AG114" s="3265"/>
      <c r="AH114" s="3265"/>
      <c r="AI114" s="57"/>
      <c r="AJ114" s="57"/>
      <c r="AK114" s="57"/>
      <c r="AL114" s="57"/>
      <c r="AM114" s="57"/>
    </row>
    <row r="115" spans="1:39" s="58" customFormat="1" ht="19.5" x14ac:dyDescent="0.2">
      <c r="A115" s="52">
        <v>130506</v>
      </c>
      <c r="B115" s="53"/>
      <c r="C115" s="42"/>
      <c r="D115" s="54" t="s">
        <v>567</v>
      </c>
      <c r="E115" s="55">
        <v>30</v>
      </c>
      <c r="F115" s="55">
        <v>30</v>
      </c>
      <c r="G115" s="55">
        <v>30</v>
      </c>
      <c r="H115" s="55">
        <v>30</v>
      </c>
      <c r="I115" s="56">
        <v>30</v>
      </c>
      <c r="J115" s="4"/>
      <c r="K115" s="4"/>
      <c r="L115" s="3265"/>
      <c r="M115" s="4"/>
      <c r="N115" s="4"/>
      <c r="O115" s="4"/>
      <c r="P115" s="3268"/>
      <c r="Q115" s="3265"/>
      <c r="R115" s="3265"/>
      <c r="S115" s="3266">
        <v>0</v>
      </c>
      <c r="T115" s="3265"/>
      <c r="U115" s="3267">
        <f t="shared" ref="U115:U135" si="9">SUM(E115:I115)</f>
        <v>150</v>
      </c>
      <c r="V115" s="3265"/>
      <c r="W115" s="3265"/>
      <c r="X115" s="4"/>
      <c r="Y115" s="3265"/>
      <c r="Z115" s="3265"/>
      <c r="AA115" s="3265"/>
      <c r="AB115" s="3265"/>
      <c r="AC115" s="3265"/>
      <c r="AD115" s="3265"/>
      <c r="AE115" s="3265"/>
      <c r="AF115" s="3265"/>
      <c r="AG115" s="3265"/>
      <c r="AH115" s="3265"/>
      <c r="AI115" s="57"/>
      <c r="AJ115" s="57"/>
      <c r="AK115" s="57"/>
      <c r="AL115" s="57"/>
      <c r="AM115" s="57"/>
    </row>
    <row r="116" spans="1:39" s="58" customFormat="1" ht="19.5" x14ac:dyDescent="0.2">
      <c r="A116" s="52">
        <v>130511</v>
      </c>
      <c r="B116" s="53"/>
      <c r="C116" s="42"/>
      <c r="D116" s="59" t="s">
        <v>569</v>
      </c>
      <c r="E116" s="69">
        <v>30</v>
      </c>
      <c r="F116" s="69">
        <v>30</v>
      </c>
      <c r="G116" s="69">
        <v>30</v>
      </c>
      <c r="H116" s="69">
        <v>30</v>
      </c>
      <c r="I116" s="70">
        <v>30</v>
      </c>
      <c r="J116" s="4"/>
      <c r="K116" s="4"/>
      <c r="L116" s="3265"/>
      <c r="M116" s="4"/>
      <c r="N116" s="4"/>
      <c r="O116" s="4"/>
      <c r="P116" s="3268"/>
      <c r="Q116" s="3265"/>
      <c r="R116" s="3265"/>
      <c r="S116" s="3266">
        <v>0</v>
      </c>
      <c r="T116" s="3265"/>
      <c r="U116" s="3267">
        <f t="shared" si="9"/>
        <v>150</v>
      </c>
      <c r="V116" s="3265"/>
      <c r="W116" s="3265"/>
      <c r="X116" s="4"/>
      <c r="Y116" s="3265"/>
      <c r="Z116" s="3265"/>
      <c r="AA116" s="3265"/>
      <c r="AB116" s="3265"/>
      <c r="AC116" s="3265"/>
      <c r="AD116" s="3265"/>
      <c r="AE116" s="3265"/>
      <c r="AF116" s="3265"/>
      <c r="AG116" s="3265"/>
      <c r="AH116" s="3265"/>
      <c r="AI116" s="57"/>
      <c r="AJ116" s="57"/>
      <c r="AK116" s="57"/>
      <c r="AL116" s="57"/>
      <c r="AM116" s="57"/>
    </row>
    <row r="117" spans="1:39" s="58" customFormat="1" ht="19.5" x14ac:dyDescent="0.2">
      <c r="A117" s="52">
        <v>131001</v>
      </c>
      <c r="B117" s="53"/>
      <c r="C117" s="42"/>
      <c r="D117" s="59" t="s">
        <v>571</v>
      </c>
      <c r="E117" s="69">
        <v>30</v>
      </c>
      <c r="F117" s="69">
        <v>30</v>
      </c>
      <c r="G117" s="69">
        <v>30</v>
      </c>
      <c r="H117" s="69">
        <v>30</v>
      </c>
      <c r="I117" s="70">
        <v>30</v>
      </c>
      <c r="J117" s="4"/>
      <c r="K117" s="4"/>
      <c r="L117" s="3265"/>
      <c r="M117" s="4"/>
      <c r="N117" s="4"/>
      <c r="O117" s="4"/>
      <c r="P117" s="3268"/>
      <c r="Q117" s="3265"/>
      <c r="R117" s="3265"/>
      <c r="S117" s="3266">
        <v>0</v>
      </c>
      <c r="T117" s="3265"/>
      <c r="U117" s="3267">
        <f t="shared" si="9"/>
        <v>150</v>
      </c>
      <c r="V117" s="3265"/>
      <c r="W117" s="3265"/>
      <c r="X117" s="4"/>
      <c r="Y117" s="3265"/>
      <c r="Z117" s="3265"/>
      <c r="AA117" s="3265"/>
      <c r="AB117" s="3265"/>
      <c r="AC117" s="3265"/>
      <c r="AD117" s="3265"/>
      <c r="AE117" s="3265"/>
      <c r="AF117" s="3265"/>
      <c r="AG117" s="3265"/>
      <c r="AH117" s="3265"/>
      <c r="AI117" s="57"/>
      <c r="AJ117" s="57"/>
      <c r="AK117" s="57"/>
      <c r="AL117" s="57"/>
      <c r="AM117" s="57"/>
    </row>
    <row r="118" spans="1:39" s="58" customFormat="1" ht="19.5" x14ac:dyDescent="0.2">
      <c r="A118" s="52">
        <v>131501</v>
      </c>
      <c r="B118" s="53"/>
      <c r="C118" s="42"/>
      <c r="D118" s="59" t="s">
        <v>635</v>
      </c>
      <c r="E118" s="69">
        <v>30</v>
      </c>
      <c r="F118" s="69">
        <v>30</v>
      </c>
      <c r="G118" s="69">
        <v>30</v>
      </c>
      <c r="H118" s="69">
        <v>30</v>
      </c>
      <c r="I118" s="70">
        <v>30</v>
      </c>
      <c r="J118" s="4"/>
      <c r="K118" s="4"/>
      <c r="L118" s="3265"/>
      <c r="M118" s="4"/>
      <c r="N118" s="4"/>
      <c r="O118" s="4"/>
      <c r="P118" s="3268"/>
      <c r="Q118" s="3265"/>
      <c r="R118" s="3265"/>
      <c r="S118" s="3266">
        <v>0</v>
      </c>
      <c r="T118" s="3265"/>
      <c r="U118" s="3267">
        <f t="shared" si="9"/>
        <v>150</v>
      </c>
      <c r="V118" s="3265"/>
      <c r="W118" s="3265"/>
      <c r="X118" s="4"/>
      <c r="Y118" s="4"/>
      <c r="Z118" s="3265"/>
      <c r="AA118" s="3265"/>
      <c r="AB118" s="3265"/>
      <c r="AC118" s="3265"/>
      <c r="AD118" s="3265"/>
      <c r="AE118" s="3265"/>
      <c r="AF118" s="3265"/>
      <c r="AG118" s="3265"/>
      <c r="AH118" s="3265"/>
      <c r="AI118" s="57"/>
      <c r="AJ118" s="57"/>
      <c r="AK118" s="57"/>
      <c r="AL118" s="57"/>
      <c r="AM118" s="57"/>
    </row>
    <row r="119" spans="1:39" s="58" customFormat="1" ht="19.5" x14ac:dyDescent="0.2">
      <c r="A119" s="52">
        <v>132001</v>
      </c>
      <c r="B119" s="53"/>
      <c r="C119" s="42"/>
      <c r="D119" s="59" t="s">
        <v>577</v>
      </c>
      <c r="E119" s="69">
        <v>30</v>
      </c>
      <c r="F119" s="69">
        <v>30</v>
      </c>
      <c r="G119" s="69">
        <v>30</v>
      </c>
      <c r="H119" s="69">
        <v>30</v>
      </c>
      <c r="I119" s="70">
        <v>30</v>
      </c>
      <c r="J119" s="4"/>
      <c r="K119" s="4"/>
      <c r="L119" s="3265"/>
      <c r="M119" s="4"/>
      <c r="N119" s="4"/>
      <c r="O119" s="4"/>
      <c r="P119" s="3268"/>
      <c r="Q119" s="3265"/>
      <c r="R119" s="3265"/>
      <c r="S119" s="3266">
        <v>0</v>
      </c>
      <c r="T119" s="3265"/>
      <c r="U119" s="3267">
        <f t="shared" si="9"/>
        <v>150</v>
      </c>
      <c r="V119" s="3265"/>
      <c r="W119" s="3265"/>
      <c r="X119" s="4"/>
      <c r="Y119" s="4"/>
      <c r="Z119" s="3265"/>
      <c r="AA119" s="3265"/>
      <c r="AB119" s="3265"/>
      <c r="AC119" s="3265"/>
      <c r="AD119" s="3265"/>
      <c r="AE119" s="3265"/>
      <c r="AF119" s="3265"/>
      <c r="AG119" s="3265"/>
      <c r="AH119" s="3265"/>
      <c r="AI119" s="57"/>
      <c r="AJ119" s="57"/>
      <c r="AK119" s="57"/>
      <c r="AL119" s="57"/>
      <c r="AM119" s="57"/>
    </row>
    <row r="120" spans="1:39" s="58" customFormat="1" ht="19.5" x14ac:dyDescent="0.2">
      <c r="A120" s="52">
        <v>132501</v>
      </c>
      <c r="B120" s="53"/>
      <c r="C120" s="42"/>
      <c r="D120" s="59" t="s">
        <v>578</v>
      </c>
      <c r="E120" s="69">
        <v>30</v>
      </c>
      <c r="F120" s="69">
        <v>30</v>
      </c>
      <c r="G120" s="69">
        <v>30</v>
      </c>
      <c r="H120" s="69">
        <v>30</v>
      </c>
      <c r="I120" s="70">
        <v>30</v>
      </c>
      <c r="J120" s="4"/>
      <c r="K120" s="4"/>
      <c r="L120" s="3265"/>
      <c r="M120" s="4"/>
      <c r="N120" s="4"/>
      <c r="O120" s="4"/>
      <c r="P120" s="3268"/>
      <c r="Q120" s="3265"/>
      <c r="R120" s="3265"/>
      <c r="S120" s="3266">
        <v>0</v>
      </c>
      <c r="T120" s="3265"/>
      <c r="U120" s="3267">
        <f t="shared" si="9"/>
        <v>150</v>
      </c>
      <c r="V120" s="3265"/>
      <c r="W120" s="3265"/>
      <c r="X120" s="4"/>
      <c r="Y120" s="4"/>
      <c r="Z120" s="3265"/>
      <c r="AA120" s="3265"/>
      <c r="AB120" s="3265"/>
      <c r="AC120" s="3265"/>
      <c r="AD120" s="3265"/>
      <c r="AE120" s="3265"/>
      <c r="AF120" s="3265"/>
      <c r="AG120" s="3265"/>
      <c r="AH120" s="3265"/>
      <c r="AI120" s="57"/>
      <c r="AJ120" s="57"/>
      <c r="AK120" s="57"/>
      <c r="AL120" s="57"/>
      <c r="AM120" s="57"/>
    </row>
    <row r="121" spans="1:39" s="58" customFormat="1" ht="19.5" x14ac:dyDescent="0.2">
      <c r="A121" s="52">
        <v>133001</v>
      </c>
      <c r="B121" s="53"/>
      <c r="C121" s="42"/>
      <c r="D121" s="59" t="s">
        <v>579</v>
      </c>
      <c r="E121" s="69">
        <v>30</v>
      </c>
      <c r="F121" s="69">
        <v>30</v>
      </c>
      <c r="G121" s="69">
        <v>30</v>
      </c>
      <c r="H121" s="69">
        <v>30</v>
      </c>
      <c r="I121" s="70">
        <v>30</v>
      </c>
      <c r="J121" s="4"/>
      <c r="K121" s="4"/>
      <c r="L121" s="3265"/>
      <c r="M121" s="4"/>
      <c r="N121" s="4"/>
      <c r="O121" s="4"/>
      <c r="P121" s="3268"/>
      <c r="Q121" s="3265"/>
      <c r="R121" s="3265"/>
      <c r="S121" s="3266">
        <v>0</v>
      </c>
      <c r="T121" s="3265"/>
      <c r="U121" s="3267">
        <f t="shared" si="9"/>
        <v>150</v>
      </c>
      <c r="V121" s="3265"/>
      <c r="W121" s="3265"/>
      <c r="X121" s="3265"/>
      <c r="Y121" s="4"/>
      <c r="Z121" s="3265"/>
      <c r="AA121" s="3265"/>
      <c r="AB121" s="3265"/>
      <c r="AC121" s="3265"/>
      <c r="AD121" s="3265"/>
      <c r="AE121" s="3265"/>
      <c r="AF121" s="3265"/>
      <c r="AG121" s="3265"/>
      <c r="AH121" s="3265"/>
      <c r="AI121" s="57"/>
      <c r="AJ121" s="57"/>
      <c r="AK121" s="57"/>
      <c r="AL121" s="57"/>
      <c r="AM121" s="57"/>
    </row>
    <row r="122" spans="1:39" s="58" customFormat="1" ht="19.5" x14ac:dyDescent="0.2">
      <c r="A122" s="52">
        <v>133501</v>
      </c>
      <c r="B122" s="53"/>
      <c r="C122" s="42"/>
      <c r="D122" s="59" t="s">
        <v>580</v>
      </c>
      <c r="E122" s="69">
        <v>30</v>
      </c>
      <c r="F122" s="69">
        <v>30</v>
      </c>
      <c r="G122" s="69">
        <v>30</v>
      </c>
      <c r="H122" s="69">
        <v>30</v>
      </c>
      <c r="I122" s="70">
        <v>30</v>
      </c>
      <c r="J122" s="4"/>
      <c r="K122" s="4"/>
      <c r="L122" s="3265"/>
      <c r="M122" s="4"/>
      <c r="N122" s="4"/>
      <c r="O122" s="4"/>
      <c r="P122" s="3268"/>
      <c r="Q122" s="3265"/>
      <c r="R122" s="3265"/>
      <c r="S122" s="3266">
        <v>0</v>
      </c>
      <c r="T122" s="3265"/>
      <c r="U122" s="3267">
        <f t="shared" si="9"/>
        <v>150</v>
      </c>
      <c r="V122" s="3265"/>
      <c r="W122" s="3265"/>
      <c r="X122" s="3265"/>
      <c r="Y122" s="4"/>
      <c r="Z122" s="3265"/>
      <c r="AA122" s="3265"/>
      <c r="AB122" s="3265"/>
      <c r="AC122" s="3265"/>
      <c r="AD122" s="3265"/>
      <c r="AE122" s="3265"/>
      <c r="AF122" s="3265"/>
      <c r="AG122" s="3265"/>
      <c r="AH122" s="3265"/>
      <c r="AI122" s="57"/>
      <c r="AJ122" s="57"/>
      <c r="AK122" s="57"/>
      <c r="AL122" s="57"/>
      <c r="AM122" s="57"/>
    </row>
    <row r="123" spans="1:39" s="58" customFormat="1" ht="19.5" x14ac:dyDescent="0.2">
      <c r="A123" s="52">
        <v>134001</v>
      </c>
      <c r="B123" s="53"/>
      <c r="C123" s="42"/>
      <c r="D123" s="59" t="s">
        <v>581</v>
      </c>
      <c r="E123" s="69">
        <v>30</v>
      </c>
      <c r="F123" s="69">
        <v>30</v>
      </c>
      <c r="G123" s="69">
        <v>30</v>
      </c>
      <c r="H123" s="69">
        <v>30</v>
      </c>
      <c r="I123" s="70">
        <v>30</v>
      </c>
      <c r="J123" s="4"/>
      <c r="K123" s="4"/>
      <c r="L123" s="3265"/>
      <c r="M123" s="4"/>
      <c r="N123" s="4"/>
      <c r="O123" s="4"/>
      <c r="P123" s="3268"/>
      <c r="Q123" s="3265"/>
      <c r="R123" s="3265"/>
      <c r="S123" s="3266">
        <v>0</v>
      </c>
      <c r="T123" s="3265"/>
      <c r="U123" s="3267">
        <f t="shared" si="9"/>
        <v>150</v>
      </c>
      <c r="V123" s="3265"/>
      <c r="W123" s="3265"/>
      <c r="X123" s="3265"/>
      <c r="Y123" s="4"/>
      <c r="Z123" s="3265"/>
      <c r="AA123" s="3265"/>
      <c r="AB123" s="3265"/>
      <c r="AC123" s="3265"/>
      <c r="AD123" s="3265"/>
      <c r="AE123" s="3265"/>
      <c r="AF123" s="3265"/>
      <c r="AG123" s="3265"/>
      <c r="AH123" s="3265"/>
      <c r="AI123" s="57"/>
      <c r="AJ123" s="57"/>
      <c r="AK123" s="57"/>
      <c r="AL123" s="57"/>
      <c r="AM123" s="57"/>
    </row>
    <row r="124" spans="1:39" s="58" customFormat="1" ht="19.5" x14ac:dyDescent="0.2">
      <c r="A124" s="52">
        <v>134501</v>
      </c>
      <c r="B124" s="53"/>
      <c r="C124" s="42"/>
      <c r="D124" s="59" t="s">
        <v>582</v>
      </c>
      <c r="E124" s="69">
        <v>30</v>
      </c>
      <c r="F124" s="69">
        <v>30</v>
      </c>
      <c r="G124" s="69">
        <v>30</v>
      </c>
      <c r="H124" s="69">
        <v>30</v>
      </c>
      <c r="I124" s="70">
        <v>30</v>
      </c>
      <c r="J124" s="4"/>
      <c r="K124" s="4"/>
      <c r="L124" s="3265"/>
      <c r="M124" s="4"/>
      <c r="N124" s="4"/>
      <c r="O124" s="4"/>
      <c r="P124" s="3268"/>
      <c r="Q124" s="3265"/>
      <c r="R124" s="3265"/>
      <c r="S124" s="3266">
        <v>0</v>
      </c>
      <c r="T124" s="3265"/>
      <c r="U124" s="3267">
        <f t="shared" si="9"/>
        <v>150</v>
      </c>
      <c r="V124" s="3265"/>
      <c r="W124" s="3265"/>
      <c r="X124" s="3265"/>
      <c r="Y124" s="4"/>
      <c r="Z124" s="3265"/>
      <c r="AA124" s="3265"/>
      <c r="AB124" s="3265"/>
      <c r="AC124" s="3265"/>
      <c r="AD124" s="3265"/>
      <c r="AE124" s="3265"/>
      <c r="AF124" s="3265"/>
      <c r="AG124" s="3265"/>
      <c r="AH124" s="3265"/>
      <c r="AI124" s="57"/>
      <c r="AJ124" s="57"/>
      <c r="AK124" s="57"/>
      <c r="AL124" s="57"/>
      <c r="AM124" s="57"/>
    </row>
    <row r="125" spans="1:39" s="58" customFormat="1" ht="19.5" x14ac:dyDescent="0.2">
      <c r="A125" s="52">
        <v>135001</v>
      </c>
      <c r="B125" s="53"/>
      <c r="C125" s="42"/>
      <c r="D125" s="59" t="s">
        <v>583</v>
      </c>
      <c r="E125" s="69">
        <v>30</v>
      </c>
      <c r="F125" s="69">
        <v>30</v>
      </c>
      <c r="G125" s="69">
        <v>30</v>
      </c>
      <c r="H125" s="69">
        <v>30</v>
      </c>
      <c r="I125" s="70">
        <v>30</v>
      </c>
      <c r="J125" s="4"/>
      <c r="K125" s="4"/>
      <c r="L125" s="3265"/>
      <c r="M125" s="4"/>
      <c r="N125" s="4"/>
      <c r="O125" s="4"/>
      <c r="P125" s="3268"/>
      <c r="Q125" s="3265"/>
      <c r="R125" s="3265"/>
      <c r="S125" s="3266">
        <v>0</v>
      </c>
      <c r="T125" s="3265"/>
      <c r="U125" s="3267">
        <f t="shared" si="9"/>
        <v>150</v>
      </c>
      <c r="V125" s="3265"/>
      <c r="W125" s="3265"/>
      <c r="X125" s="3265"/>
      <c r="Y125" s="4"/>
      <c r="Z125" s="3265"/>
      <c r="AA125" s="3265"/>
      <c r="AB125" s="3265"/>
      <c r="AC125" s="3265"/>
      <c r="AD125" s="3265"/>
      <c r="AE125" s="3265"/>
      <c r="AF125" s="3265"/>
      <c r="AG125" s="3265"/>
      <c r="AH125" s="3265"/>
      <c r="AI125" s="57"/>
      <c r="AJ125" s="57"/>
      <c r="AK125" s="57"/>
      <c r="AL125" s="57"/>
      <c r="AM125" s="57"/>
    </row>
    <row r="126" spans="1:39" s="58" customFormat="1" ht="19.5" x14ac:dyDescent="0.2">
      <c r="A126" s="52">
        <v>135501</v>
      </c>
      <c r="B126" s="53"/>
      <c r="C126" s="42"/>
      <c r="D126" s="59" t="s">
        <v>584</v>
      </c>
      <c r="E126" s="69">
        <v>30</v>
      </c>
      <c r="F126" s="69">
        <v>30</v>
      </c>
      <c r="G126" s="69">
        <v>30</v>
      </c>
      <c r="H126" s="69">
        <v>30</v>
      </c>
      <c r="I126" s="70">
        <v>30</v>
      </c>
      <c r="J126" s="4"/>
      <c r="K126" s="4"/>
      <c r="L126" s="3265"/>
      <c r="M126" s="4"/>
      <c r="N126" s="4"/>
      <c r="O126" s="4"/>
      <c r="P126" s="3268"/>
      <c r="Q126" s="3265"/>
      <c r="R126" s="3265"/>
      <c r="S126" s="3266">
        <v>0</v>
      </c>
      <c r="T126" s="3265"/>
      <c r="U126" s="3267">
        <f t="shared" si="9"/>
        <v>150</v>
      </c>
      <c r="V126" s="3265"/>
      <c r="W126" s="3265"/>
      <c r="X126" s="3265"/>
      <c r="Y126" s="4"/>
      <c r="Z126" s="3265"/>
      <c r="AA126" s="3265"/>
      <c r="AB126" s="3265"/>
      <c r="AC126" s="3265"/>
      <c r="AD126" s="3265"/>
      <c r="AE126" s="3265"/>
      <c r="AF126" s="3265"/>
      <c r="AG126" s="3265"/>
      <c r="AH126" s="3265"/>
      <c r="AI126" s="57"/>
      <c r="AJ126" s="57"/>
      <c r="AK126" s="57"/>
      <c r="AL126" s="57"/>
      <c r="AM126" s="57"/>
    </row>
    <row r="127" spans="1:39" s="58" customFormat="1" ht="19.5" x14ac:dyDescent="0.2">
      <c r="A127" s="52">
        <v>136001</v>
      </c>
      <c r="B127" s="53"/>
      <c r="C127" s="42"/>
      <c r="D127" s="59" t="s">
        <v>585</v>
      </c>
      <c r="E127" s="69">
        <v>30</v>
      </c>
      <c r="F127" s="69">
        <v>30</v>
      </c>
      <c r="G127" s="69">
        <v>30</v>
      </c>
      <c r="H127" s="69">
        <v>30</v>
      </c>
      <c r="I127" s="70">
        <v>30</v>
      </c>
      <c r="J127" s="4"/>
      <c r="K127" s="4"/>
      <c r="L127" s="3265"/>
      <c r="M127" s="4"/>
      <c r="N127" s="4"/>
      <c r="O127" s="4"/>
      <c r="P127" s="3268"/>
      <c r="Q127" s="3265"/>
      <c r="R127" s="3265"/>
      <c r="S127" s="3266">
        <v>0</v>
      </c>
      <c r="T127" s="3265"/>
      <c r="U127" s="3267">
        <f t="shared" si="9"/>
        <v>150</v>
      </c>
      <c r="V127" s="3265"/>
      <c r="W127" s="3265"/>
      <c r="X127" s="3265"/>
      <c r="Y127" s="4"/>
      <c r="Z127" s="3265"/>
      <c r="AA127" s="3265"/>
      <c r="AB127" s="3265"/>
      <c r="AC127" s="3265"/>
      <c r="AD127" s="3265"/>
      <c r="AE127" s="3265"/>
      <c r="AF127" s="3265"/>
      <c r="AG127" s="3265"/>
      <c r="AH127" s="3265"/>
      <c r="AI127" s="57"/>
      <c r="AJ127" s="57"/>
      <c r="AK127" s="57"/>
      <c r="AL127" s="57"/>
      <c r="AM127" s="57"/>
    </row>
    <row r="128" spans="1:39" s="58" customFormat="1" ht="19.5" x14ac:dyDescent="0.2">
      <c r="A128" s="52">
        <v>136501</v>
      </c>
      <c r="B128" s="53"/>
      <c r="C128" s="42"/>
      <c r="D128" s="59" t="s">
        <v>586</v>
      </c>
      <c r="E128" s="69">
        <v>30</v>
      </c>
      <c r="F128" s="69">
        <v>30</v>
      </c>
      <c r="G128" s="69">
        <v>30</v>
      </c>
      <c r="H128" s="69">
        <v>30</v>
      </c>
      <c r="I128" s="70">
        <v>30</v>
      </c>
      <c r="J128" s="4"/>
      <c r="K128" s="4"/>
      <c r="L128" s="3265"/>
      <c r="M128" s="4"/>
      <c r="N128" s="4"/>
      <c r="O128" s="4"/>
      <c r="P128" s="3268"/>
      <c r="Q128" s="3265"/>
      <c r="R128" s="3265"/>
      <c r="S128" s="3266">
        <v>0</v>
      </c>
      <c r="T128" s="3265"/>
      <c r="U128" s="3267">
        <f t="shared" si="9"/>
        <v>150</v>
      </c>
      <c r="V128" s="3265"/>
      <c r="W128" s="3265"/>
      <c r="X128" s="3265"/>
      <c r="Y128" s="4"/>
      <c r="Z128" s="3265"/>
      <c r="AA128" s="3265"/>
      <c r="AB128" s="3265"/>
      <c r="AC128" s="3265"/>
      <c r="AD128" s="3265"/>
      <c r="AE128" s="3265"/>
      <c r="AF128" s="3265"/>
      <c r="AG128" s="3265"/>
      <c r="AH128" s="3265"/>
      <c r="AI128" s="57"/>
      <c r="AJ128" s="57"/>
      <c r="AK128" s="57"/>
      <c r="AL128" s="57"/>
      <c r="AM128" s="57"/>
    </row>
    <row r="129" spans="1:39" s="58" customFormat="1" ht="19.5" x14ac:dyDescent="0.2">
      <c r="A129" s="52">
        <v>137001</v>
      </c>
      <c r="B129" s="53"/>
      <c r="C129" s="42"/>
      <c r="D129" s="59" t="s">
        <v>636</v>
      </c>
      <c r="E129" s="69">
        <v>30</v>
      </c>
      <c r="F129" s="69">
        <v>30</v>
      </c>
      <c r="G129" s="69">
        <v>30</v>
      </c>
      <c r="H129" s="69">
        <v>30</v>
      </c>
      <c r="I129" s="70">
        <v>30</v>
      </c>
      <c r="J129" s="4"/>
      <c r="K129" s="4"/>
      <c r="L129" s="3265"/>
      <c r="M129" s="4"/>
      <c r="N129" s="4"/>
      <c r="O129" s="4"/>
      <c r="P129" s="3268"/>
      <c r="Q129" s="3265"/>
      <c r="R129" s="3265"/>
      <c r="S129" s="3266">
        <v>0</v>
      </c>
      <c r="T129" s="3265"/>
      <c r="U129" s="3267">
        <f t="shared" si="9"/>
        <v>150</v>
      </c>
      <c r="V129" s="3265"/>
      <c r="W129" s="3265"/>
      <c r="X129" s="3265"/>
      <c r="Y129" s="4"/>
      <c r="Z129" s="3265"/>
      <c r="AA129" s="3265"/>
      <c r="AB129" s="3265"/>
      <c r="AC129" s="3265"/>
      <c r="AD129" s="3265"/>
      <c r="AE129" s="3265"/>
      <c r="AF129" s="3265"/>
      <c r="AG129" s="3265"/>
      <c r="AH129" s="3265"/>
      <c r="AI129" s="57"/>
      <c r="AJ129" s="57"/>
      <c r="AK129" s="57"/>
      <c r="AL129" s="57"/>
      <c r="AM129" s="57"/>
    </row>
    <row r="130" spans="1:39" s="58" customFormat="1" ht="19.5" x14ac:dyDescent="0.2">
      <c r="A130" s="52">
        <v>138001</v>
      </c>
      <c r="B130" s="53"/>
      <c r="C130" s="42"/>
      <c r="D130" s="59" t="s">
        <v>637</v>
      </c>
      <c r="E130" s="69">
        <v>30</v>
      </c>
      <c r="F130" s="69">
        <v>30</v>
      </c>
      <c r="G130" s="69">
        <v>30</v>
      </c>
      <c r="H130" s="69">
        <v>30</v>
      </c>
      <c r="I130" s="70">
        <v>30</v>
      </c>
      <c r="J130" s="4"/>
      <c r="K130" s="4"/>
      <c r="L130" s="3265"/>
      <c r="M130" s="4"/>
      <c r="N130" s="4"/>
      <c r="O130" s="4"/>
      <c r="P130" s="3268"/>
      <c r="Q130" s="3265"/>
      <c r="R130" s="3265"/>
      <c r="S130" s="3266">
        <v>0</v>
      </c>
      <c r="T130" s="3265"/>
      <c r="U130" s="3267">
        <f t="shared" si="9"/>
        <v>150</v>
      </c>
      <c r="V130" s="3265"/>
      <c r="W130" s="3265"/>
      <c r="X130" s="3265"/>
      <c r="Y130" s="4"/>
      <c r="Z130" s="3265"/>
      <c r="AA130" s="3265"/>
      <c r="AB130" s="3265"/>
      <c r="AC130" s="3265"/>
      <c r="AD130" s="3265"/>
      <c r="AE130" s="3265"/>
      <c r="AF130" s="3265"/>
      <c r="AG130" s="3265"/>
      <c r="AH130" s="3265"/>
      <c r="AI130" s="57"/>
      <c r="AJ130" s="57"/>
      <c r="AK130" s="57"/>
      <c r="AL130" s="57"/>
      <c r="AM130" s="57"/>
    </row>
    <row r="131" spans="1:39" s="58" customFormat="1" ht="19.5" x14ac:dyDescent="0.2">
      <c r="A131" s="52">
        <v>138501</v>
      </c>
      <c r="B131" s="53"/>
      <c r="C131" s="42"/>
      <c r="D131" s="59" t="s">
        <v>638</v>
      </c>
      <c r="E131" s="69">
        <v>30</v>
      </c>
      <c r="F131" s="69">
        <v>30</v>
      </c>
      <c r="G131" s="69">
        <v>30</v>
      </c>
      <c r="H131" s="69">
        <v>30</v>
      </c>
      <c r="I131" s="70">
        <v>30</v>
      </c>
      <c r="J131" s="4"/>
      <c r="K131" s="4"/>
      <c r="L131" s="3265"/>
      <c r="M131" s="4"/>
      <c r="N131" s="4"/>
      <c r="O131" s="4"/>
      <c r="P131" s="3268"/>
      <c r="Q131" s="3265"/>
      <c r="R131" s="3265"/>
      <c r="S131" s="3266">
        <v>0</v>
      </c>
      <c r="T131" s="3265"/>
      <c r="U131" s="3267">
        <f t="shared" si="9"/>
        <v>150</v>
      </c>
      <c r="V131" s="3265"/>
      <c r="W131" s="3265"/>
      <c r="X131" s="3265"/>
      <c r="Y131" s="4"/>
      <c r="Z131" s="3265"/>
      <c r="AA131" s="3265"/>
      <c r="AB131" s="3265"/>
      <c r="AC131" s="3265"/>
      <c r="AD131" s="3265"/>
      <c r="AE131" s="3265"/>
      <c r="AF131" s="3265"/>
      <c r="AG131" s="3265"/>
      <c r="AH131" s="3265"/>
      <c r="AI131" s="57"/>
      <c r="AJ131" s="57"/>
      <c r="AK131" s="57"/>
      <c r="AL131" s="57"/>
      <c r="AM131" s="57"/>
    </row>
    <row r="132" spans="1:39" s="58" customFormat="1" ht="19.5" x14ac:dyDescent="0.2">
      <c r="A132" s="52">
        <v>139001</v>
      </c>
      <c r="B132" s="53"/>
      <c r="C132" s="42"/>
      <c r="D132" s="59" t="s">
        <v>588</v>
      </c>
      <c r="E132" s="69">
        <v>30</v>
      </c>
      <c r="F132" s="69">
        <v>30</v>
      </c>
      <c r="G132" s="69">
        <v>30</v>
      </c>
      <c r="H132" s="69">
        <v>30</v>
      </c>
      <c r="I132" s="70">
        <v>30</v>
      </c>
      <c r="J132" s="4"/>
      <c r="K132" s="4"/>
      <c r="L132" s="3265"/>
      <c r="M132" s="4"/>
      <c r="N132" s="4"/>
      <c r="O132" s="4"/>
      <c r="P132" s="3268"/>
      <c r="Q132" s="3265"/>
      <c r="R132" s="3265"/>
      <c r="S132" s="3266">
        <v>0</v>
      </c>
      <c r="T132" s="3265"/>
      <c r="U132" s="3267">
        <f t="shared" si="9"/>
        <v>150</v>
      </c>
      <c r="V132" s="3265"/>
      <c r="W132" s="3265"/>
      <c r="X132" s="3265"/>
      <c r="Y132" s="4"/>
      <c r="Z132" s="3265"/>
      <c r="AA132" s="3265"/>
      <c r="AB132" s="3265"/>
      <c r="AC132" s="3265"/>
      <c r="AD132" s="3265"/>
      <c r="AE132" s="3265"/>
      <c r="AF132" s="3265"/>
      <c r="AG132" s="3265"/>
      <c r="AH132" s="3265"/>
      <c r="AI132" s="57"/>
      <c r="AJ132" s="57"/>
      <c r="AK132" s="57"/>
      <c r="AL132" s="57"/>
      <c r="AM132" s="57"/>
    </row>
    <row r="133" spans="1:39" s="58" customFormat="1" ht="18.95" hidden="1" customHeight="1" x14ac:dyDescent="0.2">
      <c r="A133" s="52"/>
      <c r="B133" s="53"/>
      <c r="C133" s="42"/>
      <c r="D133" s="59"/>
      <c r="E133" s="69">
        <v>30</v>
      </c>
      <c r="F133" s="69">
        <v>30</v>
      </c>
      <c r="G133" s="69">
        <v>30</v>
      </c>
      <c r="H133" s="69">
        <v>30</v>
      </c>
      <c r="I133" s="70">
        <v>30</v>
      </c>
      <c r="J133" s="4"/>
      <c r="K133" s="4"/>
      <c r="L133" s="3265"/>
      <c r="M133" s="4"/>
      <c r="N133" s="4"/>
      <c r="O133" s="4"/>
      <c r="P133" s="3268"/>
      <c r="Q133" s="3265"/>
      <c r="R133" s="3265"/>
      <c r="S133" s="3266">
        <v>1</v>
      </c>
      <c r="T133" s="3265"/>
      <c r="U133" s="3267">
        <f t="shared" si="9"/>
        <v>150</v>
      </c>
      <c r="V133" s="3265"/>
      <c r="W133" s="3265"/>
      <c r="X133" s="3265"/>
      <c r="Y133" s="4"/>
      <c r="Z133" s="3265"/>
      <c r="AA133" s="3265"/>
      <c r="AB133" s="3265"/>
      <c r="AC133" s="3265"/>
      <c r="AD133" s="3265"/>
      <c r="AE133" s="3265"/>
      <c r="AF133" s="3265"/>
      <c r="AG133" s="3265"/>
      <c r="AH133" s="3265"/>
      <c r="AI133" s="57"/>
      <c r="AJ133" s="57"/>
      <c r="AK133" s="57"/>
      <c r="AL133" s="57"/>
      <c r="AM133" s="57"/>
    </row>
    <row r="134" spans="1:39" s="58" customFormat="1" ht="19.5" x14ac:dyDescent="0.2">
      <c r="A134" s="52">
        <v>139901</v>
      </c>
      <c r="B134" s="53"/>
      <c r="C134" s="42"/>
      <c r="D134" s="59" t="s">
        <v>603</v>
      </c>
      <c r="E134" s="69">
        <v>30</v>
      </c>
      <c r="F134" s="69">
        <v>30</v>
      </c>
      <c r="G134" s="69">
        <v>30</v>
      </c>
      <c r="H134" s="69">
        <v>30</v>
      </c>
      <c r="I134" s="70">
        <v>30</v>
      </c>
      <c r="J134" s="4"/>
      <c r="K134" s="4"/>
      <c r="L134" s="3265"/>
      <c r="M134" s="4"/>
      <c r="N134" s="4"/>
      <c r="O134" s="4"/>
      <c r="P134" s="3268"/>
      <c r="Q134" s="3265"/>
      <c r="R134" s="3265"/>
      <c r="S134" s="3266">
        <v>0</v>
      </c>
      <c r="T134" s="3265"/>
      <c r="U134" s="3267">
        <f t="shared" si="9"/>
        <v>150</v>
      </c>
      <c r="V134" s="3265"/>
      <c r="W134" s="3265"/>
      <c r="X134" s="3265"/>
      <c r="Y134" s="4"/>
      <c r="Z134" s="3265"/>
      <c r="AA134" s="3265"/>
      <c r="AB134" s="3265"/>
      <c r="AC134" s="3265"/>
      <c r="AD134" s="3265"/>
      <c r="AE134" s="3265"/>
      <c r="AF134" s="3265"/>
      <c r="AG134" s="3265"/>
      <c r="AH134" s="3265"/>
      <c r="AI134" s="57"/>
      <c r="AJ134" s="57"/>
      <c r="AK134" s="57"/>
      <c r="AL134" s="57"/>
      <c r="AM134" s="57"/>
    </row>
    <row r="135" spans="1:39" s="58" customFormat="1" ht="19.5" x14ac:dyDescent="0.2">
      <c r="A135" s="52">
        <v>1205</v>
      </c>
      <c r="B135" s="53"/>
      <c r="C135" s="60" t="s">
        <v>639</v>
      </c>
      <c r="D135" s="61"/>
      <c r="E135" s="62">
        <f>SUM(E115:E134)</f>
        <v>600</v>
      </c>
      <c r="F135" s="62">
        <f>SUM(F115:F134)</f>
        <v>600</v>
      </c>
      <c r="G135" s="62">
        <f>SUM(G115:G134)</f>
        <v>600</v>
      </c>
      <c r="H135" s="62">
        <f>SUM(H115:H134)</f>
        <v>600</v>
      </c>
      <c r="I135" s="63">
        <f>SUM(I115:I134)</f>
        <v>600</v>
      </c>
      <c r="J135" s="4"/>
      <c r="K135" s="4"/>
      <c r="L135" s="3265"/>
      <c r="M135" s="4"/>
      <c r="N135" s="4"/>
      <c r="O135" s="4"/>
      <c r="P135" s="3268"/>
      <c r="Q135" s="3265"/>
      <c r="R135" s="3265"/>
      <c r="S135" s="3266">
        <v>0</v>
      </c>
      <c r="T135" s="3265"/>
      <c r="U135" s="3267">
        <f t="shared" si="9"/>
        <v>3000</v>
      </c>
      <c r="V135" s="3265"/>
      <c r="W135" s="3265"/>
      <c r="X135" s="3265"/>
      <c r="Y135" s="4"/>
      <c r="Z135" s="3265"/>
      <c r="AA135" s="3265"/>
      <c r="AB135" s="3265"/>
      <c r="AC135" s="3265"/>
      <c r="AD135" s="3265"/>
      <c r="AE135" s="3265"/>
      <c r="AF135" s="3265"/>
      <c r="AG135" s="3265"/>
      <c r="AH135" s="3265"/>
      <c r="AI135" s="57"/>
      <c r="AJ135" s="57"/>
      <c r="AK135" s="57"/>
      <c r="AL135" s="57"/>
      <c r="AM135" s="57"/>
    </row>
    <row r="136" spans="1:39" s="58" customFormat="1" ht="19.5" x14ac:dyDescent="0.2">
      <c r="A136" s="52"/>
      <c r="B136" s="47"/>
      <c r="C136" s="48" t="s">
        <v>640</v>
      </c>
      <c r="D136" s="65"/>
      <c r="E136" s="66"/>
      <c r="F136" s="66"/>
      <c r="G136" s="66"/>
      <c r="H136" s="66"/>
      <c r="I136" s="67"/>
      <c r="J136" s="4"/>
      <c r="K136" s="4"/>
      <c r="L136" s="3265"/>
      <c r="M136" s="4"/>
      <c r="N136" s="4"/>
      <c r="O136" s="4"/>
      <c r="P136" s="3268"/>
      <c r="Q136" s="3265"/>
      <c r="R136" s="3265"/>
      <c r="S136" s="3266">
        <v>0</v>
      </c>
      <c r="T136" s="3265"/>
      <c r="U136" s="3267">
        <f>U146</f>
        <v>1350</v>
      </c>
      <c r="V136" s="3265"/>
      <c r="W136" s="3265"/>
      <c r="X136" s="3265"/>
      <c r="Y136" s="4"/>
      <c r="Z136" s="3265"/>
      <c r="AA136" s="3265"/>
      <c r="AB136" s="3265"/>
      <c r="AC136" s="3265"/>
      <c r="AD136" s="3265"/>
      <c r="AE136" s="3265"/>
      <c r="AF136" s="3265"/>
      <c r="AG136" s="3265"/>
      <c r="AH136" s="3265"/>
      <c r="AI136" s="57"/>
      <c r="AJ136" s="57"/>
      <c r="AK136" s="57"/>
      <c r="AL136" s="57"/>
      <c r="AM136" s="57"/>
    </row>
    <row r="137" spans="1:39" s="58" customFormat="1" ht="19.5" x14ac:dyDescent="0.2">
      <c r="A137" s="52">
        <v>120501</v>
      </c>
      <c r="B137" s="53"/>
      <c r="C137" s="42"/>
      <c r="D137" s="54" t="s">
        <v>641</v>
      </c>
      <c r="E137" s="55">
        <v>30</v>
      </c>
      <c r="F137" s="55">
        <v>30</v>
      </c>
      <c r="G137" s="55">
        <v>30</v>
      </c>
      <c r="H137" s="55">
        <v>30</v>
      </c>
      <c r="I137" s="56">
        <v>30</v>
      </c>
      <c r="J137" s="4"/>
      <c r="K137" s="4"/>
      <c r="L137" s="3265"/>
      <c r="M137" s="4"/>
      <c r="N137" s="4"/>
      <c r="O137" s="4"/>
      <c r="P137" s="3268"/>
      <c r="Q137" s="3265"/>
      <c r="R137" s="3265"/>
      <c r="S137" s="3266">
        <v>0</v>
      </c>
      <c r="T137" s="3265"/>
      <c r="U137" s="3267">
        <f t="shared" ref="U137:U146" si="10">SUM(E137:I137)</f>
        <v>150</v>
      </c>
      <c r="V137" s="3265"/>
      <c r="W137" s="3265"/>
      <c r="X137" s="3265"/>
      <c r="Y137" s="4"/>
      <c r="Z137" s="3265"/>
      <c r="AA137" s="3265"/>
      <c r="AB137" s="3265"/>
      <c r="AC137" s="3265"/>
      <c r="AD137" s="3265"/>
      <c r="AE137" s="3265"/>
      <c r="AF137" s="3265"/>
      <c r="AG137" s="3265"/>
      <c r="AH137" s="3265"/>
      <c r="AI137" s="57"/>
      <c r="AJ137" s="57"/>
      <c r="AK137" s="57"/>
      <c r="AL137" s="57"/>
      <c r="AM137" s="57"/>
    </row>
    <row r="138" spans="1:39" s="58" customFormat="1" ht="19.5" x14ac:dyDescent="0.2">
      <c r="A138" s="52">
        <v>121001</v>
      </c>
      <c r="B138" s="53"/>
      <c r="C138" s="42"/>
      <c r="D138" s="59" t="s">
        <v>642</v>
      </c>
      <c r="E138" s="69">
        <v>30</v>
      </c>
      <c r="F138" s="69">
        <v>30</v>
      </c>
      <c r="G138" s="69">
        <v>30</v>
      </c>
      <c r="H138" s="69">
        <v>30</v>
      </c>
      <c r="I138" s="70">
        <v>30</v>
      </c>
      <c r="J138" s="4"/>
      <c r="K138" s="4"/>
      <c r="L138" s="3265"/>
      <c r="M138" s="4"/>
      <c r="N138" s="4"/>
      <c r="O138" s="4"/>
      <c r="P138" s="3268"/>
      <c r="Q138" s="3265"/>
      <c r="R138" s="3265"/>
      <c r="S138" s="3266">
        <v>0</v>
      </c>
      <c r="T138" s="3265"/>
      <c r="U138" s="3267">
        <f t="shared" si="10"/>
        <v>150</v>
      </c>
      <c r="V138" s="3265"/>
      <c r="W138" s="3265"/>
      <c r="X138" s="3265"/>
      <c r="Y138" s="4"/>
      <c r="Z138" s="3265"/>
      <c r="AA138" s="3265"/>
      <c r="AB138" s="3265"/>
      <c r="AC138" s="3265"/>
      <c r="AD138" s="3265"/>
      <c r="AE138" s="3265"/>
      <c r="AF138" s="3265"/>
      <c r="AG138" s="3265"/>
      <c r="AH138" s="3265"/>
      <c r="AI138" s="57"/>
      <c r="AJ138" s="57"/>
      <c r="AK138" s="57"/>
      <c r="AL138" s="57"/>
      <c r="AM138" s="57"/>
    </row>
    <row r="139" spans="1:39" s="58" customFormat="1" ht="19.5" x14ac:dyDescent="0.2">
      <c r="A139" s="52">
        <v>121501</v>
      </c>
      <c r="B139" s="53"/>
      <c r="C139" s="42"/>
      <c r="D139" s="59" t="s">
        <v>554</v>
      </c>
      <c r="E139" s="69">
        <v>30</v>
      </c>
      <c r="F139" s="69">
        <v>30</v>
      </c>
      <c r="G139" s="69">
        <v>30</v>
      </c>
      <c r="H139" s="69">
        <v>30</v>
      </c>
      <c r="I139" s="70">
        <v>30</v>
      </c>
      <c r="J139" s="4"/>
      <c r="K139" s="4"/>
      <c r="L139" s="3265"/>
      <c r="M139" s="4"/>
      <c r="N139" s="4"/>
      <c r="O139" s="4"/>
      <c r="P139" s="3268"/>
      <c r="Q139" s="3265"/>
      <c r="R139" s="3265"/>
      <c r="S139" s="3266">
        <v>0</v>
      </c>
      <c r="T139" s="3265"/>
      <c r="U139" s="3267">
        <f t="shared" si="10"/>
        <v>150</v>
      </c>
      <c r="V139" s="3265"/>
      <c r="W139" s="3265"/>
      <c r="X139" s="3265"/>
      <c r="Y139" s="4"/>
      <c r="Z139" s="3265"/>
      <c r="AA139" s="3265"/>
      <c r="AB139" s="3265"/>
      <c r="AC139" s="3265"/>
      <c r="AD139" s="3265"/>
      <c r="AE139" s="3265"/>
      <c r="AF139" s="3265"/>
      <c r="AG139" s="3265"/>
      <c r="AH139" s="3265"/>
      <c r="AI139" s="57"/>
      <c r="AJ139" s="57"/>
      <c r="AK139" s="57"/>
      <c r="AL139" s="57"/>
      <c r="AM139" s="57"/>
    </row>
    <row r="140" spans="1:39" s="58" customFormat="1" ht="19.5" x14ac:dyDescent="0.2">
      <c r="A140" s="52">
        <v>123501</v>
      </c>
      <c r="B140" s="53"/>
      <c r="C140" s="42"/>
      <c r="D140" s="59" t="s">
        <v>643</v>
      </c>
      <c r="E140" s="69">
        <v>30</v>
      </c>
      <c r="F140" s="69">
        <v>30</v>
      </c>
      <c r="G140" s="69">
        <v>30</v>
      </c>
      <c r="H140" s="69">
        <v>30</v>
      </c>
      <c r="I140" s="70">
        <v>30</v>
      </c>
      <c r="J140" s="4"/>
      <c r="K140" s="4"/>
      <c r="L140" s="3265"/>
      <c r="M140" s="4"/>
      <c r="N140" s="4"/>
      <c r="O140" s="4"/>
      <c r="P140" s="3268"/>
      <c r="Q140" s="3265"/>
      <c r="R140" s="3265"/>
      <c r="S140" s="3266">
        <v>0</v>
      </c>
      <c r="T140" s="3265"/>
      <c r="U140" s="3267">
        <f t="shared" si="10"/>
        <v>150</v>
      </c>
      <c r="V140" s="3265"/>
      <c r="W140" s="3265"/>
      <c r="X140" s="3265"/>
      <c r="Y140" s="4"/>
      <c r="Z140" s="3265"/>
      <c r="AA140" s="3265"/>
      <c r="AB140" s="3265"/>
      <c r="AC140" s="3265"/>
      <c r="AD140" s="3265"/>
      <c r="AE140" s="3265"/>
      <c r="AF140" s="3265"/>
      <c r="AG140" s="3265"/>
      <c r="AH140" s="3265"/>
      <c r="AI140" s="57"/>
      <c r="AJ140" s="57"/>
      <c r="AK140" s="57"/>
      <c r="AL140" s="57"/>
      <c r="AM140" s="57"/>
    </row>
    <row r="141" spans="1:39" s="58" customFormat="1" ht="19.5" x14ac:dyDescent="0.2">
      <c r="A141" s="52">
        <v>125501</v>
      </c>
      <c r="B141" s="53"/>
      <c r="C141" s="42"/>
      <c r="D141" s="59" t="s">
        <v>644</v>
      </c>
      <c r="E141" s="69">
        <v>30</v>
      </c>
      <c r="F141" s="69">
        <v>30</v>
      </c>
      <c r="G141" s="69">
        <v>30</v>
      </c>
      <c r="H141" s="69">
        <v>30</v>
      </c>
      <c r="I141" s="70">
        <v>30</v>
      </c>
      <c r="J141" s="4"/>
      <c r="K141" s="4"/>
      <c r="L141" s="3265"/>
      <c r="M141" s="4"/>
      <c r="N141" s="4"/>
      <c r="O141" s="4"/>
      <c r="P141" s="3268"/>
      <c r="Q141" s="3265"/>
      <c r="R141" s="3265"/>
      <c r="S141" s="3266">
        <v>0</v>
      </c>
      <c r="T141" s="3265"/>
      <c r="U141" s="3267">
        <f t="shared" si="10"/>
        <v>150</v>
      </c>
      <c r="V141" s="3265"/>
      <c r="W141" s="3265"/>
      <c r="X141" s="3265"/>
      <c r="Y141" s="4"/>
      <c r="Z141" s="3265"/>
      <c r="AA141" s="3265"/>
      <c r="AB141" s="3265"/>
      <c r="AC141" s="3265"/>
      <c r="AD141" s="3265"/>
      <c r="AE141" s="3265"/>
      <c r="AF141" s="3265"/>
      <c r="AG141" s="3265"/>
      <c r="AH141" s="3265"/>
      <c r="AI141" s="57"/>
      <c r="AJ141" s="57"/>
      <c r="AK141" s="57"/>
      <c r="AL141" s="57"/>
      <c r="AM141" s="57"/>
    </row>
    <row r="142" spans="1:39" s="58" customFormat="1" ht="19.5" x14ac:dyDescent="0.2">
      <c r="A142" s="52">
        <v>126001</v>
      </c>
      <c r="B142" s="53"/>
      <c r="C142" s="42"/>
      <c r="D142" s="59" t="s">
        <v>645</v>
      </c>
      <c r="E142" s="69">
        <v>30</v>
      </c>
      <c r="F142" s="69">
        <v>30</v>
      </c>
      <c r="G142" s="69">
        <v>30</v>
      </c>
      <c r="H142" s="69">
        <v>30</v>
      </c>
      <c r="I142" s="70">
        <v>30</v>
      </c>
      <c r="J142" s="4"/>
      <c r="K142" s="4"/>
      <c r="L142" s="3265"/>
      <c r="M142" s="4"/>
      <c r="N142" s="4"/>
      <c r="O142" s="4"/>
      <c r="P142" s="3268"/>
      <c r="Q142" s="3265"/>
      <c r="R142" s="3265"/>
      <c r="S142" s="3266">
        <v>0</v>
      </c>
      <c r="T142" s="3265"/>
      <c r="U142" s="3267">
        <f t="shared" si="10"/>
        <v>150</v>
      </c>
      <c r="V142" s="3265"/>
      <c r="W142" s="3265"/>
      <c r="X142" s="3265"/>
      <c r="Y142" s="4"/>
      <c r="Z142" s="3265"/>
      <c r="AA142" s="3265"/>
      <c r="AB142" s="3265"/>
      <c r="AC142" s="3265"/>
      <c r="AD142" s="3265"/>
      <c r="AE142" s="3265"/>
      <c r="AF142" s="3265"/>
      <c r="AG142" s="3265"/>
      <c r="AH142" s="3265"/>
      <c r="AI142" s="57"/>
      <c r="AJ142" s="57"/>
      <c r="AK142" s="57"/>
      <c r="AL142" s="57"/>
      <c r="AM142" s="57"/>
    </row>
    <row r="143" spans="1:39" s="58" customFormat="1" ht="19.5" x14ac:dyDescent="0.2">
      <c r="A143" s="52">
        <v>129501</v>
      </c>
      <c r="B143" s="53"/>
      <c r="C143" s="42"/>
      <c r="D143" s="68" t="s">
        <v>646</v>
      </c>
      <c r="E143" s="69">
        <v>30</v>
      </c>
      <c r="F143" s="69">
        <v>30</v>
      </c>
      <c r="G143" s="69">
        <v>30</v>
      </c>
      <c r="H143" s="69">
        <v>30</v>
      </c>
      <c r="I143" s="70">
        <v>30</v>
      </c>
      <c r="J143" s="4"/>
      <c r="K143" s="4"/>
      <c r="L143" s="3265"/>
      <c r="M143" s="4"/>
      <c r="N143" s="4"/>
      <c r="O143" s="4"/>
      <c r="P143" s="3268"/>
      <c r="Q143" s="3265"/>
      <c r="R143" s="3265"/>
      <c r="S143" s="3266">
        <v>0</v>
      </c>
      <c r="T143" s="3265"/>
      <c r="U143" s="3267">
        <f t="shared" si="10"/>
        <v>150</v>
      </c>
      <c r="V143" s="3265"/>
      <c r="W143" s="3265"/>
      <c r="X143" s="3265"/>
      <c r="Y143" s="4"/>
      <c r="Z143" s="3265"/>
      <c r="AA143" s="3265"/>
      <c r="AB143" s="3265"/>
      <c r="AC143" s="3265"/>
      <c r="AD143" s="3265"/>
      <c r="AE143" s="3265"/>
      <c r="AF143" s="3265"/>
      <c r="AG143" s="3265"/>
      <c r="AH143" s="3265"/>
      <c r="AI143" s="57"/>
      <c r="AJ143" s="57"/>
      <c r="AK143" s="57"/>
      <c r="AL143" s="57"/>
      <c r="AM143" s="57"/>
    </row>
    <row r="144" spans="1:39" s="58" customFormat="1" ht="19.5" x14ac:dyDescent="0.2">
      <c r="A144" s="52">
        <v>129701</v>
      </c>
      <c r="B144" s="53"/>
      <c r="C144" s="42"/>
      <c r="D144" s="68" t="s">
        <v>647</v>
      </c>
      <c r="E144" s="69">
        <v>30</v>
      </c>
      <c r="F144" s="69">
        <v>30</v>
      </c>
      <c r="G144" s="69">
        <v>30</v>
      </c>
      <c r="H144" s="69">
        <v>30</v>
      </c>
      <c r="I144" s="70">
        <v>30</v>
      </c>
      <c r="J144" s="4"/>
      <c r="K144" s="4"/>
      <c r="L144" s="3265"/>
      <c r="M144" s="4"/>
      <c r="N144" s="4"/>
      <c r="O144" s="4"/>
      <c r="P144" s="3268"/>
      <c r="Q144" s="3265"/>
      <c r="R144" s="3265"/>
      <c r="S144" s="3266">
        <v>0</v>
      </c>
      <c r="T144" s="3265"/>
      <c r="U144" s="3267">
        <f t="shared" si="10"/>
        <v>150</v>
      </c>
      <c r="V144" s="3265"/>
      <c r="W144" s="3265"/>
      <c r="X144" s="3265"/>
      <c r="Y144" s="4"/>
      <c r="Z144" s="3265"/>
      <c r="AA144" s="3265"/>
      <c r="AB144" s="3265"/>
      <c r="AC144" s="3265"/>
      <c r="AD144" s="3265"/>
      <c r="AE144" s="3265"/>
      <c r="AF144" s="3265"/>
      <c r="AG144" s="3265"/>
      <c r="AH144" s="3265"/>
      <c r="AI144" s="57"/>
      <c r="AJ144" s="57"/>
      <c r="AK144" s="57"/>
      <c r="AL144" s="57"/>
      <c r="AM144" s="57"/>
    </row>
    <row r="145" spans="1:39" s="58" customFormat="1" ht="19.5" x14ac:dyDescent="0.2">
      <c r="A145" s="52">
        <v>129901</v>
      </c>
      <c r="B145" s="53"/>
      <c r="C145" s="42"/>
      <c r="D145" s="59" t="s">
        <v>603</v>
      </c>
      <c r="E145" s="69">
        <v>30</v>
      </c>
      <c r="F145" s="69">
        <v>30</v>
      </c>
      <c r="G145" s="69">
        <v>30</v>
      </c>
      <c r="H145" s="69">
        <v>30</v>
      </c>
      <c r="I145" s="70">
        <v>30</v>
      </c>
      <c r="J145" s="4"/>
      <c r="K145" s="4"/>
      <c r="L145" s="3265"/>
      <c r="M145" s="4"/>
      <c r="N145" s="4"/>
      <c r="O145" s="4"/>
      <c r="P145" s="3268"/>
      <c r="Q145" s="3265"/>
      <c r="R145" s="3265"/>
      <c r="S145" s="3266">
        <v>0</v>
      </c>
      <c r="T145" s="3265"/>
      <c r="U145" s="3267">
        <f t="shared" si="10"/>
        <v>150</v>
      </c>
      <c r="V145" s="3265"/>
      <c r="W145" s="3265"/>
      <c r="X145" s="3265"/>
      <c r="Y145" s="4"/>
      <c r="Z145" s="3265"/>
      <c r="AA145" s="3265"/>
      <c r="AB145" s="3265"/>
      <c r="AC145" s="3265"/>
      <c r="AD145" s="3265"/>
      <c r="AE145" s="3265"/>
      <c r="AF145" s="3265"/>
      <c r="AG145" s="3265"/>
      <c r="AH145" s="3265"/>
      <c r="AI145" s="57"/>
      <c r="AJ145" s="57"/>
      <c r="AK145" s="57"/>
      <c r="AL145" s="57"/>
      <c r="AM145" s="57"/>
    </row>
    <row r="146" spans="1:39" s="58" customFormat="1" ht="19.5" x14ac:dyDescent="0.2">
      <c r="A146" s="52">
        <v>1203</v>
      </c>
      <c r="B146" s="53"/>
      <c r="C146" s="60" t="s">
        <v>648</v>
      </c>
      <c r="D146" s="61"/>
      <c r="E146" s="62">
        <f>SUM(E137:E145)</f>
        <v>270</v>
      </c>
      <c r="F146" s="62">
        <f>SUM(F137:F145)</f>
        <v>270</v>
      </c>
      <c r="G146" s="62">
        <f>SUM(G137:G145)</f>
        <v>270</v>
      </c>
      <c r="H146" s="62">
        <f>SUM(H137:H145)</f>
        <v>270</v>
      </c>
      <c r="I146" s="63">
        <f>SUM(I137:I145)</f>
        <v>270</v>
      </c>
      <c r="J146" s="4"/>
      <c r="K146" s="4"/>
      <c r="L146" s="3265"/>
      <c r="M146" s="4"/>
      <c r="N146" s="4"/>
      <c r="O146" s="4"/>
      <c r="P146" s="3268"/>
      <c r="Q146" s="3265"/>
      <c r="R146" s="3265"/>
      <c r="S146" s="3266">
        <v>0</v>
      </c>
      <c r="T146" s="3265"/>
      <c r="U146" s="3267">
        <f t="shared" si="10"/>
        <v>1350</v>
      </c>
      <c r="V146" s="3265"/>
      <c r="W146" s="3265"/>
      <c r="X146" s="3265"/>
      <c r="Y146" s="4"/>
      <c r="Z146" s="3265"/>
      <c r="AA146" s="3265"/>
      <c r="AB146" s="3265"/>
      <c r="AC146" s="3265"/>
      <c r="AD146" s="3265"/>
      <c r="AE146" s="3265"/>
      <c r="AF146" s="3265"/>
      <c r="AG146" s="3265"/>
      <c r="AH146" s="3265"/>
      <c r="AI146" s="57"/>
      <c r="AJ146" s="57"/>
      <c r="AK146" s="57"/>
      <c r="AL146" s="57"/>
      <c r="AM146" s="57"/>
    </row>
    <row r="147" spans="1:39" s="58" customFormat="1" ht="19.5" x14ac:dyDescent="0.2">
      <c r="A147" s="52"/>
      <c r="B147" s="47"/>
      <c r="C147" s="48" t="s">
        <v>649</v>
      </c>
      <c r="D147" s="65"/>
      <c r="E147" s="66"/>
      <c r="F147" s="66"/>
      <c r="G147" s="66"/>
      <c r="H147" s="66"/>
      <c r="I147" s="67"/>
      <c r="J147" s="4"/>
      <c r="K147" s="4"/>
      <c r="L147" s="3265"/>
      <c r="M147" s="4"/>
      <c r="N147" s="4"/>
      <c r="O147" s="4"/>
      <c r="P147" s="3268"/>
      <c r="Q147" s="3265"/>
      <c r="R147" s="3265"/>
      <c r="S147" s="3266">
        <v>0</v>
      </c>
      <c r="T147" s="3265"/>
      <c r="U147" s="3267">
        <f>U154</f>
        <v>900</v>
      </c>
      <c r="V147" s="3265"/>
      <c r="W147" s="3265"/>
      <c r="X147" s="3265"/>
      <c r="Y147" s="4"/>
      <c r="Z147" s="3265"/>
      <c r="AA147" s="3265"/>
      <c r="AB147" s="3265"/>
      <c r="AC147" s="3265"/>
      <c r="AD147" s="3265"/>
      <c r="AE147" s="3265"/>
      <c r="AF147" s="3265"/>
      <c r="AG147" s="3265"/>
      <c r="AH147" s="3265"/>
      <c r="AI147" s="57"/>
      <c r="AJ147" s="57"/>
      <c r="AK147" s="57"/>
      <c r="AL147" s="57"/>
      <c r="AM147" s="57"/>
    </row>
    <row r="148" spans="1:39" s="58" customFormat="1" ht="19.5" x14ac:dyDescent="0.2">
      <c r="A148" s="52">
        <v>120610</v>
      </c>
      <c r="B148" s="53"/>
      <c r="C148" s="42"/>
      <c r="D148" s="54" t="s">
        <v>606</v>
      </c>
      <c r="E148" s="55">
        <v>30</v>
      </c>
      <c r="F148" s="55">
        <v>30</v>
      </c>
      <c r="G148" s="55">
        <v>30</v>
      </c>
      <c r="H148" s="55">
        <v>30</v>
      </c>
      <c r="I148" s="56">
        <v>30</v>
      </c>
      <c r="J148" s="4"/>
      <c r="K148" s="4"/>
      <c r="L148" s="3265"/>
      <c r="M148" s="4"/>
      <c r="N148" s="4"/>
      <c r="O148" s="4"/>
      <c r="P148" s="3268"/>
      <c r="Q148" s="3265"/>
      <c r="R148" s="3265"/>
      <c r="S148" s="3266">
        <v>0</v>
      </c>
      <c r="T148" s="3265"/>
      <c r="U148" s="3267">
        <f t="shared" ref="U148:U154" si="11">SUM(E148:I148)</f>
        <v>150</v>
      </c>
      <c r="V148" s="3265"/>
      <c r="W148" s="3265"/>
      <c r="X148" s="3265"/>
      <c r="Y148" s="3265"/>
      <c r="Z148" s="3265"/>
      <c r="AA148" s="3265"/>
      <c r="AB148" s="3265"/>
      <c r="AC148" s="3265"/>
      <c r="AD148" s="3265"/>
      <c r="AE148" s="3265"/>
      <c r="AF148" s="3265"/>
      <c r="AG148" s="3265"/>
      <c r="AH148" s="3265"/>
      <c r="AI148" s="57"/>
      <c r="AJ148" s="57"/>
      <c r="AK148" s="57"/>
      <c r="AL148" s="57"/>
      <c r="AM148" s="57"/>
    </row>
    <row r="149" spans="1:39" s="58" customFormat="1" ht="19.5" x14ac:dyDescent="0.2">
      <c r="A149" s="52">
        <v>120615</v>
      </c>
      <c r="B149" s="53"/>
      <c r="C149" s="42"/>
      <c r="D149" s="59" t="s">
        <v>607</v>
      </c>
      <c r="E149" s="69">
        <v>30</v>
      </c>
      <c r="F149" s="69">
        <v>30</v>
      </c>
      <c r="G149" s="69">
        <v>30</v>
      </c>
      <c r="H149" s="69">
        <v>30</v>
      </c>
      <c r="I149" s="70">
        <v>30</v>
      </c>
      <c r="J149" s="4"/>
      <c r="K149" s="4"/>
      <c r="L149" s="3265"/>
      <c r="M149" s="4"/>
      <c r="N149" s="4"/>
      <c r="O149" s="4"/>
      <c r="P149" s="3268"/>
      <c r="Q149" s="3265"/>
      <c r="R149" s="3265"/>
      <c r="S149" s="3266">
        <v>0</v>
      </c>
      <c r="T149" s="3265"/>
      <c r="U149" s="3267">
        <f t="shared" si="11"/>
        <v>150</v>
      </c>
      <c r="V149" s="3265"/>
      <c r="W149" s="3265"/>
      <c r="X149" s="3265"/>
      <c r="Y149" s="3265"/>
      <c r="Z149" s="3265"/>
      <c r="AA149" s="3265"/>
      <c r="AB149" s="3265"/>
      <c r="AC149" s="3265"/>
      <c r="AD149" s="3265"/>
      <c r="AE149" s="3265"/>
      <c r="AF149" s="3265"/>
      <c r="AG149" s="3265"/>
      <c r="AH149" s="3265"/>
      <c r="AI149" s="57"/>
      <c r="AJ149" s="57"/>
      <c r="AK149" s="57"/>
      <c r="AL149" s="57"/>
      <c r="AM149" s="57"/>
    </row>
    <row r="150" spans="1:39" s="58" customFormat="1" ht="19.5" x14ac:dyDescent="0.2">
      <c r="A150" s="52">
        <v>173001</v>
      </c>
      <c r="B150" s="53"/>
      <c r="C150" s="42"/>
      <c r="D150" s="59" t="s">
        <v>608</v>
      </c>
      <c r="E150" s="69">
        <v>30</v>
      </c>
      <c r="F150" s="69">
        <v>30</v>
      </c>
      <c r="G150" s="69">
        <v>30</v>
      </c>
      <c r="H150" s="69">
        <v>30</v>
      </c>
      <c r="I150" s="70">
        <v>30</v>
      </c>
      <c r="J150" s="4"/>
      <c r="K150" s="4"/>
      <c r="L150" s="3265"/>
      <c r="M150" s="4"/>
      <c r="N150" s="4"/>
      <c r="O150" s="4"/>
      <c r="P150" s="3268"/>
      <c r="Q150" s="3265"/>
      <c r="R150" s="3265"/>
      <c r="S150" s="3266">
        <v>0</v>
      </c>
      <c r="T150" s="3265"/>
      <c r="U150" s="3267">
        <f t="shared" si="11"/>
        <v>150</v>
      </c>
      <c r="V150" s="3265"/>
      <c r="W150" s="3265"/>
      <c r="X150" s="3265"/>
      <c r="Y150" s="3265"/>
      <c r="Z150" s="3265"/>
      <c r="AA150" s="3265"/>
      <c r="AB150" s="3265"/>
      <c r="AC150" s="3265"/>
      <c r="AD150" s="3265"/>
      <c r="AE150" s="3265"/>
      <c r="AF150" s="3265"/>
      <c r="AG150" s="3265"/>
      <c r="AH150" s="3265"/>
      <c r="AI150" s="57"/>
      <c r="AJ150" s="57"/>
      <c r="AK150" s="57"/>
      <c r="AL150" s="57"/>
      <c r="AM150" s="57"/>
    </row>
    <row r="151" spans="1:39" s="58" customFormat="1" ht="19.5" x14ac:dyDescent="0.2">
      <c r="A151" s="52">
        <v>120620</v>
      </c>
      <c r="B151" s="53"/>
      <c r="C151" s="42"/>
      <c r="D151" s="68" t="s">
        <v>650</v>
      </c>
      <c r="E151" s="69">
        <v>30</v>
      </c>
      <c r="F151" s="69">
        <v>30</v>
      </c>
      <c r="G151" s="69">
        <v>30</v>
      </c>
      <c r="H151" s="69">
        <v>30</v>
      </c>
      <c r="I151" s="70">
        <v>30</v>
      </c>
      <c r="J151" s="4"/>
      <c r="K151" s="4"/>
      <c r="L151" s="3265"/>
      <c r="M151" s="4"/>
      <c r="N151" s="4"/>
      <c r="O151" s="4"/>
      <c r="P151" s="3268"/>
      <c r="Q151" s="3265"/>
      <c r="R151" s="3265"/>
      <c r="S151" s="3266">
        <v>0</v>
      </c>
      <c r="T151" s="3265"/>
      <c r="U151" s="3267">
        <f t="shared" si="11"/>
        <v>150</v>
      </c>
      <c r="V151" s="3265"/>
      <c r="W151" s="3265"/>
      <c r="X151" s="3265"/>
      <c r="Y151" s="3265"/>
      <c r="Z151" s="3265"/>
      <c r="AA151" s="3265"/>
      <c r="AB151" s="3265"/>
      <c r="AC151" s="3265"/>
      <c r="AD151" s="3265"/>
      <c r="AE151" s="3265"/>
      <c r="AF151" s="3265"/>
      <c r="AG151" s="3265"/>
      <c r="AH151" s="3265"/>
      <c r="AI151" s="57"/>
      <c r="AJ151" s="57"/>
      <c r="AK151" s="57"/>
      <c r="AL151" s="57"/>
      <c r="AM151" s="57"/>
    </row>
    <row r="152" spans="1:39" s="58" customFormat="1" ht="19.5" x14ac:dyDescent="0.2">
      <c r="A152" s="52">
        <v>179701</v>
      </c>
      <c r="B152" s="53"/>
      <c r="C152" s="42"/>
      <c r="D152" s="68" t="s">
        <v>609</v>
      </c>
      <c r="E152" s="69">
        <v>30</v>
      </c>
      <c r="F152" s="69">
        <v>30</v>
      </c>
      <c r="G152" s="69">
        <v>30</v>
      </c>
      <c r="H152" s="69">
        <v>30</v>
      </c>
      <c r="I152" s="70">
        <v>30</v>
      </c>
      <c r="J152" s="4"/>
      <c r="K152" s="4"/>
      <c r="L152" s="3265"/>
      <c r="M152" s="4"/>
      <c r="N152" s="4"/>
      <c r="O152" s="4"/>
      <c r="P152" s="3268"/>
      <c r="Q152" s="3265"/>
      <c r="R152" s="3265"/>
      <c r="S152" s="3266">
        <v>0</v>
      </c>
      <c r="T152" s="3265"/>
      <c r="U152" s="3267">
        <f t="shared" si="11"/>
        <v>150</v>
      </c>
      <c r="V152" s="3265"/>
      <c r="W152" s="3265"/>
      <c r="X152" s="3265"/>
      <c r="Y152" s="3265"/>
      <c r="Z152" s="3265"/>
      <c r="AA152" s="3265"/>
      <c r="AB152" s="3265"/>
      <c r="AC152" s="3265"/>
      <c r="AD152" s="3265"/>
      <c r="AE152" s="3265"/>
      <c r="AF152" s="3265"/>
      <c r="AG152" s="3265"/>
      <c r="AH152" s="3265"/>
      <c r="AI152" s="57"/>
      <c r="AJ152" s="57"/>
      <c r="AK152" s="57"/>
      <c r="AL152" s="57"/>
      <c r="AM152" s="57"/>
    </row>
    <row r="153" spans="1:39" s="58" customFormat="1" ht="19.5" x14ac:dyDescent="0.2">
      <c r="A153" s="52">
        <v>179801</v>
      </c>
      <c r="B153" s="53"/>
      <c r="C153" s="42"/>
      <c r="D153" s="59" t="s">
        <v>632</v>
      </c>
      <c r="E153" s="69">
        <v>30</v>
      </c>
      <c r="F153" s="69">
        <v>30</v>
      </c>
      <c r="G153" s="69">
        <v>30</v>
      </c>
      <c r="H153" s="69">
        <v>30</v>
      </c>
      <c r="I153" s="70">
        <v>30</v>
      </c>
      <c r="J153" s="4"/>
      <c r="K153" s="4"/>
      <c r="L153" s="3265"/>
      <c r="M153" s="4"/>
      <c r="N153" s="4"/>
      <c r="O153" s="4"/>
      <c r="P153" s="3268"/>
      <c r="Q153" s="3265"/>
      <c r="R153" s="3265"/>
      <c r="S153" s="3266">
        <v>0</v>
      </c>
      <c r="T153" s="3265"/>
      <c r="U153" s="3267">
        <f t="shared" si="11"/>
        <v>150</v>
      </c>
      <c r="V153" s="3265"/>
      <c r="W153" s="3265"/>
      <c r="X153" s="3265"/>
      <c r="Y153" s="3265"/>
      <c r="Z153" s="3265"/>
      <c r="AA153" s="3265"/>
      <c r="AB153" s="3265"/>
      <c r="AC153" s="3265"/>
      <c r="AD153" s="3265"/>
      <c r="AE153" s="3265"/>
      <c r="AF153" s="3265"/>
      <c r="AG153" s="3265"/>
      <c r="AH153" s="3265"/>
      <c r="AI153" s="57"/>
      <c r="AJ153" s="57"/>
      <c r="AK153" s="57"/>
      <c r="AL153" s="57"/>
      <c r="AM153" s="57"/>
    </row>
    <row r="154" spans="1:39" s="58" customFormat="1" ht="19.5" x14ac:dyDescent="0.2">
      <c r="A154" s="52">
        <v>1206</v>
      </c>
      <c r="B154" s="53"/>
      <c r="C154" s="60" t="s">
        <v>651</v>
      </c>
      <c r="D154" s="61"/>
      <c r="E154" s="62">
        <f>SUM(E148:E153)</f>
        <v>180</v>
      </c>
      <c r="F154" s="62">
        <f>SUM(F148:F153)</f>
        <v>180</v>
      </c>
      <c r="G154" s="62">
        <f>SUM(G148:G153)</f>
        <v>180</v>
      </c>
      <c r="H154" s="62">
        <f>SUM(H148:H153)</f>
        <v>180</v>
      </c>
      <c r="I154" s="63">
        <f>SUM(I148:I153)</f>
        <v>180</v>
      </c>
      <c r="J154" s="4"/>
      <c r="K154" s="4"/>
      <c r="L154" s="3265"/>
      <c r="M154" s="4"/>
      <c r="N154" s="4"/>
      <c r="O154" s="4"/>
      <c r="P154" s="3268"/>
      <c r="Q154" s="3265"/>
      <c r="R154" s="3265"/>
      <c r="S154" s="3266">
        <v>0</v>
      </c>
      <c r="T154" s="3265"/>
      <c r="U154" s="3267">
        <f t="shared" si="11"/>
        <v>900</v>
      </c>
      <c r="V154" s="3265"/>
      <c r="W154" s="3265"/>
      <c r="X154" s="3265"/>
      <c r="Y154" s="3265"/>
      <c r="Z154" s="3265"/>
      <c r="AA154" s="3265"/>
      <c r="AB154" s="3265"/>
      <c r="AC154" s="3265"/>
      <c r="AD154" s="3265"/>
      <c r="AE154" s="3265"/>
      <c r="AF154" s="3265"/>
      <c r="AG154" s="3265"/>
      <c r="AH154" s="3265"/>
      <c r="AI154" s="57"/>
      <c r="AJ154" s="57"/>
      <c r="AK154" s="57"/>
      <c r="AL154" s="57"/>
      <c r="AM154" s="57"/>
    </row>
    <row r="155" spans="1:39" s="58" customFormat="1" ht="19.5" x14ac:dyDescent="0.2">
      <c r="A155" s="52"/>
      <c r="B155" s="47"/>
      <c r="C155" s="48" t="s">
        <v>652</v>
      </c>
      <c r="D155" s="65"/>
      <c r="E155" s="66"/>
      <c r="F155" s="66"/>
      <c r="G155" s="66"/>
      <c r="H155" s="66"/>
      <c r="I155" s="67"/>
      <c r="J155" s="4"/>
      <c r="K155" s="4"/>
      <c r="L155" s="3265"/>
      <c r="M155" s="4"/>
      <c r="N155" s="4"/>
      <c r="O155" s="4"/>
      <c r="P155" s="3268"/>
      <c r="Q155" s="3265"/>
      <c r="R155" s="3265"/>
      <c r="S155" s="3266">
        <v>0</v>
      </c>
      <c r="T155" s="3265"/>
      <c r="U155" s="3267">
        <f>U163</f>
        <v>1050</v>
      </c>
      <c r="V155" s="3265"/>
      <c r="W155" s="3265"/>
      <c r="X155" s="3265"/>
      <c r="Y155" s="3265"/>
      <c r="Z155" s="3265"/>
      <c r="AA155" s="3265"/>
      <c r="AB155" s="3265"/>
      <c r="AC155" s="3265"/>
      <c r="AD155" s="3265"/>
      <c r="AE155" s="3265"/>
      <c r="AF155" s="3265"/>
      <c r="AG155" s="3265"/>
      <c r="AH155" s="3265"/>
      <c r="AI155" s="57"/>
      <c r="AJ155" s="57"/>
      <c r="AK155" s="57"/>
      <c r="AL155" s="57"/>
      <c r="AM155" s="57"/>
    </row>
    <row r="156" spans="1:39" s="58" customFormat="1" ht="19.5" x14ac:dyDescent="0.2">
      <c r="A156" s="52">
        <v>160501</v>
      </c>
      <c r="B156" s="53"/>
      <c r="C156" s="42"/>
      <c r="D156" s="54" t="s">
        <v>653</v>
      </c>
      <c r="E156" s="55">
        <v>30</v>
      </c>
      <c r="F156" s="55">
        <v>30</v>
      </c>
      <c r="G156" s="55">
        <v>30</v>
      </c>
      <c r="H156" s="55">
        <v>30</v>
      </c>
      <c r="I156" s="56">
        <v>30</v>
      </c>
      <c r="J156" s="4"/>
      <c r="K156" s="4"/>
      <c r="L156" s="3265"/>
      <c r="M156" s="4"/>
      <c r="N156" s="4"/>
      <c r="O156" s="4"/>
      <c r="P156" s="3268"/>
      <c r="Q156" s="3265"/>
      <c r="R156" s="3265"/>
      <c r="S156" s="3266">
        <v>0</v>
      </c>
      <c r="T156" s="3265"/>
      <c r="U156" s="3267">
        <f t="shared" ref="U156:U163" si="12">SUM(E156:I156)</f>
        <v>150</v>
      </c>
      <c r="V156" s="3265"/>
      <c r="W156" s="3265"/>
      <c r="X156" s="3265"/>
      <c r="Y156" s="3265"/>
      <c r="Z156" s="3265"/>
      <c r="AA156" s="3265"/>
      <c r="AB156" s="3265"/>
      <c r="AC156" s="3265"/>
      <c r="AD156" s="3265"/>
      <c r="AE156" s="3265"/>
      <c r="AF156" s="3265"/>
      <c r="AG156" s="3265"/>
      <c r="AH156" s="3265"/>
      <c r="AI156" s="57"/>
      <c r="AJ156" s="57"/>
      <c r="AK156" s="57"/>
      <c r="AL156" s="57"/>
      <c r="AM156" s="57"/>
    </row>
    <row r="157" spans="1:39" s="58" customFormat="1" ht="19.5" x14ac:dyDescent="0.2">
      <c r="A157" s="52">
        <v>161001</v>
      </c>
      <c r="B157" s="53"/>
      <c r="C157" s="42"/>
      <c r="D157" s="59" t="s">
        <v>654</v>
      </c>
      <c r="E157" s="69">
        <v>30</v>
      </c>
      <c r="F157" s="69">
        <v>30</v>
      </c>
      <c r="G157" s="69">
        <v>30</v>
      </c>
      <c r="H157" s="69">
        <v>30</v>
      </c>
      <c r="I157" s="70">
        <v>30</v>
      </c>
      <c r="J157" s="4"/>
      <c r="K157" s="4"/>
      <c r="L157" s="3265"/>
      <c r="M157" s="4"/>
      <c r="N157" s="4"/>
      <c r="O157" s="4"/>
      <c r="P157" s="3268"/>
      <c r="Q157" s="3265"/>
      <c r="R157" s="3265"/>
      <c r="S157" s="3266">
        <v>0</v>
      </c>
      <c r="T157" s="3265"/>
      <c r="U157" s="3267">
        <f t="shared" si="12"/>
        <v>150</v>
      </c>
      <c r="V157" s="3265"/>
      <c r="W157" s="3265"/>
      <c r="X157" s="3265"/>
      <c r="Y157" s="3265"/>
      <c r="Z157" s="3265"/>
      <c r="AA157" s="3265"/>
      <c r="AB157" s="3265"/>
      <c r="AC157" s="3265"/>
      <c r="AD157" s="3265"/>
      <c r="AE157" s="3265"/>
      <c r="AF157" s="3265"/>
      <c r="AG157" s="3265"/>
      <c r="AH157" s="3265"/>
      <c r="AI157" s="57"/>
      <c r="AJ157" s="57"/>
      <c r="AK157" s="57"/>
      <c r="AL157" s="57"/>
      <c r="AM157" s="57"/>
    </row>
    <row r="158" spans="1:39" s="58" customFormat="1" ht="19.5" x14ac:dyDescent="0.2">
      <c r="A158" s="52">
        <v>163001</v>
      </c>
      <c r="B158" s="53"/>
      <c r="C158" s="42"/>
      <c r="D158" s="59" t="s">
        <v>655</v>
      </c>
      <c r="E158" s="69">
        <v>30</v>
      </c>
      <c r="F158" s="69">
        <v>30</v>
      </c>
      <c r="G158" s="69">
        <v>30</v>
      </c>
      <c r="H158" s="69">
        <v>30</v>
      </c>
      <c r="I158" s="70">
        <v>30</v>
      </c>
      <c r="J158" s="4"/>
      <c r="K158" s="4"/>
      <c r="L158" s="3265"/>
      <c r="M158" s="4"/>
      <c r="N158" s="4"/>
      <c r="O158" s="4"/>
      <c r="P158" s="3268"/>
      <c r="Q158" s="3265"/>
      <c r="R158" s="3265"/>
      <c r="S158" s="3266">
        <v>0</v>
      </c>
      <c r="T158" s="3265"/>
      <c r="U158" s="3267">
        <f t="shared" si="12"/>
        <v>150</v>
      </c>
      <c r="V158" s="3265"/>
      <c r="W158" s="3265"/>
      <c r="X158" s="3265"/>
      <c r="Y158" s="3265"/>
      <c r="Z158" s="3265"/>
      <c r="AA158" s="3265"/>
      <c r="AB158" s="3265"/>
      <c r="AC158" s="3265"/>
      <c r="AD158" s="3265"/>
      <c r="AE158" s="3265"/>
      <c r="AF158" s="3265"/>
      <c r="AG158" s="3265"/>
      <c r="AH158" s="3265"/>
      <c r="AI158" s="57"/>
      <c r="AJ158" s="57"/>
      <c r="AK158" s="57"/>
      <c r="AL158" s="57"/>
      <c r="AM158" s="57"/>
    </row>
    <row r="159" spans="1:39" s="58" customFormat="1" ht="19.5" x14ac:dyDescent="0.2">
      <c r="A159" s="52">
        <v>164001</v>
      </c>
      <c r="B159" s="53"/>
      <c r="C159" s="42"/>
      <c r="D159" s="59" t="s">
        <v>453</v>
      </c>
      <c r="E159" s="69">
        <v>30</v>
      </c>
      <c r="F159" s="69">
        <v>30</v>
      </c>
      <c r="G159" s="69">
        <v>30</v>
      </c>
      <c r="H159" s="69">
        <v>30</v>
      </c>
      <c r="I159" s="70">
        <v>30</v>
      </c>
      <c r="J159" s="4"/>
      <c r="K159" s="4"/>
      <c r="L159" s="3265"/>
      <c r="M159" s="4"/>
      <c r="N159" s="4"/>
      <c r="O159" s="4"/>
      <c r="P159" s="3268"/>
      <c r="Q159" s="3265"/>
      <c r="R159" s="3265"/>
      <c r="S159" s="3266">
        <v>0</v>
      </c>
      <c r="T159" s="3265"/>
      <c r="U159" s="3267">
        <f t="shared" si="12"/>
        <v>150</v>
      </c>
      <c r="V159" s="3265"/>
      <c r="W159" s="3265"/>
      <c r="X159" s="3265"/>
      <c r="Y159" s="3265"/>
      <c r="Z159" s="3265"/>
      <c r="AA159" s="3265"/>
      <c r="AB159" s="3265"/>
      <c r="AC159" s="3265"/>
      <c r="AD159" s="3265"/>
      <c r="AE159" s="3265"/>
      <c r="AF159" s="3265"/>
      <c r="AG159" s="3265"/>
      <c r="AH159" s="3265"/>
      <c r="AI159" s="57"/>
      <c r="AJ159" s="57"/>
      <c r="AK159" s="57"/>
      <c r="AL159" s="57"/>
      <c r="AM159" s="57"/>
    </row>
    <row r="160" spans="1:39" s="58" customFormat="1" ht="19.5" x14ac:dyDescent="0.2">
      <c r="A160" s="52">
        <v>109801</v>
      </c>
      <c r="B160" s="53"/>
      <c r="C160" s="42"/>
      <c r="D160" s="59" t="s">
        <v>656</v>
      </c>
      <c r="E160" s="69">
        <v>30</v>
      </c>
      <c r="F160" s="69">
        <v>30</v>
      </c>
      <c r="G160" s="69">
        <v>30</v>
      </c>
      <c r="H160" s="69">
        <v>30</v>
      </c>
      <c r="I160" s="70">
        <v>30</v>
      </c>
      <c r="J160" s="4"/>
      <c r="K160" s="4"/>
      <c r="L160" s="3265"/>
      <c r="M160" s="4"/>
      <c r="N160" s="4"/>
      <c r="O160" s="4"/>
      <c r="P160" s="3268"/>
      <c r="Q160" s="3265"/>
      <c r="R160" s="3265"/>
      <c r="S160" s="3266">
        <v>0</v>
      </c>
      <c r="T160" s="3265"/>
      <c r="U160" s="3267">
        <f t="shared" si="12"/>
        <v>150</v>
      </c>
      <c r="V160" s="3265"/>
      <c r="W160" s="3265"/>
      <c r="X160" s="3265"/>
      <c r="Y160" s="3265"/>
      <c r="Z160" s="3265"/>
      <c r="AA160" s="3265"/>
      <c r="AB160" s="3265"/>
      <c r="AC160" s="3265"/>
      <c r="AD160" s="3265"/>
      <c r="AE160" s="3265"/>
      <c r="AF160" s="3265"/>
      <c r="AG160" s="3265"/>
      <c r="AH160" s="3265"/>
      <c r="AI160" s="57"/>
      <c r="AJ160" s="57"/>
      <c r="AK160" s="57"/>
      <c r="AL160" s="57"/>
      <c r="AM160" s="57"/>
    </row>
    <row r="161" spans="1:39" s="58" customFormat="1" ht="19.5" x14ac:dyDescent="0.2">
      <c r="A161" s="52">
        <v>169899</v>
      </c>
      <c r="B161" s="53"/>
      <c r="C161" s="42"/>
      <c r="D161" s="59" t="s">
        <v>560</v>
      </c>
      <c r="E161" s="69">
        <v>30</v>
      </c>
      <c r="F161" s="69">
        <v>30</v>
      </c>
      <c r="G161" s="69">
        <v>30</v>
      </c>
      <c r="H161" s="69">
        <v>30</v>
      </c>
      <c r="I161" s="70">
        <v>30</v>
      </c>
      <c r="J161" s="4"/>
      <c r="K161" s="4"/>
      <c r="L161" s="3265"/>
      <c r="M161" s="4"/>
      <c r="N161" s="4"/>
      <c r="O161" s="4"/>
      <c r="P161" s="3268"/>
      <c r="Q161" s="3265"/>
      <c r="R161" s="3265"/>
      <c r="S161" s="3266">
        <v>0</v>
      </c>
      <c r="T161" s="3265"/>
      <c r="U161" s="3267">
        <f t="shared" si="12"/>
        <v>150</v>
      </c>
      <c r="V161" s="3265"/>
      <c r="W161" s="3265"/>
      <c r="X161" s="3265"/>
      <c r="Y161" s="3265"/>
      <c r="Z161" s="3265"/>
      <c r="AA161" s="3265"/>
      <c r="AB161" s="3265"/>
      <c r="AC161" s="3265"/>
      <c r="AD161" s="3265"/>
      <c r="AE161" s="3265"/>
      <c r="AF161" s="3265"/>
      <c r="AG161" s="3265"/>
      <c r="AH161" s="3265"/>
      <c r="AI161" s="57"/>
      <c r="AJ161" s="57"/>
      <c r="AK161" s="57"/>
      <c r="AL161" s="57"/>
      <c r="AM161" s="57"/>
    </row>
    <row r="162" spans="1:39" s="58" customFormat="1" ht="19.5" x14ac:dyDescent="0.2">
      <c r="A162" s="52">
        <v>169901</v>
      </c>
      <c r="B162" s="53"/>
      <c r="C162" s="42"/>
      <c r="D162" s="59" t="s">
        <v>603</v>
      </c>
      <c r="E162" s="69">
        <v>30</v>
      </c>
      <c r="F162" s="69">
        <v>30</v>
      </c>
      <c r="G162" s="69">
        <v>30</v>
      </c>
      <c r="H162" s="69">
        <v>30</v>
      </c>
      <c r="I162" s="70">
        <v>30</v>
      </c>
      <c r="J162" s="4"/>
      <c r="K162" s="4"/>
      <c r="L162" s="3265"/>
      <c r="M162" s="4"/>
      <c r="N162" s="4"/>
      <c r="O162" s="4"/>
      <c r="P162" s="3268"/>
      <c r="Q162" s="3265"/>
      <c r="R162" s="3265"/>
      <c r="S162" s="3266">
        <v>0</v>
      </c>
      <c r="T162" s="3265"/>
      <c r="U162" s="3267">
        <f t="shared" si="12"/>
        <v>150</v>
      </c>
      <c r="V162" s="3265"/>
      <c r="W162" s="3265"/>
      <c r="X162" s="3265"/>
      <c r="Y162" s="3265"/>
      <c r="Z162" s="3265"/>
      <c r="AA162" s="3265"/>
      <c r="AB162" s="3265"/>
      <c r="AC162" s="3265"/>
      <c r="AD162" s="3265"/>
      <c r="AE162" s="3265"/>
      <c r="AF162" s="3265"/>
      <c r="AG162" s="3265"/>
      <c r="AH162" s="3265"/>
      <c r="AI162" s="57"/>
      <c r="AJ162" s="57"/>
      <c r="AK162" s="57"/>
      <c r="AL162" s="57"/>
      <c r="AM162" s="57"/>
    </row>
    <row r="163" spans="1:39" s="58" customFormat="1" ht="19.5" x14ac:dyDescent="0.2">
      <c r="A163" s="52">
        <v>1202</v>
      </c>
      <c r="B163" s="53"/>
      <c r="C163" s="60" t="s">
        <v>657</v>
      </c>
      <c r="D163" s="61"/>
      <c r="E163" s="62">
        <f>SUM(E156:E162)</f>
        <v>210</v>
      </c>
      <c r="F163" s="62">
        <f>SUM(F156:F162)</f>
        <v>210</v>
      </c>
      <c r="G163" s="62">
        <f>SUM(G156:G162)</f>
        <v>210</v>
      </c>
      <c r="H163" s="62">
        <f>SUM(H156:H162)</f>
        <v>210</v>
      </c>
      <c r="I163" s="63">
        <f>SUM(I156:I162)</f>
        <v>210</v>
      </c>
      <c r="J163" s="4"/>
      <c r="K163" s="4"/>
      <c r="L163" s="3265"/>
      <c r="M163" s="4"/>
      <c r="N163" s="4"/>
      <c r="O163" s="4"/>
      <c r="P163" s="3268"/>
      <c r="Q163" s="3265"/>
      <c r="R163" s="3265"/>
      <c r="S163" s="3266">
        <v>0</v>
      </c>
      <c r="T163" s="3265"/>
      <c r="U163" s="3267">
        <f t="shared" si="12"/>
        <v>1050</v>
      </c>
      <c r="V163" s="3265"/>
      <c r="W163" s="3265"/>
      <c r="X163" s="3265"/>
      <c r="Y163" s="3265"/>
      <c r="Z163" s="3265"/>
      <c r="AA163" s="3265"/>
      <c r="AB163" s="3265"/>
      <c r="AC163" s="3265"/>
      <c r="AD163" s="3265"/>
      <c r="AE163" s="3265"/>
      <c r="AF163" s="3265"/>
      <c r="AG163" s="3265"/>
      <c r="AH163" s="3265"/>
      <c r="AI163" s="57"/>
      <c r="AJ163" s="57"/>
      <c r="AK163" s="57"/>
      <c r="AL163" s="57"/>
      <c r="AM163" s="57"/>
    </row>
    <row r="164" spans="1:39" s="58" customFormat="1" ht="19.5" x14ac:dyDescent="0.2">
      <c r="A164" s="52"/>
      <c r="B164" s="47"/>
      <c r="C164" s="48" t="s">
        <v>658</v>
      </c>
      <c r="D164" s="65"/>
      <c r="E164" s="66"/>
      <c r="F164" s="66"/>
      <c r="G164" s="66"/>
      <c r="H164" s="66"/>
      <c r="I164" s="67"/>
      <c r="J164" s="4"/>
      <c r="K164" s="4"/>
      <c r="L164" s="3265"/>
      <c r="M164" s="4"/>
      <c r="N164" s="4"/>
      <c r="O164" s="4"/>
      <c r="P164" s="3268"/>
      <c r="Q164" s="3265"/>
      <c r="R164" s="3265"/>
      <c r="S164" s="3266">
        <v>0</v>
      </c>
      <c r="T164" s="3265"/>
      <c r="U164" s="3267">
        <f>U170</f>
        <v>750</v>
      </c>
      <c r="V164" s="3265"/>
      <c r="W164" s="3265"/>
      <c r="X164" s="3265"/>
      <c r="Y164" s="3265"/>
      <c r="Z164" s="3265"/>
      <c r="AA164" s="3265"/>
      <c r="AB164" s="3265"/>
      <c r="AC164" s="3265"/>
      <c r="AD164" s="3265"/>
      <c r="AE164" s="3265"/>
      <c r="AF164" s="3265"/>
      <c r="AG164" s="3265"/>
      <c r="AH164" s="3265"/>
      <c r="AI164" s="57"/>
      <c r="AJ164" s="57"/>
      <c r="AK164" s="57"/>
      <c r="AL164" s="57"/>
      <c r="AM164" s="57"/>
    </row>
    <row r="165" spans="1:39" s="58" customFormat="1" ht="19.5" x14ac:dyDescent="0.2">
      <c r="A165" s="52">
        <v>180501</v>
      </c>
      <c r="B165" s="53"/>
      <c r="C165" s="42"/>
      <c r="D165" s="68" t="s">
        <v>659</v>
      </c>
      <c r="E165" s="55">
        <v>30</v>
      </c>
      <c r="F165" s="55">
        <v>30</v>
      </c>
      <c r="G165" s="55">
        <v>30</v>
      </c>
      <c r="H165" s="55">
        <v>30</v>
      </c>
      <c r="I165" s="56">
        <v>30</v>
      </c>
      <c r="J165" s="4"/>
      <c r="K165" s="4"/>
      <c r="L165" s="3265"/>
      <c r="M165" s="4"/>
      <c r="N165" s="4"/>
      <c r="O165" s="4"/>
      <c r="P165" s="3268"/>
      <c r="Q165" s="3265"/>
      <c r="R165" s="3265"/>
      <c r="S165" s="3266">
        <v>0</v>
      </c>
      <c r="T165" s="3265"/>
      <c r="U165" s="3267">
        <f t="shared" ref="U165:U170" si="13">SUM(E165:I165)</f>
        <v>150</v>
      </c>
      <c r="V165" s="3265"/>
      <c r="W165" s="3265"/>
      <c r="X165" s="3265"/>
      <c r="Y165" s="3265"/>
      <c r="Z165" s="3265"/>
      <c r="AA165" s="3265"/>
      <c r="AB165" s="3265"/>
      <c r="AC165" s="3265"/>
      <c r="AD165" s="3265"/>
      <c r="AE165" s="3265"/>
      <c r="AF165" s="3265"/>
      <c r="AG165" s="3265"/>
      <c r="AH165" s="3265"/>
      <c r="AI165" s="57"/>
      <c r="AJ165" s="57"/>
      <c r="AK165" s="57"/>
      <c r="AL165" s="57"/>
      <c r="AM165" s="57"/>
    </row>
    <row r="166" spans="1:39" s="58" customFormat="1" ht="19.5" x14ac:dyDescent="0.2">
      <c r="A166" s="52">
        <v>189501</v>
      </c>
      <c r="B166" s="53"/>
      <c r="C166" s="42"/>
      <c r="D166" s="68" t="s">
        <v>660</v>
      </c>
      <c r="E166" s="69">
        <v>30</v>
      </c>
      <c r="F166" s="69">
        <v>30</v>
      </c>
      <c r="G166" s="69">
        <v>30</v>
      </c>
      <c r="H166" s="69">
        <v>30</v>
      </c>
      <c r="I166" s="70">
        <v>30</v>
      </c>
      <c r="J166" s="4"/>
      <c r="K166" s="4"/>
      <c r="L166" s="3265"/>
      <c r="M166" s="4"/>
      <c r="N166" s="4"/>
      <c r="O166" s="4"/>
      <c r="P166" s="3268"/>
      <c r="Q166" s="3265"/>
      <c r="R166" s="3265"/>
      <c r="S166" s="3266">
        <v>0</v>
      </c>
      <c r="T166" s="3265"/>
      <c r="U166" s="3267">
        <f t="shared" si="13"/>
        <v>150</v>
      </c>
      <c r="V166" s="3265"/>
      <c r="W166" s="3265"/>
      <c r="X166" s="3265"/>
      <c r="Y166" s="3265"/>
      <c r="Z166" s="3265"/>
      <c r="AA166" s="3265"/>
      <c r="AB166" s="3265"/>
      <c r="AC166" s="3265"/>
      <c r="AD166" s="3265"/>
      <c r="AE166" s="3265"/>
      <c r="AF166" s="3265"/>
      <c r="AG166" s="3265"/>
      <c r="AH166" s="3265"/>
      <c r="AI166" s="57"/>
      <c r="AJ166" s="57"/>
      <c r="AK166" s="57"/>
      <c r="AL166" s="57"/>
      <c r="AM166" s="57"/>
    </row>
    <row r="167" spans="1:39" s="58" customFormat="1" ht="19.5" x14ac:dyDescent="0.2">
      <c r="A167" s="52">
        <v>189520</v>
      </c>
      <c r="B167" s="53"/>
      <c r="C167" s="42"/>
      <c r="D167" s="68" t="s">
        <v>661</v>
      </c>
      <c r="E167" s="69">
        <v>30</v>
      </c>
      <c r="F167" s="69">
        <v>30</v>
      </c>
      <c r="G167" s="69">
        <v>30</v>
      </c>
      <c r="H167" s="69">
        <v>30</v>
      </c>
      <c r="I167" s="70">
        <v>30</v>
      </c>
      <c r="J167" s="4"/>
      <c r="K167" s="4"/>
      <c r="L167" s="3265"/>
      <c r="M167" s="4"/>
      <c r="N167" s="4"/>
      <c r="O167" s="4"/>
      <c r="P167" s="3268"/>
      <c r="Q167" s="3265"/>
      <c r="R167" s="3265"/>
      <c r="S167" s="3266">
        <v>0</v>
      </c>
      <c r="T167" s="3265"/>
      <c r="U167" s="3267">
        <f t="shared" si="13"/>
        <v>150</v>
      </c>
      <c r="V167" s="3265"/>
      <c r="W167" s="3265"/>
      <c r="X167" s="3265"/>
      <c r="Y167" s="3265"/>
      <c r="Z167" s="3265"/>
      <c r="AA167" s="3265"/>
      <c r="AB167" s="3265"/>
      <c r="AC167" s="3265"/>
      <c r="AD167" s="3265"/>
      <c r="AE167" s="3265"/>
      <c r="AF167" s="3265"/>
      <c r="AG167" s="3265"/>
      <c r="AH167" s="3265"/>
      <c r="AI167" s="57"/>
      <c r="AJ167" s="57"/>
      <c r="AK167" s="57"/>
      <c r="AL167" s="57"/>
      <c r="AM167" s="57"/>
    </row>
    <row r="168" spans="1:39" s="58" customFormat="1" ht="19.5" x14ac:dyDescent="0.2">
      <c r="A168" s="52">
        <v>189701</v>
      </c>
      <c r="B168" s="53"/>
      <c r="C168" s="42"/>
      <c r="D168" s="68" t="s">
        <v>662</v>
      </c>
      <c r="E168" s="69">
        <v>30</v>
      </c>
      <c r="F168" s="69">
        <v>30</v>
      </c>
      <c r="G168" s="69">
        <v>30</v>
      </c>
      <c r="H168" s="69">
        <v>30</v>
      </c>
      <c r="I168" s="70">
        <v>30</v>
      </c>
      <c r="J168" s="4"/>
      <c r="K168" s="4"/>
      <c r="L168" s="3265"/>
      <c r="M168" s="4"/>
      <c r="N168" s="4"/>
      <c r="O168" s="4"/>
      <c r="P168" s="3268"/>
      <c r="Q168" s="3265"/>
      <c r="R168" s="3265"/>
      <c r="S168" s="3266">
        <v>0</v>
      </c>
      <c r="T168" s="3265"/>
      <c r="U168" s="3267">
        <f t="shared" si="13"/>
        <v>150</v>
      </c>
      <c r="V168" s="3265"/>
      <c r="W168" s="3265"/>
      <c r="X168" s="3265"/>
      <c r="Y168" s="3265"/>
      <c r="Z168" s="3265"/>
      <c r="AA168" s="3265"/>
      <c r="AB168" s="3265"/>
      <c r="AC168" s="3265"/>
      <c r="AD168" s="3265"/>
      <c r="AE168" s="3265"/>
      <c r="AF168" s="3265"/>
      <c r="AG168" s="3265"/>
      <c r="AH168" s="3265"/>
      <c r="AI168" s="57"/>
      <c r="AJ168" s="57"/>
      <c r="AK168" s="57"/>
      <c r="AL168" s="57"/>
      <c r="AM168" s="57"/>
    </row>
    <row r="169" spans="1:39" s="58" customFormat="1" ht="19.5" x14ac:dyDescent="0.2">
      <c r="A169" s="52">
        <v>189901</v>
      </c>
      <c r="B169" s="53"/>
      <c r="C169" s="42"/>
      <c r="D169" s="68" t="s">
        <v>663</v>
      </c>
      <c r="E169" s="69">
        <v>30</v>
      </c>
      <c r="F169" s="69">
        <v>30</v>
      </c>
      <c r="G169" s="69">
        <v>30</v>
      </c>
      <c r="H169" s="69">
        <v>30</v>
      </c>
      <c r="I169" s="70">
        <v>30</v>
      </c>
      <c r="J169" s="4"/>
      <c r="K169" s="4"/>
      <c r="L169" s="3265"/>
      <c r="M169" s="4"/>
      <c r="N169" s="4"/>
      <c r="O169" s="4"/>
      <c r="P169" s="3268"/>
      <c r="Q169" s="3265"/>
      <c r="R169" s="3265"/>
      <c r="S169" s="3266">
        <v>0</v>
      </c>
      <c r="T169" s="3265"/>
      <c r="U169" s="3267">
        <f t="shared" si="13"/>
        <v>150</v>
      </c>
      <c r="V169" s="3265"/>
      <c r="W169" s="3265"/>
      <c r="X169" s="3265"/>
      <c r="Y169" s="3265"/>
      <c r="Z169" s="3265"/>
      <c r="AA169" s="3265"/>
      <c r="AB169" s="3265"/>
      <c r="AC169" s="3265"/>
      <c r="AD169" s="3265"/>
      <c r="AE169" s="3265"/>
      <c r="AF169" s="3265"/>
      <c r="AG169" s="3265"/>
      <c r="AH169" s="3265"/>
      <c r="AI169" s="57"/>
      <c r="AJ169" s="57"/>
      <c r="AK169" s="57"/>
      <c r="AL169" s="57"/>
      <c r="AM169" s="57"/>
    </row>
    <row r="170" spans="1:39" s="58" customFormat="1" ht="19.5" x14ac:dyDescent="0.2">
      <c r="A170" s="52">
        <v>1207</v>
      </c>
      <c r="B170" s="53"/>
      <c r="C170" s="60" t="s">
        <v>664</v>
      </c>
      <c r="D170" s="61"/>
      <c r="E170" s="62">
        <f>SUM(E165:E169)</f>
        <v>150</v>
      </c>
      <c r="F170" s="62">
        <f>SUM(F165:F169)</f>
        <v>150</v>
      </c>
      <c r="G170" s="62">
        <f>SUM(G165:G169)</f>
        <v>150</v>
      </c>
      <c r="H170" s="62">
        <f>SUM(H165:H169)</f>
        <v>150</v>
      </c>
      <c r="I170" s="63">
        <f>SUM(I165:I169)</f>
        <v>150</v>
      </c>
      <c r="J170" s="4"/>
      <c r="K170" s="4"/>
      <c r="L170" s="3265"/>
      <c r="M170" s="4"/>
      <c r="N170" s="4"/>
      <c r="O170" s="4"/>
      <c r="P170" s="3268"/>
      <c r="Q170" s="3265"/>
      <c r="R170" s="3265"/>
      <c r="S170" s="3266">
        <v>0</v>
      </c>
      <c r="T170" s="3265"/>
      <c r="U170" s="3267">
        <f t="shared" si="13"/>
        <v>750</v>
      </c>
      <c r="V170" s="3265"/>
      <c r="W170" s="3265"/>
      <c r="X170" s="3265"/>
      <c r="Y170" s="3265"/>
      <c r="Z170" s="3265"/>
      <c r="AA170" s="3265"/>
      <c r="AB170" s="3265"/>
      <c r="AC170" s="3265"/>
      <c r="AD170" s="3265"/>
      <c r="AE170" s="3265"/>
      <c r="AF170" s="3265"/>
      <c r="AG170" s="3265"/>
      <c r="AH170" s="3265"/>
      <c r="AI170" s="57"/>
      <c r="AJ170" s="57"/>
      <c r="AK170" s="57"/>
      <c r="AL170" s="57"/>
      <c r="AM170" s="57"/>
    </row>
    <row r="171" spans="1:39" s="58" customFormat="1" ht="19.5" x14ac:dyDescent="0.2">
      <c r="A171" s="52"/>
      <c r="B171" s="47"/>
      <c r="C171" s="48" t="s">
        <v>665</v>
      </c>
      <c r="D171" s="65"/>
      <c r="E171" s="66"/>
      <c r="F171" s="66"/>
      <c r="G171" s="66"/>
      <c r="H171" s="66"/>
      <c r="I171" s="67"/>
      <c r="J171" s="4"/>
      <c r="K171" s="4"/>
      <c r="L171" s="3265"/>
      <c r="M171" s="4"/>
      <c r="N171" s="4"/>
      <c r="O171" s="4"/>
      <c r="P171" s="3268"/>
      <c r="Q171" s="3265"/>
      <c r="R171" s="3265"/>
      <c r="S171" s="3266">
        <v>0</v>
      </c>
      <c r="T171" s="3265"/>
      <c r="U171" s="3267">
        <f>U176</f>
        <v>450</v>
      </c>
      <c r="V171" s="3265"/>
      <c r="W171" s="3265"/>
      <c r="X171" s="3265"/>
      <c r="Y171" s="3265"/>
      <c r="Z171" s="3265"/>
      <c r="AA171" s="3265"/>
      <c r="AB171" s="3265"/>
      <c r="AC171" s="3265"/>
      <c r="AD171" s="3265"/>
      <c r="AE171" s="3265"/>
      <c r="AF171" s="3265"/>
      <c r="AG171" s="3265"/>
      <c r="AH171" s="3265"/>
      <c r="AI171" s="57"/>
      <c r="AJ171" s="57"/>
      <c r="AK171" s="57"/>
      <c r="AL171" s="57"/>
      <c r="AM171" s="57"/>
    </row>
    <row r="172" spans="1:39" s="58" customFormat="1" ht="19.5" x14ac:dyDescent="0.2">
      <c r="A172" s="52">
        <v>190501</v>
      </c>
      <c r="B172" s="53"/>
      <c r="C172" s="42"/>
      <c r="D172" s="54" t="s">
        <v>666</v>
      </c>
      <c r="E172" s="55">
        <v>30</v>
      </c>
      <c r="F172" s="55">
        <v>30</v>
      </c>
      <c r="G172" s="55">
        <v>30</v>
      </c>
      <c r="H172" s="55">
        <v>30</v>
      </c>
      <c r="I172" s="56">
        <v>30</v>
      </c>
      <c r="J172" s="4"/>
      <c r="K172" s="4"/>
      <c r="L172" s="3265"/>
      <c r="M172" s="4"/>
      <c r="N172" s="4"/>
      <c r="O172" s="4"/>
      <c r="P172" s="3268"/>
      <c r="Q172" s="3265"/>
      <c r="R172" s="3265"/>
      <c r="S172" s="3266">
        <v>0</v>
      </c>
      <c r="T172" s="3265"/>
      <c r="U172" s="3267">
        <f t="shared" ref="U172:U178" si="14">SUM(E172:I172)</f>
        <v>150</v>
      </c>
      <c r="V172" s="3265"/>
      <c r="W172" s="3265"/>
      <c r="X172" s="3265"/>
      <c r="Y172" s="3265"/>
      <c r="Z172" s="3265"/>
      <c r="AA172" s="3265"/>
      <c r="AB172" s="3265"/>
      <c r="AC172" s="3265"/>
      <c r="AD172" s="3265"/>
      <c r="AE172" s="3265"/>
      <c r="AF172" s="3265"/>
      <c r="AG172" s="3265"/>
      <c r="AH172" s="3265"/>
      <c r="AI172" s="57"/>
      <c r="AJ172" s="57"/>
      <c r="AK172" s="57"/>
      <c r="AL172" s="57"/>
      <c r="AM172" s="57"/>
    </row>
    <row r="173" spans="1:39" s="58" customFormat="1" ht="19.5" x14ac:dyDescent="0.2">
      <c r="A173" s="52">
        <v>191001</v>
      </c>
      <c r="B173" s="53"/>
      <c r="C173" s="42"/>
      <c r="D173" s="59" t="s">
        <v>667</v>
      </c>
      <c r="E173" s="69">
        <v>30</v>
      </c>
      <c r="F173" s="69">
        <v>30</v>
      </c>
      <c r="G173" s="69">
        <v>30</v>
      </c>
      <c r="H173" s="69">
        <v>30</v>
      </c>
      <c r="I173" s="70">
        <v>30</v>
      </c>
      <c r="J173" s="4"/>
      <c r="K173" s="4"/>
      <c r="L173" s="3265"/>
      <c r="M173" s="4"/>
      <c r="N173" s="4"/>
      <c r="O173" s="4"/>
      <c r="P173" s="3268"/>
      <c r="Q173" s="3265"/>
      <c r="R173" s="3265"/>
      <c r="S173" s="3266">
        <v>0</v>
      </c>
      <c r="T173" s="3265"/>
      <c r="U173" s="3267">
        <f t="shared" si="14"/>
        <v>150</v>
      </c>
      <c r="V173" s="3265"/>
      <c r="W173" s="3265"/>
      <c r="X173" s="3265"/>
      <c r="Y173" s="3265"/>
      <c r="Z173" s="3265"/>
      <c r="AA173" s="3265"/>
      <c r="AB173" s="3265"/>
      <c r="AC173" s="3265"/>
      <c r="AD173" s="3265"/>
      <c r="AE173" s="3265"/>
      <c r="AF173" s="3265"/>
      <c r="AG173" s="3265"/>
      <c r="AH173" s="3265"/>
      <c r="AI173" s="57"/>
      <c r="AJ173" s="57"/>
      <c r="AK173" s="57"/>
      <c r="AL173" s="57"/>
      <c r="AM173" s="57"/>
    </row>
    <row r="174" spans="1:39" s="58" customFormat="1" ht="19.5" x14ac:dyDescent="0.2">
      <c r="A174" s="52">
        <v>199501</v>
      </c>
      <c r="B174" s="53"/>
      <c r="C174" s="42"/>
      <c r="D174" s="59" t="s">
        <v>668</v>
      </c>
      <c r="E174" s="69">
        <v>30</v>
      </c>
      <c r="F174" s="69">
        <v>30</v>
      </c>
      <c r="G174" s="69">
        <v>30</v>
      </c>
      <c r="H174" s="69">
        <v>30</v>
      </c>
      <c r="I174" s="70">
        <v>30</v>
      </c>
      <c r="J174" s="4"/>
      <c r="K174" s="4"/>
      <c r="L174" s="3265"/>
      <c r="M174" s="4"/>
      <c r="N174" s="4"/>
      <c r="O174" s="4"/>
      <c r="P174" s="3268"/>
      <c r="Q174" s="3265"/>
      <c r="R174" s="3265"/>
      <c r="S174" s="3266">
        <v>0</v>
      </c>
      <c r="T174" s="3265"/>
      <c r="U174" s="3267">
        <f t="shared" si="14"/>
        <v>150</v>
      </c>
      <c r="V174" s="3265"/>
      <c r="W174" s="3265"/>
      <c r="X174" s="3265"/>
      <c r="Y174" s="3265"/>
      <c r="Z174" s="3265"/>
      <c r="AA174" s="3265"/>
      <c r="AB174" s="3265"/>
      <c r="AC174" s="3265"/>
      <c r="AD174" s="3265"/>
      <c r="AE174" s="3265"/>
      <c r="AF174" s="3265"/>
      <c r="AG174" s="3265"/>
      <c r="AH174" s="3265"/>
      <c r="AI174" s="57"/>
      <c r="AJ174" s="57"/>
      <c r="AK174" s="57"/>
      <c r="AL174" s="57"/>
      <c r="AM174" s="57"/>
    </row>
    <row r="175" spans="1:39" s="58" customFormat="1" ht="18.95" hidden="1" customHeight="1" x14ac:dyDescent="0.2">
      <c r="A175" s="52"/>
      <c r="B175" s="53"/>
      <c r="C175" s="42"/>
      <c r="D175" s="59"/>
      <c r="E175" s="69"/>
      <c r="F175" s="69"/>
      <c r="G175" s="72"/>
      <c r="H175" s="72"/>
      <c r="I175" s="59"/>
      <c r="J175" s="4"/>
      <c r="K175" s="4"/>
      <c r="L175" s="3265"/>
      <c r="M175" s="4"/>
      <c r="N175" s="4"/>
      <c r="O175" s="4"/>
      <c r="P175" s="3268"/>
      <c r="Q175" s="3265"/>
      <c r="R175" s="3265"/>
      <c r="S175" s="3266">
        <v>1</v>
      </c>
      <c r="T175" s="3265"/>
      <c r="U175" s="3267">
        <f t="shared" si="14"/>
        <v>0</v>
      </c>
      <c r="V175" s="3265"/>
      <c r="W175" s="3265"/>
      <c r="X175" s="3265"/>
      <c r="Y175" s="3265"/>
      <c r="Z175" s="3265"/>
      <c r="AA175" s="3265"/>
      <c r="AB175" s="3265"/>
      <c r="AC175" s="3265"/>
      <c r="AD175" s="3265"/>
      <c r="AE175" s="3265"/>
      <c r="AF175" s="3265"/>
      <c r="AG175" s="3265"/>
      <c r="AH175" s="3265"/>
      <c r="AI175" s="57"/>
      <c r="AJ175" s="57"/>
      <c r="AK175" s="57"/>
      <c r="AL175" s="57"/>
      <c r="AM175" s="57"/>
    </row>
    <row r="176" spans="1:39" s="58" customFormat="1" ht="19.5" x14ac:dyDescent="0.2">
      <c r="A176" s="52">
        <v>1208</v>
      </c>
      <c r="B176" s="53"/>
      <c r="C176" s="60" t="s">
        <v>669</v>
      </c>
      <c r="D176" s="61"/>
      <c r="E176" s="84">
        <f>SUM(E172:E174)</f>
        <v>90</v>
      </c>
      <c r="F176" s="84">
        <f>SUM(F172:F174)</f>
        <v>90</v>
      </c>
      <c r="G176" s="84">
        <f>SUM(G172:G174)</f>
        <v>90</v>
      </c>
      <c r="H176" s="84">
        <f>SUM(H172:H174)</f>
        <v>90</v>
      </c>
      <c r="I176" s="85">
        <f>SUM(I172:I174)</f>
        <v>90</v>
      </c>
      <c r="J176" s="4"/>
      <c r="K176" s="4"/>
      <c r="L176" s="3265"/>
      <c r="M176" s="4"/>
      <c r="N176" s="4"/>
      <c r="O176" s="4"/>
      <c r="P176" s="3268"/>
      <c r="Q176" s="3265"/>
      <c r="R176" s="3265"/>
      <c r="S176" s="3266">
        <v>0</v>
      </c>
      <c r="T176" s="3265"/>
      <c r="U176" s="3267">
        <f t="shared" si="14"/>
        <v>450</v>
      </c>
      <c r="V176" s="3265"/>
      <c r="W176" s="3265"/>
      <c r="X176" s="3265"/>
      <c r="Y176" s="3265"/>
      <c r="Z176" s="3265"/>
      <c r="AA176" s="3265"/>
      <c r="AB176" s="3265"/>
      <c r="AC176" s="3265"/>
      <c r="AD176" s="3265"/>
      <c r="AE176" s="3265"/>
      <c r="AF176" s="3265"/>
      <c r="AG176" s="3265"/>
      <c r="AH176" s="3265"/>
      <c r="AI176" s="57"/>
      <c r="AJ176" s="57"/>
      <c r="AK176" s="57"/>
      <c r="AL176" s="57"/>
      <c r="AM176" s="57"/>
    </row>
    <row r="177" spans="1:39" s="58" customFormat="1" ht="19.5" x14ac:dyDescent="0.2">
      <c r="A177" s="52">
        <v>12</v>
      </c>
      <c r="B177" s="77"/>
      <c r="C177" s="86" t="s">
        <v>670</v>
      </c>
      <c r="D177" s="87"/>
      <c r="E177" s="78">
        <f>E113+E135+E146+E154+E163+E170+E176</f>
        <v>2100</v>
      </c>
      <c r="F177" s="78">
        <f>F113+F135+F146+F154+F163+F170+F176</f>
        <v>2100</v>
      </c>
      <c r="G177" s="78">
        <f>G113+G135+G146+G154+G163+G170+G176</f>
        <v>2100</v>
      </c>
      <c r="H177" s="78">
        <f>H113+H135+H146+H154+H163+H170+H176</f>
        <v>2100</v>
      </c>
      <c r="I177" s="79">
        <f>I113+I135+I146+I154+I163+I170+I176</f>
        <v>2100</v>
      </c>
      <c r="J177" s="4"/>
      <c r="K177" s="4"/>
      <c r="L177" s="3265"/>
      <c r="M177" s="4"/>
      <c r="N177" s="4"/>
      <c r="O177" s="4"/>
      <c r="P177" s="3268"/>
      <c r="Q177" s="3265"/>
      <c r="R177" s="3265"/>
      <c r="S177" s="3266">
        <v>0</v>
      </c>
      <c r="T177" s="3265"/>
      <c r="U177" s="3267">
        <f t="shared" si="14"/>
        <v>10500</v>
      </c>
      <c r="V177" s="3265"/>
      <c r="W177" s="3265"/>
      <c r="X177" s="3265"/>
      <c r="Y177" s="3265"/>
      <c r="Z177" s="3265"/>
      <c r="AA177" s="3265"/>
      <c r="AB177" s="3265"/>
      <c r="AC177" s="3265"/>
      <c r="AD177" s="3265"/>
      <c r="AE177" s="3265"/>
      <c r="AF177" s="3265"/>
      <c r="AG177" s="3265"/>
      <c r="AH177" s="3265"/>
      <c r="AI177" s="57"/>
      <c r="AJ177" s="57"/>
      <c r="AK177" s="57"/>
      <c r="AL177" s="57"/>
      <c r="AM177" s="57"/>
    </row>
    <row r="178" spans="1:39" s="58" customFormat="1" ht="19.5" x14ac:dyDescent="0.2">
      <c r="A178" s="52">
        <v>1</v>
      </c>
      <c r="B178" s="86" t="s">
        <v>671</v>
      </c>
      <c r="C178" s="88"/>
      <c r="D178" s="87"/>
      <c r="E178" s="78">
        <f>E91+E177</f>
        <v>3960</v>
      </c>
      <c r="F178" s="78">
        <f>F91+F177</f>
        <v>3960</v>
      </c>
      <c r="G178" s="78">
        <f>G91+G177</f>
        <v>3960</v>
      </c>
      <c r="H178" s="78">
        <f>H91+H177</f>
        <v>3960</v>
      </c>
      <c r="I178" s="79">
        <f>I91+I177</f>
        <v>3960</v>
      </c>
      <c r="J178" s="4"/>
      <c r="K178" s="4"/>
      <c r="L178" s="3265"/>
      <c r="M178" s="4"/>
      <c r="N178" s="4"/>
      <c r="O178" s="4"/>
      <c r="P178" s="3268"/>
      <c r="Q178" s="3265"/>
      <c r="R178" s="3265"/>
      <c r="S178" s="3266">
        <v>0</v>
      </c>
      <c r="T178" s="3265"/>
      <c r="U178" s="3267">
        <f t="shared" si="14"/>
        <v>19800</v>
      </c>
      <c r="V178" s="3265"/>
      <c r="W178" s="3265"/>
      <c r="X178" s="3265"/>
      <c r="Y178" s="3265"/>
      <c r="Z178" s="3265"/>
      <c r="AA178" s="3265"/>
      <c r="AB178" s="3265"/>
      <c r="AC178" s="3265"/>
      <c r="AD178" s="3265"/>
      <c r="AE178" s="3265"/>
      <c r="AF178" s="3265"/>
      <c r="AG178" s="3265"/>
      <c r="AH178" s="3265"/>
      <c r="AI178" s="57"/>
      <c r="AJ178" s="57"/>
      <c r="AK178" s="57"/>
      <c r="AL178" s="57"/>
      <c r="AM178" s="57"/>
    </row>
    <row r="179" spans="1:39" s="58" customFormat="1" ht="19.5" x14ac:dyDescent="0.2">
      <c r="A179" s="52"/>
      <c r="B179" s="47"/>
      <c r="C179" s="48" t="s">
        <v>672</v>
      </c>
      <c r="D179" s="65"/>
      <c r="E179" s="66"/>
      <c r="F179" s="66"/>
      <c r="G179" s="66"/>
      <c r="H179" s="66"/>
      <c r="I179" s="67"/>
      <c r="J179" s="4"/>
      <c r="K179" s="4"/>
      <c r="L179" s="3265"/>
      <c r="M179" s="4"/>
      <c r="N179" s="4"/>
      <c r="O179" s="4"/>
      <c r="P179" s="3265"/>
      <c r="Q179" s="3265"/>
      <c r="R179" s="3265"/>
      <c r="S179" s="3266">
        <v>0</v>
      </c>
      <c r="T179" s="3265"/>
      <c r="U179" s="3267">
        <f>U184</f>
        <v>0</v>
      </c>
      <c r="V179" s="3265"/>
      <c r="W179" s="3265"/>
      <c r="X179" s="3265"/>
      <c r="Y179" s="3265"/>
      <c r="Z179" s="3265"/>
      <c r="AA179" s="3265"/>
      <c r="AB179" s="3265"/>
      <c r="AC179" s="3265"/>
      <c r="AD179" s="3265"/>
      <c r="AE179" s="3265"/>
      <c r="AF179" s="3265"/>
      <c r="AG179" s="3265"/>
      <c r="AH179" s="3265"/>
      <c r="AI179" s="57"/>
      <c r="AJ179" s="57"/>
      <c r="AK179" s="57"/>
      <c r="AL179" s="57"/>
      <c r="AM179" s="57"/>
    </row>
    <row r="180" spans="1:39" s="58" customFormat="1" ht="19.5" x14ac:dyDescent="0.2">
      <c r="A180" s="52">
        <v>108100</v>
      </c>
      <c r="B180" s="53"/>
      <c r="C180" s="42"/>
      <c r="D180" s="54" t="s">
        <v>673</v>
      </c>
      <c r="E180" s="55"/>
      <c r="F180" s="55"/>
      <c r="G180" s="55"/>
      <c r="H180" s="55"/>
      <c r="I180" s="56"/>
      <c r="J180" s="4"/>
      <c r="K180" s="4"/>
      <c r="L180" s="3265"/>
      <c r="M180" s="4"/>
      <c r="N180" s="4"/>
      <c r="O180" s="4"/>
      <c r="P180" s="3268"/>
      <c r="Q180" s="3265"/>
      <c r="R180" s="3265"/>
      <c r="S180" s="3266">
        <v>0</v>
      </c>
      <c r="T180" s="4"/>
      <c r="U180" s="3267">
        <f>SUM(E180:I180)</f>
        <v>0</v>
      </c>
      <c r="V180" s="3265"/>
      <c r="W180" s="3265"/>
      <c r="X180" s="3265"/>
      <c r="Y180" s="3265"/>
      <c r="Z180" s="3265"/>
      <c r="AA180" s="3265"/>
      <c r="AB180" s="3265"/>
      <c r="AC180" s="3265"/>
      <c r="AD180" s="3265"/>
      <c r="AE180" s="3265"/>
      <c r="AF180" s="3265"/>
      <c r="AG180" s="3265"/>
      <c r="AH180" s="3265"/>
      <c r="AI180" s="57"/>
      <c r="AJ180" s="57"/>
      <c r="AK180" s="57"/>
      <c r="AL180" s="57"/>
      <c r="AM180" s="57"/>
    </row>
    <row r="181" spans="1:39" s="58" customFormat="1" ht="19.5" x14ac:dyDescent="0.2">
      <c r="A181" s="52">
        <v>108200</v>
      </c>
      <c r="B181" s="53"/>
      <c r="C181" s="42"/>
      <c r="D181" s="59" t="s">
        <v>674</v>
      </c>
      <c r="E181" s="69"/>
      <c r="F181" s="69"/>
      <c r="G181" s="69"/>
      <c r="H181" s="69"/>
      <c r="I181" s="70"/>
      <c r="J181" s="4"/>
      <c r="K181" s="4"/>
      <c r="L181" s="3265"/>
      <c r="M181" s="4"/>
      <c r="N181" s="4"/>
      <c r="O181" s="4"/>
      <c r="P181" s="3268"/>
      <c r="Q181" s="3265"/>
      <c r="R181" s="3265"/>
      <c r="S181" s="3266">
        <v>0</v>
      </c>
      <c r="T181" s="4"/>
      <c r="U181" s="3267">
        <f>SUM(E181:I181)</f>
        <v>0</v>
      </c>
      <c r="V181" s="3265"/>
      <c r="W181" s="3265"/>
      <c r="X181" s="3265"/>
      <c r="Y181" s="3265"/>
      <c r="Z181" s="3265"/>
      <c r="AA181" s="3265"/>
      <c r="AB181" s="3265"/>
      <c r="AC181" s="3265"/>
      <c r="AD181" s="3265"/>
      <c r="AE181" s="3265"/>
      <c r="AF181" s="3265"/>
      <c r="AG181" s="3265"/>
      <c r="AH181" s="3265"/>
      <c r="AI181" s="57"/>
      <c r="AJ181" s="57"/>
      <c r="AK181" s="57"/>
      <c r="AL181" s="57"/>
      <c r="AM181" s="57"/>
    </row>
    <row r="182" spans="1:39" s="58" customFormat="1" ht="19.5" x14ac:dyDescent="0.2">
      <c r="A182" s="52">
        <v>108300</v>
      </c>
      <c r="B182" s="53"/>
      <c r="C182" s="42"/>
      <c r="D182" s="59" t="s">
        <v>675</v>
      </c>
      <c r="E182" s="69"/>
      <c r="F182" s="69"/>
      <c r="G182" s="69"/>
      <c r="H182" s="69"/>
      <c r="I182" s="70"/>
      <c r="J182" s="4"/>
      <c r="K182" s="4"/>
      <c r="L182" s="3265"/>
      <c r="M182" s="4"/>
      <c r="N182" s="4"/>
      <c r="O182" s="4"/>
      <c r="P182" s="3268"/>
      <c r="Q182" s="3265"/>
      <c r="R182" s="3265"/>
      <c r="S182" s="3266">
        <v>0</v>
      </c>
      <c r="T182" s="4"/>
      <c r="U182" s="3267">
        <f>SUM(E182:I182)</f>
        <v>0</v>
      </c>
      <c r="V182" s="3265"/>
      <c r="W182" s="3265"/>
      <c r="X182" s="3265"/>
      <c r="Y182" s="3265"/>
      <c r="Z182" s="3265"/>
      <c r="AA182" s="3265"/>
      <c r="AB182" s="3265"/>
      <c r="AC182" s="3265"/>
      <c r="AD182" s="3265"/>
      <c r="AE182" s="3265"/>
      <c r="AF182" s="3265"/>
      <c r="AG182" s="3265"/>
      <c r="AH182" s="3265"/>
      <c r="AI182" s="57"/>
      <c r="AJ182" s="57"/>
      <c r="AK182" s="57"/>
      <c r="AL182" s="57"/>
      <c r="AM182" s="57"/>
    </row>
    <row r="183" spans="1:39" s="58" customFormat="1" ht="19.5" x14ac:dyDescent="0.2">
      <c r="A183" s="52">
        <v>108400</v>
      </c>
      <c r="B183" s="53"/>
      <c r="C183" s="42"/>
      <c r="D183" s="89" t="s">
        <v>676</v>
      </c>
      <c r="E183" s="90"/>
      <c r="F183" s="90"/>
      <c r="G183" s="90"/>
      <c r="H183" s="90"/>
      <c r="I183" s="91"/>
      <c r="J183" s="4"/>
      <c r="K183" s="4"/>
      <c r="L183" s="3265"/>
      <c r="M183" s="4"/>
      <c r="N183" s="4"/>
      <c r="O183" s="4"/>
      <c r="P183" s="3268"/>
      <c r="Q183" s="3265"/>
      <c r="R183" s="3265"/>
      <c r="S183" s="3266">
        <v>0</v>
      </c>
      <c r="T183" s="4"/>
      <c r="U183" s="3267">
        <f>SUM(E183:I183)</f>
        <v>0</v>
      </c>
      <c r="V183" s="3265"/>
      <c r="W183" s="3265"/>
      <c r="X183" s="3265"/>
      <c r="Y183" s="3265"/>
      <c r="Z183" s="3265"/>
      <c r="AA183" s="3265"/>
      <c r="AB183" s="3265"/>
      <c r="AC183" s="3265"/>
      <c r="AD183" s="3265"/>
      <c r="AE183" s="3265"/>
      <c r="AF183" s="3265"/>
      <c r="AG183" s="3265"/>
      <c r="AH183" s="3265"/>
      <c r="AI183" s="57"/>
      <c r="AJ183" s="57"/>
      <c r="AK183" s="57"/>
      <c r="AL183" s="57"/>
      <c r="AM183" s="57"/>
    </row>
    <row r="184" spans="1:39" s="58" customFormat="1" ht="19.5" x14ac:dyDescent="0.2">
      <c r="A184" s="52">
        <v>108000</v>
      </c>
      <c r="B184" s="53"/>
      <c r="C184" s="86" t="s">
        <v>677</v>
      </c>
      <c r="D184" s="87"/>
      <c r="E184" s="80">
        <f>SUM(E180:E183)</f>
        <v>0</v>
      </c>
      <c r="F184" s="80">
        <f>SUM(F180:F183)</f>
        <v>0</v>
      </c>
      <c r="G184" s="80">
        <f>SUM(G180:G183)</f>
        <v>0</v>
      </c>
      <c r="H184" s="80">
        <f>SUM(H180:H183)</f>
        <v>0</v>
      </c>
      <c r="I184" s="81">
        <f>SUM(I180:I183)</f>
        <v>0</v>
      </c>
      <c r="J184" s="4"/>
      <c r="K184" s="4"/>
      <c r="L184" s="3265"/>
      <c r="M184" s="4"/>
      <c r="N184" s="4"/>
      <c r="O184" s="4"/>
      <c r="P184" s="3268"/>
      <c r="Q184" s="3265"/>
      <c r="R184" s="3265"/>
      <c r="S184" s="3266">
        <v>0</v>
      </c>
      <c r="T184" s="4"/>
      <c r="U184" s="3267">
        <f>SUM(E184:I184)</f>
        <v>0</v>
      </c>
      <c r="V184" s="3265"/>
      <c r="W184" s="3265"/>
      <c r="X184" s="3265"/>
      <c r="Y184" s="3265"/>
      <c r="Z184" s="3265"/>
      <c r="AA184" s="3265"/>
      <c r="AB184" s="3265"/>
      <c r="AC184" s="3265"/>
      <c r="AD184" s="3265"/>
      <c r="AE184" s="3265"/>
      <c r="AF184" s="3265"/>
      <c r="AG184" s="3265"/>
      <c r="AH184" s="3265"/>
      <c r="AI184" s="57"/>
      <c r="AJ184" s="57"/>
      <c r="AK184" s="57"/>
      <c r="AL184" s="57"/>
      <c r="AM184" s="57"/>
    </row>
    <row r="185" spans="1:39" s="58" customFormat="1" ht="19.5" x14ac:dyDescent="0.2">
      <c r="A185" s="52"/>
      <c r="B185" s="77"/>
      <c r="C185" s="42"/>
      <c r="D185" s="92"/>
      <c r="E185" s="42"/>
      <c r="F185" s="42"/>
      <c r="G185" s="42"/>
      <c r="H185" s="42"/>
      <c r="I185" s="92"/>
      <c r="J185" s="4"/>
      <c r="K185" s="4"/>
      <c r="L185" s="3265"/>
      <c r="M185" s="4"/>
      <c r="N185" s="4"/>
      <c r="O185" s="4"/>
      <c r="P185" s="3268"/>
      <c r="Q185" s="3265"/>
      <c r="R185" s="3265"/>
      <c r="S185" s="3266">
        <v>0</v>
      </c>
      <c r="T185" s="4"/>
      <c r="U185" s="3267">
        <v>1</v>
      </c>
      <c r="V185" s="3265"/>
      <c r="W185" s="3265"/>
      <c r="X185" s="3265"/>
      <c r="Y185" s="3265"/>
      <c r="Z185" s="3265"/>
      <c r="AA185" s="3265"/>
      <c r="AB185" s="3265"/>
      <c r="AC185" s="3265"/>
      <c r="AD185" s="3265"/>
      <c r="AE185" s="3265"/>
      <c r="AF185" s="3265"/>
      <c r="AG185" s="3265"/>
      <c r="AH185" s="3265"/>
      <c r="AI185" s="57"/>
      <c r="AJ185" s="57"/>
      <c r="AK185" s="57"/>
      <c r="AL185" s="57"/>
      <c r="AM185" s="57"/>
    </row>
    <row r="186" spans="1:39" s="58" customFormat="1" ht="21" x14ac:dyDescent="0.2">
      <c r="A186" s="52"/>
      <c r="B186" s="41" t="s">
        <v>678</v>
      </c>
      <c r="C186" s="41"/>
      <c r="D186" s="93"/>
      <c r="E186" s="42"/>
      <c r="F186" s="42"/>
      <c r="G186" s="42"/>
      <c r="H186" s="42"/>
      <c r="I186" s="92"/>
      <c r="J186" s="4"/>
      <c r="K186" s="4"/>
      <c r="L186" s="3265"/>
      <c r="M186" s="4"/>
      <c r="N186" s="4"/>
      <c r="O186" s="4"/>
      <c r="P186" s="3268"/>
      <c r="Q186" s="3265"/>
      <c r="R186" s="3265"/>
      <c r="S186" s="3266">
        <v>0</v>
      </c>
      <c r="T186" s="4"/>
      <c r="U186" s="3267">
        <v>1</v>
      </c>
      <c r="V186" s="3265"/>
      <c r="W186" s="3265"/>
      <c r="X186" s="3265"/>
      <c r="Y186" s="3265"/>
      <c r="Z186" s="3265"/>
      <c r="AA186" s="3265"/>
      <c r="AB186" s="3265"/>
      <c r="AC186" s="3265"/>
      <c r="AD186" s="3265"/>
      <c r="AE186" s="3265"/>
      <c r="AF186" s="3265"/>
      <c r="AG186" s="3265"/>
      <c r="AH186" s="3265"/>
      <c r="AI186" s="57"/>
      <c r="AJ186" s="57"/>
      <c r="AK186" s="57"/>
      <c r="AL186" s="57"/>
      <c r="AM186" s="57"/>
    </row>
    <row r="187" spans="1:39" s="58" customFormat="1" ht="21" x14ac:dyDescent="0.2">
      <c r="A187" s="52"/>
      <c r="B187" s="77"/>
      <c r="C187" s="41" t="s">
        <v>679</v>
      </c>
      <c r="D187" s="93"/>
      <c r="E187" s="42"/>
      <c r="F187" s="42"/>
      <c r="G187" s="42"/>
      <c r="H187" s="42"/>
      <c r="I187" s="92"/>
      <c r="J187" s="4"/>
      <c r="K187" s="4"/>
      <c r="L187" s="3265"/>
      <c r="M187" s="4"/>
      <c r="N187" s="4"/>
      <c r="O187" s="4"/>
      <c r="P187" s="3268"/>
      <c r="Q187" s="3265"/>
      <c r="R187" s="3265"/>
      <c r="S187" s="3266">
        <v>0</v>
      </c>
      <c r="T187" s="4"/>
      <c r="U187" s="3267">
        <v>1</v>
      </c>
      <c r="V187" s="3265"/>
      <c r="W187" s="3265"/>
      <c r="X187" s="3265"/>
      <c r="Y187" s="3265"/>
      <c r="Z187" s="3265"/>
      <c r="AA187" s="3265"/>
      <c r="AB187" s="3265"/>
      <c r="AC187" s="3265"/>
      <c r="AD187" s="3265"/>
      <c r="AE187" s="3265"/>
      <c r="AF187" s="3265"/>
      <c r="AG187" s="3265"/>
      <c r="AH187" s="3265"/>
      <c r="AI187" s="57"/>
      <c r="AJ187" s="57"/>
      <c r="AK187" s="57"/>
      <c r="AL187" s="57"/>
      <c r="AM187" s="57"/>
    </row>
    <row r="188" spans="1:39" s="58" customFormat="1" ht="19.5" x14ac:dyDescent="0.2">
      <c r="A188" s="52"/>
      <c r="B188" s="47"/>
      <c r="C188" s="48" t="s">
        <v>680</v>
      </c>
      <c r="D188" s="82"/>
      <c r="E188" s="50"/>
      <c r="F188" s="50"/>
      <c r="G188" s="50"/>
      <c r="H188" s="50"/>
      <c r="I188" s="83"/>
      <c r="J188" s="4"/>
      <c r="K188" s="4"/>
      <c r="L188" s="3265"/>
      <c r="M188" s="4"/>
      <c r="N188" s="4"/>
      <c r="O188" s="4"/>
      <c r="P188" s="3265"/>
      <c r="Q188" s="3265"/>
      <c r="R188" s="3265"/>
      <c r="S188" s="3266">
        <v>0</v>
      </c>
      <c r="T188" s="4"/>
      <c r="U188" s="3267">
        <f>U192</f>
        <v>150</v>
      </c>
      <c r="V188" s="3265"/>
      <c r="W188" s="3265"/>
      <c r="X188" s="3265"/>
      <c r="Y188" s="3265"/>
      <c r="Z188" s="3265"/>
      <c r="AA188" s="3265"/>
      <c r="AB188" s="3265"/>
      <c r="AC188" s="3265"/>
      <c r="AD188" s="3265"/>
      <c r="AE188" s="3265"/>
      <c r="AF188" s="3265"/>
      <c r="AG188" s="3265"/>
      <c r="AH188" s="3265"/>
      <c r="AI188" s="57"/>
      <c r="AJ188" s="57"/>
      <c r="AK188" s="57"/>
      <c r="AL188" s="57"/>
      <c r="AM188" s="57"/>
    </row>
    <row r="189" spans="1:39" s="58" customFormat="1" ht="19.5" x14ac:dyDescent="0.2">
      <c r="A189" s="52">
        <v>210500</v>
      </c>
      <c r="B189" s="53"/>
      <c r="C189" s="42"/>
      <c r="D189" s="54" t="s">
        <v>681</v>
      </c>
      <c r="E189" s="55">
        <v>10</v>
      </c>
      <c r="F189" s="55">
        <v>10</v>
      </c>
      <c r="G189" s="55">
        <v>10</v>
      </c>
      <c r="H189" s="55">
        <v>10</v>
      </c>
      <c r="I189" s="56">
        <v>10</v>
      </c>
      <c r="J189" s="4"/>
      <c r="K189" s="4"/>
      <c r="L189" s="3265"/>
      <c r="M189" s="4"/>
      <c r="N189" s="4"/>
      <c r="O189" s="4"/>
      <c r="P189" s="3268"/>
      <c r="Q189" s="3265"/>
      <c r="R189" s="3265"/>
      <c r="S189" s="3266">
        <v>0</v>
      </c>
      <c r="T189" s="4"/>
      <c r="U189" s="3267">
        <f>SUM(E189:I189)</f>
        <v>50</v>
      </c>
      <c r="V189" s="3265"/>
      <c r="W189" s="3265"/>
      <c r="X189" s="3265"/>
      <c r="Y189" s="3265"/>
      <c r="Z189" s="3265"/>
      <c r="AA189" s="3265"/>
      <c r="AB189" s="3265"/>
      <c r="AC189" s="3265"/>
      <c r="AD189" s="3265"/>
      <c r="AE189" s="3265"/>
      <c r="AF189" s="3265"/>
      <c r="AG189" s="3265"/>
      <c r="AH189" s="3265"/>
      <c r="AI189" s="57"/>
      <c r="AJ189" s="57"/>
      <c r="AK189" s="57"/>
      <c r="AL189" s="57"/>
      <c r="AM189" s="57"/>
    </row>
    <row r="190" spans="1:39" s="58" customFormat="1" ht="19.5" x14ac:dyDescent="0.2">
      <c r="A190" s="52">
        <v>211500</v>
      </c>
      <c r="B190" s="53"/>
      <c r="C190" s="42"/>
      <c r="D190" s="59" t="s">
        <v>682</v>
      </c>
      <c r="E190" s="69">
        <v>10</v>
      </c>
      <c r="F190" s="69">
        <v>10</v>
      </c>
      <c r="G190" s="69">
        <v>10</v>
      </c>
      <c r="H190" s="69">
        <v>10</v>
      </c>
      <c r="I190" s="70">
        <v>10</v>
      </c>
      <c r="J190" s="4"/>
      <c r="K190" s="4"/>
      <c r="L190" s="3265"/>
      <c r="M190" s="4"/>
      <c r="N190" s="4"/>
      <c r="O190" s="4"/>
      <c r="P190" s="3268"/>
      <c r="Q190" s="3265"/>
      <c r="R190" s="3265"/>
      <c r="S190" s="3266">
        <v>0</v>
      </c>
      <c r="T190" s="4"/>
      <c r="U190" s="3267">
        <f>SUM(E190:I190)</f>
        <v>50</v>
      </c>
      <c r="V190" s="3265"/>
      <c r="W190" s="3265"/>
      <c r="X190" s="3265"/>
      <c r="Y190" s="3265"/>
      <c r="Z190" s="3265"/>
      <c r="AA190" s="3265"/>
      <c r="AB190" s="3265"/>
      <c r="AC190" s="3265"/>
      <c r="AD190" s="3265"/>
      <c r="AE190" s="3265"/>
      <c r="AF190" s="3265"/>
      <c r="AG190" s="3265"/>
      <c r="AH190" s="3265"/>
      <c r="AI190" s="57"/>
      <c r="AJ190" s="57"/>
      <c r="AK190" s="57"/>
      <c r="AL190" s="57"/>
      <c r="AM190" s="57"/>
    </row>
    <row r="191" spans="1:39" s="58" customFormat="1" ht="19.5" x14ac:dyDescent="0.2">
      <c r="A191" s="52">
        <v>219500</v>
      </c>
      <c r="B191" s="53"/>
      <c r="C191" s="42"/>
      <c r="D191" s="59" t="s">
        <v>683</v>
      </c>
      <c r="E191" s="69">
        <v>10</v>
      </c>
      <c r="F191" s="69">
        <v>10</v>
      </c>
      <c r="G191" s="69">
        <v>10</v>
      </c>
      <c r="H191" s="69">
        <v>10</v>
      </c>
      <c r="I191" s="70">
        <v>10</v>
      </c>
      <c r="J191" s="4"/>
      <c r="K191" s="4"/>
      <c r="L191" s="3265"/>
      <c r="M191" s="4"/>
      <c r="N191" s="4"/>
      <c r="O191" s="4"/>
      <c r="P191" s="3268"/>
      <c r="Q191" s="3265"/>
      <c r="R191" s="3265"/>
      <c r="S191" s="3266">
        <v>0</v>
      </c>
      <c r="T191" s="4"/>
      <c r="U191" s="3267">
        <f>SUM(E191:I191)</f>
        <v>50</v>
      </c>
      <c r="V191" s="3265"/>
      <c r="W191" s="3265"/>
      <c r="X191" s="3265"/>
      <c r="Y191" s="3265"/>
      <c r="Z191" s="3265"/>
      <c r="AA191" s="3265"/>
      <c r="AB191" s="3265"/>
      <c r="AC191" s="3265"/>
      <c r="AD191" s="3265"/>
      <c r="AE191" s="3265"/>
      <c r="AF191" s="3265"/>
      <c r="AG191" s="3265"/>
      <c r="AH191" s="3265"/>
      <c r="AI191" s="57"/>
      <c r="AJ191" s="57"/>
      <c r="AK191" s="57"/>
      <c r="AL191" s="57"/>
      <c r="AM191" s="57"/>
    </row>
    <row r="192" spans="1:39" s="58" customFormat="1" ht="19.5" x14ac:dyDescent="0.2">
      <c r="A192" s="52">
        <v>2101</v>
      </c>
      <c r="B192" s="53"/>
      <c r="C192" s="60" t="s">
        <v>684</v>
      </c>
      <c r="D192" s="61"/>
      <c r="E192" s="62">
        <f>SUM(E189:E191)</f>
        <v>30</v>
      </c>
      <c r="F192" s="62">
        <f>SUM(F189:F191)</f>
        <v>30</v>
      </c>
      <c r="G192" s="62">
        <f>SUM(G189:G191)</f>
        <v>30</v>
      </c>
      <c r="H192" s="62">
        <f>SUM(H189:H191)</f>
        <v>30</v>
      </c>
      <c r="I192" s="63">
        <f>SUM(I189:I191)</f>
        <v>30</v>
      </c>
      <c r="J192" s="4"/>
      <c r="K192" s="4"/>
      <c r="L192" s="3265"/>
      <c r="M192" s="4"/>
      <c r="N192" s="4"/>
      <c r="O192" s="4"/>
      <c r="P192" s="3268"/>
      <c r="Q192" s="3265"/>
      <c r="R192" s="3265"/>
      <c r="S192" s="3266">
        <v>0</v>
      </c>
      <c r="T192" s="4"/>
      <c r="U192" s="3267">
        <f>SUM(E192:I192)</f>
        <v>150</v>
      </c>
      <c r="V192" s="3265"/>
      <c r="W192" s="3265"/>
      <c r="X192" s="3265"/>
      <c r="Y192" s="3265"/>
      <c r="Z192" s="3265"/>
      <c r="AA192" s="3265"/>
      <c r="AB192" s="3265"/>
      <c r="AC192" s="3265"/>
      <c r="AD192" s="3265"/>
      <c r="AE192" s="3265"/>
      <c r="AF192" s="3265"/>
      <c r="AG192" s="3265"/>
      <c r="AH192" s="3265"/>
      <c r="AI192" s="57"/>
      <c r="AJ192" s="57"/>
      <c r="AK192" s="57"/>
      <c r="AL192" s="57"/>
      <c r="AM192" s="57"/>
    </row>
    <row r="193" spans="1:39" s="58" customFormat="1" ht="19.5" x14ac:dyDescent="0.2">
      <c r="A193" s="52"/>
      <c r="B193" s="47"/>
      <c r="C193" s="48" t="s">
        <v>685</v>
      </c>
      <c r="D193" s="65"/>
      <c r="E193" s="66"/>
      <c r="F193" s="66"/>
      <c r="G193" s="66"/>
      <c r="H193" s="66"/>
      <c r="I193" s="67"/>
      <c r="J193" s="4"/>
      <c r="K193" s="4"/>
      <c r="L193" s="3265"/>
      <c r="M193" s="4"/>
      <c r="N193" s="4"/>
      <c r="O193" s="4"/>
      <c r="P193" s="3268"/>
      <c r="Q193" s="3265"/>
      <c r="R193" s="3265"/>
      <c r="S193" s="3266">
        <v>0</v>
      </c>
      <c r="T193" s="4"/>
      <c r="U193" s="3267">
        <f>U197</f>
        <v>150</v>
      </c>
      <c r="V193" s="3265"/>
      <c r="W193" s="3265"/>
      <c r="X193" s="3265"/>
      <c r="Y193" s="3265"/>
      <c r="Z193" s="3265"/>
      <c r="AA193" s="3265"/>
      <c r="AB193" s="3265"/>
      <c r="AC193" s="3265"/>
      <c r="AD193" s="3265"/>
      <c r="AE193" s="3265"/>
      <c r="AF193" s="3265"/>
      <c r="AG193" s="3265"/>
      <c r="AH193" s="3265"/>
      <c r="AI193" s="57"/>
      <c r="AJ193" s="57"/>
      <c r="AK193" s="57"/>
      <c r="AL193" s="57"/>
      <c r="AM193" s="57"/>
    </row>
    <row r="194" spans="1:39" s="58" customFormat="1" ht="19.5" x14ac:dyDescent="0.2">
      <c r="A194" s="52">
        <v>220500</v>
      </c>
      <c r="B194" s="53"/>
      <c r="C194" s="42"/>
      <c r="D194" s="54" t="s">
        <v>686</v>
      </c>
      <c r="E194" s="55">
        <v>10</v>
      </c>
      <c r="F194" s="55">
        <v>10</v>
      </c>
      <c r="G194" s="55">
        <v>10</v>
      </c>
      <c r="H194" s="55">
        <v>10</v>
      </c>
      <c r="I194" s="56">
        <v>10</v>
      </c>
      <c r="J194" s="4"/>
      <c r="K194" s="4"/>
      <c r="L194" s="3265"/>
      <c r="M194" s="4"/>
      <c r="N194" s="4"/>
      <c r="O194" s="4"/>
      <c r="P194" s="3268"/>
      <c r="Q194" s="3265"/>
      <c r="R194" s="3265"/>
      <c r="S194" s="3266">
        <v>0</v>
      </c>
      <c r="T194" s="4"/>
      <c r="U194" s="3267">
        <f>SUM(E194:I194)</f>
        <v>50</v>
      </c>
      <c r="V194" s="3265"/>
      <c r="W194" s="3265"/>
      <c r="X194" s="3265"/>
      <c r="Y194" s="3265"/>
      <c r="Z194" s="3265"/>
      <c r="AA194" s="3265"/>
      <c r="AB194" s="3265"/>
      <c r="AC194" s="3265"/>
      <c r="AD194" s="3265"/>
      <c r="AE194" s="3265"/>
      <c r="AF194" s="3265"/>
      <c r="AG194" s="3265"/>
      <c r="AH194" s="3265"/>
      <c r="AI194" s="57"/>
      <c r="AJ194" s="57"/>
      <c r="AK194" s="57"/>
      <c r="AL194" s="57"/>
      <c r="AM194" s="57"/>
    </row>
    <row r="195" spans="1:39" s="58" customFormat="1" ht="19.5" x14ac:dyDescent="0.2">
      <c r="A195" s="52">
        <v>221000</v>
      </c>
      <c r="B195" s="53"/>
      <c r="C195" s="42"/>
      <c r="D195" s="59" t="s">
        <v>687</v>
      </c>
      <c r="E195" s="69">
        <v>10</v>
      </c>
      <c r="F195" s="69">
        <v>10</v>
      </c>
      <c r="G195" s="69">
        <v>10</v>
      </c>
      <c r="H195" s="69">
        <v>10</v>
      </c>
      <c r="I195" s="70">
        <v>10</v>
      </c>
      <c r="J195" s="4"/>
      <c r="K195" s="4"/>
      <c r="L195" s="3265"/>
      <c r="M195" s="4"/>
      <c r="N195" s="4"/>
      <c r="O195" s="4"/>
      <c r="P195" s="3268"/>
      <c r="Q195" s="3265"/>
      <c r="R195" s="3265"/>
      <c r="S195" s="3266">
        <v>0</v>
      </c>
      <c r="T195" s="4"/>
      <c r="U195" s="3267">
        <f>SUM(E195:I195)</f>
        <v>50</v>
      </c>
      <c r="V195" s="3265"/>
      <c r="W195" s="3265"/>
      <c r="X195" s="3265"/>
      <c r="Y195" s="3265"/>
      <c r="Z195" s="3265"/>
      <c r="AA195" s="3265"/>
      <c r="AB195" s="3265"/>
      <c r="AC195" s="3265"/>
      <c r="AD195" s="3265"/>
      <c r="AE195" s="3265"/>
      <c r="AF195" s="3265"/>
      <c r="AG195" s="3265"/>
      <c r="AH195" s="3265"/>
      <c r="AI195" s="57"/>
      <c r="AJ195" s="57"/>
      <c r="AK195" s="57"/>
      <c r="AL195" s="57"/>
      <c r="AM195" s="57"/>
    </row>
    <row r="196" spans="1:39" s="58" customFormat="1" ht="19.5" x14ac:dyDescent="0.2">
      <c r="A196" s="52">
        <v>221500</v>
      </c>
      <c r="B196" s="53"/>
      <c r="C196" s="42"/>
      <c r="D196" s="89" t="s">
        <v>571</v>
      </c>
      <c r="E196" s="90">
        <v>10</v>
      </c>
      <c r="F196" s="90">
        <v>10</v>
      </c>
      <c r="G196" s="90">
        <v>10</v>
      </c>
      <c r="H196" s="90">
        <v>10</v>
      </c>
      <c r="I196" s="91">
        <v>10</v>
      </c>
      <c r="J196" s="4"/>
      <c r="K196" s="4"/>
      <c r="L196" s="3265"/>
      <c r="M196" s="4"/>
      <c r="N196" s="4"/>
      <c r="O196" s="4"/>
      <c r="P196" s="3268"/>
      <c r="Q196" s="3265"/>
      <c r="R196" s="3265"/>
      <c r="S196" s="3266">
        <v>0</v>
      </c>
      <c r="T196" s="4"/>
      <c r="U196" s="3267">
        <f>SUM(E196:I196)</f>
        <v>50</v>
      </c>
      <c r="V196" s="3265"/>
      <c r="W196" s="3265"/>
      <c r="X196" s="3265"/>
      <c r="Y196" s="3265"/>
      <c r="Z196" s="3265"/>
      <c r="AA196" s="3265"/>
      <c r="AB196" s="3265"/>
      <c r="AC196" s="3265"/>
      <c r="AD196" s="3265"/>
      <c r="AE196" s="3265"/>
      <c r="AF196" s="3265"/>
      <c r="AG196" s="3265"/>
      <c r="AH196" s="3265"/>
      <c r="AI196" s="57"/>
      <c r="AJ196" s="57"/>
      <c r="AK196" s="57"/>
      <c r="AL196" s="57"/>
      <c r="AM196" s="57"/>
    </row>
    <row r="197" spans="1:39" s="58" customFormat="1" ht="19.5" x14ac:dyDescent="0.2">
      <c r="A197" s="52">
        <v>2102</v>
      </c>
      <c r="B197" s="53"/>
      <c r="C197" s="60" t="s">
        <v>688</v>
      </c>
      <c r="D197" s="61"/>
      <c r="E197" s="62">
        <f>SUM(E194:E196)</f>
        <v>30</v>
      </c>
      <c r="F197" s="62">
        <f>SUM(F194:F196)</f>
        <v>30</v>
      </c>
      <c r="G197" s="62">
        <f>SUM(G194:G196)</f>
        <v>30</v>
      </c>
      <c r="H197" s="62">
        <f>SUM(H194:H196)</f>
        <v>30</v>
      </c>
      <c r="I197" s="63">
        <f>SUM(I194:I196)</f>
        <v>30</v>
      </c>
      <c r="J197" s="4"/>
      <c r="K197" s="4"/>
      <c r="L197" s="3265"/>
      <c r="M197" s="4"/>
      <c r="N197" s="4"/>
      <c r="O197" s="4"/>
      <c r="P197" s="3268"/>
      <c r="Q197" s="3265"/>
      <c r="R197" s="3265"/>
      <c r="S197" s="3266">
        <v>0</v>
      </c>
      <c r="T197" s="4"/>
      <c r="U197" s="3267">
        <f>SUM(E197:I197)</f>
        <v>150</v>
      </c>
      <c r="V197" s="3265"/>
      <c r="W197" s="3265"/>
      <c r="X197" s="3265"/>
      <c r="Y197" s="3265"/>
      <c r="Z197" s="3265"/>
      <c r="AA197" s="3265"/>
      <c r="AB197" s="3265"/>
      <c r="AC197" s="3265"/>
      <c r="AD197" s="3265"/>
      <c r="AE197" s="3265"/>
      <c r="AF197" s="3265"/>
      <c r="AG197" s="3265"/>
      <c r="AH197" s="3265"/>
      <c r="AI197" s="57"/>
      <c r="AJ197" s="57"/>
      <c r="AK197" s="57"/>
      <c r="AL197" s="57"/>
      <c r="AM197" s="57"/>
    </row>
    <row r="198" spans="1:39" s="58" customFormat="1" ht="19.5" x14ac:dyDescent="0.2">
      <c r="A198" s="52"/>
      <c r="B198" s="47"/>
      <c r="C198" s="48" t="s">
        <v>689</v>
      </c>
      <c r="D198" s="65"/>
      <c r="E198" s="66"/>
      <c r="F198" s="66"/>
      <c r="G198" s="66"/>
      <c r="H198" s="66"/>
      <c r="I198" s="67"/>
      <c r="J198" s="4"/>
      <c r="K198" s="4"/>
      <c r="L198" s="3265"/>
      <c r="M198" s="4"/>
      <c r="N198" s="4"/>
      <c r="O198" s="4"/>
      <c r="P198" s="3268"/>
      <c r="Q198" s="3265"/>
      <c r="R198" s="3265"/>
      <c r="S198" s="3266">
        <v>0</v>
      </c>
      <c r="T198" s="4"/>
      <c r="U198" s="3267">
        <f>U214</f>
        <v>700</v>
      </c>
      <c r="V198" s="3265"/>
      <c r="W198" s="3265"/>
      <c r="X198" s="3265"/>
      <c r="Y198" s="3265"/>
      <c r="Z198" s="3265"/>
      <c r="AA198" s="3265"/>
      <c r="AB198" s="3265"/>
      <c r="AC198" s="3265"/>
      <c r="AD198" s="3265"/>
      <c r="AE198" s="3265"/>
      <c r="AF198" s="3265"/>
      <c r="AG198" s="3265"/>
      <c r="AH198" s="3265"/>
      <c r="AI198" s="57"/>
      <c r="AJ198" s="57"/>
      <c r="AK198" s="57"/>
      <c r="AL198" s="57"/>
      <c r="AM198" s="57"/>
    </row>
    <row r="199" spans="1:39" s="58" customFormat="1" ht="19.5" x14ac:dyDescent="0.2">
      <c r="A199" s="52">
        <v>230500</v>
      </c>
      <c r="B199" s="53"/>
      <c r="C199" s="42"/>
      <c r="D199" s="54" t="s">
        <v>571</v>
      </c>
      <c r="E199" s="55">
        <v>10</v>
      </c>
      <c r="F199" s="55">
        <v>10</v>
      </c>
      <c r="G199" s="55">
        <v>10</v>
      </c>
      <c r="H199" s="55">
        <v>10</v>
      </c>
      <c r="I199" s="56">
        <v>10</v>
      </c>
      <c r="J199" s="4"/>
      <c r="K199" s="4"/>
      <c r="L199" s="3265"/>
      <c r="M199" s="4"/>
      <c r="N199" s="4"/>
      <c r="O199" s="4"/>
      <c r="P199" s="3268"/>
      <c r="Q199" s="3265"/>
      <c r="R199" s="3265"/>
      <c r="S199" s="3266">
        <v>0</v>
      </c>
      <c r="T199" s="4"/>
      <c r="U199" s="3267">
        <f t="shared" ref="U199:U214" si="15">SUM(E199:I199)</f>
        <v>50</v>
      </c>
      <c r="V199" s="3265"/>
      <c r="W199" s="3265"/>
      <c r="X199" s="3265"/>
      <c r="Y199" s="3265"/>
      <c r="Z199" s="3265"/>
      <c r="AA199" s="3265"/>
      <c r="AB199" s="3265"/>
      <c r="AC199" s="3265"/>
      <c r="AD199" s="3265"/>
      <c r="AE199" s="3265"/>
      <c r="AF199" s="3265"/>
      <c r="AG199" s="3265"/>
      <c r="AH199" s="3265"/>
      <c r="AI199" s="57"/>
      <c r="AJ199" s="57"/>
      <c r="AK199" s="57"/>
      <c r="AL199" s="57"/>
      <c r="AM199" s="57"/>
    </row>
    <row r="200" spans="1:39" s="58" customFormat="1" ht="19.5" x14ac:dyDescent="0.2">
      <c r="A200" s="52">
        <v>231000</v>
      </c>
      <c r="B200" s="53"/>
      <c r="C200" s="42"/>
      <c r="D200" s="59" t="s">
        <v>690</v>
      </c>
      <c r="E200" s="69">
        <v>10</v>
      </c>
      <c r="F200" s="69">
        <v>10</v>
      </c>
      <c r="G200" s="69">
        <v>10</v>
      </c>
      <c r="H200" s="69">
        <v>10</v>
      </c>
      <c r="I200" s="70">
        <v>10</v>
      </c>
      <c r="J200" s="4"/>
      <c r="K200" s="4"/>
      <c r="L200" s="3265"/>
      <c r="M200" s="4"/>
      <c r="N200" s="4"/>
      <c r="O200" s="4"/>
      <c r="P200" s="3268"/>
      <c r="Q200" s="3265"/>
      <c r="R200" s="3265"/>
      <c r="S200" s="3266">
        <v>0</v>
      </c>
      <c r="T200" s="4"/>
      <c r="U200" s="3267">
        <f t="shared" si="15"/>
        <v>50</v>
      </c>
      <c r="V200" s="3265"/>
      <c r="W200" s="3265"/>
      <c r="X200" s="3265"/>
      <c r="Y200" s="3265"/>
      <c r="Z200" s="3265"/>
      <c r="AA200" s="3265"/>
      <c r="AB200" s="3265"/>
      <c r="AC200" s="3265"/>
      <c r="AD200" s="3265"/>
      <c r="AE200" s="3265"/>
      <c r="AF200" s="3265"/>
      <c r="AG200" s="3265"/>
      <c r="AH200" s="3265"/>
      <c r="AI200" s="57"/>
      <c r="AJ200" s="57"/>
      <c r="AK200" s="57"/>
      <c r="AL200" s="57"/>
      <c r="AM200" s="57"/>
    </row>
    <row r="201" spans="1:39" s="58" customFormat="1" ht="19.5" x14ac:dyDescent="0.2">
      <c r="A201" s="52">
        <v>231500</v>
      </c>
      <c r="B201" s="53"/>
      <c r="C201" s="42"/>
      <c r="D201" s="59" t="s">
        <v>691</v>
      </c>
      <c r="E201" s="69">
        <v>10</v>
      </c>
      <c r="F201" s="69">
        <v>10</v>
      </c>
      <c r="G201" s="69">
        <v>10</v>
      </c>
      <c r="H201" s="69">
        <v>10</v>
      </c>
      <c r="I201" s="70">
        <v>10</v>
      </c>
      <c r="J201" s="4"/>
      <c r="K201" s="4"/>
      <c r="L201" s="3265"/>
      <c r="M201" s="4"/>
      <c r="N201" s="4"/>
      <c r="O201" s="4"/>
      <c r="P201" s="3268"/>
      <c r="Q201" s="3265"/>
      <c r="R201" s="3265"/>
      <c r="S201" s="3266">
        <v>0</v>
      </c>
      <c r="T201" s="4"/>
      <c r="U201" s="3267">
        <f t="shared" si="15"/>
        <v>50</v>
      </c>
      <c r="V201" s="3265"/>
      <c r="W201" s="3265"/>
      <c r="X201" s="3265"/>
      <c r="Y201" s="3265"/>
      <c r="Z201" s="3265"/>
      <c r="AA201" s="3265"/>
      <c r="AB201" s="3265"/>
      <c r="AC201" s="3265"/>
      <c r="AD201" s="3265"/>
      <c r="AE201" s="3265"/>
      <c r="AF201" s="3265"/>
      <c r="AG201" s="3265"/>
      <c r="AH201" s="3265"/>
      <c r="AI201" s="57"/>
      <c r="AJ201" s="57"/>
      <c r="AK201" s="57"/>
      <c r="AL201" s="57"/>
      <c r="AM201" s="57"/>
    </row>
    <row r="202" spans="1:39" s="58" customFormat="1" ht="19.5" x14ac:dyDescent="0.2">
      <c r="A202" s="52">
        <v>232000</v>
      </c>
      <c r="B202" s="53"/>
      <c r="C202" s="42"/>
      <c r="D202" s="59" t="s">
        <v>692</v>
      </c>
      <c r="E202" s="69">
        <v>10</v>
      </c>
      <c r="F202" s="69">
        <v>10</v>
      </c>
      <c r="G202" s="69">
        <v>10</v>
      </c>
      <c r="H202" s="69">
        <v>10</v>
      </c>
      <c r="I202" s="70">
        <v>10</v>
      </c>
      <c r="J202" s="4"/>
      <c r="K202" s="4"/>
      <c r="L202" s="3265"/>
      <c r="M202" s="4"/>
      <c r="N202" s="4"/>
      <c r="O202" s="4"/>
      <c r="P202" s="3268"/>
      <c r="Q202" s="3265"/>
      <c r="R202" s="3265"/>
      <c r="S202" s="3266">
        <v>0</v>
      </c>
      <c r="T202" s="4"/>
      <c r="U202" s="3267">
        <f t="shared" si="15"/>
        <v>50</v>
      </c>
      <c r="V202" s="3265"/>
      <c r="W202" s="3265"/>
      <c r="X202" s="3265"/>
      <c r="Y202" s="3265"/>
      <c r="Z202" s="3265"/>
      <c r="AA202" s="3265"/>
      <c r="AB202" s="3265"/>
      <c r="AC202" s="3265"/>
      <c r="AD202" s="3265"/>
      <c r="AE202" s="3265"/>
      <c r="AF202" s="3265"/>
      <c r="AG202" s="3265"/>
      <c r="AH202" s="3265"/>
      <c r="AI202" s="57"/>
      <c r="AJ202" s="57"/>
      <c r="AK202" s="57"/>
      <c r="AL202" s="57"/>
      <c r="AM202" s="57"/>
    </row>
    <row r="203" spans="1:39" s="58" customFormat="1" ht="19.5" x14ac:dyDescent="0.2">
      <c r="A203" s="52">
        <v>233500</v>
      </c>
      <c r="B203" s="53"/>
      <c r="C203" s="42"/>
      <c r="D203" s="59" t="s">
        <v>693</v>
      </c>
      <c r="E203" s="69">
        <v>10</v>
      </c>
      <c r="F203" s="69">
        <v>10</v>
      </c>
      <c r="G203" s="69">
        <v>10</v>
      </c>
      <c r="H203" s="69">
        <v>10</v>
      </c>
      <c r="I203" s="70">
        <v>10</v>
      </c>
      <c r="J203" s="4"/>
      <c r="K203" s="4"/>
      <c r="L203" s="3265"/>
      <c r="M203" s="4"/>
      <c r="N203" s="4"/>
      <c r="O203" s="4"/>
      <c r="P203" s="3268"/>
      <c r="Q203" s="3265"/>
      <c r="R203" s="3265"/>
      <c r="S203" s="3266">
        <v>0</v>
      </c>
      <c r="T203" s="4"/>
      <c r="U203" s="3267">
        <f t="shared" si="15"/>
        <v>50</v>
      </c>
      <c r="V203" s="3265"/>
      <c r="W203" s="3265"/>
      <c r="X203" s="3265"/>
      <c r="Y203" s="3265"/>
      <c r="Z203" s="3265"/>
      <c r="AA203" s="3265"/>
      <c r="AB203" s="3265"/>
      <c r="AC203" s="3265"/>
      <c r="AD203" s="3265"/>
      <c r="AE203" s="3265"/>
      <c r="AF203" s="3265"/>
      <c r="AG203" s="3265"/>
      <c r="AH203" s="3265"/>
      <c r="AI203" s="57"/>
      <c r="AJ203" s="57"/>
      <c r="AK203" s="57"/>
      <c r="AL203" s="57"/>
      <c r="AM203" s="57"/>
    </row>
    <row r="204" spans="1:39" s="58" customFormat="1" ht="19.5" x14ac:dyDescent="0.2">
      <c r="A204" s="52">
        <v>234500</v>
      </c>
      <c r="B204" s="53"/>
      <c r="C204" s="42"/>
      <c r="D204" s="59" t="s">
        <v>694</v>
      </c>
      <c r="E204" s="69">
        <v>10</v>
      </c>
      <c r="F204" s="69">
        <v>10</v>
      </c>
      <c r="G204" s="69">
        <v>10</v>
      </c>
      <c r="H204" s="69">
        <v>10</v>
      </c>
      <c r="I204" s="70">
        <v>10</v>
      </c>
      <c r="J204" s="4"/>
      <c r="K204" s="4"/>
      <c r="L204" s="3265"/>
      <c r="M204" s="4"/>
      <c r="N204" s="4"/>
      <c r="O204" s="4"/>
      <c r="P204" s="3268"/>
      <c r="Q204" s="3265"/>
      <c r="R204" s="3265"/>
      <c r="S204" s="3266">
        <v>0</v>
      </c>
      <c r="T204" s="4"/>
      <c r="U204" s="3267">
        <f t="shared" si="15"/>
        <v>50</v>
      </c>
      <c r="V204" s="3265"/>
      <c r="W204" s="3265"/>
      <c r="X204" s="3265"/>
      <c r="Y204" s="3265"/>
      <c r="Z204" s="3265"/>
      <c r="AA204" s="3265"/>
      <c r="AB204" s="3265"/>
      <c r="AC204" s="3265"/>
      <c r="AD204" s="3265"/>
      <c r="AE204" s="3265"/>
      <c r="AF204" s="3265"/>
      <c r="AG204" s="3265"/>
      <c r="AH204" s="3265"/>
      <c r="AI204" s="57"/>
      <c r="AJ204" s="57"/>
      <c r="AK204" s="57"/>
      <c r="AL204" s="57"/>
      <c r="AM204" s="57"/>
    </row>
    <row r="205" spans="1:39" s="58" customFormat="1" ht="19.5" x14ac:dyDescent="0.2">
      <c r="A205" s="52">
        <v>235000</v>
      </c>
      <c r="B205" s="53"/>
      <c r="C205" s="42"/>
      <c r="D205" s="59" t="s">
        <v>695</v>
      </c>
      <c r="E205" s="69">
        <v>10</v>
      </c>
      <c r="F205" s="69">
        <v>10</v>
      </c>
      <c r="G205" s="69">
        <v>10</v>
      </c>
      <c r="H205" s="69">
        <v>10</v>
      </c>
      <c r="I205" s="70">
        <v>10</v>
      </c>
      <c r="J205" s="4"/>
      <c r="K205" s="4"/>
      <c r="L205" s="3265"/>
      <c r="M205" s="4"/>
      <c r="N205" s="4"/>
      <c r="O205" s="4"/>
      <c r="P205" s="3268"/>
      <c r="Q205" s="3265"/>
      <c r="R205" s="3265"/>
      <c r="S205" s="3266">
        <v>0</v>
      </c>
      <c r="T205" s="4"/>
      <c r="U205" s="3267">
        <f t="shared" si="15"/>
        <v>50</v>
      </c>
      <c r="V205" s="3265"/>
      <c r="W205" s="3265"/>
      <c r="X205" s="3265"/>
      <c r="Y205" s="3265"/>
      <c r="Z205" s="3265"/>
      <c r="AA205" s="3265"/>
      <c r="AB205" s="3265"/>
      <c r="AC205" s="3265"/>
      <c r="AD205" s="3265"/>
      <c r="AE205" s="3265"/>
      <c r="AF205" s="3265"/>
      <c r="AG205" s="3265"/>
      <c r="AH205" s="3265"/>
      <c r="AI205" s="57"/>
      <c r="AJ205" s="57"/>
      <c r="AK205" s="57"/>
      <c r="AL205" s="57"/>
      <c r="AM205" s="57"/>
    </row>
    <row r="206" spans="1:39" s="58" customFormat="1" ht="19.5" x14ac:dyDescent="0.2">
      <c r="A206" s="52">
        <v>235500</v>
      </c>
      <c r="B206" s="53"/>
      <c r="C206" s="42"/>
      <c r="D206" s="59" t="s">
        <v>696</v>
      </c>
      <c r="E206" s="69">
        <v>10</v>
      </c>
      <c r="F206" s="69">
        <v>10</v>
      </c>
      <c r="G206" s="69">
        <v>10</v>
      </c>
      <c r="H206" s="69">
        <v>10</v>
      </c>
      <c r="I206" s="70">
        <v>10</v>
      </c>
      <c r="J206" s="4"/>
      <c r="K206" s="4"/>
      <c r="L206" s="3265"/>
      <c r="M206" s="4"/>
      <c r="N206" s="4"/>
      <c r="O206" s="4"/>
      <c r="P206" s="3268"/>
      <c r="Q206" s="3265"/>
      <c r="R206" s="3265"/>
      <c r="S206" s="3266">
        <v>0</v>
      </c>
      <c r="T206" s="4"/>
      <c r="U206" s="3267">
        <f t="shared" si="15"/>
        <v>50</v>
      </c>
      <c r="V206" s="3265"/>
      <c r="W206" s="3265"/>
      <c r="X206" s="3265"/>
      <c r="Y206" s="3265"/>
      <c r="Z206" s="3265"/>
      <c r="AA206" s="3265"/>
      <c r="AB206" s="3265"/>
      <c r="AC206" s="3265"/>
      <c r="AD206" s="3265"/>
      <c r="AE206" s="3265"/>
      <c r="AF206" s="3265"/>
      <c r="AG206" s="3265"/>
      <c r="AH206" s="3265"/>
      <c r="AI206" s="57"/>
      <c r="AJ206" s="57"/>
      <c r="AK206" s="57"/>
      <c r="AL206" s="57"/>
      <c r="AM206" s="57"/>
    </row>
    <row r="207" spans="1:39" s="58" customFormat="1" ht="19.5" x14ac:dyDescent="0.2">
      <c r="A207" s="52">
        <v>236000</v>
      </c>
      <c r="B207" s="53"/>
      <c r="C207" s="42"/>
      <c r="D207" s="59" t="s">
        <v>697</v>
      </c>
      <c r="E207" s="69">
        <v>10</v>
      </c>
      <c r="F207" s="69">
        <v>10</v>
      </c>
      <c r="G207" s="69">
        <v>10</v>
      </c>
      <c r="H207" s="69">
        <v>10</v>
      </c>
      <c r="I207" s="70">
        <v>10</v>
      </c>
      <c r="J207" s="4"/>
      <c r="K207" s="4"/>
      <c r="L207" s="3265"/>
      <c r="M207" s="4"/>
      <c r="N207" s="4"/>
      <c r="O207" s="4"/>
      <c r="P207" s="3268"/>
      <c r="Q207" s="3265"/>
      <c r="R207" s="3265"/>
      <c r="S207" s="3266">
        <v>0</v>
      </c>
      <c r="T207" s="4"/>
      <c r="U207" s="3267">
        <f t="shared" si="15"/>
        <v>50</v>
      </c>
      <c r="V207" s="3265"/>
      <c r="W207" s="3265"/>
      <c r="X207" s="3265"/>
      <c r="Y207" s="3265"/>
      <c r="Z207" s="3265"/>
      <c r="AA207" s="3265"/>
      <c r="AB207" s="3265"/>
      <c r="AC207" s="3265"/>
      <c r="AD207" s="3265"/>
      <c r="AE207" s="3265"/>
      <c r="AF207" s="3265"/>
      <c r="AG207" s="3265"/>
      <c r="AH207" s="3265"/>
      <c r="AI207" s="57"/>
      <c r="AJ207" s="57"/>
      <c r="AK207" s="57"/>
      <c r="AL207" s="57"/>
      <c r="AM207" s="57"/>
    </row>
    <row r="208" spans="1:39" s="58" customFormat="1" ht="19.5" x14ac:dyDescent="0.2">
      <c r="A208" s="52">
        <v>236500</v>
      </c>
      <c r="B208" s="53"/>
      <c r="C208" s="42"/>
      <c r="D208" s="59" t="s">
        <v>698</v>
      </c>
      <c r="E208" s="69">
        <v>10</v>
      </c>
      <c r="F208" s="69">
        <v>10</v>
      </c>
      <c r="G208" s="69">
        <v>10</v>
      </c>
      <c r="H208" s="69">
        <v>10</v>
      </c>
      <c r="I208" s="70">
        <v>10</v>
      </c>
      <c r="J208" s="4"/>
      <c r="K208" s="4"/>
      <c r="L208" s="3265"/>
      <c r="M208" s="4"/>
      <c r="N208" s="4"/>
      <c r="O208" s="4"/>
      <c r="P208" s="3268"/>
      <c r="Q208" s="3265"/>
      <c r="R208" s="3265"/>
      <c r="S208" s="3266">
        <v>0</v>
      </c>
      <c r="T208" s="4"/>
      <c r="U208" s="3267">
        <f t="shared" si="15"/>
        <v>50</v>
      </c>
      <c r="V208" s="3265"/>
      <c r="W208" s="3265"/>
      <c r="X208" s="3265"/>
      <c r="Y208" s="3265"/>
      <c r="Z208" s="3265"/>
      <c r="AA208" s="3265"/>
      <c r="AB208" s="3265"/>
      <c r="AC208" s="3265"/>
      <c r="AD208" s="3265"/>
      <c r="AE208" s="3265"/>
      <c r="AF208" s="3265"/>
      <c r="AG208" s="3265"/>
      <c r="AH208" s="3265"/>
      <c r="AI208" s="57"/>
      <c r="AJ208" s="57"/>
      <c r="AK208" s="57"/>
      <c r="AL208" s="57"/>
      <c r="AM208" s="57"/>
    </row>
    <row r="209" spans="1:39" s="58" customFormat="1" ht="19.5" x14ac:dyDescent="0.2">
      <c r="A209" s="52">
        <v>236700</v>
      </c>
      <c r="B209" s="53"/>
      <c r="C209" s="42"/>
      <c r="D209" s="59" t="s">
        <v>699</v>
      </c>
      <c r="E209" s="69">
        <v>10</v>
      </c>
      <c r="F209" s="69">
        <v>10</v>
      </c>
      <c r="G209" s="69">
        <v>10</v>
      </c>
      <c r="H209" s="69">
        <v>10</v>
      </c>
      <c r="I209" s="70">
        <v>10</v>
      </c>
      <c r="J209" s="4"/>
      <c r="K209" s="4"/>
      <c r="L209" s="3265"/>
      <c r="M209" s="4"/>
      <c r="N209" s="4"/>
      <c r="O209" s="4"/>
      <c r="P209" s="3268"/>
      <c r="Q209" s="3265"/>
      <c r="R209" s="3265"/>
      <c r="S209" s="3266">
        <v>0</v>
      </c>
      <c r="T209" s="3265"/>
      <c r="U209" s="3267">
        <f t="shared" si="15"/>
        <v>50</v>
      </c>
      <c r="V209" s="3265"/>
      <c r="W209" s="3265"/>
      <c r="X209" s="3265"/>
      <c r="Y209" s="3265"/>
      <c r="Z209" s="3265"/>
      <c r="AA209" s="3265"/>
      <c r="AB209" s="3265"/>
      <c r="AC209" s="3265"/>
      <c r="AD209" s="3265"/>
      <c r="AE209" s="3265"/>
      <c r="AF209" s="3265"/>
      <c r="AG209" s="3265"/>
      <c r="AH209" s="3265"/>
      <c r="AI209" s="57"/>
      <c r="AJ209" s="57"/>
      <c r="AK209" s="57"/>
      <c r="AL209" s="57"/>
      <c r="AM209" s="57"/>
    </row>
    <row r="210" spans="1:39" s="58" customFormat="1" ht="19.5" x14ac:dyDescent="0.2">
      <c r="A210" s="52">
        <v>236800</v>
      </c>
      <c r="B210" s="53"/>
      <c r="C210" s="42"/>
      <c r="D210" s="59" t="s">
        <v>700</v>
      </c>
      <c r="E210" s="69">
        <v>10</v>
      </c>
      <c r="F210" s="69">
        <v>10</v>
      </c>
      <c r="G210" s="69">
        <v>10</v>
      </c>
      <c r="H210" s="69">
        <v>10</v>
      </c>
      <c r="I210" s="70">
        <v>10</v>
      </c>
      <c r="J210" s="4"/>
      <c r="K210" s="4"/>
      <c r="L210" s="3265"/>
      <c r="M210" s="4"/>
      <c r="N210" s="4"/>
      <c r="O210" s="4"/>
      <c r="P210" s="3268"/>
      <c r="Q210" s="3265"/>
      <c r="R210" s="3265"/>
      <c r="S210" s="3266">
        <v>0</v>
      </c>
      <c r="T210" s="3265"/>
      <c r="U210" s="3267">
        <f t="shared" si="15"/>
        <v>50</v>
      </c>
      <c r="V210" s="3265"/>
      <c r="W210" s="3265"/>
      <c r="X210" s="3265"/>
      <c r="Y210" s="3265"/>
      <c r="Z210" s="3265"/>
      <c r="AA210" s="3265"/>
      <c r="AB210" s="3265"/>
      <c r="AC210" s="3265"/>
      <c r="AD210" s="3265"/>
      <c r="AE210" s="3265"/>
      <c r="AF210" s="3265"/>
      <c r="AG210" s="3265"/>
      <c r="AH210" s="3265"/>
      <c r="AI210" s="57"/>
      <c r="AJ210" s="57"/>
      <c r="AK210" s="57"/>
      <c r="AL210" s="57"/>
      <c r="AM210" s="57"/>
    </row>
    <row r="211" spans="1:39" s="58" customFormat="1" ht="19.5" x14ac:dyDescent="0.2">
      <c r="A211" s="52">
        <v>237000</v>
      </c>
      <c r="B211" s="53"/>
      <c r="C211" s="42"/>
      <c r="D211" s="59" t="s">
        <v>701</v>
      </c>
      <c r="E211" s="69">
        <v>10</v>
      </c>
      <c r="F211" s="69">
        <v>10</v>
      </c>
      <c r="G211" s="69">
        <v>10</v>
      </c>
      <c r="H211" s="69">
        <v>10</v>
      </c>
      <c r="I211" s="70">
        <v>10</v>
      </c>
      <c r="J211" s="4"/>
      <c r="K211" s="4"/>
      <c r="L211" s="3265"/>
      <c r="M211" s="4"/>
      <c r="N211" s="4"/>
      <c r="O211" s="4"/>
      <c r="P211" s="3268"/>
      <c r="Q211" s="3265"/>
      <c r="R211" s="3265"/>
      <c r="S211" s="3266">
        <v>0</v>
      </c>
      <c r="T211" s="3265"/>
      <c r="U211" s="3267">
        <f t="shared" si="15"/>
        <v>50</v>
      </c>
      <c r="V211" s="3265"/>
      <c r="W211" s="3265"/>
      <c r="X211" s="3265"/>
      <c r="Y211" s="3265"/>
      <c r="Z211" s="3265"/>
      <c r="AA211" s="3265"/>
      <c r="AB211" s="3265"/>
      <c r="AC211" s="3265"/>
      <c r="AD211" s="3265"/>
      <c r="AE211" s="3265"/>
      <c r="AF211" s="3265"/>
      <c r="AG211" s="3265"/>
      <c r="AH211" s="3265"/>
      <c r="AI211" s="57"/>
      <c r="AJ211" s="57"/>
      <c r="AK211" s="57"/>
      <c r="AL211" s="57"/>
      <c r="AM211" s="57"/>
    </row>
    <row r="212" spans="1:39" s="58" customFormat="1" ht="19.5" x14ac:dyDescent="0.2">
      <c r="A212" s="52">
        <v>238000</v>
      </c>
      <c r="B212" s="53"/>
      <c r="C212" s="42"/>
      <c r="D212" s="59" t="s">
        <v>702</v>
      </c>
      <c r="E212" s="69">
        <v>10</v>
      </c>
      <c r="F212" s="69">
        <v>10</v>
      </c>
      <c r="G212" s="69">
        <v>10</v>
      </c>
      <c r="H212" s="69">
        <v>10</v>
      </c>
      <c r="I212" s="70">
        <v>10</v>
      </c>
      <c r="J212" s="4"/>
      <c r="K212" s="4"/>
      <c r="L212" s="3265"/>
      <c r="M212" s="4"/>
      <c r="N212" s="4"/>
      <c r="O212" s="4"/>
      <c r="P212" s="3268"/>
      <c r="Q212" s="3265"/>
      <c r="R212" s="3265"/>
      <c r="S212" s="3266">
        <v>0</v>
      </c>
      <c r="T212" s="3265"/>
      <c r="U212" s="3267">
        <f t="shared" si="15"/>
        <v>50</v>
      </c>
      <c r="V212" s="3265"/>
      <c r="W212" s="3265"/>
      <c r="X212" s="3265"/>
      <c r="Y212" s="3265"/>
      <c r="Z212" s="3265"/>
      <c r="AA212" s="3265"/>
      <c r="AB212" s="3265"/>
      <c r="AC212" s="3265"/>
      <c r="AD212" s="3265"/>
      <c r="AE212" s="3265"/>
      <c r="AF212" s="3265"/>
      <c r="AG212" s="3265"/>
      <c r="AH212" s="3265"/>
      <c r="AI212" s="57"/>
      <c r="AJ212" s="57"/>
      <c r="AK212" s="57"/>
      <c r="AL212" s="57"/>
      <c r="AM212" s="57"/>
    </row>
    <row r="213" spans="1:39" s="58" customFormat="1" ht="18.95" hidden="1" customHeight="1" x14ac:dyDescent="0.2">
      <c r="A213" s="52"/>
      <c r="B213" s="53"/>
      <c r="C213" s="42"/>
      <c r="D213" s="59"/>
      <c r="E213" s="69"/>
      <c r="F213" s="69"/>
      <c r="G213" s="72"/>
      <c r="H213" s="72"/>
      <c r="I213" s="59"/>
      <c r="J213" s="4"/>
      <c r="K213" s="4"/>
      <c r="L213" s="3265"/>
      <c r="M213" s="4"/>
      <c r="N213" s="4"/>
      <c r="O213" s="4"/>
      <c r="P213" s="3268"/>
      <c r="Q213" s="3265"/>
      <c r="R213" s="3265"/>
      <c r="S213" s="3266">
        <v>1</v>
      </c>
      <c r="T213" s="3265"/>
      <c r="U213" s="3267">
        <f t="shared" si="15"/>
        <v>0</v>
      </c>
      <c r="V213" s="3265"/>
      <c r="W213" s="3265"/>
      <c r="X213" s="3265"/>
      <c r="Y213" s="3265"/>
      <c r="Z213" s="3265"/>
      <c r="AA213" s="3265"/>
      <c r="AB213" s="3265"/>
      <c r="AC213" s="3265"/>
      <c r="AD213" s="3265"/>
      <c r="AE213" s="3265"/>
      <c r="AF213" s="3265"/>
      <c r="AG213" s="3265"/>
      <c r="AH213" s="3265"/>
      <c r="AI213" s="57"/>
      <c r="AJ213" s="57"/>
      <c r="AK213" s="57"/>
      <c r="AL213" s="57"/>
      <c r="AM213" s="57"/>
    </row>
    <row r="214" spans="1:39" s="58" customFormat="1" ht="19.5" x14ac:dyDescent="0.2">
      <c r="A214" s="52">
        <v>2103</v>
      </c>
      <c r="B214" s="53"/>
      <c r="C214" s="60" t="s">
        <v>703</v>
      </c>
      <c r="D214" s="61"/>
      <c r="E214" s="62">
        <f>SUM(E199:E212)</f>
        <v>140</v>
      </c>
      <c r="F214" s="62">
        <f>SUM(F199:F212)</f>
        <v>140</v>
      </c>
      <c r="G214" s="62">
        <f>SUM(G199:G212)</f>
        <v>140</v>
      </c>
      <c r="H214" s="62">
        <f>SUM(H199:H212)</f>
        <v>140</v>
      </c>
      <c r="I214" s="63">
        <f>SUM(I199:I212)</f>
        <v>140</v>
      </c>
      <c r="J214" s="4"/>
      <c r="K214" s="4"/>
      <c r="L214" s="3265"/>
      <c r="M214" s="4"/>
      <c r="N214" s="4"/>
      <c r="O214" s="4"/>
      <c r="P214" s="3268"/>
      <c r="Q214" s="3265"/>
      <c r="R214" s="3265"/>
      <c r="S214" s="3266">
        <v>0</v>
      </c>
      <c r="T214" s="3265"/>
      <c r="U214" s="3267">
        <f t="shared" si="15"/>
        <v>700</v>
      </c>
      <c r="V214" s="3265"/>
      <c r="W214" s="3265"/>
      <c r="X214" s="3265"/>
      <c r="Y214" s="3265"/>
      <c r="Z214" s="3265"/>
      <c r="AA214" s="3265"/>
      <c r="AB214" s="3265"/>
      <c r="AC214" s="3265"/>
      <c r="AD214" s="3265"/>
      <c r="AE214" s="3265"/>
      <c r="AF214" s="3265"/>
      <c r="AG214" s="3265"/>
      <c r="AH214" s="3265"/>
      <c r="AI214" s="57"/>
      <c r="AJ214" s="57"/>
      <c r="AK214" s="57"/>
      <c r="AL214" s="57"/>
      <c r="AM214" s="57"/>
    </row>
    <row r="215" spans="1:39" s="58" customFormat="1" ht="19.5" x14ac:dyDescent="0.2">
      <c r="A215" s="52"/>
      <c r="B215" s="47"/>
      <c r="C215" s="48" t="s">
        <v>704</v>
      </c>
      <c r="D215" s="65"/>
      <c r="E215" s="66"/>
      <c r="F215" s="66"/>
      <c r="G215" s="66"/>
      <c r="H215" s="66"/>
      <c r="I215" s="67"/>
      <c r="J215" s="4"/>
      <c r="K215" s="4"/>
      <c r="L215" s="3265"/>
      <c r="M215" s="4"/>
      <c r="N215" s="4"/>
      <c r="O215" s="4"/>
      <c r="P215" s="3268"/>
      <c r="Q215" s="3265"/>
      <c r="R215" s="3265"/>
      <c r="S215" s="3266">
        <v>0</v>
      </c>
      <c r="T215" s="3265"/>
      <c r="U215" s="3267">
        <f>U226</f>
        <v>200</v>
      </c>
      <c r="V215" s="3265"/>
      <c r="W215" s="3265"/>
      <c r="X215" s="3265"/>
      <c r="Y215" s="3265"/>
      <c r="Z215" s="3265"/>
      <c r="AA215" s="3265"/>
      <c r="AB215" s="3265"/>
      <c r="AC215" s="3265"/>
      <c r="AD215" s="3265"/>
      <c r="AE215" s="3265"/>
      <c r="AF215" s="3265"/>
      <c r="AG215" s="3265"/>
      <c r="AH215" s="3265"/>
      <c r="AI215" s="57"/>
      <c r="AJ215" s="57"/>
      <c r="AK215" s="57"/>
      <c r="AL215" s="57"/>
      <c r="AM215" s="57"/>
    </row>
    <row r="216" spans="1:39" s="58" customFormat="1" ht="19.5" x14ac:dyDescent="0.2">
      <c r="A216" s="52">
        <v>240400</v>
      </c>
      <c r="B216" s="53"/>
      <c r="C216" s="42"/>
      <c r="D216" s="54" t="s">
        <v>705</v>
      </c>
      <c r="E216" s="55">
        <v>10</v>
      </c>
      <c r="F216" s="55">
        <v>10</v>
      </c>
      <c r="G216" s="55">
        <v>10</v>
      </c>
      <c r="H216" s="55">
        <v>10</v>
      </c>
      <c r="I216" s="56">
        <v>10</v>
      </c>
      <c r="J216" s="4"/>
      <c r="K216" s="4"/>
      <c r="L216" s="3265"/>
      <c r="M216" s="4"/>
      <c r="N216" s="4"/>
      <c r="O216" s="4"/>
      <c r="P216" s="3268"/>
      <c r="Q216" s="3265"/>
      <c r="R216" s="3265"/>
      <c r="S216" s="3266">
        <v>0</v>
      </c>
      <c r="T216" s="3265"/>
      <c r="U216" s="3267">
        <f t="shared" ref="U216:U226" si="16">SUM(E216:I216)</f>
        <v>50</v>
      </c>
      <c r="V216" s="3265"/>
      <c r="W216" s="3265"/>
      <c r="X216" s="3265"/>
      <c r="Y216" s="3265"/>
      <c r="Z216" s="3265"/>
      <c r="AA216" s="3265"/>
      <c r="AB216" s="3265"/>
      <c r="AC216" s="3265"/>
      <c r="AD216" s="3265"/>
      <c r="AE216" s="3265"/>
      <c r="AF216" s="3265"/>
      <c r="AG216" s="3265"/>
      <c r="AH216" s="3265"/>
      <c r="AI216" s="57"/>
      <c r="AJ216" s="57"/>
      <c r="AK216" s="57"/>
      <c r="AL216" s="57"/>
      <c r="AM216" s="57"/>
    </row>
    <row r="217" spans="1:39" s="58" customFormat="1" ht="19.5" x14ac:dyDescent="0.2">
      <c r="A217" s="52">
        <v>240800</v>
      </c>
      <c r="B217" s="53"/>
      <c r="C217" s="42"/>
      <c r="D217" s="59" t="s">
        <v>706</v>
      </c>
      <c r="E217" s="69">
        <v>10</v>
      </c>
      <c r="F217" s="69">
        <v>10</v>
      </c>
      <c r="G217" s="69">
        <v>10</v>
      </c>
      <c r="H217" s="69">
        <v>10</v>
      </c>
      <c r="I217" s="70">
        <v>10</v>
      </c>
      <c r="J217" s="4"/>
      <c r="K217" s="4"/>
      <c r="L217" s="3265"/>
      <c r="M217" s="4"/>
      <c r="N217" s="4"/>
      <c r="O217" s="4"/>
      <c r="P217" s="3268"/>
      <c r="Q217" s="3265"/>
      <c r="R217" s="3265"/>
      <c r="S217" s="3266">
        <v>0</v>
      </c>
      <c r="T217" s="3265"/>
      <c r="U217" s="3267">
        <f t="shared" si="16"/>
        <v>50</v>
      </c>
      <c r="V217" s="3265"/>
      <c r="W217" s="3265"/>
      <c r="X217" s="3265"/>
      <c r="Y217" s="3265"/>
      <c r="Z217" s="3265"/>
      <c r="AA217" s="3265"/>
      <c r="AB217" s="3265"/>
      <c r="AC217" s="3265"/>
      <c r="AD217" s="3265"/>
      <c r="AE217" s="3265"/>
      <c r="AF217" s="3265"/>
      <c r="AG217" s="3265"/>
      <c r="AH217" s="3265"/>
      <c r="AI217" s="57"/>
      <c r="AJ217" s="57"/>
      <c r="AK217" s="57"/>
      <c r="AL217" s="57"/>
      <c r="AM217" s="57"/>
    </row>
    <row r="218" spans="1:39" s="58" customFormat="1" ht="19.5" x14ac:dyDescent="0.2">
      <c r="A218" s="52">
        <v>241200</v>
      </c>
      <c r="B218" s="53"/>
      <c r="C218" s="42"/>
      <c r="D218" s="59" t="s">
        <v>707</v>
      </c>
      <c r="E218" s="69">
        <v>10</v>
      </c>
      <c r="F218" s="69">
        <v>10</v>
      </c>
      <c r="G218" s="69">
        <v>10</v>
      </c>
      <c r="H218" s="69">
        <v>10</v>
      </c>
      <c r="I218" s="70">
        <v>10</v>
      </c>
      <c r="J218" s="4"/>
      <c r="K218" s="4"/>
      <c r="L218" s="3265"/>
      <c r="M218" s="4"/>
      <c r="N218" s="4"/>
      <c r="O218" s="4"/>
      <c r="P218" s="3268"/>
      <c r="Q218" s="3265"/>
      <c r="R218" s="3265"/>
      <c r="S218" s="3266">
        <v>0</v>
      </c>
      <c r="T218" s="3265"/>
      <c r="U218" s="3267">
        <f t="shared" si="16"/>
        <v>50</v>
      </c>
      <c r="V218" s="4"/>
      <c r="W218" s="3265"/>
      <c r="X218" s="3265"/>
      <c r="Y218" s="3265"/>
      <c r="Z218" s="3265"/>
      <c r="AA218" s="3265"/>
      <c r="AB218" s="3265"/>
      <c r="AC218" s="3265"/>
      <c r="AD218" s="3265"/>
      <c r="AE218" s="3265"/>
      <c r="AF218" s="3265"/>
      <c r="AG218" s="3265"/>
      <c r="AH218" s="3265"/>
      <c r="AI218" s="57"/>
      <c r="AJ218" s="57"/>
      <c r="AK218" s="57"/>
      <c r="AL218" s="57"/>
      <c r="AM218" s="57"/>
    </row>
    <row r="219" spans="1:39" s="58" customFormat="1" ht="19.5" x14ac:dyDescent="0.2">
      <c r="A219" s="52">
        <v>249500</v>
      </c>
      <c r="B219" s="53"/>
      <c r="C219" s="42"/>
      <c r="D219" s="59" t="s">
        <v>453</v>
      </c>
      <c r="E219" s="69">
        <v>10</v>
      </c>
      <c r="F219" s="69">
        <v>10</v>
      </c>
      <c r="G219" s="69">
        <v>10</v>
      </c>
      <c r="H219" s="69">
        <v>10</v>
      </c>
      <c r="I219" s="70">
        <v>10</v>
      </c>
      <c r="J219" s="4"/>
      <c r="K219" s="4"/>
      <c r="L219" s="3265"/>
      <c r="M219" s="4"/>
      <c r="N219" s="4"/>
      <c r="O219" s="4"/>
      <c r="P219" s="3268"/>
      <c r="Q219" s="3265"/>
      <c r="R219" s="3265"/>
      <c r="S219" s="3266">
        <v>0</v>
      </c>
      <c r="T219" s="3265"/>
      <c r="U219" s="3267">
        <f t="shared" si="16"/>
        <v>50</v>
      </c>
      <c r="V219" s="4"/>
      <c r="W219" s="3265"/>
      <c r="X219" s="3265"/>
      <c r="Y219" s="3265"/>
      <c r="Z219" s="3265"/>
      <c r="AA219" s="3265"/>
      <c r="AB219" s="3265"/>
      <c r="AC219" s="3265"/>
      <c r="AD219" s="3265"/>
      <c r="AE219" s="3265"/>
      <c r="AF219" s="3265"/>
      <c r="AG219" s="3265"/>
      <c r="AH219" s="3265"/>
      <c r="AI219" s="57"/>
      <c r="AJ219" s="57"/>
      <c r="AK219" s="57"/>
      <c r="AL219" s="57"/>
      <c r="AM219" s="57"/>
    </row>
    <row r="220" spans="1:39" s="58" customFormat="1" ht="18.95" hidden="1" customHeight="1" x14ac:dyDescent="0.2">
      <c r="A220" s="52"/>
      <c r="B220" s="53"/>
      <c r="C220" s="42"/>
      <c r="D220" s="59"/>
      <c r="E220" s="69"/>
      <c r="F220" s="69"/>
      <c r="G220" s="72"/>
      <c r="H220" s="72"/>
      <c r="I220" s="59"/>
      <c r="J220" s="4"/>
      <c r="K220" s="4"/>
      <c r="L220" s="3265"/>
      <c r="M220" s="4"/>
      <c r="N220" s="4"/>
      <c r="O220" s="4"/>
      <c r="P220" s="3268"/>
      <c r="Q220" s="3265"/>
      <c r="R220" s="3265"/>
      <c r="S220" s="3266">
        <v>1</v>
      </c>
      <c r="T220" s="3265"/>
      <c r="U220" s="3267">
        <f t="shared" si="16"/>
        <v>0</v>
      </c>
      <c r="V220" s="4"/>
      <c r="W220" s="3265"/>
      <c r="X220" s="3265"/>
      <c r="Y220" s="3265"/>
      <c r="Z220" s="3265"/>
      <c r="AA220" s="3265"/>
      <c r="AB220" s="3265"/>
      <c r="AC220" s="3265"/>
      <c r="AD220" s="3265"/>
      <c r="AE220" s="3265"/>
      <c r="AF220" s="3265"/>
      <c r="AG220" s="3265"/>
      <c r="AH220" s="3265"/>
      <c r="AI220" s="57"/>
      <c r="AJ220" s="57"/>
      <c r="AK220" s="57"/>
      <c r="AL220" s="57"/>
      <c r="AM220" s="57"/>
    </row>
    <row r="221" spans="1:39" s="58" customFormat="1" ht="18.95" hidden="1" customHeight="1" x14ac:dyDescent="0.2">
      <c r="A221" s="52"/>
      <c r="B221" s="53"/>
      <c r="C221" s="42"/>
      <c r="D221" s="59"/>
      <c r="E221" s="69"/>
      <c r="F221" s="69"/>
      <c r="G221" s="72"/>
      <c r="H221" s="72"/>
      <c r="I221" s="59"/>
      <c r="J221" s="4"/>
      <c r="K221" s="4"/>
      <c r="L221" s="3265"/>
      <c r="M221" s="4"/>
      <c r="N221" s="4"/>
      <c r="O221" s="4"/>
      <c r="P221" s="3268"/>
      <c r="Q221" s="3265"/>
      <c r="R221" s="3265"/>
      <c r="S221" s="3266">
        <v>1</v>
      </c>
      <c r="T221" s="3265"/>
      <c r="U221" s="3267">
        <f t="shared" si="16"/>
        <v>0</v>
      </c>
      <c r="V221" s="4"/>
      <c r="W221" s="3265"/>
      <c r="X221" s="3265"/>
      <c r="Y221" s="3265"/>
      <c r="Z221" s="3265"/>
      <c r="AA221" s="3265"/>
      <c r="AB221" s="3265"/>
      <c r="AC221" s="3265"/>
      <c r="AD221" s="3265"/>
      <c r="AE221" s="3265"/>
      <c r="AF221" s="3265"/>
      <c r="AG221" s="3265"/>
      <c r="AH221" s="3265"/>
      <c r="AI221" s="57"/>
      <c r="AJ221" s="57"/>
      <c r="AK221" s="57"/>
      <c r="AL221" s="57"/>
      <c r="AM221" s="57"/>
    </row>
    <row r="222" spans="1:39" s="58" customFormat="1" ht="18.95" hidden="1" customHeight="1" x14ac:dyDescent="0.2">
      <c r="A222" s="52"/>
      <c r="B222" s="53"/>
      <c r="C222" s="42"/>
      <c r="D222" s="59"/>
      <c r="E222" s="69"/>
      <c r="F222" s="69"/>
      <c r="G222" s="72"/>
      <c r="H222" s="72"/>
      <c r="I222" s="59"/>
      <c r="J222" s="4"/>
      <c r="K222" s="4"/>
      <c r="L222" s="3265"/>
      <c r="M222" s="4"/>
      <c r="N222" s="4"/>
      <c r="O222" s="4"/>
      <c r="P222" s="3268"/>
      <c r="Q222" s="3265"/>
      <c r="R222" s="3265"/>
      <c r="S222" s="3266">
        <v>1</v>
      </c>
      <c r="T222" s="3265"/>
      <c r="U222" s="3267">
        <f t="shared" si="16"/>
        <v>0</v>
      </c>
      <c r="V222" s="4"/>
      <c r="W222" s="3265"/>
      <c r="X222" s="3265"/>
      <c r="Y222" s="3265"/>
      <c r="Z222" s="3265"/>
      <c r="AA222" s="3265"/>
      <c r="AB222" s="3265"/>
      <c r="AC222" s="3265"/>
      <c r="AD222" s="3265"/>
      <c r="AE222" s="3265"/>
      <c r="AF222" s="3265"/>
      <c r="AG222" s="3265"/>
      <c r="AH222" s="3265"/>
      <c r="AI222" s="57"/>
      <c r="AJ222" s="57"/>
      <c r="AK222" s="57"/>
      <c r="AL222" s="57"/>
      <c r="AM222" s="57"/>
    </row>
    <row r="223" spans="1:39" s="58" customFormat="1" ht="18.95" hidden="1" customHeight="1" x14ac:dyDescent="0.2">
      <c r="A223" s="52"/>
      <c r="B223" s="53"/>
      <c r="C223" s="42"/>
      <c r="D223" s="59"/>
      <c r="E223" s="69"/>
      <c r="F223" s="69"/>
      <c r="G223" s="72"/>
      <c r="H223" s="72"/>
      <c r="I223" s="59"/>
      <c r="J223" s="4"/>
      <c r="K223" s="4"/>
      <c r="L223" s="3265"/>
      <c r="M223" s="4"/>
      <c r="N223" s="4"/>
      <c r="O223" s="4"/>
      <c r="P223" s="3268"/>
      <c r="Q223" s="3265"/>
      <c r="R223" s="3265"/>
      <c r="S223" s="3266">
        <v>1</v>
      </c>
      <c r="T223" s="3265"/>
      <c r="U223" s="3267">
        <f t="shared" si="16"/>
        <v>0</v>
      </c>
      <c r="V223" s="4"/>
      <c r="W223" s="3265"/>
      <c r="X223" s="3265"/>
      <c r="Y223" s="3265"/>
      <c r="Z223" s="3265"/>
      <c r="AA223" s="3265"/>
      <c r="AB223" s="3265"/>
      <c r="AC223" s="3265"/>
      <c r="AD223" s="3265"/>
      <c r="AE223" s="3265"/>
      <c r="AF223" s="3265"/>
      <c r="AG223" s="3265"/>
      <c r="AH223" s="3265"/>
      <c r="AI223" s="57"/>
      <c r="AJ223" s="57"/>
      <c r="AK223" s="57"/>
      <c r="AL223" s="57"/>
      <c r="AM223" s="57"/>
    </row>
    <row r="224" spans="1:39" s="58" customFormat="1" ht="18.95" hidden="1" customHeight="1" x14ac:dyDescent="0.2">
      <c r="A224" s="52"/>
      <c r="B224" s="53"/>
      <c r="C224" s="42"/>
      <c r="D224" s="59"/>
      <c r="E224" s="69"/>
      <c r="F224" s="69"/>
      <c r="G224" s="72"/>
      <c r="H224" s="72"/>
      <c r="I224" s="59"/>
      <c r="J224" s="4"/>
      <c r="K224" s="4"/>
      <c r="L224" s="3265"/>
      <c r="M224" s="4"/>
      <c r="N224" s="4"/>
      <c r="O224" s="4"/>
      <c r="P224" s="3268"/>
      <c r="Q224" s="3265"/>
      <c r="R224" s="3265"/>
      <c r="S224" s="3266">
        <v>1</v>
      </c>
      <c r="T224" s="3265"/>
      <c r="U224" s="3267">
        <f t="shared" si="16"/>
        <v>0</v>
      </c>
      <c r="V224" s="4"/>
      <c r="W224" s="3265"/>
      <c r="X224" s="3265"/>
      <c r="Y224" s="3265"/>
      <c r="Z224" s="3265"/>
      <c r="AA224" s="3265"/>
      <c r="AB224" s="3265"/>
      <c r="AC224" s="3265"/>
      <c r="AD224" s="3265"/>
      <c r="AE224" s="3265"/>
      <c r="AF224" s="3265"/>
      <c r="AG224" s="3265"/>
      <c r="AH224" s="3265"/>
      <c r="AI224" s="57"/>
      <c r="AJ224" s="57"/>
      <c r="AK224" s="57"/>
      <c r="AL224" s="57"/>
      <c r="AM224" s="57"/>
    </row>
    <row r="225" spans="1:39" s="58" customFormat="1" ht="18.95" hidden="1" customHeight="1" x14ac:dyDescent="0.2">
      <c r="A225" s="52"/>
      <c r="B225" s="53"/>
      <c r="C225" s="42"/>
      <c r="D225" s="59"/>
      <c r="E225" s="69"/>
      <c r="F225" s="69"/>
      <c r="G225" s="72"/>
      <c r="H225" s="72"/>
      <c r="I225" s="59"/>
      <c r="J225" s="4"/>
      <c r="K225" s="4"/>
      <c r="L225" s="3265"/>
      <c r="M225" s="4"/>
      <c r="N225" s="4"/>
      <c r="O225" s="4"/>
      <c r="P225" s="3268"/>
      <c r="Q225" s="3265"/>
      <c r="R225" s="3265"/>
      <c r="S225" s="3266">
        <v>1</v>
      </c>
      <c r="T225" s="3265"/>
      <c r="U225" s="3267">
        <f t="shared" si="16"/>
        <v>0</v>
      </c>
      <c r="V225" s="4"/>
      <c r="W225" s="3265"/>
      <c r="X225" s="3265"/>
      <c r="Y225" s="3265"/>
      <c r="Z225" s="3265"/>
      <c r="AA225" s="3265"/>
      <c r="AB225" s="3265"/>
      <c r="AC225" s="3265"/>
      <c r="AD225" s="3265"/>
      <c r="AE225" s="3265"/>
      <c r="AF225" s="3265"/>
      <c r="AG225" s="3265"/>
      <c r="AH225" s="3265"/>
      <c r="AI225" s="57"/>
      <c r="AJ225" s="57"/>
      <c r="AK225" s="57"/>
      <c r="AL225" s="57"/>
      <c r="AM225" s="57"/>
    </row>
    <row r="226" spans="1:39" s="58" customFormat="1" ht="19.5" x14ac:dyDescent="0.2">
      <c r="A226" s="52">
        <v>2105</v>
      </c>
      <c r="B226" s="53"/>
      <c r="C226" s="60" t="s">
        <v>708</v>
      </c>
      <c r="D226" s="61"/>
      <c r="E226" s="62">
        <f>SUM(E216:E219)</f>
        <v>40</v>
      </c>
      <c r="F226" s="62">
        <f>SUM(F216:F219)</f>
        <v>40</v>
      </c>
      <c r="G226" s="62">
        <f>SUM(G216:G219)</f>
        <v>40</v>
      </c>
      <c r="H226" s="62">
        <f>SUM(H216:H219)</f>
        <v>40</v>
      </c>
      <c r="I226" s="63">
        <f>SUM(I216:I219)</f>
        <v>40</v>
      </c>
      <c r="J226" s="4"/>
      <c r="K226" s="4"/>
      <c r="L226" s="3265"/>
      <c r="M226" s="4"/>
      <c r="N226" s="4"/>
      <c r="O226" s="4"/>
      <c r="P226" s="3268"/>
      <c r="Q226" s="3265"/>
      <c r="R226" s="3265"/>
      <c r="S226" s="3266">
        <v>0</v>
      </c>
      <c r="T226" s="3265"/>
      <c r="U226" s="3267">
        <f t="shared" si="16"/>
        <v>200</v>
      </c>
      <c r="V226" s="4"/>
      <c r="W226" s="3265"/>
      <c r="X226" s="3265"/>
      <c r="Y226" s="3265"/>
      <c r="Z226" s="3265"/>
      <c r="AA226" s="3265"/>
      <c r="AB226" s="3265"/>
      <c r="AC226" s="3265"/>
      <c r="AD226" s="3265"/>
      <c r="AE226" s="3265"/>
      <c r="AF226" s="3265"/>
      <c r="AG226" s="3265"/>
      <c r="AH226" s="3265"/>
      <c r="AI226" s="57"/>
      <c r="AJ226" s="57"/>
      <c r="AK226" s="57"/>
      <c r="AL226" s="57"/>
      <c r="AM226" s="57"/>
    </row>
    <row r="227" spans="1:39" s="58" customFormat="1" ht="19.5" x14ac:dyDescent="0.2">
      <c r="A227" s="52"/>
      <c r="B227" s="47"/>
      <c r="C227" s="48" t="s">
        <v>709</v>
      </c>
      <c r="D227" s="65"/>
      <c r="E227" s="66"/>
      <c r="F227" s="66"/>
      <c r="G227" s="66"/>
      <c r="H227" s="66"/>
      <c r="I227" s="67"/>
      <c r="J227" s="4"/>
      <c r="K227" s="4"/>
      <c r="L227" s="3265"/>
      <c r="M227" s="4"/>
      <c r="N227" s="4"/>
      <c r="O227" s="4"/>
      <c r="P227" s="3268"/>
      <c r="Q227" s="3265"/>
      <c r="R227" s="3265"/>
      <c r="S227" s="3266">
        <v>0</v>
      </c>
      <c r="T227" s="3265"/>
      <c r="U227" s="3267">
        <f>U234</f>
        <v>300</v>
      </c>
      <c r="V227" s="4"/>
      <c r="W227" s="3265"/>
      <c r="X227" s="3265"/>
      <c r="Y227" s="3265"/>
      <c r="Z227" s="3265"/>
      <c r="AA227" s="3265"/>
      <c r="AB227" s="3265"/>
      <c r="AC227" s="3265"/>
      <c r="AD227" s="3265"/>
      <c r="AE227" s="3265"/>
      <c r="AF227" s="3265"/>
      <c r="AG227" s="3265"/>
      <c r="AH227" s="3265"/>
      <c r="AI227" s="57"/>
      <c r="AJ227" s="57"/>
      <c r="AK227" s="57"/>
      <c r="AL227" s="57"/>
      <c r="AM227" s="57"/>
    </row>
    <row r="228" spans="1:39" s="58" customFormat="1" ht="19.5" x14ac:dyDescent="0.2">
      <c r="A228" s="52">
        <v>250500</v>
      </c>
      <c r="B228" s="53"/>
      <c r="C228" s="42"/>
      <c r="D228" s="54" t="s">
        <v>710</v>
      </c>
      <c r="E228" s="55">
        <v>10</v>
      </c>
      <c r="F228" s="55">
        <v>10</v>
      </c>
      <c r="G228" s="55">
        <v>10</v>
      </c>
      <c r="H228" s="55">
        <v>10</v>
      </c>
      <c r="I228" s="56">
        <v>10</v>
      </c>
      <c r="J228" s="4"/>
      <c r="K228" s="4"/>
      <c r="L228" s="3265"/>
      <c r="M228" s="4"/>
      <c r="N228" s="4"/>
      <c r="O228" s="4"/>
      <c r="P228" s="3268"/>
      <c r="Q228" s="3265"/>
      <c r="R228" s="3265"/>
      <c r="S228" s="3266">
        <v>0</v>
      </c>
      <c r="T228" s="3265"/>
      <c r="U228" s="3267">
        <f t="shared" ref="U228:U234" si="17">SUM(E228:I228)</f>
        <v>50</v>
      </c>
      <c r="V228" s="4"/>
      <c r="W228" s="3265"/>
      <c r="X228" s="3265"/>
      <c r="Y228" s="3265"/>
      <c r="Z228" s="3265"/>
      <c r="AA228" s="3265"/>
      <c r="AB228" s="3265"/>
      <c r="AC228" s="3265"/>
      <c r="AD228" s="3265"/>
      <c r="AE228" s="3265"/>
      <c r="AF228" s="3265"/>
      <c r="AG228" s="3265"/>
      <c r="AH228" s="3265"/>
      <c r="AI228" s="57"/>
      <c r="AJ228" s="57"/>
      <c r="AK228" s="57"/>
      <c r="AL228" s="57"/>
      <c r="AM228" s="57"/>
    </row>
    <row r="229" spans="1:39" s="58" customFormat="1" ht="19.5" x14ac:dyDescent="0.2">
      <c r="A229" s="52">
        <v>251000</v>
      </c>
      <c r="B229" s="53"/>
      <c r="C229" s="42"/>
      <c r="D229" s="59" t="s">
        <v>711</v>
      </c>
      <c r="E229" s="69">
        <v>10</v>
      </c>
      <c r="F229" s="69">
        <v>10</v>
      </c>
      <c r="G229" s="69">
        <v>10</v>
      </c>
      <c r="H229" s="69">
        <v>10</v>
      </c>
      <c r="I229" s="70">
        <v>10</v>
      </c>
      <c r="J229" s="4"/>
      <c r="K229" s="4"/>
      <c r="L229" s="3265"/>
      <c r="M229" s="4"/>
      <c r="N229" s="4"/>
      <c r="O229" s="4"/>
      <c r="P229" s="3268"/>
      <c r="Q229" s="3265"/>
      <c r="R229" s="3265"/>
      <c r="S229" s="3266">
        <v>0</v>
      </c>
      <c r="T229" s="3265"/>
      <c r="U229" s="3267">
        <f t="shared" si="17"/>
        <v>50</v>
      </c>
      <c r="V229" s="4"/>
      <c r="W229" s="3265"/>
      <c r="X229" s="3265"/>
      <c r="Y229" s="3265"/>
      <c r="Z229" s="3265"/>
      <c r="AA229" s="3265"/>
      <c r="AB229" s="3265"/>
      <c r="AC229" s="3265"/>
      <c r="AD229" s="3265"/>
      <c r="AE229" s="3265"/>
      <c r="AF229" s="3265"/>
      <c r="AG229" s="3265"/>
      <c r="AH229" s="3265"/>
      <c r="AI229" s="57"/>
      <c r="AJ229" s="57"/>
      <c r="AK229" s="57"/>
      <c r="AL229" s="57"/>
      <c r="AM229" s="57"/>
    </row>
    <row r="230" spans="1:39" s="58" customFormat="1" ht="19.5" x14ac:dyDescent="0.2">
      <c r="A230" s="52">
        <v>251500</v>
      </c>
      <c r="B230" s="53"/>
      <c r="C230" s="42"/>
      <c r="D230" s="59" t="s">
        <v>712</v>
      </c>
      <c r="E230" s="69">
        <v>10</v>
      </c>
      <c r="F230" s="69">
        <v>10</v>
      </c>
      <c r="G230" s="69">
        <v>10</v>
      </c>
      <c r="H230" s="69">
        <v>10</v>
      </c>
      <c r="I230" s="70">
        <v>10</v>
      </c>
      <c r="J230" s="4"/>
      <c r="K230" s="4"/>
      <c r="L230" s="3265"/>
      <c r="M230" s="4"/>
      <c r="N230" s="4"/>
      <c r="O230" s="4"/>
      <c r="P230" s="3268"/>
      <c r="Q230" s="3265"/>
      <c r="R230" s="3265"/>
      <c r="S230" s="3266">
        <v>0</v>
      </c>
      <c r="T230" s="3265"/>
      <c r="U230" s="3267">
        <f t="shared" si="17"/>
        <v>50</v>
      </c>
      <c r="V230" s="4"/>
      <c r="W230" s="3265"/>
      <c r="X230" s="3265"/>
      <c r="Y230" s="3265"/>
      <c r="Z230" s="3265"/>
      <c r="AA230" s="3265"/>
      <c r="AB230" s="3265"/>
      <c r="AC230" s="3265"/>
      <c r="AD230" s="3265"/>
      <c r="AE230" s="3265"/>
      <c r="AF230" s="3265"/>
      <c r="AG230" s="3265"/>
      <c r="AH230" s="3265"/>
      <c r="AI230" s="57"/>
      <c r="AJ230" s="57"/>
      <c r="AK230" s="57"/>
      <c r="AL230" s="57"/>
      <c r="AM230" s="57"/>
    </row>
    <row r="231" spans="1:39" s="58" customFormat="1" ht="19.5" x14ac:dyDescent="0.2">
      <c r="A231" s="52">
        <v>252500</v>
      </c>
      <c r="B231" s="53"/>
      <c r="C231" s="42"/>
      <c r="D231" s="59" t="s">
        <v>713</v>
      </c>
      <c r="E231" s="69">
        <v>10</v>
      </c>
      <c r="F231" s="69">
        <v>10</v>
      </c>
      <c r="G231" s="69">
        <v>10</v>
      </c>
      <c r="H231" s="69">
        <v>10</v>
      </c>
      <c r="I231" s="70">
        <v>10</v>
      </c>
      <c r="J231" s="4"/>
      <c r="K231" s="4"/>
      <c r="L231" s="3265"/>
      <c r="M231" s="4"/>
      <c r="N231" s="4"/>
      <c r="O231" s="4"/>
      <c r="P231" s="3268"/>
      <c r="Q231" s="3265"/>
      <c r="R231" s="3265"/>
      <c r="S231" s="3266">
        <v>0</v>
      </c>
      <c r="T231" s="3265"/>
      <c r="U231" s="3267">
        <f t="shared" si="17"/>
        <v>50</v>
      </c>
      <c r="V231" s="4"/>
      <c r="W231" s="3265"/>
      <c r="X231" s="3265"/>
      <c r="Y231" s="3265"/>
      <c r="Z231" s="3265"/>
      <c r="AA231" s="3265"/>
      <c r="AB231" s="3265"/>
      <c r="AC231" s="3265"/>
      <c r="AD231" s="3265"/>
      <c r="AE231" s="3265"/>
      <c r="AF231" s="3265"/>
      <c r="AG231" s="3265"/>
      <c r="AH231" s="3265"/>
      <c r="AI231" s="57"/>
      <c r="AJ231" s="57"/>
      <c r="AK231" s="57"/>
      <c r="AL231" s="57"/>
      <c r="AM231" s="57"/>
    </row>
    <row r="232" spans="1:39" s="58" customFormat="1" ht="19.5" x14ac:dyDescent="0.2">
      <c r="A232" s="52">
        <v>253000</v>
      </c>
      <c r="B232" s="53"/>
      <c r="C232" s="42"/>
      <c r="D232" s="59" t="s">
        <v>714</v>
      </c>
      <c r="E232" s="69">
        <v>10</v>
      </c>
      <c r="F232" s="69">
        <v>10</v>
      </c>
      <c r="G232" s="69">
        <v>10</v>
      </c>
      <c r="H232" s="69">
        <v>10</v>
      </c>
      <c r="I232" s="70">
        <v>10</v>
      </c>
      <c r="J232" s="4"/>
      <c r="K232" s="4"/>
      <c r="L232" s="3265"/>
      <c r="M232" s="4"/>
      <c r="N232" s="4"/>
      <c r="O232" s="4"/>
      <c r="P232" s="3268"/>
      <c r="Q232" s="3265"/>
      <c r="R232" s="3265"/>
      <c r="S232" s="3266">
        <v>0</v>
      </c>
      <c r="T232" s="3265"/>
      <c r="U232" s="3267">
        <f t="shared" si="17"/>
        <v>50</v>
      </c>
      <c r="V232" s="4"/>
      <c r="W232" s="3265"/>
      <c r="X232" s="3265"/>
      <c r="Y232" s="3265"/>
      <c r="Z232" s="3265"/>
      <c r="AA232" s="3265"/>
      <c r="AB232" s="3265"/>
      <c r="AC232" s="3265"/>
      <c r="AD232" s="3265"/>
      <c r="AE232" s="3265"/>
      <c r="AF232" s="3265"/>
      <c r="AG232" s="3265"/>
      <c r="AH232" s="3265"/>
      <c r="AI232" s="57"/>
      <c r="AJ232" s="57"/>
      <c r="AK232" s="57"/>
      <c r="AL232" s="57"/>
      <c r="AM232" s="57"/>
    </row>
    <row r="233" spans="1:39" s="58" customFormat="1" ht="19.5" x14ac:dyDescent="0.2">
      <c r="A233" s="52">
        <v>259500</v>
      </c>
      <c r="B233" s="53"/>
      <c r="C233" s="42"/>
      <c r="D233" s="59" t="s">
        <v>715</v>
      </c>
      <c r="E233" s="69">
        <v>10</v>
      </c>
      <c r="F233" s="69">
        <v>10</v>
      </c>
      <c r="G233" s="69">
        <v>10</v>
      </c>
      <c r="H233" s="69">
        <v>10</v>
      </c>
      <c r="I233" s="70">
        <v>10</v>
      </c>
      <c r="J233" s="4"/>
      <c r="K233" s="4"/>
      <c r="L233" s="3265"/>
      <c r="M233" s="4"/>
      <c r="N233" s="4"/>
      <c r="O233" s="4"/>
      <c r="P233" s="3268"/>
      <c r="Q233" s="3265"/>
      <c r="R233" s="3265"/>
      <c r="S233" s="3266">
        <v>0</v>
      </c>
      <c r="T233" s="3265"/>
      <c r="U233" s="3267">
        <f t="shared" si="17"/>
        <v>50</v>
      </c>
      <c r="V233" s="4"/>
      <c r="W233" s="3265"/>
      <c r="X233" s="3265"/>
      <c r="Y233" s="3265"/>
      <c r="Z233" s="3265"/>
      <c r="AA233" s="3265"/>
      <c r="AB233" s="3265"/>
      <c r="AC233" s="3265"/>
      <c r="AD233" s="3265"/>
      <c r="AE233" s="3265"/>
      <c r="AF233" s="3265"/>
      <c r="AG233" s="3265"/>
      <c r="AH233" s="3265"/>
      <c r="AI233" s="57"/>
      <c r="AJ233" s="57"/>
      <c r="AK233" s="57"/>
      <c r="AL233" s="57"/>
      <c r="AM233" s="57"/>
    </row>
    <row r="234" spans="1:39" s="58" customFormat="1" ht="19.5" x14ac:dyDescent="0.2">
      <c r="A234" s="52">
        <v>2104</v>
      </c>
      <c r="B234" s="53"/>
      <c r="C234" s="60" t="s">
        <v>716</v>
      </c>
      <c r="D234" s="61"/>
      <c r="E234" s="62">
        <f>SUM(E228:E233)</f>
        <v>60</v>
      </c>
      <c r="F234" s="62">
        <f>SUM(F228:F233)</f>
        <v>60</v>
      </c>
      <c r="G234" s="62">
        <f>SUM(G228:G233)</f>
        <v>60</v>
      </c>
      <c r="H234" s="62">
        <f>SUM(H228:H233)</f>
        <v>60</v>
      </c>
      <c r="I234" s="63">
        <f>SUM(I228:I233)</f>
        <v>60</v>
      </c>
      <c r="J234" s="4"/>
      <c r="K234" s="4"/>
      <c r="L234" s="3265"/>
      <c r="M234" s="4"/>
      <c r="N234" s="4"/>
      <c r="O234" s="4"/>
      <c r="P234" s="3268"/>
      <c r="Q234" s="3265"/>
      <c r="R234" s="3265"/>
      <c r="S234" s="3266">
        <v>0</v>
      </c>
      <c r="T234" s="3265"/>
      <c r="U234" s="3267">
        <f t="shared" si="17"/>
        <v>300</v>
      </c>
      <c r="V234" s="4"/>
      <c r="W234" s="3265"/>
      <c r="X234" s="3265"/>
      <c r="Y234" s="3265"/>
      <c r="Z234" s="3265"/>
      <c r="AA234" s="3265"/>
      <c r="AB234" s="3265"/>
      <c r="AC234" s="3265"/>
      <c r="AD234" s="3265"/>
      <c r="AE234" s="3265"/>
      <c r="AF234" s="3265"/>
      <c r="AG234" s="3265"/>
      <c r="AH234" s="3265"/>
      <c r="AI234" s="57"/>
      <c r="AJ234" s="57"/>
      <c r="AK234" s="57"/>
      <c r="AL234" s="57"/>
      <c r="AM234" s="57"/>
    </row>
    <row r="235" spans="1:39" s="58" customFormat="1" ht="19.5" x14ac:dyDescent="0.2">
      <c r="A235" s="52"/>
      <c r="B235" s="47"/>
      <c r="C235" s="48" t="s">
        <v>717</v>
      </c>
      <c r="D235" s="65"/>
      <c r="E235" s="66"/>
      <c r="F235" s="66"/>
      <c r="G235" s="66"/>
      <c r="H235" s="66"/>
      <c r="I235" s="67"/>
      <c r="J235" s="4"/>
      <c r="K235" s="4"/>
      <c r="L235" s="3265"/>
      <c r="M235" s="4"/>
      <c r="N235" s="4"/>
      <c r="O235" s="4"/>
      <c r="P235" s="3268"/>
      <c r="Q235" s="3265"/>
      <c r="R235" s="3265"/>
      <c r="S235" s="3266">
        <v>0</v>
      </c>
      <c r="T235" s="3265"/>
      <c r="U235" s="3267">
        <f>U245</f>
        <v>450</v>
      </c>
      <c r="V235" s="4"/>
      <c r="W235" s="3265"/>
      <c r="X235" s="3265"/>
      <c r="Y235" s="3265"/>
      <c r="Z235" s="3265"/>
      <c r="AA235" s="3265"/>
      <c r="AB235" s="3265"/>
      <c r="AC235" s="3265"/>
      <c r="AD235" s="3265"/>
      <c r="AE235" s="3265"/>
      <c r="AF235" s="3265"/>
      <c r="AG235" s="3265"/>
      <c r="AH235" s="3265"/>
      <c r="AI235" s="57"/>
      <c r="AJ235" s="57"/>
      <c r="AK235" s="57"/>
      <c r="AL235" s="57"/>
      <c r="AM235" s="57"/>
    </row>
    <row r="236" spans="1:39" s="58" customFormat="1" ht="19.5" x14ac:dyDescent="0.2">
      <c r="A236" s="52">
        <v>260500</v>
      </c>
      <c r="B236" s="53"/>
      <c r="C236" s="42"/>
      <c r="D236" s="54" t="s">
        <v>718</v>
      </c>
      <c r="E236" s="55">
        <v>10</v>
      </c>
      <c r="F236" s="55">
        <v>10</v>
      </c>
      <c r="G236" s="55">
        <v>10</v>
      </c>
      <c r="H236" s="55">
        <v>10</v>
      </c>
      <c r="I236" s="56">
        <v>10</v>
      </c>
      <c r="J236" s="4"/>
      <c r="K236" s="4"/>
      <c r="L236" s="3265"/>
      <c r="M236" s="4"/>
      <c r="N236" s="4"/>
      <c r="O236" s="4"/>
      <c r="P236" s="3268"/>
      <c r="Q236" s="3265"/>
      <c r="R236" s="3265"/>
      <c r="S236" s="3266">
        <v>0</v>
      </c>
      <c r="T236" s="3265"/>
      <c r="U236" s="3267">
        <f t="shared" ref="U236:U245" si="18">SUM(E236:I236)</f>
        <v>50</v>
      </c>
      <c r="V236" s="4"/>
      <c r="W236" s="3265"/>
      <c r="X236" s="3265"/>
      <c r="Y236" s="3265"/>
      <c r="Z236" s="3265"/>
      <c r="AA236" s="3265"/>
      <c r="AB236" s="3265"/>
      <c r="AC236" s="3265"/>
      <c r="AD236" s="3265"/>
      <c r="AE236" s="3265"/>
      <c r="AF236" s="3265"/>
      <c r="AG236" s="3265"/>
      <c r="AH236" s="3265"/>
      <c r="AI236" s="57"/>
      <c r="AJ236" s="57"/>
      <c r="AK236" s="57"/>
      <c r="AL236" s="57"/>
      <c r="AM236" s="57"/>
    </row>
    <row r="237" spans="1:39" s="58" customFormat="1" ht="19.5" x14ac:dyDescent="0.2">
      <c r="A237" s="52">
        <v>261000</v>
      </c>
      <c r="B237" s="53"/>
      <c r="C237" s="42"/>
      <c r="D237" s="59" t="s">
        <v>719</v>
      </c>
      <c r="E237" s="69">
        <v>10</v>
      </c>
      <c r="F237" s="69">
        <v>10</v>
      </c>
      <c r="G237" s="69">
        <v>10</v>
      </c>
      <c r="H237" s="69">
        <v>10</v>
      </c>
      <c r="I237" s="70">
        <v>10</v>
      </c>
      <c r="J237" s="4"/>
      <c r="K237" s="4"/>
      <c r="L237" s="3265"/>
      <c r="M237" s="4"/>
      <c r="N237" s="4"/>
      <c r="O237" s="4"/>
      <c r="P237" s="3268"/>
      <c r="Q237" s="3265"/>
      <c r="R237" s="3265"/>
      <c r="S237" s="3266">
        <v>0</v>
      </c>
      <c r="T237" s="3265"/>
      <c r="U237" s="3267">
        <f t="shared" si="18"/>
        <v>50</v>
      </c>
      <c r="V237" s="4"/>
      <c r="W237" s="3265"/>
      <c r="X237" s="3265"/>
      <c r="Y237" s="3265"/>
      <c r="Z237" s="3265"/>
      <c r="AA237" s="3265"/>
      <c r="AB237" s="3265"/>
      <c r="AC237" s="3265"/>
      <c r="AD237" s="3265"/>
      <c r="AE237" s="3265"/>
      <c r="AF237" s="3265"/>
      <c r="AG237" s="3265"/>
      <c r="AH237" s="3265"/>
      <c r="AI237" s="57"/>
      <c r="AJ237" s="57"/>
      <c r="AK237" s="57"/>
      <c r="AL237" s="57"/>
      <c r="AM237" s="57"/>
    </row>
    <row r="238" spans="1:39" s="58" customFormat="1" ht="19.5" x14ac:dyDescent="0.2">
      <c r="A238" s="52">
        <v>261500</v>
      </c>
      <c r="B238" s="53"/>
      <c r="C238" s="42"/>
      <c r="D238" s="59" t="s">
        <v>720</v>
      </c>
      <c r="E238" s="69">
        <v>10</v>
      </c>
      <c r="F238" s="69">
        <v>10</v>
      </c>
      <c r="G238" s="69">
        <v>10</v>
      </c>
      <c r="H238" s="69">
        <v>10</v>
      </c>
      <c r="I238" s="70">
        <v>10</v>
      </c>
      <c r="J238" s="4"/>
      <c r="K238" s="4"/>
      <c r="L238" s="3265"/>
      <c r="M238" s="4"/>
      <c r="N238" s="4"/>
      <c r="O238" s="4"/>
      <c r="P238" s="3268"/>
      <c r="Q238" s="3265"/>
      <c r="R238" s="3265"/>
      <c r="S238" s="3266">
        <v>0</v>
      </c>
      <c r="T238" s="3265"/>
      <c r="U238" s="3267">
        <f t="shared" si="18"/>
        <v>50</v>
      </c>
      <c r="V238" s="4"/>
      <c r="W238" s="3265"/>
      <c r="X238" s="3265"/>
      <c r="Y238" s="3265"/>
      <c r="Z238" s="3265"/>
      <c r="AA238" s="3265"/>
      <c r="AB238" s="3265"/>
      <c r="AC238" s="3265"/>
      <c r="AD238" s="3265"/>
      <c r="AE238" s="3265"/>
      <c r="AF238" s="3265"/>
      <c r="AG238" s="3265"/>
      <c r="AH238" s="3265"/>
      <c r="AI238" s="57"/>
      <c r="AJ238" s="57"/>
      <c r="AK238" s="57"/>
      <c r="AL238" s="57"/>
      <c r="AM238" s="57"/>
    </row>
    <row r="239" spans="1:39" s="58" customFormat="1" ht="19.5" x14ac:dyDescent="0.2">
      <c r="A239" s="52">
        <v>262000</v>
      </c>
      <c r="B239" s="53"/>
      <c r="C239" s="42"/>
      <c r="D239" s="59" t="s">
        <v>721</v>
      </c>
      <c r="E239" s="69">
        <v>10</v>
      </c>
      <c r="F239" s="69">
        <v>10</v>
      </c>
      <c r="G239" s="69">
        <v>10</v>
      </c>
      <c r="H239" s="69">
        <v>10</v>
      </c>
      <c r="I239" s="70">
        <v>10</v>
      </c>
      <c r="J239" s="4"/>
      <c r="K239" s="4"/>
      <c r="L239" s="3265"/>
      <c r="M239" s="4"/>
      <c r="N239" s="4"/>
      <c r="O239" s="4"/>
      <c r="P239" s="3268"/>
      <c r="Q239" s="3265"/>
      <c r="R239" s="3265"/>
      <c r="S239" s="3266">
        <v>0</v>
      </c>
      <c r="T239" s="3265"/>
      <c r="U239" s="3267">
        <f t="shared" si="18"/>
        <v>50</v>
      </c>
      <c r="V239" s="4"/>
      <c r="W239" s="3265"/>
      <c r="X239" s="3265"/>
      <c r="Y239" s="3265"/>
      <c r="Z239" s="3265"/>
      <c r="AA239" s="3265"/>
      <c r="AB239" s="3265"/>
      <c r="AC239" s="3265"/>
      <c r="AD239" s="3265"/>
      <c r="AE239" s="3265"/>
      <c r="AF239" s="3265"/>
      <c r="AG239" s="3265"/>
      <c r="AH239" s="3265"/>
      <c r="AI239" s="57"/>
      <c r="AJ239" s="57"/>
      <c r="AK239" s="57"/>
      <c r="AL239" s="57"/>
      <c r="AM239" s="57"/>
    </row>
    <row r="240" spans="1:39" s="58" customFormat="1" ht="19.5" x14ac:dyDescent="0.2">
      <c r="A240" s="52">
        <v>262500</v>
      </c>
      <c r="B240" s="53"/>
      <c r="C240" s="42"/>
      <c r="D240" s="59" t="s">
        <v>722</v>
      </c>
      <c r="E240" s="69">
        <v>10</v>
      </c>
      <c r="F240" s="69">
        <v>10</v>
      </c>
      <c r="G240" s="69">
        <v>10</v>
      </c>
      <c r="H240" s="69">
        <v>10</v>
      </c>
      <c r="I240" s="70">
        <v>10</v>
      </c>
      <c r="J240" s="4"/>
      <c r="K240" s="4"/>
      <c r="L240" s="3265"/>
      <c r="M240" s="4"/>
      <c r="N240" s="4"/>
      <c r="O240" s="4"/>
      <c r="P240" s="3268"/>
      <c r="Q240" s="3265"/>
      <c r="R240" s="3265"/>
      <c r="S240" s="3266">
        <v>0</v>
      </c>
      <c r="T240" s="3265"/>
      <c r="U240" s="3267">
        <f t="shared" si="18"/>
        <v>50</v>
      </c>
      <c r="V240" s="4"/>
      <c r="W240" s="3265"/>
      <c r="X240" s="3265"/>
      <c r="Y240" s="3265"/>
      <c r="Z240" s="3265"/>
      <c r="AA240" s="3265"/>
      <c r="AB240" s="3265"/>
      <c r="AC240" s="3265"/>
      <c r="AD240" s="3265"/>
      <c r="AE240" s="3265"/>
      <c r="AF240" s="3265"/>
      <c r="AG240" s="3265"/>
      <c r="AH240" s="3265"/>
      <c r="AI240" s="57"/>
      <c r="AJ240" s="57"/>
      <c r="AK240" s="57"/>
      <c r="AL240" s="57"/>
      <c r="AM240" s="57"/>
    </row>
    <row r="241" spans="1:39" s="58" customFormat="1" ht="19.5" x14ac:dyDescent="0.2">
      <c r="A241" s="52">
        <v>263000</v>
      </c>
      <c r="B241" s="53"/>
      <c r="C241" s="42"/>
      <c r="D241" s="59" t="s">
        <v>723</v>
      </c>
      <c r="E241" s="69">
        <v>10</v>
      </c>
      <c r="F241" s="69">
        <v>10</v>
      </c>
      <c r="G241" s="69">
        <v>10</v>
      </c>
      <c r="H241" s="69">
        <v>10</v>
      </c>
      <c r="I241" s="70">
        <v>10</v>
      </c>
      <c r="J241" s="4"/>
      <c r="K241" s="4"/>
      <c r="L241" s="3265"/>
      <c r="M241" s="4"/>
      <c r="N241" s="4"/>
      <c r="O241" s="4"/>
      <c r="P241" s="3268"/>
      <c r="Q241" s="3265"/>
      <c r="R241" s="3265"/>
      <c r="S241" s="3266">
        <v>0</v>
      </c>
      <c r="T241" s="3265"/>
      <c r="U241" s="3267">
        <f t="shared" si="18"/>
        <v>50</v>
      </c>
      <c r="V241" s="4"/>
      <c r="W241" s="3265"/>
      <c r="X241" s="3265"/>
      <c r="Y241" s="3265"/>
      <c r="Z241" s="3265"/>
      <c r="AA241" s="3265"/>
      <c r="AB241" s="3265"/>
      <c r="AC241" s="3265"/>
      <c r="AD241" s="3265"/>
      <c r="AE241" s="3265"/>
      <c r="AF241" s="3265"/>
      <c r="AG241" s="3265"/>
      <c r="AH241" s="3265"/>
      <c r="AI241" s="57"/>
      <c r="AJ241" s="57"/>
      <c r="AK241" s="57"/>
      <c r="AL241" s="57"/>
      <c r="AM241" s="57"/>
    </row>
    <row r="242" spans="1:39" s="58" customFormat="1" ht="19.5" x14ac:dyDescent="0.2">
      <c r="A242" s="52">
        <v>263500</v>
      </c>
      <c r="B242" s="53"/>
      <c r="C242" s="42"/>
      <c r="D242" s="59" t="s">
        <v>724</v>
      </c>
      <c r="E242" s="69">
        <v>10</v>
      </c>
      <c r="F242" s="69">
        <v>10</v>
      </c>
      <c r="G242" s="69">
        <v>10</v>
      </c>
      <c r="H242" s="69">
        <v>10</v>
      </c>
      <c r="I242" s="70">
        <v>10</v>
      </c>
      <c r="J242" s="4"/>
      <c r="K242" s="4"/>
      <c r="L242" s="3265"/>
      <c r="M242" s="4"/>
      <c r="N242" s="4"/>
      <c r="O242" s="4"/>
      <c r="P242" s="3268"/>
      <c r="Q242" s="3265"/>
      <c r="R242" s="3265"/>
      <c r="S242" s="3266">
        <v>0</v>
      </c>
      <c r="T242" s="3265"/>
      <c r="U242" s="3267">
        <f t="shared" si="18"/>
        <v>50</v>
      </c>
      <c r="V242" s="4"/>
      <c r="W242" s="3265"/>
      <c r="X242" s="3265"/>
      <c r="Y242" s="3265"/>
      <c r="Z242" s="3265"/>
      <c r="AA242" s="3265"/>
      <c r="AB242" s="3265"/>
      <c r="AC242" s="3265"/>
      <c r="AD242" s="3265"/>
      <c r="AE242" s="3265"/>
      <c r="AF242" s="3265"/>
      <c r="AG242" s="3265"/>
      <c r="AH242" s="3265"/>
      <c r="AI242" s="57"/>
      <c r="AJ242" s="57"/>
      <c r="AK242" s="57"/>
      <c r="AL242" s="57"/>
      <c r="AM242" s="57"/>
    </row>
    <row r="243" spans="1:39" s="58" customFormat="1" ht="19.5" x14ac:dyDescent="0.2">
      <c r="A243" s="52">
        <v>264000</v>
      </c>
      <c r="B243" s="53"/>
      <c r="C243" s="42"/>
      <c r="D243" s="59" t="s">
        <v>725</v>
      </c>
      <c r="E243" s="69">
        <v>10</v>
      </c>
      <c r="F243" s="69">
        <v>10</v>
      </c>
      <c r="G243" s="69">
        <v>10</v>
      </c>
      <c r="H243" s="69">
        <v>10</v>
      </c>
      <c r="I243" s="70">
        <v>10</v>
      </c>
      <c r="J243" s="4"/>
      <c r="K243" s="4"/>
      <c r="L243" s="3265"/>
      <c r="M243" s="4"/>
      <c r="N243" s="4"/>
      <c r="O243" s="4"/>
      <c r="P243" s="3268"/>
      <c r="Q243" s="3265"/>
      <c r="R243" s="3265"/>
      <c r="S243" s="3266">
        <v>0</v>
      </c>
      <c r="T243" s="3265"/>
      <c r="U243" s="3267">
        <f t="shared" si="18"/>
        <v>50</v>
      </c>
      <c r="V243" s="4"/>
      <c r="W243" s="3265"/>
      <c r="X243" s="3265"/>
      <c r="Y243" s="3265"/>
      <c r="Z243" s="3265"/>
      <c r="AA243" s="3265"/>
      <c r="AB243" s="3265"/>
      <c r="AC243" s="3265"/>
      <c r="AD243" s="3265"/>
      <c r="AE243" s="3265"/>
      <c r="AF243" s="3265"/>
      <c r="AG243" s="3265"/>
      <c r="AH243" s="3265"/>
      <c r="AI243" s="57"/>
      <c r="AJ243" s="57"/>
      <c r="AK243" s="57"/>
      <c r="AL243" s="57"/>
      <c r="AM243" s="57"/>
    </row>
    <row r="244" spans="1:39" s="58" customFormat="1" ht="19.5" x14ac:dyDescent="0.2">
      <c r="A244" s="52">
        <v>269500</v>
      </c>
      <c r="B244" s="53"/>
      <c r="C244" s="42"/>
      <c r="D244" s="59" t="s">
        <v>726</v>
      </c>
      <c r="E244" s="69">
        <v>10</v>
      </c>
      <c r="F244" s="69">
        <v>10</v>
      </c>
      <c r="G244" s="69">
        <v>10</v>
      </c>
      <c r="H244" s="69">
        <v>10</v>
      </c>
      <c r="I244" s="70">
        <v>10</v>
      </c>
      <c r="J244" s="4"/>
      <c r="K244" s="4"/>
      <c r="L244" s="3265"/>
      <c r="M244" s="4"/>
      <c r="N244" s="4"/>
      <c r="O244" s="4"/>
      <c r="P244" s="3268"/>
      <c r="Q244" s="3265"/>
      <c r="R244" s="4"/>
      <c r="S244" s="3266">
        <v>0</v>
      </c>
      <c r="T244" s="3265"/>
      <c r="U244" s="3267">
        <f t="shared" si="18"/>
        <v>50</v>
      </c>
      <c r="V244" s="4"/>
      <c r="W244" s="3265"/>
      <c r="X244" s="3265"/>
      <c r="Y244" s="3265"/>
      <c r="Z244" s="3265"/>
      <c r="AA244" s="3265"/>
      <c r="AB244" s="3265"/>
      <c r="AC244" s="3265"/>
      <c r="AD244" s="3265"/>
      <c r="AE244" s="3265"/>
      <c r="AF244" s="3265"/>
      <c r="AG244" s="3265"/>
      <c r="AH244" s="3265"/>
      <c r="AI244" s="57"/>
      <c r="AJ244" s="57"/>
      <c r="AK244" s="57"/>
      <c r="AL244" s="57"/>
      <c r="AM244" s="57"/>
    </row>
    <row r="245" spans="1:39" s="58" customFormat="1" ht="19.5" x14ac:dyDescent="0.2">
      <c r="A245" s="52">
        <v>2106</v>
      </c>
      <c r="B245" s="53"/>
      <c r="C245" s="60" t="s">
        <v>727</v>
      </c>
      <c r="D245" s="61"/>
      <c r="E245" s="62">
        <f>SUM(E236:E244)</f>
        <v>90</v>
      </c>
      <c r="F245" s="62">
        <f>SUM(F236:F244)</f>
        <v>90</v>
      </c>
      <c r="G245" s="62">
        <f>SUM(G236:G244)</f>
        <v>90</v>
      </c>
      <c r="H245" s="62">
        <f>SUM(H236:H244)</f>
        <v>90</v>
      </c>
      <c r="I245" s="63">
        <f>SUM(I236:I244)</f>
        <v>90</v>
      </c>
      <c r="J245" s="4"/>
      <c r="K245" s="4"/>
      <c r="L245" s="3265"/>
      <c r="M245" s="4"/>
      <c r="N245" s="4"/>
      <c r="O245" s="4"/>
      <c r="P245" s="3268"/>
      <c r="Q245" s="3265"/>
      <c r="R245" s="4"/>
      <c r="S245" s="3266">
        <v>0</v>
      </c>
      <c r="T245" s="3265"/>
      <c r="U245" s="3267">
        <f t="shared" si="18"/>
        <v>450</v>
      </c>
      <c r="V245" s="4"/>
      <c r="W245" s="3265"/>
      <c r="X245" s="3265"/>
      <c r="Y245" s="3265"/>
      <c r="Z245" s="3265"/>
      <c r="AA245" s="3265"/>
      <c r="AB245" s="3265"/>
      <c r="AC245" s="3265"/>
      <c r="AD245" s="3265"/>
      <c r="AE245" s="3265"/>
      <c r="AF245" s="3265"/>
      <c r="AG245" s="3265"/>
      <c r="AH245" s="3265"/>
      <c r="AI245" s="57"/>
      <c r="AJ245" s="57"/>
      <c r="AK245" s="57"/>
      <c r="AL245" s="57"/>
      <c r="AM245" s="57"/>
    </row>
    <row r="246" spans="1:39" s="58" customFormat="1" ht="19.5" x14ac:dyDescent="0.2">
      <c r="A246" s="52"/>
      <c r="B246" s="47"/>
      <c r="C246" s="48" t="s">
        <v>728</v>
      </c>
      <c r="D246" s="65"/>
      <c r="E246" s="66"/>
      <c r="F246" s="66"/>
      <c r="G246" s="66"/>
      <c r="H246" s="66"/>
      <c r="I246" s="67"/>
      <c r="J246" s="4"/>
      <c r="K246" s="4"/>
      <c r="L246" s="3265"/>
      <c r="M246" s="4"/>
      <c r="N246" s="4"/>
      <c r="O246" s="4"/>
      <c r="P246" s="3268"/>
      <c r="Q246" s="3265"/>
      <c r="R246" s="4"/>
      <c r="S246" s="3266">
        <v>0</v>
      </c>
      <c r="T246" s="3265"/>
      <c r="U246" s="3267">
        <f>U253</f>
        <v>200</v>
      </c>
      <c r="V246" s="4"/>
      <c r="W246" s="3265"/>
      <c r="X246" s="3265"/>
      <c r="Y246" s="3265"/>
      <c r="Z246" s="3265"/>
      <c r="AA246" s="3265"/>
      <c r="AB246" s="3265"/>
      <c r="AC246" s="3265"/>
      <c r="AD246" s="3265"/>
      <c r="AE246" s="3265"/>
      <c r="AF246" s="3265"/>
      <c r="AG246" s="3265"/>
      <c r="AH246" s="3265"/>
      <c r="AI246" s="57"/>
      <c r="AJ246" s="57"/>
      <c r="AK246" s="57"/>
      <c r="AL246" s="57"/>
      <c r="AM246" s="57"/>
    </row>
    <row r="247" spans="1:39" s="58" customFormat="1" ht="19.5" x14ac:dyDescent="0.2">
      <c r="A247" s="52">
        <v>270500</v>
      </c>
      <c r="B247" s="53"/>
      <c r="C247" s="42"/>
      <c r="D247" s="54" t="s">
        <v>729</v>
      </c>
      <c r="E247" s="55">
        <v>10</v>
      </c>
      <c r="F247" s="55">
        <v>10</v>
      </c>
      <c r="G247" s="55">
        <v>10</v>
      </c>
      <c r="H247" s="55">
        <v>10</v>
      </c>
      <c r="I247" s="56">
        <v>10</v>
      </c>
      <c r="J247" s="4"/>
      <c r="K247" s="4"/>
      <c r="L247" s="3265"/>
      <c r="M247" s="4"/>
      <c r="N247" s="4"/>
      <c r="O247" s="4"/>
      <c r="P247" s="3268"/>
      <c r="Q247" s="3265"/>
      <c r="R247" s="4"/>
      <c r="S247" s="3266">
        <v>0</v>
      </c>
      <c r="T247" s="3265"/>
      <c r="U247" s="3267">
        <f t="shared" ref="U247:U253" si="19">SUM(E247:I247)</f>
        <v>50</v>
      </c>
      <c r="V247" s="4"/>
      <c r="W247" s="3265"/>
      <c r="X247" s="3265"/>
      <c r="Y247" s="3265"/>
      <c r="Z247" s="3265"/>
      <c r="AA247" s="3265"/>
      <c r="AB247" s="3265"/>
      <c r="AC247" s="3265"/>
      <c r="AD247" s="3265"/>
      <c r="AE247" s="3265"/>
      <c r="AF247" s="3265"/>
      <c r="AG247" s="3265"/>
      <c r="AH247" s="3265"/>
      <c r="AI247" s="57"/>
      <c r="AJ247" s="57"/>
      <c r="AK247" s="57"/>
      <c r="AL247" s="57"/>
      <c r="AM247" s="57"/>
    </row>
    <row r="248" spans="1:39" s="58" customFormat="1" ht="19.5" x14ac:dyDescent="0.2">
      <c r="A248" s="52">
        <v>271000</v>
      </c>
      <c r="B248" s="53"/>
      <c r="C248" s="42"/>
      <c r="D248" s="59" t="s">
        <v>730</v>
      </c>
      <c r="E248" s="69">
        <v>10</v>
      </c>
      <c r="F248" s="69">
        <v>10</v>
      </c>
      <c r="G248" s="69">
        <v>10</v>
      </c>
      <c r="H248" s="69">
        <v>10</v>
      </c>
      <c r="I248" s="70">
        <v>10</v>
      </c>
      <c r="J248" s="4"/>
      <c r="K248" s="4"/>
      <c r="L248" s="3265"/>
      <c r="M248" s="4"/>
      <c r="N248" s="4"/>
      <c r="O248" s="4"/>
      <c r="P248" s="3268"/>
      <c r="Q248" s="3265"/>
      <c r="R248" s="4"/>
      <c r="S248" s="3266">
        <v>0</v>
      </c>
      <c r="T248" s="3265"/>
      <c r="U248" s="3267">
        <f t="shared" si="19"/>
        <v>50</v>
      </c>
      <c r="V248" s="4"/>
      <c r="W248" s="3265"/>
      <c r="X248" s="3265"/>
      <c r="Y248" s="3265"/>
      <c r="Z248" s="3265"/>
      <c r="AA248" s="3265"/>
      <c r="AB248" s="3265"/>
      <c r="AC248" s="3265"/>
      <c r="AD248" s="3265"/>
      <c r="AE248" s="3265"/>
      <c r="AF248" s="3265"/>
      <c r="AG248" s="3265"/>
      <c r="AH248" s="3265"/>
      <c r="AI248" s="57"/>
      <c r="AJ248" s="57"/>
      <c r="AK248" s="57"/>
      <c r="AL248" s="57"/>
      <c r="AM248" s="57"/>
    </row>
    <row r="249" spans="1:39" s="58" customFormat="1" ht="19.5" x14ac:dyDescent="0.2">
      <c r="A249" s="52">
        <v>272500</v>
      </c>
      <c r="B249" s="53"/>
      <c r="C249" s="42"/>
      <c r="D249" s="59" t="s">
        <v>731</v>
      </c>
      <c r="E249" s="69">
        <v>10</v>
      </c>
      <c r="F249" s="69">
        <v>10</v>
      </c>
      <c r="G249" s="69">
        <v>10</v>
      </c>
      <c r="H249" s="69">
        <v>10</v>
      </c>
      <c r="I249" s="70">
        <v>10</v>
      </c>
      <c r="J249" s="4"/>
      <c r="K249" s="4"/>
      <c r="L249" s="3265"/>
      <c r="M249" s="4"/>
      <c r="N249" s="4"/>
      <c r="O249" s="4"/>
      <c r="P249" s="3268"/>
      <c r="Q249" s="3265"/>
      <c r="R249" s="4"/>
      <c r="S249" s="3266">
        <v>0</v>
      </c>
      <c r="T249" s="3265"/>
      <c r="U249" s="3267">
        <f t="shared" si="19"/>
        <v>50</v>
      </c>
      <c r="V249" s="4"/>
      <c r="W249" s="3265"/>
      <c r="X249" s="3265"/>
      <c r="Y249" s="3265"/>
      <c r="Z249" s="3265"/>
      <c r="AA249" s="3265"/>
      <c r="AB249" s="3265"/>
      <c r="AC249" s="3265"/>
      <c r="AD249" s="3265"/>
      <c r="AE249" s="3265"/>
      <c r="AF249" s="3265"/>
      <c r="AG249" s="3265"/>
      <c r="AH249" s="3265"/>
      <c r="AI249" s="57"/>
      <c r="AJ249" s="57"/>
      <c r="AK249" s="57"/>
      <c r="AL249" s="57"/>
      <c r="AM249" s="57"/>
    </row>
    <row r="250" spans="1:39" s="58" customFormat="1" ht="19.5" x14ac:dyDescent="0.2">
      <c r="A250" s="52">
        <v>279500</v>
      </c>
      <c r="B250" s="53"/>
      <c r="C250" s="42"/>
      <c r="D250" s="59" t="s">
        <v>453</v>
      </c>
      <c r="E250" s="69">
        <v>10</v>
      </c>
      <c r="F250" s="69">
        <v>10</v>
      </c>
      <c r="G250" s="69">
        <v>10</v>
      </c>
      <c r="H250" s="69">
        <v>10</v>
      </c>
      <c r="I250" s="70">
        <v>10</v>
      </c>
      <c r="J250" s="4"/>
      <c r="K250" s="4"/>
      <c r="L250" s="3265"/>
      <c r="M250" s="4"/>
      <c r="N250" s="4"/>
      <c r="O250" s="4"/>
      <c r="P250" s="3268"/>
      <c r="Q250" s="3265"/>
      <c r="R250" s="4"/>
      <c r="S250" s="3266">
        <v>0</v>
      </c>
      <c r="T250" s="3265"/>
      <c r="U250" s="3267">
        <f t="shared" si="19"/>
        <v>50</v>
      </c>
      <c r="V250" s="4"/>
      <c r="W250" s="3265"/>
      <c r="X250" s="3265"/>
      <c r="Y250" s="3265"/>
      <c r="Z250" s="3265"/>
      <c r="AA250" s="3265"/>
      <c r="AB250" s="3265"/>
      <c r="AC250" s="3265"/>
      <c r="AD250" s="3265"/>
      <c r="AE250" s="3265"/>
      <c r="AF250" s="3265"/>
      <c r="AG250" s="3265"/>
      <c r="AH250" s="3265"/>
      <c r="AI250" s="57"/>
      <c r="AJ250" s="57"/>
      <c r="AK250" s="57"/>
      <c r="AL250" s="57"/>
      <c r="AM250" s="57"/>
    </row>
    <row r="251" spans="1:39" s="58" customFormat="1" ht="18.95" hidden="1" customHeight="1" x14ac:dyDescent="0.2">
      <c r="A251" s="52"/>
      <c r="B251" s="53"/>
      <c r="C251" s="42"/>
      <c r="D251" s="59"/>
      <c r="E251" s="69"/>
      <c r="F251" s="69"/>
      <c r="G251" s="72"/>
      <c r="H251" s="72"/>
      <c r="I251" s="59"/>
      <c r="J251" s="4"/>
      <c r="K251" s="4"/>
      <c r="L251" s="3265"/>
      <c r="M251" s="4"/>
      <c r="N251" s="4"/>
      <c r="O251" s="4"/>
      <c r="P251" s="3268"/>
      <c r="Q251" s="3265"/>
      <c r="R251" s="4"/>
      <c r="S251" s="3266">
        <v>1</v>
      </c>
      <c r="T251" s="3265"/>
      <c r="U251" s="3267">
        <f t="shared" si="19"/>
        <v>0</v>
      </c>
      <c r="V251" s="4"/>
      <c r="W251" s="3265"/>
      <c r="X251" s="3265"/>
      <c r="Y251" s="3265"/>
      <c r="Z251" s="3265"/>
      <c r="AA251" s="3265"/>
      <c r="AB251" s="3265"/>
      <c r="AC251" s="3265"/>
      <c r="AD251" s="3265"/>
      <c r="AE251" s="3265"/>
      <c r="AF251" s="3265"/>
      <c r="AG251" s="3265"/>
      <c r="AH251" s="3265"/>
      <c r="AI251" s="57"/>
      <c r="AJ251" s="57"/>
      <c r="AK251" s="57"/>
      <c r="AL251" s="57"/>
      <c r="AM251" s="57"/>
    </row>
    <row r="252" spans="1:39" s="58" customFormat="1" ht="18.95" hidden="1" customHeight="1" x14ac:dyDescent="0.2">
      <c r="A252" s="52"/>
      <c r="B252" s="53"/>
      <c r="C252" s="42"/>
      <c r="D252" s="59"/>
      <c r="E252" s="69"/>
      <c r="F252" s="69"/>
      <c r="G252" s="72"/>
      <c r="H252" s="72"/>
      <c r="I252" s="59"/>
      <c r="J252" s="4"/>
      <c r="K252" s="4"/>
      <c r="L252" s="3265"/>
      <c r="M252" s="4"/>
      <c r="N252" s="4"/>
      <c r="O252" s="4"/>
      <c r="P252" s="3268"/>
      <c r="Q252" s="3265"/>
      <c r="R252" s="4"/>
      <c r="S252" s="3266">
        <v>1</v>
      </c>
      <c r="T252" s="3265"/>
      <c r="U252" s="3267">
        <f t="shared" si="19"/>
        <v>0</v>
      </c>
      <c r="V252" s="4"/>
      <c r="W252" s="3265"/>
      <c r="X252" s="3265"/>
      <c r="Y252" s="3265"/>
      <c r="Z252" s="3265"/>
      <c r="AA252" s="3265"/>
      <c r="AB252" s="3265"/>
      <c r="AC252" s="3265"/>
      <c r="AD252" s="3265"/>
      <c r="AE252" s="3265"/>
      <c r="AF252" s="3265"/>
      <c r="AG252" s="3265"/>
      <c r="AH252" s="3265"/>
      <c r="AI252" s="57"/>
      <c r="AJ252" s="57"/>
      <c r="AK252" s="57"/>
      <c r="AL252" s="57"/>
      <c r="AM252" s="57"/>
    </row>
    <row r="253" spans="1:39" s="58" customFormat="1" ht="19.5" x14ac:dyDescent="0.2">
      <c r="A253" s="52">
        <v>2107</v>
      </c>
      <c r="B253" s="53"/>
      <c r="C253" s="60" t="s">
        <v>732</v>
      </c>
      <c r="D253" s="61"/>
      <c r="E253" s="62">
        <f>SUM(E247:E250)</f>
        <v>40</v>
      </c>
      <c r="F253" s="62">
        <f>SUM(F247:F250)</f>
        <v>40</v>
      </c>
      <c r="G253" s="62">
        <f>SUM(G247:G250)</f>
        <v>40</v>
      </c>
      <c r="H253" s="62">
        <f>SUM(H247:H250)</f>
        <v>40</v>
      </c>
      <c r="I253" s="63">
        <f>SUM(I247:I250)</f>
        <v>40</v>
      </c>
      <c r="J253" s="4"/>
      <c r="K253" s="4"/>
      <c r="L253" s="3265"/>
      <c r="M253" s="4"/>
      <c r="N253" s="4"/>
      <c r="O253" s="4"/>
      <c r="P253" s="3268"/>
      <c r="Q253" s="3265"/>
      <c r="R253" s="4"/>
      <c r="S253" s="3266">
        <v>0</v>
      </c>
      <c r="T253" s="3265"/>
      <c r="U253" s="3267">
        <f t="shared" si="19"/>
        <v>200</v>
      </c>
      <c r="V253" s="4"/>
      <c r="W253" s="3265"/>
      <c r="X253" s="3265"/>
      <c r="Y253" s="3265"/>
      <c r="Z253" s="3265"/>
      <c r="AA253" s="3265"/>
      <c r="AB253" s="3265"/>
      <c r="AC253" s="3265"/>
      <c r="AD253" s="3265"/>
      <c r="AE253" s="3265"/>
      <c r="AF253" s="3265"/>
      <c r="AG253" s="3265"/>
      <c r="AH253" s="3265"/>
      <c r="AI253" s="57"/>
      <c r="AJ253" s="57"/>
      <c r="AK253" s="57"/>
      <c r="AL253" s="57"/>
      <c r="AM253" s="57"/>
    </row>
    <row r="254" spans="1:39" s="58" customFormat="1" ht="19.5" x14ac:dyDescent="0.2">
      <c r="A254" s="52"/>
      <c r="B254" s="47"/>
      <c r="C254" s="48" t="s">
        <v>733</v>
      </c>
      <c r="D254" s="65"/>
      <c r="E254" s="66"/>
      <c r="F254" s="66"/>
      <c r="G254" s="66"/>
      <c r="H254" s="66"/>
      <c r="I254" s="67"/>
      <c r="J254" s="4"/>
      <c r="K254" s="4"/>
      <c r="L254" s="3265"/>
      <c r="M254" s="4"/>
      <c r="N254" s="4"/>
      <c r="O254" s="4"/>
      <c r="P254" s="3268"/>
      <c r="Q254" s="3265"/>
      <c r="R254" s="4"/>
      <c r="S254" s="3266">
        <v>0</v>
      </c>
      <c r="T254" s="3265"/>
      <c r="U254" s="3267">
        <f>U260</f>
        <v>250</v>
      </c>
      <c r="V254" s="4"/>
      <c r="W254" s="3265"/>
      <c r="X254" s="3265"/>
      <c r="Y254" s="3265"/>
      <c r="Z254" s="3265"/>
      <c r="AA254" s="3265"/>
      <c r="AB254" s="3265"/>
      <c r="AC254" s="3265"/>
      <c r="AD254" s="3265"/>
      <c r="AE254" s="3265"/>
      <c r="AF254" s="3265"/>
      <c r="AG254" s="3265"/>
      <c r="AH254" s="3265"/>
      <c r="AI254" s="57"/>
      <c r="AJ254" s="57"/>
      <c r="AK254" s="57"/>
      <c r="AL254" s="57"/>
      <c r="AM254" s="57"/>
    </row>
    <row r="255" spans="1:39" s="58" customFormat="1" ht="19.5" x14ac:dyDescent="0.2">
      <c r="A255" s="52">
        <v>281000</v>
      </c>
      <c r="B255" s="53"/>
      <c r="C255" s="42"/>
      <c r="D255" s="94" t="s">
        <v>734</v>
      </c>
      <c r="E255" s="55">
        <v>10</v>
      </c>
      <c r="F255" s="55">
        <v>10</v>
      </c>
      <c r="G255" s="55">
        <v>10</v>
      </c>
      <c r="H255" s="55">
        <v>10</v>
      </c>
      <c r="I255" s="56">
        <v>10</v>
      </c>
      <c r="J255" s="4"/>
      <c r="K255" s="4"/>
      <c r="L255" s="3265"/>
      <c r="M255" s="4"/>
      <c r="N255" s="4"/>
      <c r="O255" s="4"/>
      <c r="P255" s="3268"/>
      <c r="Q255" s="3265"/>
      <c r="R255" s="4"/>
      <c r="S255" s="3266">
        <v>0</v>
      </c>
      <c r="T255" s="3265"/>
      <c r="U255" s="3267">
        <f t="shared" ref="U255:U261" si="20">SUM(E255:I255)</f>
        <v>50</v>
      </c>
      <c r="V255" s="4"/>
      <c r="W255" s="3265"/>
      <c r="X255" s="3265"/>
      <c r="Y255" s="3265"/>
      <c r="Z255" s="3265"/>
      <c r="AA255" s="3265"/>
      <c r="AB255" s="3265"/>
      <c r="AC255" s="3265"/>
      <c r="AD255" s="3265"/>
      <c r="AE255" s="3265"/>
      <c r="AF255" s="3265"/>
      <c r="AG255" s="3265"/>
      <c r="AH255" s="3265"/>
      <c r="AI255" s="57"/>
      <c r="AJ255" s="57"/>
      <c r="AK255" s="57"/>
      <c r="AL255" s="57"/>
      <c r="AM255" s="57"/>
    </row>
    <row r="256" spans="1:39" s="58" customFormat="1" ht="19.5" x14ac:dyDescent="0.2">
      <c r="A256" s="52">
        <v>282000</v>
      </c>
      <c r="B256" s="53"/>
      <c r="C256" s="42"/>
      <c r="D256" s="68" t="s">
        <v>735</v>
      </c>
      <c r="E256" s="69">
        <v>10</v>
      </c>
      <c r="F256" s="69">
        <v>10</v>
      </c>
      <c r="G256" s="69">
        <v>10</v>
      </c>
      <c r="H256" s="69">
        <v>10</v>
      </c>
      <c r="I256" s="70">
        <v>10</v>
      </c>
      <c r="J256" s="4"/>
      <c r="K256" s="4"/>
      <c r="L256" s="3265"/>
      <c r="M256" s="4"/>
      <c r="N256" s="4"/>
      <c r="O256" s="4"/>
      <c r="P256" s="3268"/>
      <c r="Q256" s="3265"/>
      <c r="R256" s="4"/>
      <c r="S256" s="3266">
        <v>0</v>
      </c>
      <c r="T256" s="3265"/>
      <c r="U256" s="3267">
        <f t="shared" si="20"/>
        <v>50</v>
      </c>
      <c r="V256" s="4"/>
      <c r="W256" s="3265"/>
      <c r="X256" s="3265"/>
      <c r="Y256" s="3265"/>
      <c r="Z256" s="3265"/>
      <c r="AA256" s="3265"/>
      <c r="AB256" s="3265"/>
      <c r="AC256" s="3265"/>
      <c r="AD256" s="3265"/>
      <c r="AE256" s="3265"/>
      <c r="AF256" s="3265"/>
      <c r="AG256" s="3265"/>
      <c r="AH256" s="3265"/>
      <c r="AI256" s="57"/>
      <c r="AJ256" s="57"/>
      <c r="AK256" s="57"/>
      <c r="AL256" s="57"/>
      <c r="AM256" s="57"/>
    </row>
    <row r="257" spans="1:39" s="58" customFormat="1" ht="19.5" x14ac:dyDescent="0.2">
      <c r="A257" s="52">
        <v>282500</v>
      </c>
      <c r="B257" s="53"/>
      <c r="C257" s="42"/>
      <c r="D257" s="68" t="s">
        <v>736</v>
      </c>
      <c r="E257" s="69">
        <v>10</v>
      </c>
      <c r="F257" s="69">
        <v>10</v>
      </c>
      <c r="G257" s="69">
        <v>10</v>
      </c>
      <c r="H257" s="69">
        <v>10</v>
      </c>
      <c r="I257" s="70">
        <v>10</v>
      </c>
      <c r="J257" s="4"/>
      <c r="K257" s="4"/>
      <c r="L257" s="3265"/>
      <c r="M257" s="4"/>
      <c r="N257" s="4"/>
      <c r="O257" s="4"/>
      <c r="P257" s="3268"/>
      <c r="Q257" s="3265"/>
      <c r="R257" s="4"/>
      <c r="S257" s="3266">
        <v>0</v>
      </c>
      <c r="T257" s="3265"/>
      <c r="U257" s="3267">
        <f t="shared" si="20"/>
        <v>50</v>
      </c>
      <c r="V257" s="3265"/>
      <c r="W257" s="3265"/>
      <c r="X257" s="3265"/>
      <c r="Y257" s="3265"/>
      <c r="Z257" s="3265"/>
      <c r="AA257" s="3265"/>
      <c r="AB257" s="3265"/>
      <c r="AC257" s="3265"/>
      <c r="AD257" s="3265"/>
      <c r="AE257" s="3265"/>
      <c r="AF257" s="3265"/>
      <c r="AG257" s="3265"/>
      <c r="AH257" s="3265"/>
      <c r="AI257" s="57"/>
      <c r="AJ257" s="57"/>
      <c r="AK257" s="57"/>
      <c r="AL257" s="57"/>
      <c r="AM257" s="57"/>
    </row>
    <row r="258" spans="1:39" s="58" customFormat="1" ht="19.5" x14ac:dyDescent="0.2">
      <c r="A258" s="52">
        <v>284000</v>
      </c>
      <c r="B258" s="53"/>
      <c r="C258" s="42"/>
      <c r="D258" s="68" t="s">
        <v>737</v>
      </c>
      <c r="E258" s="69">
        <v>10</v>
      </c>
      <c r="F258" s="69">
        <v>10</v>
      </c>
      <c r="G258" s="69">
        <v>10</v>
      </c>
      <c r="H258" s="69">
        <v>10</v>
      </c>
      <c r="I258" s="70">
        <v>10</v>
      </c>
      <c r="J258" s="4"/>
      <c r="K258" s="4"/>
      <c r="L258" s="3265"/>
      <c r="M258" s="4"/>
      <c r="N258" s="4"/>
      <c r="O258" s="4"/>
      <c r="P258" s="3268"/>
      <c r="Q258" s="3265"/>
      <c r="R258" s="4"/>
      <c r="S258" s="3266">
        <v>0</v>
      </c>
      <c r="T258" s="3265"/>
      <c r="U258" s="3267">
        <f t="shared" si="20"/>
        <v>50</v>
      </c>
      <c r="V258" s="3265"/>
      <c r="W258" s="3265"/>
      <c r="X258" s="3265"/>
      <c r="Y258" s="3265"/>
      <c r="Z258" s="3265"/>
      <c r="AA258" s="3265"/>
      <c r="AB258" s="3265"/>
      <c r="AC258" s="3265"/>
      <c r="AD258" s="3265"/>
      <c r="AE258" s="3265"/>
      <c r="AF258" s="3265"/>
      <c r="AG258" s="3265"/>
      <c r="AH258" s="3265"/>
      <c r="AI258" s="57"/>
      <c r="AJ258" s="57"/>
      <c r="AK258" s="57"/>
      <c r="AL258" s="57"/>
      <c r="AM258" s="57"/>
    </row>
    <row r="259" spans="1:39" s="58" customFormat="1" ht="19.5" x14ac:dyDescent="0.2">
      <c r="A259" s="52">
        <v>289500</v>
      </c>
      <c r="B259" s="53"/>
      <c r="C259" s="42"/>
      <c r="D259" s="68" t="s">
        <v>453</v>
      </c>
      <c r="E259" s="69">
        <v>10</v>
      </c>
      <c r="F259" s="69">
        <v>10</v>
      </c>
      <c r="G259" s="69">
        <v>10</v>
      </c>
      <c r="H259" s="69">
        <v>10</v>
      </c>
      <c r="I259" s="70">
        <v>10</v>
      </c>
      <c r="J259" s="4"/>
      <c r="K259" s="4"/>
      <c r="L259" s="3265"/>
      <c r="M259" s="4"/>
      <c r="N259" s="4"/>
      <c r="O259" s="4"/>
      <c r="P259" s="3268"/>
      <c r="Q259" s="3265"/>
      <c r="R259" s="4"/>
      <c r="S259" s="3266">
        <v>0</v>
      </c>
      <c r="T259" s="3265"/>
      <c r="U259" s="3267">
        <f t="shared" si="20"/>
        <v>50</v>
      </c>
      <c r="V259" s="3265"/>
      <c r="W259" s="3265"/>
      <c r="X259" s="3265"/>
      <c r="Y259" s="3265"/>
      <c r="Z259" s="3265"/>
      <c r="AA259" s="3265"/>
      <c r="AB259" s="3265"/>
      <c r="AC259" s="3265"/>
      <c r="AD259" s="3265"/>
      <c r="AE259" s="3265"/>
      <c r="AF259" s="3265"/>
      <c r="AG259" s="3265"/>
      <c r="AH259" s="3265"/>
      <c r="AI259" s="57"/>
      <c r="AJ259" s="57"/>
      <c r="AK259" s="57"/>
      <c r="AL259" s="57"/>
      <c r="AM259" s="57"/>
    </row>
    <row r="260" spans="1:39" s="58" customFormat="1" ht="19.5" x14ac:dyDescent="0.2">
      <c r="A260" s="52">
        <v>2109</v>
      </c>
      <c r="B260" s="53"/>
      <c r="C260" s="73" t="s">
        <v>738</v>
      </c>
      <c r="D260" s="74"/>
      <c r="E260" s="75">
        <f>SUM(E255:E259)</f>
        <v>50</v>
      </c>
      <c r="F260" s="75">
        <f>SUM(F255:F259)</f>
        <v>50</v>
      </c>
      <c r="G260" s="75">
        <f>SUM(G255:G259)</f>
        <v>50</v>
      </c>
      <c r="H260" s="75">
        <f>SUM(H255:H259)</f>
        <v>50</v>
      </c>
      <c r="I260" s="76">
        <f>SUM(I255:I259)</f>
        <v>50</v>
      </c>
      <c r="J260" s="4"/>
      <c r="K260" s="4"/>
      <c r="L260" s="3265"/>
      <c r="M260" s="4"/>
      <c r="N260" s="4"/>
      <c r="O260" s="4"/>
      <c r="P260" s="3268"/>
      <c r="Q260" s="3265"/>
      <c r="R260" s="4"/>
      <c r="S260" s="3266">
        <v>0</v>
      </c>
      <c r="T260" s="3265"/>
      <c r="U260" s="3267">
        <f t="shared" si="20"/>
        <v>250</v>
      </c>
      <c r="V260" s="3265"/>
      <c r="W260" s="3265"/>
      <c r="X260" s="3265"/>
      <c r="Y260" s="3265"/>
      <c r="Z260" s="3265"/>
      <c r="AA260" s="3265"/>
      <c r="AB260" s="3265"/>
      <c r="AC260" s="3265"/>
      <c r="AD260" s="3265"/>
      <c r="AE260" s="3265"/>
      <c r="AF260" s="3265"/>
      <c r="AG260" s="3265"/>
      <c r="AH260" s="3265"/>
      <c r="AI260" s="57"/>
      <c r="AJ260" s="57"/>
      <c r="AK260" s="57"/>
      <c r="AL260" s="57"/>
      <c r="AM260" s="57"/>
    </row>
    <row r="261" spans="1:39" s="58" customFormat="1" ht="19.5" x14ac:dyDescent="0.2">
      <c r="A261" s="52">
        <v>21</v>
      </c>
      <c r="B261" s="77"/>
      <c r="C261" s="86" t="s">
        <v>739</v>
      </c>
      <c r="D261" s="87"/>
      <c r="E261" s="80">
        <f>E192+E197+E214+E226+E234+E245+E253+E260</f>
        <v>480</v>
      </c>
      <c r="F261" s="80">
        <f>F192+F197+F214+F226+F234+F245+F253+F260</f>
        <v>480</v>
      </c>
      <c r="G261" s="80">
        <f>G192+G197+G214+G226+G234+G245+G253+G260</f>
        <v>480</v>
      </c>
      <c r="H261" s="80">
        <f>H192+H197+H214+H226+H234+H245+H253+H260</f>
        <v>480</v>
      </c>
      <c r="I261" s="81">
        <f>I192+I197+I214+I226+I234+I245+I253+I260</f>
        <v>480</v>
      </c>
      <c r="J261" s="4"/>
      <c r="K261" s="4"/>
      <c r="L261" s="3265"/>
      <c r="M261" s="4"/>
      <c r="N261" s="4"/>
      <c r="O261" s="4"/>
      <c r="P261" s="3268"/>
      <c r="Q261" s="3265"/>
      <c r="R261" s="4"/>
      <c r="S261" s="3266">
        <v>0</v>
      </c>
      <c r="T261" s="3265"/>
      <c r="U261" s="3267">
        <f t="shared" si="20"/>
        <v>2400</v>
      </c>
      <c r="V261" s="3265"/>
      <c r="W261" s="3265"/>
      <c r="X261" s="3265"/>
      <c r="Y261" s="3265"/>
      <c r="Z261" s="3265"/>
      <c r="AA261" s="3265"/>
      <c r="AB261" s="3265"/>
      <c r="AC261" s="3265"/>
      <c r="AD261" s="3265"/>
      <c r="AE261" s="3265"/>
      <c r="AF261" s="3265"/>
      <c r="AG261" s="3265"/>
      <c r="AH261" s="3265"/>
      <c r="AI261" s="57"/>
      <c r="AJ261" s="57"/>
      <c r="AK261" s="57"/>
      <c r="AL261" s="57"/>
      <c r="AM261" s="57"/>
    </row>
    <row r="262" spans="1:39" s="58" customFormat="1" ht="21" x14ac:dyDescent="0.2">
      <c r="A262" s="52"/>
      <c r="B262" s="77"/>
      <c r="C262" s="41" t="s">
        <v>740</v>
      </c>
      <c r="D262" s="93"/>
      <c r="E262" s="42"/>
      <c r="F262" s="42"/>
      <c r="G262" s="42"/>
      <c r="H262" s="42"/>
      <c r="I262" s="92"/>
      <c r="J262" s="4"/>
      <c r="K262" s="4"/>
      <c r="L262" s="3265"/>
      <c r="M262" s="4"/>
      <c r="N262" s="4"/>
      <c r="O262" s="4"/>
      <c r="P262" s="3268"/>
      <c r="Q262" s="3265"/>
      <c r="R262" s="4"/>
      <c r="S262" s="3266">
        <v>0</v>
      </c>
      <c r="T262" s="3265"/>
      <c r="U262" s="3267">
        <v>1</v>
      </c>
      <c r="V262" s="3265"/>
      <c r="W262" s="3265"/>
      <c r="X262" s="3265"/>
      <c r="Y262" s="3265"/>
      <c r="Z262" s="3265"/>
      <c r="AA262" s="3265"/>
      <c r="AB262" s="3265"/>
      <c r="AC262" s="3265"/>
      <c r="AD262" s="3265"/>
      <c r="AE262" s="3265"/>
      <c r="AF262" s="3265"/>
      <c r="AG262" s="3265"/>
      <c r="AH262" s="3265"/>
      <c r="AI262" s="57"/>
      <c r="AJ262" s="57"/>
      <c r="AK262" s="57"/>
      <c r="AL262" s="57"/>
      <c r="AM262" s="57"/>
    </row>
    <row r="263" spans="1:39" s="58" customFormat="1" ht="19.5" x14ac:dyDescent="0.2">
      <c r="A263" s="52"/>
      <c r="B263" s="47"/>
      <c r="C263" s="48" t="s">
        <v>741</v>
      </c>
      <c r="D263" s="82"/>
      <c r="E263" s="50"/>
      <c r="F263" s="50"/>
      <c r="G263" s="50"/>
      <c r="H263" s="50"/>
      <c r="I263" s="83"/>
      <c r="J263" s="4"/>
      <c r="K263" s="4"/>
      <c r="L263" s="3265"/>
      <c r="M263" s="4"/>
      <c r="N263" s="4"/>
      <c r="O263" s="4"/>
      <c r="P263" s="3268"/>
      <c r="Q263" s="3265"/>
      <c r="R263" s="4"/>
      <c r="S263" s="3266">
        <v>0</v>
      </c>
      <c r="T263" s="3265"/>
      <c r="U263" s="3267">
        <f>U266</f>
        <v>100</v>
      </c>
      <c r="V263" s="3265"/>
      <c r="W263" s="3265"/>
      <c r="X263" s="3265"/>
      <c r="Y263" s="3265"/>
      <c r="Z263" s="3265"/>
      <c r="AA263" s="3265"/>
      <c r="AB263" s="3265"/>
      <c r="AC263" s="3265"/>
      <c r="AD263" s="3265"/>
      <c r="AE263" s="3265"/>
      <c r="AF263" s="3265"/>
      <c r="AG263" s="3265"/>
      <c r="AH263" s="3265"/>
      <c r="AI263" s="57"/>
      <c r="AJ263" s="57"/>
      <c r="AK263" s="57"/>
      <c r="AL263" s="57"/>
      <c r="AM263" s="57"/>
    </row>
    <row r="264" spans="1:39" s="58" customFormat="1" ht="19.5" x14ac:dyDescent="0.2">
      <c r="A264" s="52">
        <v>210501</v>
      </c>
      <c r="B264" s="53"/>
      <c r="C264" s="42"/>
      <c r="D264" s="54" t="s">
        <v>742</v>
      </c>
      <c r="E264" s="55">
        <v>10</v>
      </c>
      <c r="F264" s="55">
        <v>10</v>
      </c>
      <c r="G264" s="55">
        <v>10</v>
      </c>
      <c r="H264" s="55">
        <v>10</v>
      </c>
      <c r="I264" s="56">
        <v>10</v>
      </c>
      <c r="J264" s="4"/>
      <c r="K264" s="4"/>
      <c r="L264" s="3265"/>
      <c r="M264" s="4"/>
      <c r="N264" s="4"/>
      <c r="O264" s="4"/>
      <c r="P264" s="3268"/>
      <c r="Q264" s="3265"/>
      <c r="R264" s="4"/>
      <c r="S264" s="3266">
        <v>0</v>
      </c>
      <c r="T264" s="3265"/>
      <c r="U264" s="3267">
        <f>SUM(E264:I264)</f>
        <v>50</v>
      </c>
      <c r="V264" s="3265"/>
      <c r="W264" s="3265"/>
      <c r="X264" s="3265"/>
      <c r="Y264" s="3265"/>
      <c r="Z264" s="3265"/>
      <c r="AA264" s="3265"/>
      <c r="AB264" s="3265"/>
      <c r="AC264" s="3265"/>
      <c r="AD264" s="3265"/>
      <c r="AE264" s="3265"/>
      <c r="AF264" s="3265"/>
      <c r="AG264" s="3265"/>
      <c r="AH264" s="3265"/>
      <c r="AI264" s="57"/>
      <c r="AJ264" s="57"/>
      <c r="AK264" s="57"/>
      <c r="AL264" s="57"/>
      <c r="AM264" s="57"/>
    </row>
    <row r="265" spans="1:39" s="58" customFormat="1" ht="19.5" x14ac:dyDescent="0.2">
      <c r="A265" s="52">
        <v>211001</v>
      </c>
      <c r="B265" s="53"/>
      <c r="C265" s="42"/>
      <c r="D265" s="59" t="s">
        <v>554</v>
      </c>
      <c r="E265" s="69">
        <v>10</v>
      </c>
      <c r="F265" s="69">
        <v>10</v>
      </c>
      <c r="G265" s="69">
        <v>10</v>
      </c>
      <c r="H265" s="69">
        <v>10</v>
      </c>
      <c r="I265" s="70">
        <v>10</v>
      </c>
      <c r="J265" s="4"/>
      <c r="K265" s="4"/>
      <c r="L265" s="3265"/>
      <c r="M265" s="4"/>
      <c r="N265" s="4"/>
      <c r="O265" s="4"/>
      <c r="P265" s="3268"/>
      <c r="Q265" s="3265"/>
      <c r="R265" s="4"/>
      <c r="S265" s="3266">
        <v>0</v>
      </c>
      <c r="T265" s="3265"/>
      <c r="U265" s="3267">
        <f>SUM(E265:I265)</f>
        <v>50</v>
      </c>
      <c r="V265" s="3265"/>
      <c r="W265" s="3265"/>
      <c r="X265" s="3265"/>
      <c r="Y265" s="3265"/>
      <c r="Z265" s="3265"/>
      <c r="AA265" s="3265"/>
      <c r="AB265" s="3265"/>
      <c r="AC265" s="3265"/>
      <c r="AD265" s="3265"/>
      <c r="AE265" s="3265"/>
      <c r="AF265" s="3265"/>
      <c r="AG265" s="3265"/>
      <c r="AH265" s="3265"/>
      <c r="AI265" s="57"/>
      <c r="AJ265" s="57"/>
      <c r="AK265" s="57"/>
      <c r="AL265" s="57"/>
      <c r="AM265" s="57"/>
    </row>
    <row r="266" spans="1:39" s="58" customFormat="1" ht="19.5" x14ac:dyDescent="0.2">
      <c r="A266" s="52">
        <v>2201</v>
      </c>
      <c r="B266" s="53"/>
      <c r="C266" s="60" t="s">
        <v>743</v>
      </c>
      <c r="D266" s="61"/>
      <c r="E266" s="62">
        <f>SUM(E264:E265)</f>
        <v>20</v>
      </c>
      <c r="F266" s="62">
        <f>SUM(F264:F265)</f>
        <v>20</v>
      </c>
      <c r="G266" s="62">
        <f>SUM(G264:G265)</f>
        <v>20</v>
      </c>
      <c r="H266" s="62">
        <f>SUM(H264:H265)</f>
        <v>20</v>
      </c>
      <c r="I266" s="63">
        <f>SUM(I264:I265)</f>
        <v>20</v>
      </c>
      <c r="J266" s="4"/>
      <c r="K266" s="4"/>
      <c r="L266" s="3265"/>
      <c r="M266" s="4"/>
      <c r="N266" s="4"/>
      <c r="O266" s="4"/>
      <c r="P266" s="3268"/>
      <c r="Q266" s="3265"/>
      <c r="R266" s="4"/>
      <c r="S266" s="3266">
        <v>0</v>
      </c>
      <c r="T266" s="3265"/>
      <c r="U266" s="3267">
        <f>SUM(E266:I266)</f>
        <v>100</v>
      </c>
      <c r="V266" s="3265"/>
      <c r="W266" s="3265"/>
      <c r="X266" s="3265"/>
      <c r="Y266" s="3265"/>
      <c r="Z266" s="3265"/>
      <c r="AA266" s="3265"/>
      <c r="AB266" s="3265"/>
      <c r="AC266" s="3265"/>
      <c r="AD266" s="3265"/>
      <c r="AE266" s="3265"/>
      <c r="AF266" s="3265"/>
      <c r="AG266" s="3265"/>
      <c r="AH266" s="3265"/>
      <c r="AI266" s="57"/>
      <c r="AJ266" s="57"/>
      <c r="AK266" s="57"/>
      <c r="AL266" s="57"/>
      <c r="AM266" s="57"/>
    </row>
    <row r="267" spans="1:39" s="58" customFormat="1" ht="19.5" x14ac:dyDescent="0.2">
      <c r="A267" s="52"/>
      <c r="B267" s="47"/>
      <c r="C267" s="48" t="s">
        <v>744</v>
      </c>
      <c r="D267" s="65"/>
      <c r="E267" s="66"/>
      <c r="F267" s="66"/>
      <c r="G267" s="66"/>
      <c r="H267" s="66"/>
      <c r="I267" s="67"/>
      <c r="J267" s="4"/>
      <c r="K267" s="4"/>
      <c r="L267" s="3265"/>
      <c r="M267" s="4"/>
      <c r="N267" s="4"/>
      <c r="O267" s="4"/>
      <c r="P267" s="3268"/>
      <c r="Q267" s="3265"/>
      <c r="R267" s="4"/>
      <c r="S267" s="3266">
        <v>0</v>
      </c>
      <c r="T267" s="3265"/>
      <c r="U267" s="3267">
        <f>U283</f>
        <v>750</v>
      </c>
      <c r="V267" s="3265"/>
      <c r="W267" s="3265"/>
      <c r="X267" s="3265"/>
      <c r="Y267" s="3265"/>
      <c r="Z267" s="3265"/>
      <c r="AA267" s="3265"/>
      <c r="AB267" s="3265"/>
      <c r="AC267" s="3265"/>
      <c r="AD267" s="3265"/>
      <c r="AE267" s="3265"/>
      <c r="AF267" s="3265"/>
      <c r="AG267" s="3265"/>
      <c r="AH267" s="3265"/>
      <c r="AI267" s="57"/>
      <c r="AJ267" s="57"/>
      <c r="AK267" s="57"/>
      <c r="AL267" s="57"/>
      <c r="AM267" s="57"/>
    </row>
    <row r="268" spans="1:39" s="58" customFormat="1" ht="19.5" x14ac:dyDescent="0.2">
      <c r="A268" s="52">
        <v>220501</v>
      </c>
      <c r="B268" s="53"/>
      <c r="C268" s="42"/>
      <c r="D268" s="54" t="s">
        <v>686</v>
      </c>
      <c r="E268" s="55">
        <v>10</v>
      </c>
      <c r="F268" s="55">
        <v>10</v>
      </c>
      <c r="G268" s="55">
        <v>10</v>
      </c>
      <c r="H268" s="55">
        <v>10</v>
      </c>
      <c r="I268" s="56">
        <v>10</v>
      </c>
      <c r="J268" s="4"/>
      <c r="K268" s="4"/>
      <c r="L268" s="3265"/>
      <c r="M268" s="4"/>
      <c r="N268" s="4"/>
      <c r="O268" s="4"/>
      <c r="P268" s="3268"/>
      <c r="Q268" s="3265"/>
      <c r="R268" s="4"/>
      <c r="S268" s="3266">
        <v>0</v>
      </c>
      <c r="T268" s="3265"/>
      <c r="U268" s="3267">
        <f t="shared" ref="U268:U283" si="21">SUM(E268:I268)</f>
        <v>50</v>
      </c>
      <c r="V268" s="3265"/>
      <c r="W268" s="3265"/>
      <c r="X268" s="3265"/>
      <c r="Y268" s="3265"/>
      <c r="Z268" s="3265"/>
      <c r="AA268" s="3265"/>
      <c r="AB268" s="3265"/>
      <c r="AC268" s="3265"/>
      <c r="AD268" s="3265"/>
      <c r="AE268" s="3265"/>
      <c r="AF268" s="3265"/>
      <c r="AG268" s="3265"/>
      <c r="AH268" s="3265"/>
      <c r="AI268" s="57"/>
      <c r="AJ268" s="57"/>
      <c r="AK268" s="57"/>
      <c r="AL268" s="57"/>
      <c r="AM268" s="57"/>
    </row>
    <row r="269" spans="1:39" s="58" customFormat="1" ht="19.5" x14ac:dyDescent="0.2">
      <c r="A269" s="52">
        <v>221001</v>
      </c>
      <c r="B269" s="53"/>
      <c r="C269" s="42"/>
      <c r="D269" s="59" t="s">
        <v>687</v>
      </c>
      <c r="E269" s="69">
        <v>10</v>
      </c>
      <c r="F269" s="69">
        <v>10</v>
      </c>
      <c r="G269" s="69">
        <v>10</v>
      </c>
      <c r="H269" s="69">
        <v>10</v>
      </c>
      <c r="I269" s="70">
        <v>10</v>
      </c>
      <c r="J269" s="4"/>
      <c r="K269" s="4"/>
      <c r="L269" s="3265"/>
      <c r="M269" s="4"/>
      <c r="N269" s="4"/>
      <c r="O269" s="4"/>
      <c r="P269" s="3268"/>
      <c r="Q269" s="3265"/>
      <c r="R269" s="4"/>
      <c r="S269" s="3266">
        <v>0</v>
      </c>
      <c r="T269" s="3265"/>
      <c r="U269" s="3267">
        <f t="shared" si="21"/>
        <v>50</v>
      </c>
      <c r="V269" s="3265"/>
      <c r="W269" s="3265"/>
      <c r="X269" s="3265"/>
      <c r="Y269" s="3265"/>
      <c r="Z269" s="3265"/>
      <c r="AA269" s="3265"/>
      <c r="AB269" s="3265"/>
      <c r="AC269" s="3265"/>
      <c r="AD269" s="3265"/>
      <c r="AE269" s="3265"/>
      <c r="AF269" s="3265"/>
      <c r="AG269" s="3265"/>
      <c r="AH269" s="3265"/>
      <c r="AI269" s="57"/>
      <c r="AJ269" s="57"/>
      <c r="AK269" s="57"/>
      <c r="AL269" s="57"/>
      <c r="AM269" s="57"/>
    </row>
    <row r="270" spans="1:39" s="58" customFormat="1" ht="19.5" x14ac:dyDescent="0.2">
      <c r="A270" s="52">
        <v>230501</v>
      </c>
      <c r="B270" s="53"/>
      <c r="C270" s="42"/>
      <c r="D270" s="59" t="s">
        <v>571</v>
      </c>
      <c r="E270" s="69">
        <v>10</v>
      </c>
      <c r="F270" s="69">
        <v>10</v>
      </c>
      <c r="G270" s="69">
        <v>10</v>
      </c>
      <c r="H270" s="69">
        <v>10</v>
      </c>
      <c r="I270" s="70">
        <v>10</v>
      </c>
      <c r="J270" s="4"/>
      <c r="K270" s="4"/>
      <c r="L270" s="3265"/>
      <c r="M270" s="4"/>
      <c r="N270" s="4"/>
      <c r="O270" s="4"/>
      <c r="P270" s="3268"/>
      <c r="Q270" s="3265"/>
      <c r="R270" s="4"/>
      <c r="S270" s="3266">
        <v>0</v>
      </c>
      <c r="T270" s="3265"/>
      <c r="U270" s="3267">
        <f t="shared" si="21"/>
        <v>50</v>
      </c>
      <c r="V270" s="3265"/>
      <c r="W270" s="3265"/>
      <c r="X270" s="4"/>
      <c r="Y270" s="3265"/>
      <c r="Z270" s="3265"/>
      <c r="AA270" s="3265"/>
      <c r="AB270" s="3265"/>
      <c r="AC270" s="3265"/>
      <c r="AD270" s="3265"/>
      <c r="AE270" s="3265"/>
      <c r="AF270" s="3265"/>
      <c r="AG270" s="3265"/>
      <c r="AH270" s="3265"/>
      <c r="AI270" s="57"/>
      <c r="AJ270" s="57"/>
      <c r="AK270" s="57"/>
      <c r="AL270" s="57"/>
      <c r="AM270" s="57"/>
    </row>
    <row r="271" spans="1:39" s="58" customFormat="1" ht="19.5" x14ac:dyDescent="0.2">
      <c r="A271" s="52">
        <v>231001</v>
      </c>
      <c r="B271" s="53"/>
      <c r="C271" s="42"/>
      <c r="D271" s="59" t="s">
        <v>690</v>
      </c>
      <c r="E271" s="69">
        <v>10</v>
      </c>
      <c r="F271" s="69">
        <v>10</v>
      </c>
      <c r="G271" s="69">
        <v>10</v>
      </c>
      <c r="H271" s="69">
        <v>10</v>
      </c>
      <c r="I271" s="70">
        <v>10</v>
      </c>
      <c r="J271" s="4"/>
      <c r="K271" s="4"/>
      <c r="L271" s="3265"/>
      <c r="M271" s="4"/>
      <c r="N271" s="4"/>
      <c r="O271" s="4"/>
      <c r="P271" s="3268"/>
      <c r="Q271" s="3265"/>
      <c r="R271" s="4"/>
      <c r="S271" s="3266">
        <v>0</v>
      </c>
      <c r="T271" s="3265"/>
      <c r="U271" s="3267">
        <f t="shared" si="21"/>
        <v>50</v>
      </c>
      <c r="V271" s="3265"/>
      <c r="W271" s="3265"/>
      <c r="X271" s="4"/>
      <c r="Y271" s="3265"/>
      <c r="Z271" s="3265"/>
      <c r="AA271" s="3265"/>
      <c r="AB271" s="3265"/>
      <c r="AC271" s="3265"/>
      <c r="AD271" s="3265"/>
      <c r="AE271" s="3265"/>
      <c r="AF271" s="3265"/>
      <c r="AG271" s="3265"/>
      <c r="AH271" s="3265"/>
      <c r="AI271" s="57"/>
      <c r="AJ271" s="57"/>
      <c r="AK271" s="57"/>
      <c r="AL271" s="57"/>
      <c r="AM271" s="57"/>
    </row>
    <row r="272" spans="1:39" s="58" customFormat="1" ht="19.5" x14ac:dyDescent="0.2">
      <c r="A272" s="52">
        <v>231501</v>
      </c>
      <c r="B272" s="53"/>
      <c r="C272" s="42"/>
      <c r="D272" s="59" t="s">
        <v>691</v>
      </c>
      <c r="E272" s="69">
        <v>10</v>
      </c>
      <c r="F272" s="69">
        <v>10</v>
      </c>
      <c r="G272" s="69">
        <v>10</v>
      </c>
      <c r="H272" s="69">
        <v>10</v>
      </c>
      <c r="I272" s="70">
        <v>10</v>
      </c>
      <c r="J272" s="4"/>
      <c r="K272" s="4"/>
      <c r="L272" s="3265"/>
      <c r="M272" s="4"/>
      <c r="N272" s="4"/>
      <c r="O272" s="4"/>
      <c r="P272" s="3268"/>
      <c r="Q272" s="3265"/>
      <c r="R272" s="4"/>
      <c r="S272" s="3266">
        <v>0</v>
      </c>
      <c r="T272" s="3265"/>
      <c r="U272" s="3267">
        <f t="shared" si="21"/>
        <v>50</v>
      </c>
      <c r="V272" s="3265"/>
      <c r="W272" s="3265"/>
      <c r="X272" s="4"/>
      <c r="Y272" s="3265"/>
      <c r="Z272" s="3265"/>
      <c r="AA272" s="3265"/>
      <c r="AB272" s="3265"/>
      <c r="AC272" s="3265"/>
      <c r="AD272" s="3265"/>
      <c r="AE272" s="3265"/>
      <c r="AF272" s="3265"/>
      <c r="AG272" s="3265"/>
      <c r="AH272" s="3265"/>
      <c r="AI272" s="57"/>
      <c r="AJ272" s="57"/>
      <c r="AK272" s="57"/>
      <c r="AL272" s="57"/>
      <c r="AM272" s="57"/>
    </row>
    <row r="273" spans="1:39" s="58" customFormat="1" ht="19.5" x14ac:dyDescent="0.2">
      <c r="A273" s="52">
        <v>232001</v>
      </c>
      <c r="B273" s="53"/>
      <c r="C273" s="42"/>
      <c r="D273" s="59" t="s">
        <v>692</v>
      </c>
      <c r="E273" s="69">
        <v>10</v>
      </c>
      <c r="F273" s="69">
        <v>10</v>
      </c>
      <c r="G273" s="69">
        <v>10</v>
      </c>
      <c r="H273" s="69">
        <v>10</v>
      </c>
      <c r="I273" s="70">
        <v>10</v>
      </c>
      <c r="J273" s="4"/>
      <c r="K273" s="4"/>
      <c r="L273" s="3265"/>
      <c r="M273" s="4"/>
      <c r="N273" s="4"/>
      <c r="O273" s="4"/>
      <c r="P273" s="3268"/>
      <c r="Q273" s="3265"/>
      <c r="R273" s="4"/>
      <c r="S273" s="3266">
        <v>0</v>
      </c>
      <c r="T273" s="3265"/>
      <c r="U273" s="3267">
        <f t="shared" si="21"/>
        <v>50</v>
      </c>
      <c r="V273" s="3265"/>
      <c r="W273" s="3265"/>
      <c r="X273" s="4"/>
      <c r="Y273" s="3265"/>
      <c r="Z273" s="3265"/>
      <c r="AA273" s="3265"/>
      <c r="AB273" s="3265"/>
      <c r="AC273" s="3265"/>
      <c r="AD273" s="3265"/>
      <c r="AE273" s="3265"/>
      <c r="AF273" s="3265"/>
      <c r="AG273" s="3265"/>
      <c r="AH273" s="3265"/>
      <c r="AI273" s="57"/>
      <c r="AJ273" s="57"/>
      <c r="AK273" s="57"/>
      <c r="AL273" s="57"/>
      <c r="AM273" s="57"/>
    </row>
    <row r="274" spans="1:39" s="58" customFormat="1" ht="19.5" x14ac:dyDescent="0.2">
      <c r="A274" s="52">
        <v>233501</v>
      </c>
      <c r="B274" s="53"/>
      <c r="C274" s="42"/>
      <c r="D274" s="59" t="s">
        <v>693</v>
      </c>
      <c r="E274" s="69">
        <v>10</v>
      </c>
      <c r="F274" s="69">
        <v>10</v>
      </c>
      <c r="G274" s="69">
        <v>10</v>
      </c>
      <c r="H274" s="69">
        <v>10</v>
      </c>
      <c r="I274" s="70">
        <v>10</v>
      </c>
      <c r="J274" s="4"/>
      <c r="K274" s="4"/>
      <c r="L274" s="3265"/>
      <c r="M274" s="4"/>
      <c r="N274" s="4"/>
      <c r="O274" s="4"/>
      <c r="P274" s="3268"/>
      <c r="Q274" s="3265"/>
      <c r="R274" s="4"/>
      <c r="S274" s="3266">
        <v>0</v>
      </c>
      <c r="T274" s="3265"/>
      <c r="U274" s="3267">
        <f t="shared" si="21"/>
        <v>50</v>
      </c>
      <c r="V274" s="3265"/>
      <c r="W274" s="3265"/>
      <c r="X274" s="4"/>
      <c r="Y274" s="3265"/>
      <c r="Z274" s="3265"/>
      <c r="AA274" s="3265"/>
      <c r="AB274" s="3265"/>
      <c r="AC274" s="3265"/>
      <c r="AD274" s="3265"/>
      <c r="AE274" s="3265"/>
      <c r="AF274" s="3265"/>
      <c r="AG274" s="3265"/>
      <c r="AH274" s="3265"/>
      <c r="AI274" s="57"/>
      <c r="AJ274" s="57"/>
      <c r="AK274" s="57"/>
      <c r="AL274" s="57"/>
      <c r="AM274" s="57"/>
    </row>
    <row r="275" spans="1:39" s="58" customFormat="1" ht="19.5" x14ac:dyDescent="0.2">
      <c r="A275" s="52">
        <v>234501</v>
      </c>
      <c r="B275" s="53"/>
      <c r="C275" s="42"/>
      <c r="D275" s="59" t="s">
        <v>694</v>
      </c>
      <c r="E275" s="69">
        <v>10</v>
      </c>
      <c r="F275" s="69">
        <v>10</v>
      </c>
      <c r="G275" s="69">
        <v>10</v>
      </c>
      <c r="H275" s="69">
        <v>10</v>
      </c>
      <c r="I275" s="70">
        <v>10</v>
      </c>
      <c r="J275" s="4"/>
      <c r="K275" s="4"/>
      <c r="L275" s="3265"/>
      <c r="M275" s="4"/>
      <c r="N275" s="4"/>
      <c r="O275" s="4"/>
      <c r="P275" s="3268"/>
      <c r="Q275" s="3265"/>
      <c r="R275" s="4"/>
      <c r="S275" s="3266">
        <v>0</v>
      </c>
      <c r="T275" s="3265"/>
      <c r="U275" s="3267">
        <f t="shared" si="21"/>
        <v>50</v>
      </c>
      <c r="V275" s="3265"/>
      <c r="W275" s="3265"/>
      <c r="X275" s="4"/>
      <c r="Y275" s="3265"/>
      <c r="Z275" s="3265"/>
      <c r="AA275" s="3265"/>
      <c r="AB275" s="3265"/>
      <c r="AC275" s="3265"/>
      <c r="AD275" s="3265"/>
      <c r="AE275" s="3265"/>
      <c r="AF275" s="3265"/>
      <c r="AG275" s="3265"/>
      <c r="AH275" s="3265"/>
      <c r="AI275" s="57"/>
      <c r="AJ275" s="57"/>
      <c r="AK275" s="57"/>
      <c r="AL275" s="57"/>
      <c r="AM275" s="57"/>
    </row>
    <row r="276" spans="1:39" s="58" customFormat="1" ht="19.5" x14ac:dyDescent="0.2">
      <c r="A276" s="52">
        <v>235001</v>
      </c>
      <c r="B276" s="53"/>
      <c r="C276" s="42"/>
      <c r="D276" s="59" t="s">
        <v>695</v>
      </c>
      <c r="E276" s="69">
        <v>10</v>
      </c>
      <c r="F276" s="69">
        <v>10</v>
      </c>
      <c r="G276" s="69">
        <v>10</v>
      </c>
      <c r="H276" s="69">
        <v>10</v>
      </c>
      <c r="I276" s="70">
        <v>10</v>
      </c>
      <c r="J276" s="4"/>
      <c r="K276" s="4"/>
      <c r="L276" s="3265"/>
      <c r="M276" s="4"/>
      <c r="N276" s="4"/>
      <c r="O276" s="4"/>
      <c r="P276" s="3268"/>
      <c r="Q276" s="3265"/>
      <c r="R276" s="4"/>
      <c r="S276" s="3266">
        <v>0</v>
      </c>
      <c r="T276" s="3265"/>
      <c r="U276" s="3267">
        <f t="shared" si="21"/>
        <v>50</v>
      </c>
      <c r="V276" s="3265"/>
      <c r="W276" s="3265"/>
      <c r="X276" s="4"/>
      <c r="Y276" s="3265"/>
      <c r="Z276" s="3265"/>
      <c r="AA276" s="3265"/>
      <c r="AB276" s="3265"/>
      <c r="AC276" s="3265"/>
      <c r="AD276" s="3265"/>
      <c r="AE276" s="3265"/>
      <c r="AF276" s="3265"/>
      <c r="AG276" s="3265"/>
      <c r="AH276" s="3265"/>
      <c r="AI276" s="57"/>
      <c r="AJ276" s="57"/>
      <c r="AK276" s="57"/>
      <c r="AL276" s="57"/>
      <c r="AM276" s="57"/>
    </row>
    <row r="277" spans="1:39" s="58" customFormat="1" ht="19.5" x14ac:dyDescent="0.2">
      <c r="A277" s="52">
        <v>235501</v>
      </c>
      <c r="B277" s="53"/>
      <c r="C277" s="42"/>
      <c r="D277" s="59" t="s">
        <v>696</v>
      </c>
      <c r="E277" s="69">
        <v>10</v>
      </c>
      <c r="F277" s="69">
        <v>10</v>
      </c>
      <c r="G277" s="69">
        <v>10</v>
      </c>
      <c r="H277" s="69">
        <v>10</v>
      </c>
      <c r="I277" s="70">
        <v>10</v>
      </c>
      <c r="J277" s="4"/>
      <c r="K277" s="4"/>
      <c r="L277" s="3265"/>
      <c r="M277" s="4"/>
      <c r="N277" s="4"/>
      <c r="O277" s="4"/>
      <c r="P277" s="3268"/>
      <c r="Q277" s="3265"/>
      <c r="R277" s="4"/>
      <c r="S277" s="3266">
        <v>0</v>
      </c>
      <c r="T277" s="3265"/>
      <c r="U277" s="3267">
        <f t="shared" si="21"/>
        <v>50</v>
      </c>
      <c r="V277" s="3265"/>
      <c r="W277" s="3265"/>
      <c r="X277" s="4"/>
      <c r="Y277" s="3265"/>
      <c r="Z277" s="3265"/>
      <c r="AA277" s="3265"/>
      <c r="AB277" s="3265"/>
      <c r="AC277" s="3265"/>
      <c r="AD277" s="3265"/>
      <c r="AE277" s="3265"/>
      <c r="AF277" s="3265"/>
      <c r="AG277" s="3265"/>
      <c r="AH277" s="3265"/>
      <c r="AI277" s="57"/>
      <c r="AJ277" s="57"/>
      <c r="AK277" s="57"/>
      <c r="AL277" s="57"/>
      <c r="AM277" s="57"/>
    </row>
    <row r="278" spans="1:39" s="58" customFormat="1" ht="19.5" x14ac:dyDescent="0.2">
      <c r="A278" s="52">
        <v>236001</v>
      </c>
      <c r="B278" s="53"/>
      <c r="C278" s="42"/>
      <c r="D278" s="59" t="s">
        <v>697</v>
      </c>
      <c r="E278" s="69">
        <v>10</v>
      </c>
      <c r="F278" s="69">
        <v>10</v>
      </c>
      <c r="G278" s="69">
        <v>10</v>
      </c>
      <c r="H278" s="69">
        <v>10</v>
      </c>
      <c r="I278" s="70">
        <v>10</v>
      </c>
      <c r="J278" s="4"/>
      <c r="K278" s="4"/>
      <c r="L278" s="3265"/>
      <c r="M278" s="4"/>
      <c r="N278" s="4"/>
      <c r="O278" s="4"/>
      <c r="P278" s="3268"/>
      <c r="Q278" s="3265"/>
      <c r="R278" s="3265"/>
      <c r="S278" s="3266">
        <v>0</v>
      </c>
      <c r="T278" s="3265"/>
      <c r="U278" s="3267">
        <f t="shared" si="21"/>
        <v>50</v>
      </c>
      <c r="V278" s="3265"/>
      <c r="W278" s="3265"/>
      <c r="X278" s="4"/>
      <c r="Y278" s="3265"/>
      <c r="Z278" s="3265"/>
      <c r="AA278" s="3265"/>
      <c r="AB278" s="3265"/>
      <c r="AC278" s="3265"/>
      <c r="AD278" s="3265"/>
      <c r="AE278" s="3265"/>
      <c r="AF278" s="3265"/>
      <c r="AG278" s="3265"/>
      <c r="AH278" s="3265"/>
      <c r="AI278" s="57"/>
      <c r="AJ278" s="57"/>
      <c r="AK278" s="57"/>
      <c r="AL278" s="57"/>
      <c r="AM278" s="57"/>
    </row>
    <row r="279" spans="1:39" s="58" customFormat="1" ht="19.5" x14ac:dyDescent="0.2">
      <c r="A279" s="52">
        <v>236501</v>
      </c>
      <c r="B279" s="53"/>
      <c r="C279" s="42"/>
      <c r="D279" s="59" t="s">
        <v>698</v>
      </c>
      <c r="E279" s="69">
        <v>10</v>
      </c>
      <c r="F279" s="69">
        <v>10</v>
      </c>
      <c r="G279" s="69">
        <v>10</v>
      </c>
      <c r="H279" s="69">
        <v>10</v>
      </c>
      <c r="I279" s="70">
        <v>10</v>
      </c>
      <c r="J279" s="4"/>
      <c r="K279" s="4"/>
      <c r="L279" s="3265"/>
      <c r="M279" s="4"/>
      <c r="N279" s="4"/>
      <c r="O279" s="4"/>
      <c r="P279" s="3268"/>
      <c r="Q279" s="3265"/>
      <c r="R279" s="3265"/>
      <c r="S279" s="3266">
        <v>0</v>
      </c>
      <c r="T279" s="3265"/>
      <c r="U279" s="3267">
        <f t="shared" si="21"/>
        <v>50</v>
      </c>
      <c r="V279" s="3265"/>
      <c r="W279" s="3265"/>
      <c r="X279" s="4"/>
      <c r="Y279" s="3265"/>
      <c r="Z279" s="3265"/>
      <c r="AA279" s="3265"/>
      <c r="AB279" s="3265"/>
      <c r="AC279" s="3265"/>
      <c r="AD279" s="3265"/>
      <c r="AE279" s="3265"/>
      <c r="AF279" s="3265"/>
      <c r="AG279" s="3265"/>
      <c r="AH279" s="3265"/>
      <c r="AI279" s="57"/>
      <c r="AJ279" s="57"/>
      <c r="AK279" s="57"/>
      <c r="AL279" s="57"/>
      <c r="AM279" s="57"/>
    </row>
    <row r="280" spans="1:39" s="58" customFormat="1" ht="19.5" x14ac:dyDescent="0.2">
      <c r="A280" s="52">
        <v>236701</v>
      </c>
      <c r="B280" s="53"/>
      <c r="C280" s="42"/>
      <c r="D280" s="59" t="s">
        <v>745</v>
      </c>
      <c r="E280" s="69">
        <v>10</v>
      </c>
      <c r="F280" s="69">
        <v>10</v>
      </c>
      <c r="G280" s="69">
        <v>10</v>
      </c>
      <c r="H280" s="69">
        <v>10</v>
      </c>
      <c r="I280" s="70">
        <v>10</v>
      </c>
      <c r="J280" s="4"/>
      <c r="K280" s="4"/>
      <c r="L280" s="3265"/>
      <c r="M280" s="4"/>
      <c r="N280" s="4"/>
      <c r="O280" s="4"/>
      <c r="P280" s="3268"/>
      <c r="Q280" s="3265"/>
      <c r="R280" s="3265"/>
      <c r="S280" s="3266">
        <v>0</v>
      </c>
      <c r="T280" s="3265"/>
      <c r="U280" s="3267">
        <f t="shared" si="21"/>
        <v>50</v>
      </c>
      <c r="V280" s="3265"/>
      <c r="W280" s="3265"/>
      <c r="X280" s="4"/>
      <c r="Y280" s="3265"/>
      <c r="Z280" s="3265"/>
      <c r="AA280" s="3265"/>
      <c r="AB280" s="3265"/>
      <c r="AC280" s="3265"/>
      <c r="AD280" s="3265"/>
      <c r="AE280" s="3265"/>
      <c r="AF280" s="3265"/>
      <c r="AG280" s="3265"/>
      <c r="AH280" s="3265"/>
      <c r="AI280" s="57"/>
      <c r="AJ280" s="57"/>
      <c r="AK280" s="57"/>
      <c r="AL280" s="57"/>
      <c r="AM280" s="57"/>
    </row>
    <row r="281" spans="1:39" s="58" customFormat="1" ht="19.5" x14ac:dyDescent="0.2">
      <c r="A281" s="52">
        <v>237001</v>
      </c>
      <c r="B281" s="53"/>
      <c r="C281" s="42"/>
      <c r="D281" s="59" t="s">
        <v>701</v>
      </c>
      <c r="E281" s="69">
        <v>10</v>
      </c>
      <c r="F281" s="69">
        <v>10</v>
      </c>
      <c r="G281" s="69">
        <v>10</v>
      </c>
      <c r="H281" s="69">
        <v>10</v>
      </c>
      <c r="I281" s="70">
        <v>10</v>
      </c>
      <c r="J281" s="4"/>
      <c r="K281" s="4"/>
      <c r="L281" s="3265"/>
      <c r="M281" s="4"/>
      <c r="N281" s="4"/>
      <c r="O281" s="4"/>
      <c r="P281" s="3268"/>
      <c r="Q281" s="3265"/>
      <c r="R281" s="3265"/>
      <c r="S281" s="3266">
        <v>0</v>
      </c>
      <c r="T281" s="3265"/>
      <c r="U281" s="3267">
        <f t="shared" si="21"/>
        <v>50</v>
      </c>
      <c r="V281" s="3265"/>
      <c r="W281" s="3265"/>
      <c r="X281" s="4"/>
      <c r="Y281" s="3265"/>
      <c r="Z281" s="3265"/>
      <c r="AA281" s="3265"/>
      <c r="AB281" s="3265"/>
      <c r="AC281" s="3265"/>
      <c r="AD281" s="3265"/>
      <c r="AE281" s="3265"/>
      <c r="AF281" s="3265"/>
      <c r="AG281" s="3265"/>
      <c r="AH281" s="3265"/>
      <c r="AI281" s="57"/>
      <c r="AJ281" s="57"/>
      <c r="AK281" s="57"/>
      <c r="AL281" s="57"/>
      <c r="AM281" s="57"/>
    </row>
    <row r="282" spans="1:39" s="58" customFormat="1" ht="19.5" x14ac:dyDescent="0.2">
      <c r="A282" s="52">
        <v>238001</v>
      </c>
      <c r="B282" s="53"/>
      <c r="C282" s="42"/>
      <c r="D282" s="59" t="s">
        <v>702</v>
      </c>
      <c r="E282" s="69">
        <v>10</v>
      </c>
      <c r="F282" s="69">
        <v>10</v>
      </c>
      <c r="G282" s="69">
        <v>10</v>
      </c>
      <c r="H282" s="69">
        <v>10</v>
      </c>
      <c r="I282" s="70">
        <v>10</v>
      </c>
      <c r="J282" s="4"/>
      <c r="K282" s="4"/>
      <c r="L282" s="3265"/>
      <c r="M282" s="4"/>
      <c r="N282" s="4"/>
      <c r="O282" s="4"/>
      <c r="P282" s="3268"/>
      <c r="Q282" s="3265"/>
      <c r="R282" s="3265"/>
      <c r="S282" s="3266">
        <v>0</v>
      </c>
      <c r="T282" s="3265"/>
      <c r="U282" s="3267">
        <f t="shared" si="21"/>
        <v>50</v>
      </c>
      <c r="V282" s="3265"/>
      <c r="W282" s="3265"/>
      <c r="X282" s="4"/>
      <c r="Y282" s="3265"/>
      <c r="Z282" s="3265"/>
      <c r="AA282" s="3265"/>
      <c r="AB282" s="3265"/>
      <c r="AC282" s="3265"/>
      <c r="AD282" s="3265"/>
      <c r="AE282" s="3265"/>
      <c r="AF282" s="3265"/>
      <c r="AG282" s="3265"/>
      <c r="AH282" s="3265"/>
      <c r="AI282" s="57"/>
      <c r="AJ282" s="57"/>
      <c r="AK282" s="57"/>
      <c r="AL282" s="57"/>
      <c r="AM282" s="57"/>
    </row>
    <row r="283" spans="1:39" s="58" customFormat="1" ht="19.5" x14ac:dyDescent="0.2">
      <c r="A283" s="52">
        <v>2203</v>
      </c>
      <c r="B283" s="53"/>
      <c r="C283" s="60" t="s">
        <v>746</v>
      </c>
      <c r="D283" s="61"/>
      <c r="E283" s="62">
        <f>SUM(E268:E282)</f>
        <v>150</v>
      </c>
      <c r="F283" s="62">
        <f>SUM(F268:F282)</f>
        <v>150</v>
      </c>
      <c r="G283" s="62">
        <f>SUM(G268:G282)</f>
        <v>150</v>
      </c>
      <c r="H283" s="62">
        <f>SUM(H268:H282)</f>
        <v>150</v>
      </c>
      <c r="I283" s="63">
        <f>SUM(I268:I282)</f>
        <v>150</v>
      </c>
      <c r="J283" s="4"/>
      <c r="K283" s="4"/>
      <c r="L283" s="3265"/>
      <c r="M283" s="4"/>
      <c r="N283" s="4"/>
      <c r="O283" s="4"/>
      <c r="P283" s="3268"/>
      <c r="Q283" s="3265"/>
      <c r="R283" s="3265"/>
      <c r="S283" s="3266">
        <v>0</v>
      </c>
      <c r="T283" s="3265"/>
      <c r="U283" s="3267">
        <f t="shared" si="21"/>
        <v>750</v>
      </c>
      <c r="V283" s="3265"/>
      <c r="W283" s="3265"/>
      <c r="X283" s="4"/>
      <c r="Y283" s="3265"/>
      <c r="Z283" s="3265"/>
      <c r="AA283" s="3265"/>
      <c r="AB283" s="3265"/>
      <c r="AC283" s="3265"/>
      <c r="AD283" s="3265"/>
      <c r="AE283" s="3265"/>
      <c r="AF283" s="3265"/>
      <c r="AG283" s="3265"/>
      <c r="AH283" s="3265"/>
      <c r="AI283" s="57"/>
      <c r="AJ283" s="57"/>
      <c r="AK283" s="57"/>
      <c r="AL283" s="57"/>
      <c r="AM283" s="57"/>
    </row>
    <row r="284" spans="1:39" s="58" customFormat="1" ht="19.5" x14ac:dyDescent="0.2">
      <c r="A284" s="52"/>
      <c r="B284" s="47"/>
      <c r="C284" s="48" t="s">
        <v>747</v>
      </c>
      <c r="D284" s="65"/>
      <c r="E284" s="66"/>
      <c r="F284" s="66"/>
      <c r="G284" s="66"/>
      <c r="H284" s="66"/>
      <c r="I284" s="67"/>
      <c r="J284" s="4"/>
      <c r="K284" s="4"/>
      <c r="L284" s="3265"/>
      <c r="M284" s="4"/>
      <c r="N284" s="4"/>
      <c r="O284" s="4"/>
      <c r="P284" s="3268"/>
      <c r="Q284" s="3265"/>
      <c r="R284" s="3265"/>
      <c r="S284" s="3266">
        <v>0</v>
      </c>
      <c r="T284" s="3265"/>
      <c r="U284" s="3267">
        <f>U295</f>
        <v>200</v>
      </c>
      <c r="V284" s="3265"/>
      <c r="W284" s="3265"/>
      <c r="X284" s="4"/>
      <c r="Y284" s="3265"/>
      <c r="Z284" s="3265"/>
      <c r="AA284" s="3265"/>
      <c r="AB284" s="3265"/>
      <c r="AC284" s="3265"/>
      <c r="AD284" s="3265"/>
      <c r="AE284" s="3265"/>
      <c r="AF284" s="3265"/>
      <c r="AG284" s="3265"/>
      <c r="AH284" s="3265"/>
      <c r="AI284" s="57"/>
      <c r="AJ284" s="57"/>
      <c r="AK284" s="57"/>
      <c r="AL284" s="57"/>
      <c r="AM284" s="57"/>
    </row>
    <row r="285" spans="1:39" s="58" customFormat="1" ht="19.5" x14ac:dyDescent="0.2">
      <c r="A285" s="52">
        <v>240401</v>
      </c>
      <c r="B285" s="53"/>
      <c r="C285" s="42"/>
      <c r="D285" s="54" t="s">
        <v>748</v>
      </c>
      <c r="E285" s="55">
        <v>10</v>
      </c>
      <c r="F285" s="55">
        <v>10</v>
      </c>
      <c r="G285" s="55">
        <v>10</v>
      </c>
      <c r="H285" s="55">
        <v>10</v>
      </c>
      <c r="I285" s="56">
        <v>10</v>
      </c>
      <c r="J285" s="4"/>
      <c r="K285" s="4"/>
      <c r="L285" s="3265"/>
      <c r="M285" s="4"/>
      <c r="N285" s="4"/>
      <c r="O285" s="4"/>
      <c r="P285" s="3268"/>
      <c r="Q285" s="3265"/>
      <c r="R285" s="3265"/>
      <c r="S285" s="3266">
        <v>0</v>
      </c>
      <c r="T285" s="3265"/>
      <c r="U285" s="3267">
        <f t="shared" ref="U285:U295" si="22">SUM(E285:I285)</f>
        <v>50</v>
      </c>
      <c r="V285" s="3265"/>
      <c r="W285" s="3265"/>
      <c r="X285" s="4"/>
      <c r="Y285" s="3265"/>
      <c r="Z285" s="3265"/>
      <c r="AA285" s="3265"/>
      <c r="AB285" s="3265"/>
      <c r="AC285" s="3265"/>
      <c r="AD285" s="3265"/>
      <c r="AE285" s="3265"/>
      <c r="AF285" s="3265"/>
      <c r="AG285" s="3265"/>
      <c r="AH285" s="3265"/>
      <c r="AI285" s="57"/>
      <c r="AJ285" s="57"/>
      <c r="AK285" s="57"/>
      <c r="AL285" s="57"/>
      <c r="AM285" s="57"/>
    </row>
    <row r="286" spans="1:39" s="58" customFormat="1" ht="19.5" x14ac:dyDescent="0.2">
      <c r="A286" s="52">
        <v>240801</v>
      </c>
      <c r="B286" s="53"/>
      <c r="C286" s="42"/>
      <c r="D286" s="59" t="s">
        <v>706</v>
      </c>
      <c r="E286" s="69">
        <v>10</v>
      </c>
      <c r="F286" s="69">
        <v>10</v>
      </c>
      <c r="G286" s="69">
        <v>10</v>
      </c>
      <c r="H286" s="69">
        <v>10</v>
      </c>
      <c r="I286" s="70">
        <v>10</v>
      </c>
      <c r="J286" s="4"/>
      <c r="K286" s="4"/>
      <c r="L286" s="3265"/>
      <c r="M286" s="4"/>
      <c r="N286" s="4"/>
      <c r="O286" s="4"/>
      <c r="P286" s="3268"/>
      <c r="Q286" s="3265"/>
      <c r="R286" s="3265"/>
      <c r="S286" s="3266">
        <v>0</v>
      </c>
      <c r="T286" s="3265"/>
      <c r="U286" s="3267">
        <f t="shared" si="22"/>
        <v>50</v>
      </c>
      <c r="V286" s="3265"/>
      <c r="W286" s="3265"/>
      <c r="X286" s="4"/>
      <c r="Y286" s="3265"/>
      <c r="Z286" s="3265"/>
      <c r="AA286" s="3265"/>
      <c r="AB286" s="3265"/>
      <c r="AC286" s="3265"/>
      <c r="AD286" s="3265"/>
      <c r="AE286" s="3265"/>
      <c r="AF286" s="3265"/>
      <c r="AG286" s="3265"/>
      <c r="AH286" s="3265"/>
      <c r="AI286" s="57"/>
      <c r="AJ286" s="57"/>
      <c r="AK286" s="57"/>
      <c r="AL286" s="57"/>
      <c r="AM286" s="57"/>
    </row>
    <row r="287" spans="1:39" s="58" customFormat="1" ht="19.5" x14ac:dyDescent="0.2">
      <c r="A287" s="52">
        <v>241201</v>
      </c>
      <c r="B287" s="53"/>
      <c r="C287" s="42"/>
      <c r="D287" s="59" t="s">
        <v>707</v>
      </c>
      <c r="E287" s="69">
        <v>10</v>
      </c>
      <c r="F287" s="69">
        <v>10</v>
      </c>
      <c r="G287" s="69">
        <v>10</v>
      </c>
      <c r="H287" s="69">
        <v>10</v>
      </c>
      <c r="I287" s="70">
        <v>10</v>
      </c>
      <c r="J287" s="4"/>
      <c r="K287" s="4"/>
      <c r="L287" s="3265"/>
      <c r="M287" s="4"/>
      <c r="N287" s="4"/>
      <c r="O287" s="4"/>
      <c r="P287" s="3268"/>
      <c r="Q287" s="3265"/>
      <c r="R287" s="3265"/>
      <c r="S287" s="3266">
        <v>0</v>
      </c>
      <c r="T287" s="3265"/>
      <c r="U287" s="3267">
        <f t="shared" si="22"/>
        <v>50</v>
      </c>
      <c r="V287" s="3265"/>
      <c r="W287" s="3265"/>
      <c r="X287" s="4"/>
      <c r="Y287" s="3265"/>
      <c r="Z287" s="3265"/>
      <c r="AA287" s="3265"/>
      <c r="AB287" s="3265"/>
      <c r="AC287" s="3265"/>
      <c r="AD287" s="3265"/>
      <c r="AE287" s="3265"/>
      <c r="AF287" s="3265"/>
      <c r="AG287" s="3265"/>
      <c r="AH287" s="3265"/>
      <c r="AI287" s="57"/>
      <c r="AJ287" s="57"/>
      <c r="AK287" s="57"/>
      <c r="AL287" s="57"/>
      <c r="AM287" s="57"/>
    </row>
    <row r="288" spans="1:39" s="58" customFormat="1" ht="19.5" x14ac:dyDescent="0.2">
      <c r="A288" s="52">
        <v>249501</v>
      </c>
      <c r="B288" s="53"/>
      <c r="C288" s="42"/>
      <c r="D288" s="59" t="s">
        <v>453</v>
      </c>
      <c r="E288" s="69">
        <v>10</v>
      </c>
      <c r="F288" s="69">
        <v>10</v>
      </c>
      <c r="G288" s="69">
        <v>10</v>
      </c>
      <c r="H288" s="69">
        <v>10</v>
      </c>
      <c r="I288" s="70">
        <v>10</v>
      </c>
      <c r="J288" s="4"/>
      <c r="K288" s="4"/>
      <c r="L288" s="3265"/>
      <c r="M288" s="4"/>
      <c r="N288" s="4"/>
      <c r="O288" s="4"/>
      <c r="P288" s="3268"/>
      <c r="Q288" s="3265"/>
      <c r="R288" s="3265"/>
      <c r="S288" s="3266">
        <v>0</v>
      </c>
      <c r="T288" s="3265"/>
      <c r="U288" s="3267">
        <f t="shared" si="22"/>
        <v>50</v>
      </c>
      <c r="V288" s="3265"/>
      <c r="W288" s="3265"/>
      <c r="X288" s="4"/>
      <c r="Y288" s="3265"/>
      <c r="Z288" s="3265"/>
      <c r="AA288" s="3265"/>
      <c r="AB288" s="3265"/>
      <c r="AC288" s="3265"/>
      <c r="AD288" s="3265"/>
      <c r="AE288" s="3265"/>
      <c r="AF288" s="3265"/>
      <c r="AG288" s="3265"/>
      <c r="AH288" s="3265"/>
      <c r="AI288" s="57"/>
      <c r="AJ288" s="57"/>
      <c r="AK288" s="57"/>
      <c r="AL288" s="57"/>
      <c r="AM288" s="57"/>
    </row>
    <row r="289" spans="1:39" s="58" customFormat="1" ht="18.95" hidden="1" customHeight="1" x14ac:dyDescent="0.2">
      <c r="A289" s="52"/>
      <c r="B289" s="53"/>
      <c r="C289" s="42"/>
      <c r="D289" s="59"/>
      <c r="E289" s="69"/>
      <c r="F289" s="69"/>
      <c r="G289" s="72"/>
      <c r="H289" s="72"/>
      <c r="I289" s="59"/>
      <c r="J289" s="4"/>
      <c r="K289" s="4"/>
      <c r="L289" s="3265"/>
      <c r="M289" s="4"/>
      <c r="N289" s="4"/>
      <c r="O289" s="4"/>
      <c r="P289" s="3268"/>
      <c r="Q289" s="3265"/>
      <c r="R289" s="3265"/>
      <c r="S289" s="3266">
        <v>1</v>
      </c>
      <c r="T289" s="3265"/>
      <c r="U289" s="3267">
        <f t="shared" si="22"/>
        <v>0</v>
      </c>
      <c r="V289" s="3265"/>
      <c r="W289" s="3265"/>
      <c r="X289" s="4"/>
      <c r="Y289" s="3265"/>
      <c r="Z289" s="3265"/>
      <c r="AA289" s="3265"/>
      <c r="AB289" s="3265"/>
      <c r="AC289" s="3265"/>
      <c r="AD289" s="3265"/>
      <c r="AE289" s="3265"/>
      <c r="AF289" s="3265"/>
      <c r="AG289" s="3265"/>
      <c r="AH289" s="3265"/>
      <c r="AI289" s="57"/>
      <c r="AJ289" s="57"/>
      <c r="AK289" s="57"/>
      <c r="AL289" s="57"/>
      <c r="AM289" s="57"/>
    </row>
    <row r="290" spans="1:39" s="58" customFormat="1" ht="18.95" hidden="1" customHeight="1" x14ac:dyDescent="0.2">
      <c r="A290" s="52"/>
      <c r="B290" s="53"/>
      <c r="C290" s="42"/>
      <c r="D290" s="59"/>
      <c r="E290" s="69"/>
      <c r="F290" s="69"/>
      <c r="G290" s="72"/>
      <c r="H290" s="72"/>
      <c r="I290" s="59"/>
      <c r="J290" s="4"/>
      <c r="K290" s="4"/>
      <c r="L290" s="3265"/>
      <c r="M290" s="4"/>
      <c r="N290" s="4"/>
      <c r="O290" s="4"/>
      <c r="P290" s="3268"/>
      <c r="Q290" s="3265"/>
      <c r="R290" s="3265"/>
      <c r="S290" s="3266">
        <v>1</v>
      </c>
      <c r="T290" s="3265"/>
      <c r="U290" s="3267">
        <f t="shared" si="22"/>
        <v>0</v>
      </c>
      <c r="V290" s="3265"/>
      <c r="W290" s="3265"/>
      <c r="X290" s="4"/>
      <c r="Y290" s="3265"/>
      <c r="Z290" s="3265"/>
      <c r="AA290" s="3265"/>
      <c r="AB290" s="3265"/>
      <c r="AC290" s="3265"/>
      <c r="AD290" s="3265"/>
      <c r="AE290" s="3265"/>
      <c r="AF290" s="3265"/>
      <c r="AG290" s="3265"/>
      <c r="AH290" s="3265"/>
      <c r="AI290" s="57"/>
      <c r="AJ290" s="57"/>
      <c r="AK290" s="57"/>
      <c r="AL290" s="57"/>
      <c r="AM290" s="57"/>
    </row>
    <row r="291" spans="1:39" s="58" customFormat="1" ht="18.95" hidden="1" customHeight="1" x14ac:dyDescent="0.2">
      <c r="A291" s="52"/>
      <c r="B291" s="53"/>
      <c r="C291" s="42"/>
      <c r="D291" s="59"/>
      <c r="E291" s="69"/>
      <c r="F291" s="69"/>
      <c r="G291" s="72"/>
      <c r="H291" s="72"/>
      <c r="I291" s="59"/>
      <c r="J291" s="4"/>
      <c r="K291" s="4"/>
      <c r="L291" s="3265"/>
      <c r="M291" s="4"/>
      <c r="N291" s="4"/>
      <c r="O291" s="4"/>
      <c r="P291" s="3268"/>
      <c r="Q291" s="3265"/>
      <c r="R291" s="3265"/>
      <c r="S291" s="3266">
        <v>1</v>
      </c>
      <c r="T291" s="3265"/>
      <c r="U291" s="3267">
        <f t="shared" si="22"/>
        <v>0</v>
      </c>
      <c r="V291" s="3265"/>
      <c r="W291" s="3265"/>
      <c r="X291" s="4"/>
      <c r="Y291" s="3265"/>
      <c r="Z291" s="3265"/>
      <c r="AA291" s="3265"/>
      <c r="AB291" s="3265"/>
      <c r="AC291" s="3265"/>
      <c r="AD291" s="3265"/>
      <c r="AE291" s="3265"/>
      <c r="AF291" s="3265"/>
      <c r="AG291" s="3265"/>
      <c r="AH291" s="3265"/>
      <c r="AI291" s="57"/>
      <c r="AJ291" s="57"/>
      <c r="AK291" s="57"/>
      <c r="AL291" s="57"/>
      <c r="AM291" s="57"/>
    </row>
    <row r="292" spans="1:39" s="58" customFormat="1" ht="18.95" hidden="1" customHeight="1" x14ac:dyDescent="0.2">
      <c r="A292" s="52"/>
      <c r="B292" s="53"/>
      <c r="C292" s="42"/>
      <c r="D292" s="59"/>
      <c r="E292" s="69"/>
      <c r="F292" s="69"/>
      <c r="G292" s="72"/>
      <c r="H292" s="72"/>
      <c r="I292" s="59"/>
      <c r="J292" s="4"/>
      <c r="K292" s="4"/>
      <c r="L292" s="3265"/>
      <c r="M292" s="4"/>
      <c r="N292" s="4"/>
      <c r="O292" s="4"/>
      <c r="P292" s="3268"/>
      <c r="Q292" s="3265"/>
      <c r="R292" s="3265"/>
      <c r="S292" s="3266">
        <v>1</v>
      </c>
      <c r="T292" s="3265"/>
      <c r="U292" s="3267">
        <f t="shared" si="22"/>
        <v>0</v>
      </c>
      <c r="V292" s="3265"/>
      <c r="W292" s="3265"/>
      <c r="X292" s="4"/>
      <c r="Y292" s="3265"/>
      <c r="Z292" s="3265"/>
      <c r="AA292" s="3265"/>
      <c r="AB292" s="3265"/>
      <c r="AC292" s="3265"/>
      <c r="AD292" s="3265"/>
      <c r="AE292" s="3265"/>
      <c r="AF292" s="3265"/>
      <c r="AG292" s="3265"/>
      <c r="AH292" s="3265"/>
      <c r="AI292" s="57"/>
      <c r="AJ292" s="57"/>
      <c r="AK292" s="57"/>
      <c r="AL292" s="57"/>
      <c r="AM292" s="57"/>
    </row>
    <row r="293" spans="1:39" s="58" customFormat="1" ht="18.95" hidden="1" customHeight="1" x14ac:dyDescent="0.2">
      <c r="A293" s="52"/>
      <c r="B293" s="53"/>
      <c r="C293" s="42"/>
      <c r="D293" s="59"/>
      <c r="E293" s="69"/>
      <c r="F293" s="69"/>
      <c r="G293" s="72"/>
      <c r="H293" s="72"/>
      <c r="I293" s="59"/>
      <c r="J293" s="4"/>
      <c r="K293" s="4"/>
      <c r="L293" s="3265"/>
      <c r="M293" s="4"/>
      <c r="N293" s="4"/>
      <c r="O293" s="4"/>
      <c r="P293" s="3268"/>
      <c r="Q293" s="3265"/>
      <c r="R293" s="3265"/>
      <c r="S293" s="3266">
        <v>1</v>
      </c>
      <c r="T293" s="3265"/>
      <c r="U293" s="3267">
        <f t="shared" si="22"/>
        <v>0</v>
      </c>
      <c r="V293" s="3265"/>
      <c r="W293" s="3265"/>
      <c r="X293" s="4"/>
      <c r="Y293" s="3265"/>
      <c r="Z293" s="3265"/>
      <c r="AA293" s="3265"/>
      <c r="AB293" s="3265"/>
      <c r="AC293" s="3265"/>
      <c r="AD293" s="3265"/>
      <c r="AE293" s="3265"/>
      <c r="AF293" s="3265"/>
      <c r="AG293" s="3265"/>
      <c r="AH293" s="3265"/>
      <c r="AI293" s="57"/>
      <c r="AJ293" s="57"/>
      <c r="AK293" s="57"/>
      <c r="AL293" s="57"/>
      <c r="AM293" s="57"/>
    </row>
    <row r="294" spans="1:39" s="58" customFormat="1" ht="18.95" hidden="1" customHeight="1" x14ac:dyDescent="0.2">
      <c r="A294" s="52"/>
      <c r="B294" s="53"/>
      <c r="C294" s="42"/>
      <c r="D294" s="59"/>
      <c r="E294" s="69"/>
      <c r="F294" s="69"/>
      <c r="G294" s="72"/>
      <c r="H294" s="72"/>
      <c r="I294" s="59"/>
      <c r="J294" s="4"/>
      <c r="K294" s="4"/>
      <c r="L294" s="3265"/>
      <c r="M294" s="4"/>
      <c r="N294" s="4"/>
      <c r="O294" s="4"/>
      <c r="P294" s="3268"/>
      <c r="Q294" s="3265"/>
      <c r="R294" s="3265"/>
      <c r="S294" s="3266">
        <v>1</v>
      </c>
      <c r="T294" s="3265"/>
      <c r="U294" s="3267">
        <f t="shared" si="22"/>
        <v>0</v>
      </c>
      <c r="V294" s="3265"/>
      <c r="W294" s="3265"/>
      <c r="X294" s="4"/>
      <c r="Y294" s="3265"/>
      <c r="Z294" s="3265"/>
      <c r="AA294" s="3265"/>
      <c r="AB294" s="3265"/>
      <c r="AC294" s="3265"/>
      <c r="AD294" s="3265"/>
      <c r="AE294" s="3265"/>
      <c r="AF294" s="3265"/>
      <c r="AG294" s="3265"/>
      <c r="AH294" s="3265"/>
      <c r="AI294" s="57"/>
      <c r="AJ294" s="57"/>
      <c r="AK294" s="57"/>
      <c r="AL294" s="57"/>
      <c r="AM294" s="57"/>
    </row>
    <row r="295" spans="1:39" s="58" customFormat="1" ht="19.5" x14ac:dyDescent="0.2">
      <c r="A295" s="52">
        <v>240001</v>
      </c>
      <c r="B295" s="53"/>
      <c r="C295" s="60" t="s">
        <v>749</v>
      </c>
      <c r="D295" s="61"/>
      <c r="E295" s="62">
        <f>SUM(E285:E288)</f>
        <v>40</v>
      </c>
      <c r="F295" s="62">
        <f>SUM(F285:F288)</f>
        <v>40</v>
      </c>
      <c r="G295" s="62">
        <f>SUM(G285:G288)</f>
        <v>40</v>
      </c>
      <c r="H295" s="62">
        <f>SUM(H285:H288)</f>
        <v>40</v>
      </c>
      <c r="I295" s="63">
        <f>SUM(I285:I288)</f>
        <v>40</v>
      </c>
      <c r="J295" s="4"/>
      <c r="K295" s="4"/>
      <c r="L295" s="3265"/>
      <c r="M295" s="4"/>
      <c r="N295" s="4"/>
      <c r="O295" s="4"/>
      <c r="P295" s="3268"/>
      <c r="Q295" s="3265"/>
      <c r="R295" s="3265"/>
      <c r="S295" s="3266">
        <v>0</v>
      </c>
      <c r="T295" s="3265"/>
      <c r="U295" s="3267">
        <f t="shared" si="22"/>
        <v>200</v>
      </c>
      <c r="V295" s="3265"/>
      <c r="W295" s="3265"/>
      <c r="X295" s="4"/>
      <c r="Y295" s="3265"/>
      <c r="Z295" s="3265"/>
      <c r="AA295" s="3265"/>
      <c r="AB295" s="3265"/>
      <c r="AC295" s="3265"/>
      <c r="AD295" s="3265"/>
      <c r="AE295" s="3265"/>
      <c r="AF295" s="3265"/>
      <c r="AG295" s="3265"/>
      <c r="AH295" s="3265"/>
      <c r="AI295" s="57"/>
      <c r="AJ295" s="57"/>
      <c r="AK295" s="57"/>
      <c r="AL295" s="57"/>
      <c r="AM295" s="57"/>
    </row>
    <row r="296" spans="1:39" s="58" customFormat="1" ht="19.5" x14ac:dyDescent="0.2">
      <c r="A296" s="52"/>
      <c r="B296" s="47"/>
      <c r="C296" s="48" t="s">
        <v>750</v>
      </c>
      <c r="D296" s="65"/>
      <c r="E296" s="66"/>
      <c r="F296" s="66"/>
      <c r="G296" s="66"/>
      <c r="H296" s="66"/>
      <c r="I296" s="67"/>
      <c r="J296" s="4"/>
      <c r="K296" s="4"/>
      <c r="L296" s="3265"/>
      <c r="M296" s="4"/>
      <c r="N296" s="4"/>
      <c r="O296" s="4"/>
      <c r="P296" s="3268"/>
      <c r="Q296" s="3265"/>
      <c r="R296" s="3265"/>
      <c r="S296" s="3266">
        <v>0</v>
      </c>
      <c r="T296" s="3265"/>
      <c r="U296" s="3267">
        <f>U303</f>
        <v>300</v>
      </c>
      <c r="V296" s="3265"/>
      <c r="W296" s="3265"/>
      <c r="X296" s="4"/>
      <c r="Y296" s="3265"/>
      <c r="Z296" s="3265"/>
      <c r="AA296" s="3265"/>
      <c r="AB296" s="3265"/>
      <c r="AC296" s="3265"/>
      <c r="AD296" s="3265"/>
      <c r="AE296" s="3265"/>
      <c r="AF296" s="3265"/>
      <c r="AG296" s="3265"/>
      <c r="AH296" s="3265"/>
      <c r="AI296" s="57"/>
      <c r="AJ296" s="57"/>
      <c r="AK296" s="57"/>
      <c r="AL296" s="57"/>
      <c r="AM296" s="57"/>
    </row>
    <row r="297" spans="1:39" s="58" customFormat="1" ht="19.5" x14ac:dyDescent="0.2">
      <c r="A297" s="52">
        <v>250501</v>
      </c>
      <c r="B297" s="53"/>
      <c r="C297" s="42"/>
      <c r="D297" s="54" t="s">
        <v>710</v>
      </c>
      <c r="E297" s="55">
        <v>10</v>
      </c>
      <c r="F297" s="55">
        <v>10</v>
      </c>
      <c r="G297" s="55">
        <v>10</v>
      </c>
      <c r="H297" s="55">
        <v>10</v>
      </c>
      <c r="I297" s="56">
        <v>10</v>
      </c>
      <c r="J297" s="4"/>
      <c r="K297" s="4"/>
      <c r="L297" s="3265"/>
      <c r="M297" s="4"/>
      <c r="N297" s="4"/>
      <c r="O297" s="4"/>
      <c r="P297" s="3268"/>
      <c r="Q297" s="3265"/>
      <c r="R297" s="3265"/>
      <c r="S297" s="3266">
        <v>0</v>
      </c>
      <c r="T297" s="3265"/>
      <c r="U297" s="3267">
        <f t="shared" ref="U297:U303" si="23">SUM(E297:I297)</f>
        <v>50</v>
      </c>
      <c r="V297" s="3265"/>
      <c r="W297" s="3265"/>
      <c r="X297" s="4"/>
      <c r="Y297" s="3265"/>
      <c r="Z297" s="3265"/>
      <c r="AA297" s="3265"/>
      <c r="AB297" s="3265"/>
      <c r="AC297" s="3265"/>
      <c r="AD297" s="3265"/>
      <c r="AE297" s="3265"/>
      <c r="AF297" s="3265"/>
      <c r="AG297" s="3265"/>
      <c r="AH297" s="3265"/>
      <c r="AI297" s="57"/>
      <c r="AJ297" s="57"/>
      <c r="AK297" s="57"/>
      <c r="AL297" s="57"/>
      <c r="AM297" s="57"/>
    </row>
    <row r="298" spans="1:39" s="58" customFormat="1" ht="19.5" x14ac:dyDescent="0.2">
      <c r="A298" s="52">
        <v>251001</v>
      </c>
      <c r="B298" s="53"/>
      <c r="C298" s="42"/>
      <c r="D298" s="59" t="s">
        <v>711</v>
      </c>
      <c r="E298" s="69">
        <v>10</v>
      </c>
      <c r="F298" s="69">
        <v>10</v>
      </c>
      <c r="G298" s="69">
        <v>10</v>
      </c>
      <c r="H298" s="69">
        <v>10</v>
      </c>
      <c r="I298" s="70">
        <v>10</v>
      </c>
      <c r="J298" s="4"/>
      <c r="K298" s="4"/>
      <c r="L298" s="3265"/>
      <c r="M298" s="4"/>
      <c r="N298" s="4"/>
      <c r="O298" s="4"/>
      <c r="P298" s="3268"/>
      <c r="Q298" s="3265"/>
      <c r="R298" s="3265"/>
      <c r="S298" s="3266">
        <v>0</v>
      </c>
      <c r="T298" s="3265"/>
      <c r="U298" s="3267">
        <f t="shared" si="23"/>
        <v>50</v>
      </c>
      <c r="V298" s="3265"/>
      <c r="W298" s="3265"/>
      <c r="X298" s="4"/>
      <c r="Y298" s="3265"/>
      <c r="Z298" s="3265"/>
      <c r="AA298" s="3265"/>
      <c r="AB298" s="3265"/>
      <c r="AC298" s="3265"/>
      <c r="AD298" s="3265"/>
      <c r="AE298" s="3265"/>
      <c r="AF298" s="3265"/>
      <c r="AG298" s="3265"/>
      <c r="AH298" s="3265"/>
      <c r="AI298" s="57"/>
      <c r="AJ298" s="57"/>
      <c r="AK298" s="57"/>
      <c r="AL298" s="57"/>
      <c r="AM298" s="57"/>
    </row>
    <row r="299" spans="1:39" s="58" customFormat="1" ht="19.5" x14ac:dyDescent="0.2">
      <c r="A299" s="52">
        <v>251501</v>
      </c>
      <c r="B299" s="53"/>
      <c r="C299" s="42"/>
      <c r="D299" s="59" t="s">
        <v>712</v>
      </c>
      <c r="E299" s="69">
        <v>10</v>
      </c>
      <c r="F299" s="69">
        <v>10</v>
      </c>
      <c r="G299" s="69">
        <v>10</v>
      </c>
      <c r="H299" s="69">
        <v>10</v>
      </c>
      <c r="I299" s="70">
        <v>10</v>
      </c>
      <c r="J299" s="4"/>
      <c r="K299" s="4"/>
      <c r="L299" s="3265"/>
      <c r="M299" s="4"/>
      <c r="N299" s="4"/>
      <c r="O299" s="4"/>
      <c r="P299" s="3268"/>
      <c r="Q299" s="3265"/>
      <c r="R299" s="3265"/>
      <c r="S299" s="3266">
        <v>0</v>
      </c>
      <c r="T299" s="3265"/>
      <c r="U299" s="3267">
        <f t="shared" si="23"/>
        <v>50</v>
      </c>
      <c r="V299" s="3265"/>
      <c r="W299" s="3265"/>
      <c r="X299" s="4"/>
      <c r="Y299" s="3265"/>
      <c r="Z299" s="3265"/>
      <c r="AA299" s="3265"/>
      <c r="AB299" s="3265"/>
      <c r="AC299" s="3265"/>
      <c r="AD299" s="3265"/>
      <c r="AE299" s="3265"/>
      <c r="AF299" s="3265"/>
      <c r="AG299" s="3265"/>
      <c r="AH299" s="3265"/>
      <c r="AI299" s="57"/>
      <c r="AJ299" s="57"/>
      <c r="AK299" s="57"/>
      <c r="AL299" s="57"/>
      <c r="AM299" s="57"/>
    </row>
    <row r="300" spans="1:39" s="58" customFormat="1" ht="19.5" x14ac:dyDescent="0.2">
      <c r="A300" s="52">
        <v>252501</v>
      </c>
      <c r="B300" s="53"/>
      <c r="C300" s="42"/>
      <c r="D300" s="59" t="s">
        <v>713</v>
      </c>
      <c r="E300" s="69">
        <v>10</v>
      </c>
      <c r="F300" s="69">
        <v>10</v>
      </c>
      <c r="G300" s="69">
        <v>10</v>
      </c>
      <c r="H300" s="69">
        <v>10</v>
      </c>
      <c r="I300" s="70">
        <v>10</v>
      </c>
      <c r="J300" s="4"/>
      <c r="K300" s="4"/>
      <c r="L300" s="3265"/>
      <c r="M300" s="4"/>
      <c r="N300" s="4"/>
      <c r="O300" s="4"/>
      <c r="P300" s="3268"/>
      <c r="Q300" s="3265"/>
      <c r="R300" s="3265"/>
      <c r="S300" s="3266">
        <v>0</v>
      </c>
      <c r="T300" s="3265"/>
      <c r="U300" s="3267">
        <f t="shared" si="23"/>
        <v>50</v>
      </c>
      <c r="V300" s="3265"/>
      <c r="W300" s="3265"/>
      <c r="X300" s="4"/>
      <c r="Y300" s="3265"/>
      <c r="Z300" s="3265"/>
      <c r="AA300" s="3265"/>
      <c r="AB300" s="3265"/>
      <c r="AC300" s="3265"/>
      <c r="AD300" s="3265"/>
      <c r="AE300" s="3265"/>
      <c r="AF300" s="3265"/>
      <c r="AG300" s="3265"/>
      <c r="AH300" s="3265"/>
      <c r="AI300" s="57"/>
      <c r="AJ300" s="57"/>
      <c r="AK300" s="57"/>
      <c r="AL300" s="57"/>
      <c r="AM300" s="57"/>
    </row>
    <row r="301" spans="1:39" s="58" customFormat="1" ht="19.5" x14ac:dyDescent="0.2">
      <c r="A301" s="52">
        <v>253001</v>
      </c>
      <c r="B301" s="53"/>
      <c r="C301" s="42"/>
      <c r="D301" s="59" t="s">
        <v>714</v>
      </c>
      <c r="E301" s="69">
        <v>10</v>
      </c>
      <c r="F301" s="69">
        <v>10</v>
      </c>
      <c r="G301" s="69">
        <v>10</v>
      </c>
      <c r="H301" s="69">
        <v>10</v>
      </c>
      <c r="I301" s="70">
        <v>10</v>
      </c>
      <c r="J301" s="4"/>
      <c r="K301" s="4"/>
      <c r="L301" s="3265"/>
      <c r="M301" s="4"/>
      <c r="N301" s="4"/>
      <c r="O301" s="4"/>
      <c r="P301" s="3268"/>
      <c r="Q301" s="3265"/>
      <c r="R301" s="3265"/>
      <c r="S301" s="3266">
        <v>0</v>
      </c>
      <c r="T301" s="3265"/>
      <c r="U301" s="3267">
        <f t="shared" si="23"/>
        <v>50</v>
      </c>
      <c r="V301" s="3265"/>
      <c r="W301" s="3265"/>
      <c r="X301" s="4"/>
      <c r="Y301" s="3265"/>
      <c r="Z301" s="3265"/>
      <c r="AA301" s="3265"/>
      <c r="AB301" s="3265"/>
      <c r="AC301" s="3265"/>
      <c r="AD301" s="3265"/>
      <c r="AE301" s="3265"/>
      <c r="AF301" s="3265"/>
      <c r="AG301" s="3265"/>
      <c r="AH301" s="3265"/>
      <c r="AI301" s="57"/>
      <c r="AJ301" s="57"/>
      <c r="AK301" s="57"/>
      <c r="AL301" s="57"/>
      <c r="AM301" s="57"/>
    </row>
    <row r="302" spans="1:39" s="58" customFormat="1" ht="19.5" x14ac:dyDescent="0.2">
      <c r="A302" s="52">
        <v>259501</v>
      </c>
      <c r="B302" s="53"/>
      <c r="C302" s="42"/>
      <c r="D302" s="59" t="s">
        <v>715</v>
      </c>
      <c r="E302" s="69">
        <v>10</v>
      </c>
      <c r="F302" s="69">
        <v>10</v>
      </c>
      <c r="G302" s="69">
        <v>10</v>
      </c>
      <c r="H302" s="69">
        <v>10</v>
      </c>
      <c r="I302" s="70">
        <v>10</v>
      </c>
      <c r="J302" s="4"/>
      <c r="K302" s="4"/>
      <c r="L302" s="3265"/>
      <c r="M302" s="4"/>
      <c r="N302" s="4"/>
      <c r="O302" s="4"/>
      <c r="P302" s="3268"/>
      <c r="Q302" s="3265"/>
      <c r="R302" s="3265"/>
      <c r="S302" s="3266">
        <v>0</v>
      </c>
      <c r="T302" s="3265"/>
      <c r="U302" s="3267">
        <f t="shared" si="23"/>
        <v>50</v>
      </c>
      <c r="V302" s="3265"/>
      <c r="W302" s="3265"/>
      <c r="X302" s="4"/>
      <c r="Y302" s="3265"/>
      <c r="Z302" s="3265"/>
      <c r="AA302" s="3265"/>
      <c r="AB302" s="3265"/>
      <c r="AC302" s="3265"/>
      <c r="AD302" s="3265"/>
      <c r="AE302" s="3265"/>
      <c r="AF302" s="3265"/>
      <c r="AG302" s="3265"/>
      <c r="AH302" s="3265"/>
      <c r="AI302" s="57"/>
      <c r="AJ302" s="57"/>
      <c r="AK302" s="57"/>
      <c r="AL302" s="57"/>
      <c r="AM302" s="57"/>
    </row>
    <row r="303" spans="1:39" s="58" customFormat="1" ht="19.5" x14ac:dyDescent="0.2">
      <c r="A303" s="52">
        <v>2204</v>
      </c>
      <c r="B303" s="53"/>
      <c r="C303" s="60" t="s">
        <v>751</v>
      </c>
      <c r="D303" s="61"/>
      <c r="E303" s="62">
        <f>SUM(E297:E302)</f>
        <v>60</v>
      </c>
      <c r="F303" s="62">
        <f>SUM(F297:F302)</f>
        <v>60</v>
      </c>
      <c r="G303" s="62">
        <f>SUM(G297:G302)</f>
        <v>60</v>
      </c>
      <c r="H303" s="62">
        <f>SUM(H297:H302)</f>
        <v>60</v>
      </c>
      <c r="I303" s="63">
        <f>SUM(I297:I302)</f>
        <v>60</v>
      </c>
      <c r="J303" s="4"/>
      <c r="K303" s="4"/>
      <c r="L303" s="3265"/>
      <c r="M303" s="4"/>
      <c r="N303" s="4"/>
      <c r="O303" s="4"/>
      <c r="P303" s="3268"/>
      <c r="Q303" s="3265"/>
      <c r="R303" s="3265"/>
      <c r="S303" s="3266">
        <v>0</v>
      </c>
      <c r="T303" s="3265"/>
      <c r="U303" s="3267">
        <f t="shared" si="23"/>
        <v>300</v>
      </c>
      <c r="V303" s="3265"/>
      <c r="W303" s="3265"/>
      <c r="X303" s="4"/>
      <c r="Y303" s="3265"/>
      <c r="Z303" s="3265"/>
      <c r="AA303" s="3265"/>
      <c r="AB303" s="3265"/>
      <c r="AC303" s="3265"/>
      <c r="AD303" s="3265"/>
      <c r="AE303" s="3265"/>
      <c r="AF303" s="3265"/>
      <c r="AG303" s="3265"/>
      <c r="AH303" s="3265"/>
      <c r="AI303" s="57"/>
      <c r="AJ303" s="57"/>
      <c r="AK303" s="57"/>
      <c r="AL303" s="57"/>
      <c r="AM303" s="57"/>
    </row>
    <row r="304" spans="1:39" s="58" customFormat="1" ht="19.5" x14ac:dyDescent="0.2">
      <c r="A304" s="52"/>
      <c r="B304" s="47"/>
      <c r="C304" s="48" t="s">
        <v>752</v>
      </c>
      <c r="D304" s="65"/>
      <c r="E304" s="66"/>
      <c r="F304" s="66"/>
      <c r="G304" s="66"/>
      <c r="H304" s="66"/>
      <c r="I304" s="67"/>
      <c r="J304" s="4"/>
      <c r="K304" s="4"/>
      <c r="L304" s="3265"/>
      <c r="M304" s="4"/>
      <c r="N304" s="4"/>
      <c r="O304" s="4"/>
      <c r="P304" s="3268"/>
      <c r="Q304" s="3265"/>
      <c r="R304" s="3265"/>
      <c r="S304" s="3266">
        <v>0</v>
      </c>
      <c r="T304" s="3265"/>
      <c r="U304" s="3267">
        <f>U314</f>
        <v>450</v>
      </c>
      <c r="V304" s="3265"/>
      <c r="W304" s="3265"/>
      <c r="X304" s="4"/>
      <c r="Y304" s="3265"/>
      <c r="Z304" s="3265"/>
      <c r="AA304" s="3265"/>
      <c r="AB304" s="3265"/>
      <c r="AC304" s="3265"/>
      <c r="AD304" s="3265"/>
      <c r="AE304" s="3265"/>
      <c r="AF304" s="3265"/>
      <c r="AG304" s="3265"/>
      <c r="AH304" s="3265"/>
      <c r="AI304" s="57"/>
      <c r="AJ304" s="57"/>
      <c r="AK304" s="57"/>
      <c r="AL304" s="57"/>
      <c r="AM304" s="57"/>
    </row>
    <row r="305" spans="1:39" s="58" customFormat="1" ht="19.5" x14ac:dyDescent="0.2">
      <c r="A305" s="52">
        <v>260501</v>
      </c>
      <c r="B305" s="53"/>
      <c r="C305" s="42"/>
      <c r="D305" s="54" t="s">
        <v>718</v>
      </c>
      <c r="E305" s="55">
        <v>10</v>
      </c>
      <c r="F305" s="55">
        <v>10</v>
      </c>
      <c r="G305" s="55">
        <v>10</v>
      </c>
      <c r="H305" s="55">
        <v>10</v>
      </c>
      <c r="I305" s="56">
        <v>10</v>
      </c>
      <c r="J305" s="4"/>
      <c r="K305" s="4"/>
      <c r="L305" s="3265"/>
      <c r="M305" s="4"/>
      <c r="N305" s="4"/>
      <c r="O305" s="4"/>
      <c r="P305" s="3268"/>
      <c r="Q305" s="3265"/>
      <c r="R305" s="3265"/>
      <c r="S305" s="3266">
        <v>0</v>
      </c>
      <c r="T305" s="3265"/>
      <c r="U305" s="3267">
        <f t="shared" ref="U305:U314" si="24">SUM(E305:I305)</f>
        <v>50</v>
      </c>
      <c r="V305" s="3265"/>
      <c r="W305" s="3265"/>
      <c r="X305" s="4"/>
      <c r="Y305" s="3265"/>
      <c r="Z305" s="3265"/>
      <c r="AA305" s="3265"/>
      <c r="AB305" s="3265"/>
      <c r="AC305" s="3265"/>
      <c r="AD305" s="3265"/>
      <c r="AE305" s="3265"/>
      <c r="AF305" s="3265"/>
      <c r="AG305" s="3265"/>
      <c r="AH305" s="3265"/>
      <c r="AI305" s="57"/>
      <c r="AJ305" s="57"/>
      <c r="AK305" s="57"/>
      <c r="AL305" s="57"/>
      <c r="AM305" s="57"/>
    </row>
    <row r="306" spans="1:39" s="58" customFormat="1" ht="19.5" x14ac:dyDescent="0.2">
      <c r="A306" s="52">
        <v>261001</v>
      </c>
      <c r="B306" s="53"/>
      <c r="C306" s="42"/>
      <c r="D306" s="59" t="s">
        <v>719</v>
      </c>
      <c r="E306" s="69">
        <v>10</v>
      </c>
      <c r="F306" s="69">
        <v>10</v>
      </c>
      <c r="G306" s="69">
        <v>10</v>
      </c>
      <c r="H306" s="69">
        <v>10</v>
      </c>
      <c r="I306" s="70">
        <v>10</v>
      </c>
      <c r="J306" s="4"/>
      <c r="K306" s="4"/>
      <c r="L306" s="3265"/>
      <c r="M306" s="4"/>
      <c r="N306" s="4"/>
      <c r="O306" s="4"/>
      <c r="P306" s="3268"/>
      <c r="Q306" s="3265"/>
      <c r="R306" s="3265"/>
      <c r="S306" s="3266">
        <v>0</v>
      </c>
      <c r="T306" s="3265"/>
      <c r="U306" s="3267">
        <f t="shared" si="24"/>
        <v>50</v>
      </c>
      <c r="V306" s="3265"/>
      <c r="W306" s="3265"/>
      <c r="X306" s="3265"/>
      <c r="Y306" s="3265"/>
      <c r="Z306" s="3265"/>
      <c r="AA306" s="3265"/>
      <c r="AB306" s="3265"/>
      <c r="AC306" s="3265"/>
      <c r="AD306" s="3265"/>
      <c r="AE306" s="3265"/>
      <c r="AF306" s="3265"/>
      <c r="AG306" s="3265"/>
      <c r="AH306" s="3265"/>
      <c r="AI306" s="57"/>
      <c r="AJ306" s="57"/>
      <c r="AK306" s="57"/>
      <c r="AL306" s="57"/>
      <c r="AM306" s="57"/>
    </row>
    <row r="307" spans="1:39" s="58" customFormat="1" ht="19.5" x14ac:dyDescent="0.2">
      <c r="A307" s="52">
        <v>261501</v>
      </c>
      <c r="B307" s="53"/>
      <c r="C307" s="42"/>
      <c r="D307" s="59" t="s">
        <v>720</v>
      </c>
      <c r="E307" s="69">
        <v>10</v>
      </c>
      <c r="F307" s="69">
        <v>10</v>
      </c>
      <c r="G307" s="69">
        <v>10</v>
      </c>
      <c r="H307" s="69">
        <v>10</v>
      </c>
      <c r="I307" s="70">
        <v>10</v>
      </c>
      <c r="J307" s="4"/>
      <c r="K307" s="4"/>
      <c r="L307" s="3265"/>
      <c r="M307" s="4"/>
      <c r="N307" s="4"/>
      <c r="O307" s="4"/>
      <c r="P307" s="3268"/>
      <c r="Q307" s="3265"/>
      <c r="R307" s="3265"/>
      <c r="S307" s="3266">
        <v>0</v>
      </c>
      <c r="T307" s="3265"/>
      <c r="U307" s="3267">
        <f t="shared" si="24"/>
        <v>50</v>
      </c>
      <c r="V307" s="3265"/>
      <c r="W307" s="3265"/>
      <c r="X307" s="3265"/>
      <c r="Y307" s="3265"/>
      <c r="Z307" s="3265"/>
      <c r="AA307" s="3265"/>
      <c r="AB307" s="3265"/>
      <c r="AC307" s="3265"/>
      <c r="AD307" s="3265"/>
      <c r="AE307" s="3265"/>
      <c r="AF307" s="3265"/>
      <c r="AG307" s="3265"/>
      <c r="AH307" s="3265"/>
      <c r="AI307" s="57"/>
      <c r="AJ307" s="57"/>
      <c r="AK307" s="57"/>
      <c r="AL307" s="57"/>
      <c r="AM307" s="57"/>
    </row>
    <row r="308" spans="1:39" s="58" customFormat="1" ht="19.5" x14ac:dyDescent="0.2">
      <c r="A308" s="52">
        <v>262001</v>
      </c>
      <c r="B308" s="53"/>
      <c r="C308" s="42"/>
      <c r="D308" s="59" t="s">
        <v>721</v>
      </c>
      <c r="E308" s="69">
        <v>10</v>
      </c>
      <c r="F308" s="69">
        <v>10</v>
      </c>
      <c r="G308" s="69">
        <v>10</v>
      </c>
      <c r="H308" s="69">
        <v>10</v>
      </c>
      <c r="I308" s="70">
        <v>10</v>
      </c>
      <c r="J308" s="4"/>
      <c r="K308" s="4"/>
      <c r="L308" s="3265"/>
      <c r="M308" s="4"/>
      <c r="N308" s="4"/>
      <c r="O308" s="4"/>
      <c r="P308" s="3268"/>
      <c r="Q308" s="3265"/>
      <c r="R308" s="3265"/>
      <c r="S308" s="3266">
        <v>0</v>
      </c>
      <c r="T308" s="3265"/>
      <c r="U308" s="3267">
        <f t="shared" si="24"/>
        <v>50</v>
      </c>
      <c r="V308" s="3265"/>
      <c r="W308" s="3265"/>
      <c r="X308" s="3265"/>
      <c r="Y308" s="3265"/>
      <c r="Z308" s="3265"/>
      <c r="AA308" s="3265"/>
      <c r="AB308" s="3265"/>
      <c r="AC308" s="3265"/>
      <c r="AD308" s="3265"/>
      <c r="AE308" s="3265"/>
      <c r="AF308" s="3265"/>
      <c r="AG308" s="3265"/>
      <c r="AH308" s="3265"/>
      <c r="AI308" s="57"/>
      <c r="AJ308" s="57"/>
      <c r="AK308" s="57"/>
      <c r="AL308" s="57"/>
      <c r="AM308" s="57"/>
    </row>
    <row r="309" spans="1:39" s="58" customFormat="1" ht="19.5" x14ac:dyDescent="0.2">
      <c r="A309" s="52">
        <v>262501</v>
      </c>
      <c r="B309" s="53"/>
      <c r="C309" s="42"/>
      <c r="D309" s="59" t="s">
        <v>722</v>
      </c>
      <c r="E309" s="69">
        <v>10</v>
      </c>
      <c r="F309" s="69">
        <v>10</v>
      </c>
      <c r="G309" s="69">
        <v>10</v>
      </c>
      <c r="H309" s="69">
        <v>10</v>
      </c>
      <c r="I309" s="70">
        <v>10</v>
      </c>
      <c r="J309" s="4"/>
      <c r="K309" s="4"/>
      <c r="L309" s="3265"/>
      <c r="M309" s="4"/>
      <c r="N309" s="4"/>
      <c r="O309" s="4"/>
      <c r="P309" s="3268"/>
      <c r="Q309" s="3265"/>
      <c r="R309" s="3265"/>
      <c r="S309" s="3266">
        <v>0</v>
      </c>
      <c r="T309" s="3265"/>
      <c r="U309" s="3267">
        <f t="shared" si="24"/>
        <v>50</v>
      </c>
      <c r="V309" s="3265"/>
      <c r="W309" s="3265"/>
      <c r="X309" s="3265"/>
      <c r="Y309" s="3265"/>
      <c r="Z309" s="3265"/>
      <c r="AA309" s="3265"/>
      <c r="AB309" s="3265"/>
      <c r="AC309" s="3265"/>
      <c r="AD309" s="3265"/>
      <c r="AE309" s="3265"/>
      <c r="AF309" s="3265"/>
      <c r="AG309" s="3265"/>
      <c r="AH309" s="3265"/>
      <c r="AI309" s="57"/>
      <c r="AJ309" s="57"/>
      <c r="AK309" s="57"/>
      <c r="AL309" s="57"/>
      <c r="AM309" s="57"/>
    </row>
    <row r="310" spans="1:39" s="58" customFormat="1" ht="19.5" x14ac:dyDescent="0.2">
      <c r="A310" s="52">
        <v>263001</v>
      </c>
      <c r="B310" s="53"/>
      <c r="C310" s="42"/>
      <c r="D310" s="59" t="s">
        <v>723</v>
      </c>
      <c r="E310" s="69">
        <v>10</v>
      </c>
      <c r="F310" s="69">
        <v>10</v>
      </c>
      <c r="G310" s="69">
        <v>10</v>
      </c>
      <c r="H310" s="69">
        <v>10</v>
      </c>
      <c r="I310" s="70">
        <v>10</v>
      </c>
      <c r="J310" s="4"/>
      <c r="K310" s="4"/>
      <c r="L310" s="3265"/>
      <c r="M310" s="4"/>
      <c r="N310" s="4"/>
      <c r="O310" s="4"/>
      <c r="P310" s="3268"/>
      <c r="Q310" s="3265"/>
      <c r="R310" s="3265"/>
      <c r="S310" s="3266">
        <v>0</v>
      </c>
      <c r="T310" s="3265"/>
      <c r="U310" s="3267">
        <f t="shared" si="24"/>
        <v>50</v>
      </c>
      <c r="V310" s="3265"/>
      <c r="W310" s="3265"/>
      <c r="X310" s="3265"/>
      <c r="Y310" s="3265"/>
      <c r="Z310" s="3265"/>
      <c r="AA310" s="3265"/>
      <c r="AB310" s="3265"/>
      <c r="AC310" s="3265"/>
      <c r="AD310" s="3265"/>
      <c r="AE310" s="3265"/>
      <c r="AF310" s="3265"/>
      <c r="AG310" s="3265"/>
      <c r="AH310" s="3265"/>
      <c r="AI310" s="57"/>
      <c r="AJ310" s="57"/>
      <c r="AK310" s="57"/>
      <c r="AL310" s="57"/>
      <c r="AM310" s="57"/>
    </row>
    <row r="311" spans="1:39" s="58" customFormat="1" ht="19.5" x14ac:dyDescent="0.2">
      <c r="A311" s="52">
        <v>263501</v>
      </c>
      <c r="B311" s="53"/>
      <c r="C311" s="42"/>
      <c r="D311" s="59" t="s">
        <v>724</v>
      </c>
      <c r="E311" s="69">
        <v>10</v>
      </c>
      <c r="F311" s="69">
        <v>10</v>
      </c>
      <c r="G311" s="69">
        <v>10</v>
      </c>
      <c r="H311" s="69">
        <v>10</v>
      </c>
      <c r="I311" s="70">
        <v>10</v>
      </c>
      <c r="J311" s="4"/>
      <c r="K311" s="4"/>
      <c r="L311" s="3265"/>
      <c r="M311" s="4"/>
      <c r="N311" s="4"/>
      <c r="O311" s="4"/>
      <c r="P311" s="3268"/>
      <c r="Q311" s="3265"/>
      <c r="R311" s="3265"/>
      <c r="S311" s="3266">
        <v>0</v>
      </c>
      <c r="T311" s="3265"/>
      <c r="U311" s="3267">
        <f t="shared" si="24"/>
        <v>50</v>
      </c>
      <c r="V311" s="3265"/>
      <c r="W311" s="3265"/>
      <c r="X311" s="3265"/>
      <c r="Y311" s="3265"/>
      <c r="Z311" s="3265"/>
      <c r="AA311" s="3265"/>
      <c r="AB311" s="3265"/>
      <c r="AC311" s="3265"/>
      <c r="AD311" s="3265"/>
      <c r="AE311" s="3265"/>
      <c r="AF311" s="3265"/>
      <c r="AG311" s="3265"/>
      <c r="AH311" s="3265"/>
      <c r="AI311" s="57"/>
      <c r="AJ311" s="57"/>
      <c r="AK311" s="57"/>
      <c r="AL311" s="57"/>
      <c r="AM311" s="57"/>
    </row>
    <row r="312" spans="1:39" s="58" customFormat="1" ht="19.5" x14ac:dyDescent="0.2">
      <c r="A312" s="52">
        <v>264001</v>
      </c>
      <c r="B312" s="53"/>
      <c r="C312" s="42"/>
      <c r="D312" s="59" t="s">
        <v>725</v>
      </c>
      <c r="E312" s="69">
        <v>10</v>
      </c>
      <c r="F312" s="69">
        <v>10</v>
      </c>
      <c r="G312" s="69">
        <v>10</v>
      </c>
      <c r="H312" s="69">
        <v>10</v>
      </c>
      <c r="I312" s="70">
        <v>10</v>
      </c>
      <c r="J312" s="4"/>
      <c r="K312" s="4"/>
      <c r="L312" s="3265"/>
      <c r="M312" s="4"/>
      <c r="N312" s="4"/>
      <c r="O312" s="4"/>
      <c r="P312" s="3268"/>
      <c r="Q312" s="3265"/>
      <c r="R312" s="3265"/>
      <c r="S312" s="3266">
        <v>0</v>
      </c>
      <c r="T312" s="3265"/>
      <c r="U312" s="3267">
        <f t="shared" si="24"/>
        <v>50</v>
      </c>
      <c r="V312" s="3265"/>
      <c r="W312" s="3265"/>
      <c r="X312" s="3265"/>
      <c r="Y312" s="3265"/>
      <c r="Z312" s="3265"/>
      <c r="AA312" s="3265"/>
      <c r="AB312" s="3265"/>
      <c r="AC312" s="3265"/>
      <c r="AD312" s="3265"/>
      <c r="AE312" s="3265"/>
      <c r="AF312" s="3265"/>
      <c r="AG312" s="3265"/>
      <c r="AH312" s="3265"/>
      <c r="AI312" s="57"/>
      <c r="AJ312" s="57"/>
      <c r="AK312" s="57"/>
      <c r="AL312" s="57"/>
      <c r="AM312" s="57"/>
    </row>
    <row r="313" spans="1:39" s="58" customFormat="1" ht="19.5" x14ac:dyDescent="0.2">
      <c r="A313" s="52">
        <v>269501</v>
      </c>
      <c r="B313" s="53"/>
      <c r="C313" s="42"/>
      <c r="D313" s="59" t="s">
        <v>726</v>
      </c>
      <c r="E313" s="69">
        <v>10</v>
      </c>
      <c r="F313" s="69">
        <v>10</v>
      </c>
      <c r="G313" s="69">
        <v>10</v>
      </c>
      <c r="H313" s="69">
        <v>10</v>
      </c>
      <c r="I313" s="70">
        <v>10</v>
      </c>
      <c r="J313" s="4"/>
      <c r="K313" s="4"/>
      <c r="L313" s="3265"/>
      <c r="M313" s="4"/>
      <c r="N313" s="4"/>
      <c r="O313" s="4"/>
      <c r="P313" s="3268"/>
      <c r="Q313" s="3265"/>
      <c r="R313" s="3265"/>
      <c r="S313" s="3266">
        <v>0</v>
      </c>
      <c r="T313" s="3265"/>
      <c r="U313" s="3267">
        <f t="shared" si="24"/>
        <v>50</v>
      </c>
      <c r="V313" s="3265"/>
      <c r="W313" s="3265"/>
      <c r="X313" s="3265"/>
      <c r="Y313" s="3265"/>
      <c r="Z313" s="3265"/>
      <c r="AA313" s="3265"/>
      <c r="AB313" s="3265"/>
      <c r="AC313" s="3265"/>
      <c r="AD313" s="3265"/>
      <c r="AE313" s="3265"/>
      <c r="AF313" s="3265"/>
      <c r="AG313" s="3265"/>
      <c r="AH313" s="3265"/>
      <c r="AI313" s="57"/>
      <c r="AJ313" s="57"/>
      <c r="AK313" s="57"/>
      <c r="AL313" s="57"/>
      <c r="AM313" s="57"/>
    </row>
    <row r="314" spans="1:39" s="58" customFormat="1" ht="19.5" x14ac:dyDescent="0.2">
      <c r="A314" s="52">
        <v>2206</v>
      </c>
      <c r="B314" s="53"/>
      <c r="C314" s="60" t="s">
        <v>753</v>
      </c>
      <c r="D314" s="61"/>
      <c r="E314" s="62">
        <f>SUM(E305:E313)</f>
        <v>90</v>
      </c>
      <c r="F314" s="62">
        <f>SUM(F305:F313)</f>
        <v>90</v>
      </c>
      <c r="G314" s="62">
        <f>SUM(G305:G313)</f>
        <v>90</v>
      </c>
      <c r="H314" s="62">
        <f>SUM(H305:H313)</f>
        <v>90</v>
      </c>
      <c r="I314" s="63">
        <f>SUM(I305:I313)</f>
        <v>90</v>
      </c>
      <c r="J314" s="4"/>
      <c r="K314" s="4"/>
      <c r="L314" s="3265"/>
      <c r="M314" s="4"/>
      <c r="N314" s="4"/>
      <c r="O314" s="4"/>
      <c r="P314" s="3268"/>
      <c r="Q314" s="3265"/>
      <c r="R314" s="3265"/>
      <c r="S314" s="3266">
        <v>0</v>
      </c>
      <c r="T314" s="3265"/>
      <c r="U314" s="3267">
        <f t="shared" si="24"/>
        <v>450</v>
      </c>
      <c r="V314" s="3265"/>
      <c r="W314" s="3265"/>
      <c r="X314" s="3265"/>
      <c r="Y314" s="3265"/>
      <c r="Z314" s="3265"/>
      <c r="AA314" s="3265"/>
      <c r="AB314" s="3265"/>
      <c r="AC314" s="3265"/>
      <c r="AD314" s="3265"/>
      <c r="AE314" s="3265"/>
      <c r="AF314" s="3265"/>
      <c r="AG314" s="3265"/>
      <c r="AH314" s="3265"/>
      <c r="AI314" s="57"/>
      <c r="AJ314" s="57"/>
      <c r="AK314" s="57"/>
      <c r="AL314" s="57"/>
      <c r="AM314" s="57"/>
    </row>
    <row r="315" spans="1:39" s="58" customFormat="1" ht="19.5" x14ac:dyDescent="0.2">
      <c r="A315" s="52"/>
      <c r="B315" s="47"/>
      <c r="C315" s="48" t="s">
        <v>754</v>
      </c>
      <c r="D315" s="65"/>
      <c r="E315" s="66"/>
      <c r="F315" s="66"/>
      <c r="G315" s="66"/>
      <c r="H315" s="66"/>
      <c r="I315" s="67"/>
      <c r="J315" s="4"/>
      <c r="K315" s="4"/>
      <c r="L315" s="3265"/>
      <c r="M315" s="4"/>
      <c r="N315" s="4"/>
      <c r="O315" s="4"/>
      <c r="P315" s="3268"/>
      <c r="Q315" s="3265"/>
      <c r="R315" s="3265"/>
      <c r="S315" s="3266">
        <v>0</v>
      </c>
      <c r="T315" s="3265"/>
      <c r="U315" s="3267">
        <f>U322</f>
        <v>250</v>
      </c>
      <c r="V315" s="3265"/>
      <c r="W315" s="3265"/>
      <c r="X315" s="3265"/>
      <c r="Y315" s="3265"/>
      <c r="Z315" s="3265"/>
      <c r="AA315" s="3265"/>
      <c r="AB315" s="3265"/>
      <c r="AC315" s="3265"/>
      <c r="AD315" s="3265"/>
      <c r="AE315" s="3265"/>
      <c r="AF315" s="3265"/>
      <c r="AG315" s="3265"/>
      <c r="AH315" s="3265"/>
      <c r="AI315" s="57"/>
      <c r="AJ315" s="57"/>
      <c r="AK315" s="57"/>
      <c r="AL315" s="57"/>
      <c r="AM315" s="57"/>
    </row>
    <row r="316" spans="1:39" s="58" customFormat="1" ht="19.5" x14ac:dyDescent="0.2">
      <c r="A316" s="52">
        <v>270501</v>
      </c>
      <c r="B316" s="53"/>
      <c r="C316" s="42"/>
      <c r="D316" s="54" t="s">
        <v>729</v>
      </c>
      <c r="E316" s="55">
        <v>10</v>
      </c>
      <c r="F316" s="55">
        <v>10</v>
      </c>
      <c r="G316" s="55">
        <v>10</v>
      </c>
      <c r="H316" s="55">
        <v>10</v>
      </c>
      <c r="I316" s="56">
        <v>10</v>
      </c>
      <c r="J316" s="4"/>
      <c r="K316" s="4"/>
      <c r="L316" s="3265"/>
      <c r="M316" s="4"/>
      <c r="N316" s="4"/>
      <c r="O316" s="4"/>
      <c r="P316" s="3268"/>
      <c r="Q316" s="3265"/>
      <c r="R316" s="3265"/>
      <c r="S316" s="3266">
        <v>0</v>
      </c>
      <c r="T316" s="3265"/>
      <c r="U316" s="3267">
        <f t="shared" ref="U316:U322" si="25">SUM(E316:I316)</f>
        <v>50</v>
      </c>
      <c r="V316" s="3265"/>
      <c r="W316" s="3265"/>
      <c r="X316" s="3265"/>
      <c r="Y316" s="3265"/>
      <c r="Z316" s="3265"/>
      <c r="AA316" s="3265"/>
      <c r="AB316" s="3265"/>
      <c r="AC316" s="3265"/>
      <c r="AD316" s="3265"/>
      <c r="AE316" s="3265"/>
      <c r="AF316" s="3265"/>
      <c r="AG316" s="3265"/>
      <c r="AH316" s="3265"/>
      <c r="AI316" s="57"/>
      <c r="AJ316" s="57"/>
      <c r="AK316" s="57"/>
      <c r="AL316" s="57"/>
      <c r="AM316" s="57"/>
    </row>
    <row r="317" spans="1:39" s="58" customFormat="1" ht="19.5" x14ac:dyDescent="0.2">
      <c r="A317" s="52">
        <v>271001</v>
      </c>
      <c r="B317" s="53"/>
      <c r="C317" s="42"/>
      <c r="D317" s="59" t="s">
        <v>730</v>
      </c>
      <c r="E317" s="69">
        <v>10</v>
      </c>
      <c r="F317" s="69">
        <v>10</v>
      </c>
      <c r="G317" s="69">
        <v>10</v>
      </c>
      <c r="H317" s="69">
        <v>10</v>
      </c>
      <c r="I317" s="70">
        <v>10</v>
      </c>
      <c r="J317" s="4"/>
      <c r="K317" s="4"/>
      <c r="L317" s="3265"/>
      <c r="M317" s="4"/>
      <c r="N317" s="4"/>
      <c r="O317" s="4"/>
      <c r="P317" s="3268"/>
      <c r="Q317" s="3265"/>
      <c r="R317" s="3265"/>
      <c r="S317" s="3266">
        <v>0</v>
      </c>
      <c r="T317" s="3265"/>
      <c r="U317" s="3267">
        <f t="shared" si="25"/>
        <v>50</v>
      </c>
      <c r="V317" s="3265"/>
      <c r="W317" s="3265"/>
      <c r="X317" s="3265"/>
      <c r="Y317" s="3265"/>
      <c r="Z317" s="3265"/>
      <c r="AA317" s="3265"/>
      <c r="AB317" s="3265"/>
      <c r="AC317" s="3265"/>
      <c r="AD317" s="3265"/>
      <c r="AE317" s="3265"/>
      <c r="AF317" s="3265"/>
      <c r="AG317" s="3265"/>
      <c r="AH317" s="3265"/>
      <c r="AI317" s="57"/>
      <c r="AJ317" s="57"/>
      <c r="AK317" s="57"/>
      <c r="AL317" s="57"/>
      <c r="AM317" s="57"/>
    </row>
    <row r="318" spans="1:39" s="58" customFormat="1" ht="19.5" x14ac:dyDescent="0.2">
      <c r="A318" s="52">
        <v>272001</v>
      </c>
      <c r="B318" s="53"/>
      <c r="C318" s="42"/>
      <c r="D318" s="59" t="s">
        <v>755</v>
      </c>
      <c r="E318" s="69">
        <v>10</v>
      </c>
      <c r="F318" s="69">
        <v>10</v>
      </c>
      <c r="G318" s="69">
        <v>10</v>
      </c>
      <c r="H318" s="69">
        <v>10</v>
      </c>
      <c r="I318" s="70">
        <v>10</v>
      </c>
      <c r="J318" s="4"/>
      <c r="K318" s="4"/>
      <c r="L318" s="3265"/>
      <c r="M318" s="4"/>
      <c r="N318" s="4"/>
      <c r="O318" s="4"/>
      <c r="P318" s="3268"/>
      <c r="Q318" s="3265"/>
      <c r="R318" s="3265"/>
      <c r="S318" s="3266">
        <v>0</v>
      </c>
      <c r="T318" s="3265"/>
      <c r="U318" s="3267">
        <f t="shared" si="25"/>
        <v>50</v>
      </c>
      <c r="V318" s="3265"/>
      <c r="W318" s="3265"/>
      <c r="X318" s="3265"/>
      <c r="Y318" s="3265"/>
      <c r="Z318" s="3265"/>
      <c r="AA318" s="3265"/>
      <c r="AB318" s="3265"/>
      <c r="AC318" s="3265"/>
      <c r="AD318" s="3265"/>
      <c r="AE318" s="3265"/>
      <c r="AF318" s="3265"/>
      <c r="AG318" s="3265"/>
      <c r="AH318" s="3265"/>
      <c r="AI318" s="57"/>
      <c r="AJ318" s="57"/>
      <c r="AK318" s="57"/>
      <c r="AL318" s="57"/>
      <c r="AM318" s="57"/>
    </row>
    <row r="319" spans="1:39" s="58" customFormat="1" ht="19.5" x14ac:dyDescent="0.2">
      <c r="A319" s="52">
        <v>272501</v>
      </c>
      <c r="B319" s="53"/>
      <c r="C319" s="42"/>
      <c r="D319" s="68" t="s">
        <v>650</v>
      </c>
      <c r="E319" s="69">
        <v>10</v>
      </c>
      <c r="F319" s="69">
        <v>10</v>
      </c>
      <c r="G319" s="69">
        <v>10</v>
      </c>
      <c r="H319" s="69">
        <v>10</v>
      </c>
      <c r="I319" s="70">
        <v>10</v>
      </c>
      <c r="J319" s="4"/>
      <c r="K319" s="4"/>
      <c r="L319" s="3265"/>
      <c r="M319" s="4"/>
      <c r="N319" s="4"/>
      <c r="O319" s="4"/>
      <c r="P319" s="3268"/>
      <c r="Q319" s="3265"/>
      <c r="R319" s="3265"/>
      <c r="S319" s="3266">
        <v>0</v>
      </c>
      <c r="T319" s="3265"/>
      <c r="U319" s="3267">
        <f t="shared" si="25"/>
        <v>50</v>
      </c>
      <c r="V319" s="3265"/>
      <c r="W319" s="3265"/>
      <c r="X319" s="3265"/>
      <c r="Y319" s="3265"/>
      <c r="Z319" s="3265"/>
      <c r="AA319" s="3265"/>
      <c r="AB319" s="3265"/>
      <c r="AC319" s="3265"/>
      <c r="AD319" s="3265"/>
      <c r="AE319" s="3265"/>
      <c r="AF319" s="3265"/>
      <c r="AG319" s="3265"/>
      <c r="AH319" s="3265"/>
      <c r="AI319" s="57"/>
      <c r="AJ319" s="57"/>
      <c r="AK319" s="57"/>
      <c r="AL319" s="57"/>
      <c r="AM319" s="57"/>
    </row>
    <row r="320" spans="1:39" s="58" customFormat="1" ht="19.5" x14ac:dyDescent="0.2">
      <c r="A320" s="52">
        <v>279501</v>
      </c>
      <c r="B320" s="53"/>
      <c r="C320" s="42"/>
      <c r="D320" s="59" t="s">
        <v>453</v>
      </c>
      <c r="E320" s="69">
        <v>10</v>
      </c>
      <c r="F320" s="69">
        <v>10</v>
      </c>
      <c r="G320" s="69">
        <v>10</v>
      </c>
      <c r="H320" s="69">
        <v>10</v>
      </c>
      <c r="I320" s="70">
        <v>10</v>
      </c>
      <c r="J320" s="4"/>
      <c r="K320" s="4"/>
      <c r="L320" s="3265"/>
      <c r="M320" s="4"/>
      <c r="N320" s="4"/>
      <c r="O320" s="4"/>
      <c r="P320" s="3268"/>
      <c r="Q320" s="3265"/>
      <c r="R320" s="3265"/>
      <c r="S320" s="3266">
        <v>0</v>
      </c>
      <c r="T320" s="3265"/>
      <c r="U320" s="3267">
        <f t="shared" si="25"/>
        <v>50</v>
      </c>
      <c r="V320" s="3265"/>
      <c r="W320" s="3265"/>
      <c r="X320" s="3265"/>
      <c r="Y320" s="3265"/>
      <c r="Z320" s="3265"/>
      <c r="AA320" s="3265"/>
      <c r="AB320" s="3265"/>
      <c r="AC320" s="3265"/>
      <c r="AD320" s="3265"/>
      <c r="AE320" s="3265"/>
      <c r="AF320" s="3265"/>
      <c r="AG320" s="3265"/>
      <c r="AH320" s="3265"/>
      <c r="AI320" s="57"/>
      <c r="AJ320" s="57"/>
      <c r="AK320" s="57"/>
      <c r="AL320" s="57"/>
      <c r="AM320" s="57"/>
    </row>
    <row r="321" spans="1:39" s="58" customFormat="1" ht="18.95" hidden="1" customHeight="1" x14ac:dyDescent="0.2">
      <c r="A321" s="52"/>
      <c r="B321" s="53"/>
      <c r="C321" s="42"/>
      <c r="D321" s="59"/>
      <c r="E321" s="69"/>
      <c r="F321" s="69"/>
      <c r="G321" s="72"/>
      <c r="H321" s="72"/>
      <c r="I321" s="59"/>
      <c r="J321" s="4"/>
      <c r="K321" s="4"/>
      <c r="L321" s="3265"/>
      <c r="M321" s="4"/>
      <c r="N321" s="4"/>
      <c r="O321" s="4"/>
      <c r="P321" s="3268"/>
      <c r="Q321" s="3265"/>
      <c r="R321" s="3265"/>
      <c r="S321" s="3266">
        <v>1</v>
      </c>
      <c r="T321" s="3265"/>
      <c r="U321" s="3267">
        <f t="shared" si="25"/>
        <v>0</v>
      </c>
      <c r="V321" s="3265"/>
      <c r="W321" s="3265"/>
      <c r="X321" s="3265"/>
      <c r="Y321" s="3265"/>
      <c r="Z321" s="3265"/>
      <c r="AA321" s="3265"/>
      <c r="AB321" s="3265"/>
      <c r="AC321" s="3265"/>
      <c r="AD321" s="3265"/>
      <c r="AE321" s="3265"/>
      <c r="AF321" s="3265"/>
      <c r="AG321" s="3265"/>
      <c r="AH321" s="3265"/>
      <c r="AI321" s="57"/>
      <c r="AJ321" s="57"/>
      <c r="AK321" s="57"/>
      <c r="AL321" s="57"/>
      <c r="AM321" s="57"/>
    </row>
    <row r="322" spans="1:39" s="58" customFormat="1" ht="19.5" x14ac:dyDescent="0.2">
      <c r="A322" s="52">
        <v>2207</v>
      </c>
      <c r="B322" s="53"/>
      <c r="C322" s="60" t="s">
        <v>756</v>
      </c>
      <c r="D322" s="61"/>
      <c r="E322" s="62">
        <f>SUM(E316:E320)</f>
        <v>50</v>
      </c>
      <c r="F322" s="62">
        <f>SUM(F316:F320)</f>
        <v>50</v>
      </c>
      <c r="G322" s="62">
        <f>SUM(G316:G320)</f>
        <v>50</v>
      </c>
      <c r="H322" s="62">
        <f>SUM(H316:H320)</f>
        <v>50</v>
      </c>
      <c r="I322" s="63">
        <f>SUM(I316:I320)</f>
        <v>50</v>
      </c>
      <c r="J322" s="4"/>
      <c r="K322" s="4"/>
      <c r="L322" s="3265"/>
      <c r="M322" s="4"/>
      <c r="N322" s="4"/>
      <c r="O322" s="4"/>
      <c r="P322" s="3268"/>
      <c r="Q322" s="3265"/>
      <c r="R322" s="3265"/>
      <c r="S322" s="3266">
        <v>0</v>
      </c>
      <c r="T322" s="3265"/>
      <c r="U322" s="3267">
        <f t="shared" si="25"/>
        <v>250</v>
      </c>
      <c r="V322" s="3265"/>
      <c r="W322" s="3265"/>
      <c r="X322" s="3265"/>
      <c r="Y322" s="3265"/>
      <c r="Z322" s="3265"/>
      <c r="AA322" s="3265"/>
      <c r="AB322" s="3265"/>
      <c r="AC322" s="3265"/>
      <c r="AD322" s="3265"/>
      <c r="AE322" s="3265"/>
      <c r="AF322" s="3265"/>
      <c r="AG322" s="3265"/>
      <c r="AH322" s="3265"/>
      <c r="AI322" s="57"/>
      <c r="AJ322" s="57"/>
      <c r="AK322" s="57"/>
      <c r="AL322" s="57"/>
      <c r="AM322" s="57"/>
    </row>
    <row r="323" spans="1:39" s="58" customFormat="1" ht="19.5" x14ac:dyDescent="0.2">
      <c r="A323" s="52"/>
      <c r="B323" s="47"/>
      <c r="C323" s="48" t="s">
        <v>757</v>
      </c>
      <c r="D323" s="65"/>
      <c r="E323" s="66"/>
      <c r="F323" s="66"/>
      <c r="G323" s="66"/>
      <c r="H323" s="66"/>
      <c r="I323" s="67"/>
      <c r="J323" s="4"/>
      <c r="K323" s="4"/>
      <c r="L323" s="3265"/>
      <c r="M323" s="4"/>
      <c r="N323" s="4"/>
      <c r="O323" s="4"/>
      <c r="P323" s="3268"/>
      <c r="Q323" s="3265"/>
      <c r="R323" s="3265"/>
      <c r="S323" s="3266">
        <v>0</v>
      </c>
      <c r="T323" s="3265"/>
      <c r="U323" s="3267">
        <f>U329</f>
        <v>200</v>
      </c>
      <c r="V323" s="3265"/>
      <c r="W323" s="3265"/>
      <c r="X323" s="3265"/>
      <c r="Y323" s="3265"/>
      <c r="Z323" s="3265"/>
      <c r="AA323" s="3265"/>
      <c r="AB323" s="3265"/>
      <c r="AC323" s="3265"/>
      <c r="AD323" s="3265"/>
      <c r="AE323" s="3265"/>
      <c r="AF323" s="3265"/>
      <c r="AG323" s="3265"/>
      <c r="AH323" s="3265"/>
      <c r="AI323" s="57"/>
      <c r="AJ323" s="57"/>
      <c r="AK323" s="57"/>
      <c r="AL323" s="57"/>
      <c r="AM323" s="57"/>
    </row>
    <row r="324" spans="1:39" s="58" customFormat="1" ht="18.95" hidden="1" customHeight="1" x14ac:dyDescent="0.2">
      <c r="A324" s="52">
        <v>290501</v>
      </c>
      <c r="B324" s="53"/>
      <c r="C324" s="42"/>
      <c r="D324" s="54"/>
      <c r="E324" s="55">
        <f>Fortalezas!D259</f>
        <v>0</v>
      </c>
      <c r="F324" s="55">
        <f>Fortalezas!E259</f>
        <v>0</v>
      </c>
      <c r="G324" s="95"/>
      <c r="H324" s="95"/>
      <c r="I324" s="54">
        <f>Fortalezas!H259</f>
        <v>0</v>
      </c>
      <c r="J324" s="4"/>
      <c r="K324" s="4"/>
      <c r="L324" s="3265"/>
      <c r="M324" s="4"/>
      <c r="N324" s="4"/>
      <c r="O324" s="4"/>
      <c r="P324" s="3268"/>
      <c r="Q324" s="3265"/>
      <c r="R324" s="3265"/>
      <c r="S324" s="3266">
        <v>1</v>
      </c>
      <c r="T324" s="3265"/>
      <c r="U324" s="3267">
        <f t="shared" ref="U324:U329" si="26">SUM(E324:I324)</f>
        <v>0</v>
      </c>
      <c r="V324" s="3265"/>
      <c r="W324" s="3265"/>
      <c r="X324" s="3265"/>
      <c r="Y324" s="3265"/>
      <c r="Z324" s="3265"/>
      <c r="AA324" s="3265"/>
      <c r="AB324" s="3265"/>
      <c r="AC324" s="3265"/>
      <c r="AD324" s="3265"/>
      <c r="AE324" s="3265"/>
      <c r="AF324" s="3265"/>
      <c r="AG324" s="3265"/>
      <c r="AH324" s="3265"/>
      <c r="AI324" s="57"/>
      <c r="AJ324" s="57"/>
      <c r="AK324" s="57"/>
      <c r="AL324" s="57"/>
      <c r="AM324" s="57"/>
    </row>
    <row r="325" spans="1:39" s="58" customFormat="1" ht="19.5" x14ac:dyDescent="0.2">
      <c r="A325" s="52">
        <v>291991</v>
      </c>
      <c r="B325" s="53"/>
      <c r="C325" s="42"/>
      <c r="D325" s="59" t="s">
        <v>758</v>
      </c>
      <c r="E325" s="69">
        <v>10</v>
      </c>
      <c r="F325" s="69">
        <v>10</v>
      </c>
      <c r="G325" s="69">
        <v>10</v>
      </c>
      <c r="H325" s="69">
        <v>10</v>
      </c>
      <c r="I325" s="70">
        <v>10</v>
      </c>
      <c r="J325" s="4"/>
      <c r="K325" s="4"/>
      <c r="L325" s="3265"/>
      <c r="M325" s="4"/>
      <c r="N325" s="4"/>
      <c r="O325" s="4"/>
      <c r="P325" s="3268"/>
      <c r="Q325" s="3265"/>
      <c r="R325" s="3265"/>
      <c r="S325" s="3266">
        <v>0</v>
      </c>
      <c r="T325" s="3265"/>
      <c r="U325" s="3267">
        <f t="shared" si="26"/>
        <v>50</v>
      </c>
      <c r="V325" s="3265"/>
      <c r="W325" s="3265"/>
      <c r="X325" s="3265"/>
      <c r="Y325" s="3265"/>
      <c r="Z325" s="3265"/>
      <c r="AA325" s="3265"/>
      <c r="AB325" s="3265"/>
      <c r="AC325" s="3265"/>
      <c r="AD325" s="3265"/>
      <c r="AE325" s="3265"/>
      <c r="AF325" s="3265"/>
      <c r="AG325" s="3265"/>
      <c r="AH325" s="3265"/>
      <c r="AI325" s="57"/>
      <c r="AJ325" s="57"/>
      <c r="AK325" s="57"/>
      <c r="AL325" s="57"/>
      <c r="AM325" s="57"/>
    </row>
    <row r="326" spans="1:39" s="58" customFormat="1" ht="18.95" hidden="1" customHeight="1" x14ac:dyDescent="0.2">
      <c r="A326" s="52">
        <v>291501</v>
      </c>
      <c r="B326" s="53"/>
      <c r="C326" s="42"/>
      <c r="D326" s="59"/>
      <c r="E326" s="69">
        <v>10</v>
      </c>
      <c r="F326" s="69">
        <v>10</v>
      </c>
      <c r="G326" s="69">
        <v>10</v>
      </c>
      <c r="H326" s="69">
        <v>10</v>
      </c>
      <c r="I326" s="70">
        <v>10</v>
      </c>
      <c r="J326" s="4"/>
      <c r="K326" s="4"/>
      <c r="L326" s="3265"/>
      <c r="M326" s="4"/>
      <c r="N326" s="4"/>
      <c r="O326" s="4"/>
      <c r="P326" s="3268"/>
      <c r="Q326" s="3265"/>
      <c r="R326" s="3265"/>
      <c r="S326" s="3266">
        <v>1</v>
      </c>
      <c r="T326" s="3265"/>
      <c r="U326" s="3267">
        <f t="shared" si="26"/>
        <v>50</v>
      </c>
      <c r="V326" s="3265"/>
      <c r="W326" s="3265"/>
      <c r="X326" s="3265"/>
      <c r="Y326" s="3265"/>
      <c r="Z326" s="3265"/>
      <c r="AA326" s="3265"/>
      <c r="AB326" s="3265"/>
      <c r="AC326" s="3265"/>
      <c r="AD326" s="3265"/>
      <c r="AE326" s="3265"/>
      <c r="AF326" s="3265"/>
      <c r="AG326" s="3265"/>
      <c r="AH326" s="3265"/>
      <c r="AI326" s="57"/>
      <c r="AJ326" s="57"/>
      <c r="AK326" s="57"/>
      <c r="AL326" s="57"/>
      <c r="AM326" s="57"/>
    </row>
    <row r="327" spans="1:39" s="58" customFormat="1" ht="19.5" x14ac:dyDescent="0.2">
      <c r="A327" s="52">
        <v>292001</v>
      </c>
      <c r="B327" s="53"/>
      <c r="C327" s="42"/>
      <c r="D327" s="59" t="s">
        <v>759</v>
      </c>
      <c r="E327" s="69">
        <v>10</v>
      </c>
      <c r="F327" s="69">
        <v>10</v>
      </c>
      <c r="G327" s="69">
        <v>10</v>
      </c>
      <c r="H327" s="69">
        <v>10</v>
      </c>
      <c r="I327" s="70">
        <v>10</v>
      </c>
      <c r="J327" s="4"/>
      <c r="K327" s="4"/>
      <c r="L327" s="3265"/>
      <c r="M327" s="4"/>
      <c r="N327" s="4"/>
      <c r="O327" s="4"/>
      <c r="P327" s="3268"/>
      <c r="Q327" s="3265"/>
      <c r="R327" s="3265"/>
      <c r="S327" s="3266">
        <v>0</v>
      </c>
      <c r="T327" s="3265"/>
      <c r="U327" s="3267">
        <f t="shared" si="26"/>
        <v>50</v>
      </c>
      <c r="V327" s="3265"/>
      <c r="W327" s="3265"/>
      <c r="X327" s="3265"/>
      <c r="Y327" s="3265"/>
      <c r="Z327" s="3265"/>
      <c r="AA327" s="3265"/>
      <c r="AB327" s="3265"/>
      <c r="AC327" s="3265"/>
      <c r="AD327" s="3265"/>
      <c r="AE327" s="3265"/>
      <c r="AF327" s="3265"/>
      <c r="AG327" s="3265"/>
      <c r="AH327" s="3265"/>
      <c r="AI327" s="57"/>
      <c r="AJ327" s="57"/>
      <c r="AK327" s="57"/>
      <c r="AL327" s="57"/>
      <c r="AM327" s="57"/>
    </row>
    <row r="328" spans="1:39" s="58" customFormat="1" ht="19.5" x14ac:dyDescent="0.2">
      <c r="A328" s="52">
        <v>299501</v>
      </c>
      <c r="B328" s="53"/>
      <c r="C328" s="42"/>
      <c r="D328" s="68" t="s">
        <v>760</v>
      </c>
      <c r="E328" s="69">
        <v>10</v>
      </c>
      <c r="F328" s="69">
        <v>10</v>
      </c>
      <c r="G328" s="69">
        <v>10</v>
      </c>
      <c r="H328" s="69">
        <v>10</v>
      </c>
      <c r="I328" s="70">
        <v>10</v>
      </c>
      <c r="J328" s="4"/>
      <c r="K328" s="4"/>
      <c r="L328" s="3265"/>
      <c r="M328" s="4"/>
      <c r="N328" s="4"/>
      <c r="O328" s="4"/>
      <c r="P328" s="3268"/>
      <c r="Q328" s="3265"/>
      <c r="R328" s="3265"/>
      <c r="S328" s="3266">
        <v>0</v>
      </c>
      <c r="T328" s="3265"/>
      <c r="U328" s="3267">
        <f t="shared" si="26"/>
        <v>50</v>
      </c>
      <c r="V328" s="3265"/>
      <c r="W328" s="3265"/>
      <c r="X328" s="3265"/>
      <c r="Y328" s="3265"/>
      <c r="Z328" s="3265"/>
      <c r="AA328" s="3265"/>
      <c r="AB328" s="3265"/>
      <c r="AC328" s="3265"/>
      <c r="AD328" s="3265"/>
      <c r="AE328" s="3265"/>
      <c r="AF328" s="3265"/>
      <c r="AG328" s="3265"/>
      <c r="AH328" s="3265"/>
      <c r="AI328" s="57"/>
      <c r="AJ328" s="57"/>
      <c r="AK328" s="57"/>
      <c r="AL328" s="57"/>
      <c r="AM328" s="57"/>
    </row>
    <row r="329" spans="1:39" s="58" customFormat="1" ht="19.5" x14ac:dyDescent="0.2">
      <c r="A329" s="52">
        <v>2209</v>
      </c>
      <c r="B329" s="53"/>
      <c r="C329" s="73" t="s">
        <v>761</v>
      </c>
      <c r="D329" s="74"/>
      <c r="E329" s="75">
        <f>SUM(E324:E328)</f>
        <v>40</v>
      </c>
      <c r="F329" s="75">
        <f>SUM(F324:F328)</f>
        <v>40</v>
      </c>
      <c r="G329" s="75">
        <f>SUM(G324:G328)</f>
        <v>40</v>
      </c>
      <c r="H329" s="75">
        <f>SUM(H324:H328)</f>
        <v>40</v>
      </c>
      <c r="I329" s="76">
        <f>SUM(I324:I328)</f>
        <v>40</v>
      </c>
      <c r="J329" s="4"/>
      <c r="K329" s="4"/>
      <c r="L329" s="3265"/>
      <c r="M329" s="4"/>
      <c r="N329" s="4"/>
      <c r="O329" s="4"/>
      <c r="P329" s="3268"/>
      <c r="Q329" s="3265"/>
      <c r="R329" s="3265"/>
      <c r="S329" s="3266">
        <v>0</v>
      </c>
      <c r="T329" s="3265"/>
      <c r="U329" s="3267">
        <f t="shared" si="26"/>
        <v>200</v>
      </c>
      <c r="V329" s="3265"/>
      <c r="W329" s="3265"/>
      <c r="X329" s="3265"/>
      <c r="Y329" s="3265"/>
      <c r="Z329" s="3265"/>
      <c r="AA329" s="3265"/>
      <c r="AB329" s="3265"/>
      <c r="AC329" s="3265"/>
      <c r="AD329" s="3265"/>
      <c r="AE329" s="3265"/>
      <c r="AF329" s="3265"/>
      <c r="AG329" s="3265"/>
      <c r="AH329" s="3265"/>
      <c r="AI329" s="57"/>
      <c r="AJ329" s="57"/>
      <c r="AK329" s="57"/>
      <c r="AL329" s="57"/>
      <c r="AM329" s="57"/>
    </row>
    <row r="330" spans="1:39" s="58" customFormat="1" ht="19.5" x14ac:dyDescent="0.2">
      <c r="A330" s="52">
        <v>22</v>
      </c>
      <c r="B330" s="77"/>
      <c r="C330" s="86" t="s">
        <v>762</v>
      </c>
      <c r="D330" s="87"/>
      <c r="E330" s="80">
        <f>E266+E283+E295+E303+E314+E322+E329</f>
        <v>450</v>
      </c>
      <c r="F330" s="80">
        <f>F266+F283+F295+F303+F314+F322+F329</f>
        <v>450</v>
      </c>
      <c r="G330" s="80">
        <f>G266+G283+G295+G303+G314+G322+G329</f>
        <v>450</v>
      </c>
      <c r="H330" s="80">
        <f>H266+H283+H295+H303+H314+H322+H329</f>
        <v>450</v>
      </c>
      <c r="I330" s="81">
        <f>I266+I283+I295+I303+I314+I322+I329</f>
        <v>450</v>
      </c>
      <c r="J330" s="4"/>
      <c r="K330" s="4"/>
      <c r="L330" s="3265"/>
      <c r="M330" s="4"/>
      <c r="N330" s="4"/>
      <c r="O330" s="4"/>
      <c r="P330" s="3268"/>
      <c r="Q330" s="3265"/>
      <c r="R330" s="3265"/>
      <c r="S330" s="3266">
        <v>0</v>
      </c>
      <c r="T330" s="3265"/>
      <c r="U330" s="3267">
        <v>1</v>
      </c>
      <c r="V330" s="3265"/>
      <c r="W330" s="3265"/>
      <c r="X330" s="3265"/>
      <c r="Y330" s="3265"/>
      <c r="Z330" s="3265"/>
      <c r="AA330" s="3265"/>
      <c r="AB330" s="3265"/>
      <c r="AC330" s="3265"/>
      <c r="AD330" s="3265"/>
      <c r="AE330" s="3265"/>
      <c r="AF330" s="3265"/>
      <c r="AG330" s="3265"/>
      <c r="AH330" s="3265"/>
      <c r="AI330" s="57"/>
      <c r="AJ330" s="57"/>
      <c r="AK330" s="57"/>
      <c r="AL330" s="57"/>
      <c r="AM330" s="57"/>
    </row>
    <row r="331" spans="1:39" s="58" customFormat="1" ht="19.5" x14ac:dyDescent="0.2">
      <c r="A331" s="52">
        <v>2</v>
      </c>
      <c r="B331" s="86" t="s">
        <v>763</v>
      </c>
      <c r="C331" s="88"/>
      <c r="D331" s="87"/>
      <c r="E331" s="80">
        <f>E261+E330</f>
        <v>930</v>
      </c>
      <c r="F331" s="80">
        <f>F261+F330</f>
        <v>930</v>
      </c>
      <c r="G331" s="80">
        <f>G261+G330</f>
        <v>930</v>
      </c>
      <c r="H331" s="80">
        <f>H261+H330</f>
        <v>930</v>
      </c>
      <c r="I331" s="81">
        <f>I261+I330</f>
        <v>930</v>
      </c>
      <c r="J331" s="4"/>
      <c r="K331" s="4"/>
      <c r="L331" s="3265"/>
      <c r="M331" s="4"/>
      <c r="N331" s="4"/>
      <c r="O331" s="4"/>
      <c r="P331" s="3268"/>
      <c r="Q331" s="3265"/>
      <c r="R331" s="3265"/>
      <c r="S331" s="3266">
        <v>0</v>
      </c>
      <c r="T331" s="3265"/>
      <c r="U331" s="3267">
        <f>SUM(E331:I331)</f>
        <v>4650</v>
      </c>
      <c r="V331" s="3265"/>
      <c r="W331" s="3265"/>
      <c r="X331" s="3265"/>
      <c r="Y331" s="3265"/>
      <c r="Z331" s="3265"/>
      <c r="AA331" s="3265"/>
      <c r="AB331" s="3265"/>
      <c r="AC331" s="3265"/>
      <c r="AD331" s="3265"/>
      <c r="AE331" s="3265"/>
      <c r="AF331" s="3265"/>
      <c r="AG331" s="3265"/>
      <c r="AH331" s="3265"/>
      <c r="AI331" s="57"/>
      <c r="AJ331" s="57"/>
      <c r="AK331" s="57"/>
      <c r="AL331" s="57"/>
      <c r="AM331" s="57"/>
    </row>
    <row r="332" spans="1:39" s="58" customFormat="1" ht="19.5" x14ac:dyDescent="0.2">
      <c r="A332" s="52"/>
      <c r="B332" s="77"/>
      <c r="C332" s="42"/>
      <c r="D332" s="92"/>
      <c r="E332" s="42"/>
      <c r="F332" s="42"/>
      <c r="G332" s="42"/>
      <c r="H332" s="42"/>
      <c r="I332" s="92"/>
      <c r="J332" s="4"/>
      <c r="K332" s="4"/>
      <c r="L332" s="3265"/>
      <c r="M332" s="4"/>
      <c r="N332" s="4"/>
      <c r="O332" s="4"/>
      <c r="P332" s="3268"/>
      <c r="Q332" s="3265"/>
      <c r="R332" s="3265"/>
      <c r="S332" s="3266">
        <v>0</v>
      </c>
      <c r="T332" s="3265"/>
      <c r="U332" s="3267">
        <v>1</v>
      </c>
      <c r="V332" s="3265"/>
      <c r="W332" s="3265"/>
      <c r="X332" s="3265"/>
      <c r="Y332" s="3265"/>
      <c r="Z332" s="3265"/>
      <c r="AA332" s="3265"/>
      <c r="AB332" s="3265"/>
      <c r="AC332" s="3265"/>
      <c r="AD332" s="3265"/>
      <c r="AE332" s="3265"/>
      <c r="AF332" s="3265"/>
      <c r="AG332" s="3265"/>
      <c r="AH332" s="3265"/>
      <c r="AI332" s="57"/>
      <c r="AJ332" s="57"/>
      <c r="AK332" s="57"/>
      <c r="AL332" s="57"/>
      <c r="AM332" s="57"/>
    </row>
    <row r="333" spans="1:39" s="58" customFormat="1" ht="21" x14ac:dyDescent="0.2">
      <c r="A333" s="52"/>
      <c r="B333" s="41" t="s">
        <v>764</v>
      </c>
      <c r="C333" s="41"/>
      <c r="D333" s="93"/>
      <c r="E333" s="42"/>
      <c r="F333" s="42"/>
      <c r="G333" s="42"/>
      <c r="H333" s="42"/>
      <c r="I333" s="92"/>
      <c r="J333" s="4"/>
      <c r="K333" s="4"/>
      <c r="L333" s="3265"/>
      <c r="M333" s="4"/>
      <c r="N333" s="4"/>
      <c r="O333" s="4"/>
      <c r="P333" s="3268"/>
      <c r="Q333" s="3265"/>
      <c r="R333" s="3265"/>
      <c r="S333" s="3266">
        <v>0</v>
      </c>
      <c r="T333" s="3265"/>
      <c r="U333" s="3267">
        <v>1</v>
      </c>
      <c r="V333" s="3265"/>
      <c r="W333" s="3265"/>
      <c r="X333" s="3265"/>
      <c r="Y333" s="3265"/>
      <c r="Z333" s="3265"/>
      <c r="AA333" s="3265"/>
      <c r="AB333" s="3265"/>
      <c r="AC333" s="3265"/>
      <c r="AD333" s="3265"/>
      <c r="AE333" s="3265"/>
      <c r="AF333" s="3265"/>
      <c r="AG333" s="3265"/>
      <c r="AH333" s="3265"/>
      <c r="AI333" s="57"/>
      <c r="AJ333" s="57"/>
      <c r="AK333" s="57"/>
      <c r="AL333" s="57"/>
      <c r="AM333" s="57"/>
    </row>
    <row r="334" spans="1:39" s="58" customFormat="1" ht="19.5" x14ac:dyDescent="0.2">
      <c r="A334" s="52"/>
      <c r="B334" s="47"/>
      <c r="C334" s="48" t="s">
        <v>765</v>
      </c>
      <c r="D334" s="82"/>
      <c r="E334" s="50"/>
      <c r="F334" s="50"/>
      <c r="G334" s="50"/>
      <c r="H334" s="50"/>
      <c r="I334" s="83"/>
      <c r="J334" s="4"/>
      <c r="K334" s="4"/>
      <c r="L334" s="3265"/>
      <c r="M334" s="4"/>
      <c r="N334" s="4"/>
      <c r="O334" s="4"/>
      <c r="P334" s="3265"/>
      <c r="Q334" s="3265"/>
      <c r="R334" s="3265"/>
      <c r="S334" s="3266">
        <v>0</v>
      </c>
      <c r="T334" s="3265"/>
      <c r="U334" s="3267">
        <f>U342</f>
        <v>350</v>
      </c>
      <c r="V334" s="3265"/>
      <c r="W334" s="3265"/>
      <c r="X334" s="3265"/>
      <c r="Y334" s="3265"/>
      <c r="Z334" s="3265"/>
      <c r="AA334" s="3265"/>
      <c r="AB334" s="3265"/>
      <c r="AC334" s="3265"/>
      <c r="AD334" s="3265"/>
      <c r="AE334" s="3265"/>
      <c r="AF334" s="3265"/>
      <c r="AG334" s="3265"/>
      <c r="AH334" s="3265"/>
      <c r="AI334" s="57"/>
      <c r="AJ334" s="57"/>
      <c r="AK334" s="57"/>
      <c r="AL334" s="57"/>
      <c r="AM334" s="57"/>
    </row>
    <row r="335" spans="1:39" s="58" customFormat="1" ht="19.5" x14ac:dyDescent="0.2">
      <c r="A335" s="52">
        <v>310500</v>
      </c>
      <c r="B335" s="53"/>
      <c r="C335" s="42"/>
      <c r="D335" s="54" t="s">
        <v>766</v>
      </c>
      <c r="E335" s="55">
        <v>10</v>
      </c>
      <c r="F335" s="55">
        <v>10</v>
      </c>
      <c r="G335" s="55">
        <v>10</v>
      </c>
      <c r="H335" s="55">
        <v>10</v>
      </c>
      <c r="I335" s="56">
        <v>10</v>
      </c>
      <c r="J335" s="4"/>
      <c r="K335" s="4"/>
      <c r="L335" s="3265"/>
      <c r="M335" s="4"/>
      <c r="N335" s="4"/>
      <c r="O335" s="4"/>
      <c r="P335" s="3268"/>
      <c r="Q335" s="3265"/>
      <c r="R335" s="3265"/>
      <c r="S335" s="3266">
        <v>0</v>
      </c>
      <c r="T335" s="3265"/>
      <c r="U335" s="3267">
        <f t="shared" ref="U335:U342" si="27">SUM(E335:I335)</f>
        <v>50</v>
      </c>
      <c r="V335" s="3265"/>
      <c r="W335" s="3265"/>
      <c r="X335" s="4"/>
      <c r="Y335" s="3265"/>
      <c r="Z335" s="3265"/>
      <c r="AA335" s="3265"/>
      <c r="AB335" s="3265"/>
      <c r="AC335" s="3265"/>
      <c r="AD335" s="3265"/>
      <c r="AE335" s="3265"/>
      <c r="AF335" s="3265"/>
      <c r="AG335" s="3265"/>
      <c r="AH335" s="3265"/>
      <c r="AI335" s="57"/>
      <c r="AJ335" s="57"/>
      <c r="AK335" s="57"/>
      <c r="AL335" s="57"/>
      <c r="AM335" s="57"/>
    </row>
    <row r="336" spans="1:39" s="58" customFormat="1" ht="19.5" x14ac:dyDescent="0.2">
      <c r="A336" s="52">
        <v>311500</v>
      </c>
      <c r="B336" s="53"/>
      <c r="C336" s="42"/>
      <c r="D336" s="59" t="s">
        <v>767</v>
      </c>
      <c r="E336" s="69">
        <v>10</v>
      </c>
      <c r="F336" s="69">
        <v>10</v>
      </c>
      <c r="G336" s="69">
        <v>10</v>
      </c>
      <c r="H336" s="69">
        <v>10</v>
      </c>
      <c r="I336" s="70">
        <v>10</v>
      </c>
      <c r="J336" s="4"/>
      <c r="K336" s="4"/>
      <c r="L336" s="3265"/>
      <c r="M336" s="4"/>
      <c r="N336" s="4"/>
      <c r="O336" s="4"/>
      <c r="P336" s="3268"/>
      <c r="Q336" s="3265"/>
      <c r="R336" s="3265"/>
      <c r="S336" s="3266">
        <v>0</v>
      </c>
      <c r="T336" s="3265"/>
      <c r="U336" s="3267">
        <f t="shared" si="27"/>
        <v>50</v>
      </c>
      <c r="V336" s="3265"/>
      <c r="W336" s="3265"/>
      <c r="X336" s="4"/>
      <c r="Y336" s="3265"/>
      <c r="Z336" s="3265"/>
      <c r="AA336" s="3265"/>
      <c r="AB336" s="3265"/>
      <c r="AC336" s="3265"/>
      <c r="AD336" s="3265"/>
      <c r="AE336" s="3265"/>
      <c r="AF336" s="3265"/>
      <c r="AG336" s="3265"/>
      <c r="AH336" s="3265"/>
      <c r="AI336" s="57"/>
      <c r="AJ336" s="57"/>
      <c r="AK336" s="57"/>
      <c r="AL336" s="57"/>
      <c r="AM336" s="57"/>
    </row>
    <row r="337" spans="1:39" s="58" customFormat="1" ht="19.5" x14ac:dyDescent="0.2">
      <c r="A337" s="52">
        <v>312000</v>
      </c>
      <c r="B337" s="53"/>
      <c r="C337" s="42"/>
      <c r="D337" s="59" t="s">
        <v>768</v>
      </c>
      <c r="E337" s="69">
        <v>10</v>
      </c>
      <c r="F337" s="69">
        <v>10</v>
      </c>
      <c r="G337" s="69">
        <v>10</v>
      </c>
      <c r="H337" s="69">
        <v>10</v>
      </c>
      <c r="I337" s="70">
        <v>10</v>
      </c>
      <c r="J337" s="4"/>
      <c r="K337" s="4"/>
      <c r="L337" s="3265"/>
      <c r="M337" s="4"/>
      <c r="N337" s="4"/>
      <c r="O337" s="4"/>
      <c r="P337" s="3268"/>
      <c r="Q337" s="3265"/>
      <c r="R337" s="3265"/>
      <c r="S337" s="3266">
        <v>0</v>
      </c>
      <c r="T337" s="3265"/>
      <c r="U337" s="3267">
        <f t="shared" si="27"/>
        <v>50</v>
      </c>
      <c r="V337" s="3265"/>
      <c r="W337" s="3265"/>
      <c r="X337" s="4"/>
      <c r="Y337" s="3265"/>
      <c r="Z337" s="3265"/>
      <c r="AA337" s="3265"/>
      <c r="AB337" s="3265"/>
      <c r="AC337" s="3265"/>
      <c r="AD337" s="3265"/>
      <c r="AE337" s="3265"/>
      <c r="AF337" s="3265"/>
      <c r="AG337" s="3265"/>
      <c r="AH337" s="3265"/>
      <c r="AI337" s="57"/>
      <c r="AJ337" s="57"/>
      <c r="AK337" s="57"/>
      <c r="AL337" s="57"/>
      <c r="AM337" s="57"/>
    </row>
    <row r="338" spans="1:39" s="58" customFormat="1" ht="19.5" x14ac:dyDescent="0.2">
      <c r="A338" s="52">
        <v>312500</v>
      </c>
      <c r="B338" s="53"/>
      <c r="C338" s="42"/>
      <c r="D338" s="59" t="s">
        <v>769</v>
      </c>
      <c r="E338" s="69">
        <v>10</v>
      </c>
      <c r="F338" s="69">
        <v>10</v>
      </c>
      <c r="G338" s="69">
        <v>10</v>
      </c>
      <c r="H338" s="69">
        <v>10</v>
      </c>
      <c r="I338" s="70">
        <v>10</v>
      </c>
      <c r="J338" s="4"/>
      <c r="K338" s="4"/>
      <c r="L338" s="3265"/>
      <c r="M338" s="4"/>
      <c r="N338" s="4"/>
      <c r="O338" s="4"/>
      <c r="P338" s="3268"/>
      <c r="Q338" s="3265"/>
      <c r="R338" s="3265"/>
      <c r="S338" s="3266">
        <v>0</v>
      </c>
      <c r="T338" s="3265"/>
      <c r="U338" s="3267">
        <f t="shared" si="27"/>
        <v>50</v>
      </c>
      <c r="V338" s="3265"/>
      <c r="W338" s="3265"/>
      <c r="X338" s="4"/>
      <c r="Y338" s="3265"/>
      <c r="Z338" s="3265"/>
      <c r="AA338" s="3265"/>
      <c r="AB338" s="3265"/>
      <c r="AC338" s="3265"/>
      <c r="AD338" s="3265"/>
      <c r="AE338" s="3265"/>
      <c r="AF338" s="3265"/>
      <c r="AG338" s="3265"/>
      <c r="AH338" s="3265"/>
      <c r="AI338" s="57"/>
      <c r="AJ338" s="57"/>
      <c r="AK338" s="57"/>
      <c r="AL338" s="57"/>
      <c r="AM338" s="57"/>
    </row>
    <row r="339" spans="1:39" s="58" customFormat="1" ht="19.5" x14ac:dyDescent="0.2">
      <c r="A339" s="52">
        <v>313000</v>
      </c>
      <c r="B339" s="53"/>
      <c r="C339" s="42"/>
      <c r="D339" s="59" t="s">
        <v>770</v>
      </c>
      <c r="E339" s="69">
        <v>10</v>
      </c>
      <c r="F339" s="69">
        <v>10</v>
      </c>
      <c r="G339" s="69">
        <v>10</v>
      </c>
      <c r="H339" s="69">
        <v>10</v>
      </c>
      <c r="I339" s="70">
        <v>10</v>
      </c>
      <c r="J339" s="4"/>
      <c r="K339" s="4"/>
      <c r="L339" s="3265"/>
      <c r="M339" s="4"/>
      <c r="N339" s="4"/>
      <c r="O339" s="4"/>
      <c r="P339" s="3268"/>
      <c r="Q339" s="3265"/>
      <c r="R339" s="3265"/>
      <c r="S339" s="3266">
        <v>0</v>
      </c>
      <c r="T339" s="3265"/>
      <c r="U339" s="3267">
        <f t="shared" si="27"/>
        <v>50</v>
      </c>
      <c r="V339" s="3265"/>
      <c r="W339" s="3265"/>
      <c r="X339" s="4"/>
      <c r="Y339" s="3265"/>
      <c r="Z339" s="3265"/>
      <c r="AA339" s="3265"/>
      <c r="AB339" s="3265"/>
      <c r="AC339" s="3265"/>
      <c r="AD339" s="3265"/>
      <c r="AE339" s="3265"/>
      <c r="AF339" s="3265"/>
      <c r="AG339" s="3265"/>
      <c r="AH339" s="3265"/>
      <c r="AI339" s="57"/>
      <c r="AJ339" s="57"/>
      <c r="AK339" s="57"/>
      <c r="AL339" s="57"/>
      <c r="AM339" s="57"/>
    </row>
    <row r="340" spans="1:39" s="58" customFormat="1" ht="19.5" x14ac:dyDescent="0.2">
      <c r="A340" s="52">
        <v>313500</v>
      </c>
      <c r="B340" s="53"/>
      <c r="C340" s="42"/>
      <c r="D340" s="59" t="s">
        <v>771</v>
      </c>
      <c r="E340" s="69">
        <v>10</v>
      </c>
      <c r="F340" s="69">
        <v>10</v>
      </c>
      <c r="G340" s="69">
        <v>10</v>
      </c>
      <c r="H340" s="69">
        <v>10</v>
      </c>
      <c r="I340" s="70">
        <v>10</v>
      </c>
      <c r="J340" s="4"/>
      <c r="K340" s="4"/>
      <c r="L340" s="3265"/>
      <c r="M340" s="4"/>
      <c r="N340" s="4"/>
      <c r="O340" s="4"/>
      <c r="P340" s="3268"/>
      <c r="Q340" s="3265"/>
      <c r="R340" s="3265"/>
      <c r="S340" s="3266">
        <v>0</v>
      </c>
      <c r="T340" s="3265"/>
      <c r="U340" s="3267">
        <f t="shared" si="27"/>
        <v>50</v>
      </c>
      <c r="V340" s="3265"/>
      <c r="W340" s="3265"/>
      <c r="X340" s="4"/>
      <c r="Y340" s="3265"/>
      <c r="Z340" s="3265"/>
      <c r="AA340" s="3265"/>
      <c r="AB340" s="3265"/>
      <c r="AC340" s="3265"/>
      <c r="AD340" s="3265"/>
      <c r="AE340" s="3265"/>
      <c r="AF340" s="3265"/>
      <c r="AG340" s="3265"/>
      <c r="AH340" s="3265"/>
      <c r="AI340" s="57"/>
      <c r="AJ340" s="57"/>
      <c r="AK340" s="57"/>
      <c r="AL340" s="57"/>
      <c r="AM340" s="57"/>
    </row>
    <row r="341" spans="1:39" s="58" customFormat="1" ht="19.5" x14ac:dyDescent="0.2">
      <c r="A341" s="52">
        <v>314000</v>
      </c>
      <c r="B341" s="53"/>
      <c r="C341" s="42"/>
      <c r="D341" s="59" t="s">
        <v>772</v>
      </c>
      <c r="E341" s="69">
        <v>10</v>
      </c>
      <c r="F341" s="69">
        <v>10</v>
      </c>
      <c r="G341" s="69">
        <v>10</v>
      </c>
      <c r="H341" s="69">
        <v>10</v>
      </c>
      <c r="I341" s="70">
        <v>10</v>
      </c>
      <c r="J341" s="4"/>
      <c r="K341" s="4"/>
      <c r="L341" s="3265"/>
      <c r="M341" s="4"/>
      <c r="N341" s="4"/>
      <c r="O341" s="4"/>
      <c r="P341" s="3268"/>
      <c r="Q341" s="3265"/>
      <c r="R341" s="3265"/>
      <c r="S341" s="3266">
        <v>0</v>
      </c>
      <c r="T341" s="3265"/>
      <c r="U341" s="3267">
        <f t="shared" si="27"/>
        <v>50</v>
      </c>
      <c r="V341" s="3265"/>
      <c r="W341" s="3265"/>
      <c r="X341" s="4"/>
      <c r="Y341" s="3265"/>
      <c r="Z341" s="3265"/>
      <c r="AA341" s="3265"/>
      <c r="AB341" s="3265"/>
      <c r="AC341" s="3265"/>
      <c r="AD341" s="3265"/>
      <c r="AE341" s="3265"/>
      <c r="AF341" s="3265"/>
      <c r="AG341" s="3265"/>
      <c r="AH341" s="3265"/>
      <c r="AI341" s="57"/>
      <c r="AJ341" s="57"/>
      <c r="AK341" s="57"/>
      <c r="AL341" s="57"/>
      <c r="AM341" s="57"/>
    </row>
    <row r="342" spans="1:39" s="58" customFormat="1" ht="19.5" x14ac:dyDescent="0.2">
      <c r="A342" s="52">
        <v>31</v>
      </c>
      <c r="B342" s="53"/>
      <c r="C342" s="60" t="s">
        <v>773</v>
      </c>
      <c r="D342" s="61"/>
      <c r="E342" s="62">
        <f>SUM(E335:E341)</f>
        <v>70</v>
      </c>
      <c r="F342" s="62">
        <f>SUM(F335:F341)</f>
        <v>70</v>
      </c>
      <c r="G342" s="62">
        <f>SUM(G335:G341)</f>
        <v>70</v>
      </c>
      <c r="H342" s="62">
        <f>SUM(H335:H341)</f>
        <v>70</v>
      </c>
      <c r="I342" s="63">
        <f>SUM(I335:I341)</f>
        <v>70</v>
      </c>
      <c r="J342" s="4"/>
      <c r="K342" s="4"/>
      <c r="L342" s="3265"/>
      <c r="M342" s="4"/>
      <c r="N342" s="4"/>
      <c r="O342" s="4"/>
      <c r="P342" s="3268"/>
      <c r="Q342" s="3265"/>
      <c r="R342" s="3265"/>
      <c r="S342" s="3266">
        <v>0</v>
      </c>
      <c r="T342" s="3265"/>
      <c r="U342" s="3267">
        <f t="shared" si="27"/>
        <v>350</v>
      </c>
      <c r="V342" s="3265"/>
      <c r="W342" s="3265"/>
      <c r="X342" s="4"/>
      <c r="Y342" s="3265"/>
      <c r="Z342" s="3265"/>
      <c r="AA342" s="3265"/>
      <c r="AB342" s="3265"/>
      <c r="AC342" s="3265"/>
      <c r="AD342" s="3265"/>
      <c r="AE342" s="3265"/>
      <c r="AF342" s="3265"/>
      <c r="AG342" s="3265"/>
      <c r="AH342" s="3265"/>
      <c r="AI342" s="57"/>
      <c r="AJ342" s="57"/>
      <c r="AK342" s="57"/>
      <c r="AL342" s="57"/>
      <c r="AM342" s="57"/>
    </row>
    <row r="343" spans="1:39" s="58" customFormat="1" ht="19.5" x14ac:dyDescent="0.2">
      <c r="A343" s="52"/>
      <c r="B343" s="47"/>
      <c r="C343" s="48" t="s">
        <v>774</v>
      </c>
      <c r="D343" s="65"/>
      <c r="E343" s="66"/>
      <c r="F343" s="66"/>
      <c r="G343" s="66"/>
      <c r="H343" s="66"/>
      <c r="I343" s="67"/>
      <c r="J343" s="4"/>
      <c r="K343" s="4"/>
      <c r="L343" s="3265"/>
      <c r="M343" s="4"/>
      <c r="N343" s="4"/>
      <c r="O343" s="4"/>
      <c r="P343" s="3268"/>
      <c r="Q343" s="3265"/>
      <c r="R343" s="3265"/>
      <c r="S343" s="3266">
        <v>0</v>
      </c>
      <c r="T343" s="3265"/>
      <c r="U343" s="3267">
        <f>U350</f>
        <v>250</v>
      </c>
      <c r="V343" s="3265"/>
      <c r="W343" s="3265"/>
      <c r="X343" s="4"/>
      <c r="Y343" s="3265"/>
      <c r="Z343" s="3265"/>
      <c r="AA343" s="3265"/>
      <c r="AB343" s="3265"/>
      <c r="AC343" s="3265"/>
      <c r="AD343" s="3265"/>
      <c r="AE343" s="3265"/>
      <c r="AF343" s="3265"/>
      <c r="AG343" s="3265"/>
      <c r="AH343" s="3265"/>
      <c r="AI343" s="57"/>
      <c r="AJ343" s="57"/>
      <c r="AK343" s="57"/>
      <c r="AL343" s="57"/>
      <c r="AM343" s="57"/>
    </row>
    <row r="344" spans="1:39" s="58" customFormat="1" ht="19.5" x14ac:dyDescent="0.2">
      <c r="A344" s="52">
        <v>320500</v>
      </c>
      <c r="B344" s="53"/>
      <c r="C344" s="42"/>
      <c r="D344" s="54" t="s">
        <v>775</v>
      </c>
      <c r="E344" s="55">
        <v>10</v>
      </c>
      <c r="F344" s="55">
        <v>10</v>
      </c>
      <c r="G344" s="55">
        <v>10</v>
      </c>
      <c r="H344" s="55">
        <v>10</v>
      </c>
      <c r="I344" s="56">
        <v>10</v>
      </c>
      <c r="J344" s="4"/>
      <c r="K344" s="4"/>
      <c r="L344" s="3265"/>
      <c r="M344" s="4"/>
      <c r="N344" s="4"/>
      <c r="O344" s="4"/>
      <c r="P344" s="3268"/>
      <c r="Q344" s="3265"/>
      <c r="R344" s="3265"/>
      <c r="S344" s="3266">
        <v>0</v>
      </c>
      <c r="T344" s="3265"/>
      <c r="U344" s="3267">
        <f t="shared" ref="U344:U350" si="28">SUM(E344:I344)</f>
        <v>50</v>
      </c>
      <c r="V344" s="3265"/>
      <c r="W344" s="3265"/>
      <c r="X344" s="4"/>
      <c r="Y344" s="3265"/>
      <c r="Z344" s="3265"/>
      <c r="AA344" s="3265"/>
      <c r="AB344" s="3265"/>
      <c r="AC344" s="3265"/>
      <c r="AD344" s="3265"/>
      <c r="AE344" s="3265"/>
      <c r="AF344" s="3265"/>
      <c r="AG344" s="3265"/>
      <c r="AH344" s="3265"/>
      <c r="AI344" s="57"/>
      <c r="AJ344" s="57"/>
      <c r="AK344" s="57"/>
      <c r="AL344" s="57"/>
      <c r="AM344" s="57"/>
    </row>
    <row r="345" spans="1:39" s="58" customFormat="1" ht="19.5" x14ac:dyDescent="0.2">
      <c r="A345" s="52">
        <v>321000</v>
      </c>
      <c r="B345" s="53"/>
      <c r="C345" s="42"/>
      <c r="D345" s="59" t="s">
        <v>776</v>
      </c>
      <c r="E345" s="69">
        <v>10</v>
      </c>
      <c r="F345" s="69">
        <v>10</v>
      </c>
      <c r="G345" s="69">
        <v>10</v>
      </c>
      <c r="H345" s="69">
        <v>10</v>
      </c>
      <c r="I345" s="70">
        <v>10</v>
      </c>
      <c r="J345" s="4"/>
      <c r="K345" s="4"/>
      <c r="L345" s="3265"/>
      <c r="M345" s="4"/>
      <c r="N345" s="4"/>
      <c r="O345" s="4"/>
      <c r="P345" s="3268"/>
      <c r="Q345" s="3265"/>
      <c r="R345" s="3265"/>
      <c r="S345" s="3266">
        <v>0</v>
      </c>
      <c r="T345" s="3265"/>
      <c r="U345" s="3267">
        <f t="shared" si="28"/>
        <v>50</v>
      </c>
      <c r="V345" s="3265"/>
      <c r="W345" s="3265"/>
      <c r="X345" s="4"/>
      <c r="Y345" s="3265"/>
      <c r="Z345" s="3265"/>
      <c r="AA345" s="3265"/>
      <c r="AB345" s="3265"/>
      <c r="AC345" s="3265"/>
      <c r="AD345" s="3265"/>
      <c r="AE345" s="3265"/>
      <c r="AF345" s="3265"/>
      <c r="AG345" s="3265"/>
      <c r="AH345" s="3265"/>
      <c r="AI345" s="57"/>
      <c r="AJ345" s="57"/>
      <c r="AK345" s="57"/>
      <c r="AL345" s="57"/>
      <c r="AM345" s="57"/>
    </row>
    <row r="346" spans="1:39" s="58" customFormat="1" ht="19.5" x14ac:dyDescent="0.2">
      <c r="A346" s="52">
        <v>321500</v>
      </c>
      <c r="B346" s="53"/>
      <c r="C346" s="42"/>
      <c r="D346" s="59" t="s">
        <v>653</v>
      </c>
      <c r="E346" s="69">
        <v>10</v>
      </c>
      <c r="F346" s="69">
        <v>10</v>
      </c>
      <c r="G346" s="69">
        <v>10</v>
      </c>
      <c r="H346" s="69">
        <v>10</v>
      </c>
      <c r="I346" s="70">
        <v>10</v>
      </c>
      <c r="J346" s="4"/>
      <c r="K346" s="4"/>
      <c r="L346" s="3265"/>
      <c r="M346" s="4"/>
      <c r="N346" s="4"/>
      <c r="O346" s="4"/>
      <c r="P346" s="3268"/>
      <c r="Q346" s="3265"/>
      <c r="R346" s="3265"/>
      <c r="S346" s="3266">
        <v>0</v>
      </c>
      <c r="T346" s="3265"/>
      <c r="U346" s="3267">
        <f t="shared" si="28"/>
        <v>50</v>
      </c>
      <c r="V346" s="3265"/>
      <c r="W346" s="3265"/>
      <c r="X346" s="4"/>
      <c r="Y346" s="3265"/>
      <c r="Z346" s="3265"/>
      <c r="AA346" s="3265"/>
      <c r="AB346" s="3265"/>
      <c r="AC346" s="3265"/>
      <c r="AD346" s="3265"/>
      <c r="AE346" s="3265"/>
      <c r="AF346" s="3265"/>
      <c r="AG346" s="3265"/>
      <c r="AH346" s="3265"/>
      <c r="AI346" s="57"/>
      <c r="AJ346" s="57"/>
      <c r="AK346" s="57"/>
      <c r="AL346" s="57"/>
      <c r="AM346" s="57"/>
    </row>
    <row r="347" spans="1:39" s="58" customFormat="1" ht="19.5" x14ac:dyDescent="0.2">
      <c r="A347" s="52">
        <v>322000</v>
      </c>
      <c r="B347" s="53"/>
      <c r="C347" s="42"/>
      <c r="D347" s="59" t="s">
        <v>655</v>
      </c>
      <c r="E347" s="69">
        <v>10</v>
      </c>
      <c r="F347" s="69">
        <v>10</v>
      </c>
      <c r="G347" s="69">
        <v>10</v>
      </c>
      <c r="H347" s="69">
        <v>10</v>
      </c>
      <c r="I347" s="70">
        <v>10</v>
      </c>
      <c r="J347" s="4"/>
      <c r="K347" s="4"/>
      <c r="L347" s="3265"/>
      <c r="M347" s="4"/>
      <c r="N347" s="4"/>
      <c r="O347" s="4"/>
      <c r="P347" s="3268"/>
      <c r="Q347" s="3265"/>
      <c r="R347" s="3265"/>
      <c r="S347" s="3266">
        <v>0</v>
      </c>
      <c r="T347" s="3265"/>
      <c r="U347" s="3267">
        <f t="shared" si="28"/>
        <v>50</v>
      </c>
      <c r="V347" s="3265"/>
      <c r="W347" s="3265"/>
      <c r="X347" s="4"/>
      <c r="Y347" s="3265"/>
      <c r="Z347" s="3265"/>
      <c r="AA347" s="3265"/>
      <c r="AB347" s="3265"/>
      <c r="AC347" s="3265"/>
      <c r="AD347" s="3265"/>
      <c r="AE347" s="3265"/>
      <c r="AF347" s="3265"/>
      <c r="AG347" s="3265"/>
      <c r="AH347" s="3265"/>
      <c r="AI347" s="57"/>
      <c r="AJ347" s="57"/>
      <c r="AK347" s="57"/>
      <c r="AL347" s="57"/>
      <c r="AM347" s="57"/>
    </row>
    <row r="348" spans="1:39" s="58" customFormat="1" ht="19.5" x14ac:dyDescent="0.2">
      <c r="A348" s="52">
        <v>322500</v>
      </c>
      <c r="B348" s="53"/>
      <c r="C348" s="42"/>
      <c r="D348" s="59" t="s">
        <v>777</v>
      </c>
      <c r="E348" s="69">
        <v>10</v>
      </c>
      <c r="F348" s="69">
        <v>10</v>
      </c>
      <c r="G348" s="69">
        <v>10</v>
      </c>
      <c r="H348" s="69">
        <v>10</v>
      </c>
      <c r="I348" s="70">
        <v>10</v>
      </c>
      <c r="J348" s="4"/>
      <c r="K348" s="4"/>
      <c r="L348" s="3265"/>
      <c r="M348" s="4"/>
      <c r="N348" s="4"/>
      <c r="O348" s="4"/>
      <c r="P348" s="3268"/>
      <c r="Q348" s="3265"/>
      <c r="R348" s="3265"/>
      <c r="S348" s="3266">
        <v>0</v>
      </c>
      <c r="T348" s="3265"/>
      <c r="U348" s="3267">
        <f t="shared" si="28"/>
        <v>50</v>
      </c>
      <c r="V348" s="3265"/>
      <c r="W348" s="3265"/>
      <c r="X348" s="4"/>
      <c r="Y348" s="3265"/>
      <c r="Z348" s="3265"/>
      <c r="AA348" s="3265"/>
      <c r="AB348" s="3265"/>
      <c r="AC348" s="3265"/>
      <c r="AD348" s="3265"/>
      <c r="AE348" s="3265"/>
      <c r="AF348" s="3265"/>
      <c r="AG348" s="3265"/>
      <c r="AH348" s="3265"/>
      <c r="AI348" s="57"/>
      <c r="AJ348" s="57"/>
      <c r="AK348" s="57"/>
      <c r="AL348" s="57"/>
      <c r="AM348" s="57"/>
    </row>
    <row r="349" spans="1:39" s="58" customFormat="1" ht="18.95" hidden="1" customHeight="1" x14ac:dyDescent="0.2">
      <c r="A349" s="52"/>
      <c r="B349" s="53"/>
      <c r="C349" s="42"/>
      <c r="D349" s="59"/>
      <c r="E349" s="69"/>
      <c r="F349" s="69"/>
      <c r="G349" s="72"/>
      <c r="H349" s="72"/>
      <c r="I349" s="59"/>
      <c r="J349" s="4"/>
      <c r="K349" s="4"/>
      <c r="L349" s="3265"/>
      <c r="M349" s="4"/>
      <c r="N349" s="4"/>
      <c r="O349" s="4"/>
      <c r="P349" s="3268"/>
      <c r="Q349" s="3265"/>
      <c r="R349" s="3265"/>
      <c r="S349" s="3266">
        <v>1</v>
      </c>
      <c r="T349" s="3265"/>
      <c r="U349" s="3267">
        <f t="shared" si="28"/>
        <v>0</v>
      </c>
      <c r="V349" s="3265"/>
      <c r="W349" s="3265"/>
      <c r="X349" s="4"/>
      <c r="Y349" s="3265"/>
      <c r="Z349" s="3265"/>
      <c r="AA349" s="3265"/>
      <c r="AB349" s="3265"/>
      <c r="AC349" s="3265"/>
      <c r="AD349" s="3265"/>
      <c r="AE349" s="3265"/>
      <c r="AF349" s="3265"/>
      <c r="AG349" s="3265"/>
      <c r="AH349" s="3265"/>
      <c r="AI349" s="57"/>
      <c r="AJ349" s="57"/>
      <c r="AK349" s="57"/>
      <c r="AL349" s="57"/>
      <c r="AM349" s="57"/>
    </row>
    <row r="350" spans="1:39" s="58" customFormat="1" ht="19.5" x14ac:dyDescent="0.2">
      <c r="A350" s="52">
        <v>32</v>
      </c>
      <c r="B350" s="53"/>
      <c r="C350" s="60" t="s">
        <v>778</v>
      </c>
      <c r="D350" s="61"/>
      <c r="E350" s="62">
        <f>SUM(E344:E348)</f>
        <v>50</v>
      </c>
      <c r="F350" s="62">
        <f>SUM(F344:F348)</f>
        <v>50</v>
      </c>
      <c r="G350" s="62">
        <f>SUM(G344:G348)</f>
        <v>50</v>
      </c>
      <c r="H350" s="62">
        <f>SUM(H344:H348)</f>
        <v>50</v>
      </c>
      <c r="I350" s="63">
        <f>SUM(I344:I348)</f>
        <v>50</v>
      </c>
      <c r="J350" s="4"/>
      <c r="K350" s="4"/>
      <c r="L350" s="3265"/>
      <c r="M350" s="4"/>
      <c r="N350" s="4"/>
      <c r="O350" s="4"/>
      <c r="P350" s="3268"/>
      <c r="Q350" s="3265"/>
      <c r="R350" s="3265"/>
      <c r="S350" s="3266">
        <v>0</v>
      </c>
      <c r="T350" s="3265"/>
      <c r="U350" s="3267">
        <f t="shared" si="28"/>
        <v>250</v>
      </c>
      <c r="V350" s="3265"/>
      <c r="W350" s="3265"/>
      <c r="X350" s="4"/>
      <c r="Y350" s="3265"/>
      <c r="Z350" s="3265"/>
      <c r="AA350" s="3265"/>
      <c r="AB350" s="3265"/>
      <c r="AC350" s="3265"/>
      <c r="AD350" s="3265"/>
      <c r="AE350" s="3265"/>
      <c r="AF350" s="3265"/>
      <c r="AG350" s="3265"/>
      <c r="AH350" s="3265"/>
      <c r="AI350" s="57"/>
      <c r="AJ350" s="57"/>
      <c r="AK350" s="57"/>
      <c r="AL350" s="57"/>
      <c r="AM350" s="57"/>
    </row>
    <row r="351" spans="1:39" s="58" customFormat="1" ht="19.5" x14ac:dyDescent="0.2">
      <c r="A351" s="52"/>
      <c r="B351" s="47"/>
      <c r="C351" s="48" t="s">
        <v>779</v>
      </c>
      <c r="D351" s="65"/>
      <c r="E351" s="66"/>
      <c r="F351" s="66"/>
      <c r="G351" s="66"/>
      <c r="H351" s="66"/>
      <c r="I351" s="67"/>
      <c r="J351" s="4"/>
      <c r="K351" s="4"/>
      <c r="L351" s="3265"/>
      <c r="M351" s="4"/>
      <c r="N351" s="4"/>
      <c r="O351" s="4"/>
      <c r="P351" s="3268"/>
      <c r="Q351" s="3265"/>
      <c r="R351" s="3265"/>
      <c r="S351" s="3266">
        <v>0</v>
      </c>
      <c r="T351" s="3265"/>
      <c r="U351" s="3267">
        <f>U355</f>
        <v>150</v>
      </c>
      <c r="V351" s="3265"/>
      <c r="W351" s="3265"/>
      <c r="X351" s="4"/>
      <c r="Y351" s="3265"/>
      <c r="Z351" s="3265"/>
      <c r="AA351" s="3265"/>
      <c r="AB351" s="3265"/>
      <c r="AC351" s="3265"/>
      <c r="AD351" s="3265"/>
      <c r="AE351" s="3265"/>
      <c r="AF351" s="3265"/>
      <c r="AG351" s="3265"/>
      <c r="AH351" s="3265"/>
      <c r="AI351" s="57"/>
      <c r="AJ351" s="57"/>
      <c r="AK351" s="57"/>
      <c r="AL351" s="57"/>
      <c r="AM351" s="57"/>
    </row>
    <row r="352" spans="1:39" s="58" customFormat="1" ht="19.5" x14ac:dyDescent="0.2">
      <c r="A352" s="52">
        <v>330500</v>
      </c>
      <c r="B352" s="53"/>
      <c r="C352" s="42"/>
      <c r="D352" s="54" t="s">
        <v>780</v>
      </c>
      <c r="E352" s="55">
        <v>10</v>
      </c>
      <c r="F352" s="55">
        <v>10</v>
      </c>
      <c r="G352" s="55">
        <v>10</v>
      </c>
      <c r="H352" s="55">
        <v>10</v>
      </c>
      <c r="I352" s="56">
        <v>10</v>
      </c>
      <c r="J352" s="4"/>
      <c r="K352" s="4"/>
      <c r="L352" s="3265"/>
      <c r="M352" s="4"/>
      <c r="N352" s="4"/>
      <c r="O352" s="4"/>
      <c r="P352" s="3268"/>
      <c r="Q352" s="3265"/>
      <c r="R352" s="3265"/>
      <c r="S352" s="3266">
        <v>0</v>
      </c>
      <c r="T352" s="3265"/>
      <c r="U352" s="3267">
        <f>SUM(E352:I352)</f>
        <v>50</v>
      </c>
      <c r="V352" s="3265"/>
      <c r="W352" s="3265"/>
      <c r="X352" s="4"/>
      <c r="Y352" s="3265"/>
      <c r="Z352" s="3265"/>
      <c r="AA352" s="3265"/>
      <c r="AB352" s="3265"/>
      <c r="AC352" s="3265"/>
      <c r="AD352" s="3265"/>
      <c r="AE352" s="3265"/>
      <c r="AF352" s="3265"/>
      <c r="AG352" s="3265"/>
      <c r="AH352" s="3265"/>
      <c r="AI352" s="57"/>
      <c r="AJ352" s="57"/>
      <c r="AK352" s="57"/>
      <c r="AL352" s="57"/>
      <c r="AM352" s="57"/>
    </row>
    <row r="353" spans="1:39" s="58" customFormat="1" ht="19.5" x14ac:dyDescent="0.2">
      <c r="A353" s="52">
        <v>331000</v>
      </c>
      <c r="B353" s="53"/>
      <c r="C353" s="42"/>
      <c r="D353" s="59" t="s">
        <v>781</v>
      </c>
      <c r="E353" s="69">
        <v>10</v>
      </c>
      <c r="F353" s="69">
        <v>10</v>
      </c>
      <c r="G353" s="69">
        <v>10</v>
      </c>
      <c r="H353" s="69">
        <v>10</v>
      </c>
      <c r="I353" s="70">
        <v>10</v>
      </c>
      <c r="J353" s="4"/>
      <c r="K353" s="4"/>
      <c r="L353" s="3265"/>
      <c r="M353" s="4"/>
      <c r="N353" s="4"/>
      <c r="O353" s="4"/>
      <c r="P353" s="3268"/>
      <c r="Q353" s="3265"/>
      <c r="R353" s="3265"/>
      <c r="S353" s="3266">
        <v>0</v>
      </c>
      <c r="T353" s="3265"/>
      <c r="U353" s="3267">
        <f>SUM(E353:I353)</f>
        <v>50</v>
      </c>
      <c r="V353" s="3265"/>
      <c r="W353" s="3265"/>
      <c r="X353" s="4"/>
      <c r="Y353" s="3265"/>
      <c r="Z353" s="3265"/>
      <c r="AA353" s="3265"/>
      <c r="AB353" s="3265"/>
      <c r="AC353" s="3265"/>
      <c r="AD353" s="3265"/>
      <c r="AE353" s="3265"/>
      <c r="AF353" s="3265"/>
      <c r="AG353" s="3265"/>
      <c r="AH353" s="3265"/>
      <c r="AI353" s="57"/>
      <c r="AJ353" s="57"/>
      <c r="AK353" s="57"/>
      <c r="AL353" s="57"/>
      <c r="AM353" s="57"/>
    </row>
    <row r="354" spans="1:39" s="58" customFormat="1" ht="19.5" x14ac:dyDescent="0.2">
      <c r="A354" s="52">
        <v>331500</v>
      </c>
      <c r="B354" s="53"/>
      <c r="C354" s="42"/>
      <c r="D354" s="59" t="s">
        <v>782</v>
      </c>
      <c r="E354" s="69">
        <v>10</v>
      </c>
      <c r="F354" s="69">
        <v>10</v>
      </c>
      <c r="G354" s="69">
        <v>10</v>
      </c>
      <c r="H354" s="69">
        <v>10</v>
      </c>
      <c r="I354" s="70">
        <v>10</v>
      </c>
      <c r="J354" s="4"/>
      <c r="K354" s="4"/>
      <c r="L354" s="3265"/>
      <c r="M354" s="4"/>
      <c r="N354" s="4"/>
      <c r="O354" s="4"/>
      <c r="P354" s="3268"/>
      <c r="Q354" s="3265"/>
      <c r="R354" s="3265"/>
      <c r="S354" s="3266">
        <v>0</v>
      </c>
      <c r="T354" s="3265"/>
      <c r="U354" s="3267">
        <f>SUM(E354:I354)</f>
        <v>50</v>
      </c>
      <c r="V354" s="3265"/>
      <c r="W354" s="3265"/>
      <c r="X354" s="4"/>
      <c r="Y354" s="3265"/>
      <c r="Z354" s="3265"/>
      <c r="AA354" s="3265"/>
      <c r="AB354" s="3265"/>
      <c r="AC354" s="3265"/>
      <c r="AD354" s="3265"/>
      <c r="AE354" s="3265"/>
      <c r="AF354" s="3265"/>
      <c r="AG354" s="3265"/>
      <c r="AH354" s="3265"/>
      <c r="AI354" s="57"/>
      <c r="AJ354" s="57"/>
      <c r="AK354" s="57"/>
      <c r="AL354" s="57"/>
      <c r="AM354" s="57"/>
    </row>
    <row r="355" spans="1:39" s="58" customFormat="1" ht="19.5" x14ac:dyDescent="0.2">
      <c r="A355" s="52">
        <v>33</v>
      </c>
      <c r="B355" s="53"/>
      <c r="C355" s="60" t="s">
        <v>783</v>
      </c>
      <c r="D355" s="61"/>
      <c r="E355" s="62">
        <f>SUM(E352:E354)</f>
        <v>30</v>
      </c>
      <c r="F355" s="62">
        <f>SUM(F352:F354)</f>
        <v>30</v>
      </c>
      <c r="G355" s="62">
        <f>SUM(G352:G354)</f>
        <v>30</v>
      </c>
      <c r="H355" s="62">
        <f>SUM(H352:H354)</f>
        <v>30</v>
      </c>
      <c r="I355" s="63">
        <f>SUM(I352:I354)</f>
        <v>30</v>
      </c>
      <c r="J355" s="4"/>
      <c r="K355" s="4"/>
      <c r="L355" s="3265"/>
      <c r="M355" s="4"/>
      <c r="N355" s="4"/>
      <c r="O355" s="4"/>
      <c r="P355" s="3268"/>
      <c r="Q355" s="3265"/>
      <c r="R355" s="3265"/>
      <c r="S355" s="3266">
        <v>0</v>
      </c>
      <c r="T355" s="3265"/>
      <c r="U355" s="3267">
        <f>SUM(E355:I355)</f>
        <v>150</v>
      </c>
      <c r="V355" s="3265"/>
      <c r="W355" s="3265"/>
      <c r="X355" s="4"/>
      <c r="Y355" s="3265"/>
      <c r="Z355" s="3265"/>
      <c r="AA355" s="3265"/>
      <c r="AB355" s="3265"/>
      <c r="AC355" s="3265"/>
      <c r="AD355" s="3265"/>
      <c r="AE355" s="3265"/>
      <c r="AF355" s="3265"/>
      <c r="AG355" s="3265"/>
      <c r="AH355" s="3265"/>
      <c r="AI355" s="57"/>
      <c r="AJ355" s="57"/>
      <c r="AK355" s="57"/>
      <c r="AL355" s="57"/>
      <c r="AM355" s="57"/>
    </row>
    <row r="356" spans="1:39" s="58" customFormat="1" ht="19.5" x14ac:dyDescent="0.2">
      <c r="A356" s="52"/>
      <c r="B356" s="47"/>
      <c r="C356" s="48" t="s">
        <v>784</v>
      </c>
      <c r="D356" s="65"/>
      <c r="E356" s="66"/>
      <c r="F356" s="66"/>
      <c r="G356" s="66"/>
      <c r="H356" s="66"/>
      <c r="I356" s="67"/>
      <c r="J356" s="4"/>
      <c r="K356" s="4"/>
      <c r="L356" s="3265"/>
      <c r="M356" s="4"/>
      <c r="N356" s="4"/>
      <c r="O356" s="4"/>
      <c r="P356" s="3268"/>
      <c r="Q356" s="3265"/>
      <c r="R356" s="3265"/>
      <c r="S356" s="3266">
        <v>0</v>
      </c>
      <c r="T356" s="3265"/>
      <c r="U356" s="3267">
        <f>U361</f>
        <v>200</v>
      </c>
      <c r="V356" s="3265"/>
      <c r="W356" s="3265"/>
      <c r="X356" s="4"/>
      <c r="Y356" s="3265"/>
      <c r="Z356" s="3265"/>
      <c r="AA356" s="3265"/>
      <c r="AB356" s="3265"/>
      <c r="AC356" s="3265"/>
      <c r="AD356" s="3265"/>
      <c r="AE356" s="3265"/>
      <c r="AF356" s="3265"/>
      <c r="AG356" s="3265"/>
      <c r="AH356" s="3265"/>
      <c r="AI356" s="57"/>
      <c r="AJ356" s="57"/>
      <c r="AK356" s="57"/>
      <c r="AL356" s="57"/>
      <c r="AM356" s="57"/>
    </row>
    <row r="357" spans="1:39" s="58" customFormat="1" ht="19.5" x14ac:dyDescent="0.2">
      <c r="A357" s="52">
        <v>340505</v>
      </c>
      <c r="B357" s="53"/>
      <c r="C357" s="42"/>
      <c r="D357" s="68" t="s">
        <v>785</v>
      </c>
      <c r="E357" s="55">
        <v>10</v>
      </c>
      <c r="F357" s="55">
        <v>10</v>
      </c>
      <c r="G357" s="55">
        <v>10</v>
      </c>
      <c r="H357" s="55">
        <v>10</v>
      </c>
      <c r="I357" s="56">
        <v>10</v>
      </c>
      <c r="J357" s="4"/>
      <c r="K357" s="4"/>
      <c r="L357" s="3265"/>
      <c r="M357" s="4"/>
      <c r="N357" s="4"/>
      <c r="O357" s="4"/>
      <c r="P357" s="3268"/>
      <c r="Q357" s="3265"/>
      <c r="R357" s="3265"/>
      <c r="S357" s="3266">
        <v>0</v>
      </c>
      <c r="T357" s="3265"/>
      <c r="U357" s="3267">
        <f t="shared" ref="U357:U373" si="29">SUM(E357:I357)</f>
        <v>50</v>
      </c>
      <c r="V357" s="3265"/>
      <c r="W357" s="3265"/>
      <c r="X357" s="4"/>
      <c r="Y357" s="3265"/>
      <c r="Z357" s="3265"/>
      <c r="AA357" s="3265"/>
      <c r="AB357" s="3265"/>
      <c r="AC357" s="3265"/>
      <c r="AD357" s="3265"/>
      <c r="AE357" s="3265"/>
      <c r="AF357" s="3265"/>
      <c r="AG357" s="3265"/>
      <c r="AH357" s="3265"/>
      <c r="AI357" s="57"/>
      <c r="AJ357" s="57"/>
      <c r="AK357" s="57"/>
      <c r="AL357" s="57"/>
      <c r="AM357" s="57"/>
    </row>
    <row r="358" spans="1:39" s="58" customFormat="1" ht="19.5" x14ac:dyDescent="0.2">
      <c r="A358" s="52">
        <v>340515</v>
      </c>
      <c r="B358" s="53"/>
      <c r="C358" s="42"/>
      <c r="D358" s="68" t="s">
        <v>786</v>
      </c>
      <c r="E358" s="69">
        <v>10</v>
      </c>
      <c r="F358" s="69">
        <v>10</v>
      </c>
      <c r="G358" s="69">
        <v>10</v>
      </c>
      <c r="H358" s="69">
        <v>10</v>
      </c>
      <c r="I358" s="70">
        <v>10</v>
      </c>
      <c r="J358" s="4"/>
      <c r="K358" s="4"/>
      <c r="L358" s="3265"/>
      <c r="M358" s="4"/>
      <c r="N358" s="4"/>
      <c r="O358" s="4"/>
      <c r="P358" s="3268"/>
      <c r="Q358" s="3265"/>
      <c r="R358" s="3265"/>
      <c r="S358" s="3266">
        <v>0</v>
      </c>
      <c r="T358" s="3265"/>
      <c r="U358" s="3267">
        <f t="shared" si="29"/>
        <v>50</v>
      </c>
      <c r="V358" s="3265"/>
      <c r="W358" s="3265"/>
      <c r="X358" s="4"/>
      <c r="Y358" s="3265"/>
      <c r="Z358" s="3265"/>
      <c r="AA358" s="3265"/>
      <c r="AB358" s="3265"/>
      <c r="AC358" s="3265"/>
      <c r="AD358" s="3265"/>
      <c r="AE358" s="3265"/>
      <c r="AF358" s="3265"/>
      <c r="AG358" s="3265"/>
      <c r="AH358" s="3265"/>
      <c r="AI358" s="57"/>
      <c r="AJ358" s="57"/>
      <c r="AK358" s="57"/>
      <c r="AL358" s="57"/>
      <c r="AM358" s="57"/>
    </row>
    <row r="359" spans="1:39" s="58" customFormat="1" ht="18.95" hidden="1" customHeight="1" x14ac:dyDescent="0.2">
      <c r="A359" s="52"/>
      <c r="B359" s="53"/>
      <c r="C359" s="42"/>
      <c r="D359" s="68"/>
      <c r="E359" s="69">
        <v>10</v>
      </c>
      <c r="F359" s="69">
        <v>10</v>
      </c>
      <c r="G359" s="69">
        <v>10</v>
      </c>
      <c r="H359" s="69">
        <v>10</v>
      </c>
      <c r="I359" s="70">
        <v>10</v>
      </c>
      <c r="J359" s="4"/>
      <c r="K359" s="4"/>
      <c r="L359" s="3265"/>
      <c r="M359" s="4"/>
      <c r="N359" s="4"/>
      <c r="O359" s="4"/>
      <c r="P359" s="3268"/>
      <c r="Q359" s="3265"/>
      <c r="R359" s="3265"/>
      <c r="S359" s="3266">
        <v>1</v>
      </c>
      <c r="T359" s="3265"/>
      <c r="U359" s="3267">
        <f t="shared" si="29"/>
        <v>50</v>
      </c>
      <c r="V359" s="3265"/>
      <c r="W359" s="3265"/>
      <c r="X359" s="4"/>
      <c r="Y359" s="3265"/>
      <c r="Z359" s="3265"/>
      <c r="AA359" s="3265"/>
      <c r="AB359" s="3265"/>
      <c r="AC359" s="3265"/>
      <c r="AD359" s="3265"/>
      <c r="AE359" s="3265"/>
      <c r="AF359" s="3265"/>
      <c r="AG359" s="3265"/>
      <c r="AH359" s="3265"/>
      <c r="AI359" s="57"/>
      <c r="AJ359" s="57"/>
      <c r="AK359" s="57"/>
      <c r="AL359" s="57"/>
      <c r="AM359" s="57"/>
    </row>
    <row r="360" spans="1:39" s="58" customFormat="1" ht="19.5" x14ac:dyDescent="0.2">
      <c r="A360" s="52">
        <v>349500</v>
      </c>
      <c r="B360" s="53"/>
      <c r="C360" s="42"/>
      <c r="D360" s="68" t="s">
        <v>787</v>
      </c>
      <c r="E360" s="69">
        <v>10</v>
      </c>
      <c r="F360" s="69">
        <v>10</v>
      </c>
      <c r="G360" s="69">
        <v>10</v>
      </c>
      <c r="H360" s="69">
        <v>10</v>
      </c>
      <c r="I360" s="70">
        <v>10</v>
      </c>
      <c r="J360" s="4"/>
      <c r="K360" s="4"/>
      <c r="L360" s="3265"/>
      <c r="M360" s="4"/>
      <c r="N360" s="4"/>
      <c r="O360" s="4"/>
      <c r="P360" s="3268"/>
      <c r="Q360" s="3265"/>
      <c r="R360" s="3265"/>
      <c r="S360" s="3266">
        <v>0</v>
      </c>
      <c r="T360" s="3265"/>
      <c r="U360" s="3267">
        <f t="shared" si="29"/>
        <v>50</v>
      </c>
      <c r="V360" s="3265"/>
      <c r="W360" s="3265"/>
      <c r="X360" s="4"/>
      <c r="Y360" s="3265"/>
      <c r="Z360" s="3265"/>
      <c r="AA360" s="3265"/>
      <c r="AB360" s="3265"/>
      <c r="AC360" s="3265"/>
      <c r="AD360" s="3265"/>
      <c r="AE360" s="3265"/>
      <c r="AF360" s="3265"/>
      <c r="AG360" s="3265"/>
      <c r="AH360" s="3265"/>
      <c r="AI360" s="57"/>
      <c r="AJ360" s="57"/>
      <c r="AK360" s="57"/>
      <c r="AL360" s="57"/>
      <c r="AM360" s="57"/>
    </row>
    <row r="361" spans="1:39" s="58" customFormat="1" ht="19.5" x14ac:dyDescent="0.2">
      <c r="A361" s="52">
        <v>34</v>
      </c>
      <c r="B361" s="53"/>
      <c r="C361" s="60" t="s">
        <v>788</v>
      </c>
      <c r="D361" s="96"/>
      <c r="E361" s="97">
        <f>SUM(E357:E360)</f>
        <v>40</v>
      </c>
      <c r="F361" s="97">
        <f>SUM(F357:F360)</f>
        <v>40</v>
      </c>
      <c r="G361" s="97">
        <f>SUM(G357:G360)</f>
        <v>40</v>
      </c>
      <c r="H361" s="97">
        <f>SUM(H357:H360)</f>
        <v>40</v>
      </c>
      <c r="I361" s="98">
        <f>SUM(I357:I360)</f>
        <v>40</v>
      </c>
      <c r="J361" s="4"/>
      <c r="K361" s="4"/>
      <c r="L361" s="3265"/>
      <c r="M361" s="4"/>
      <c r="N361" s="4"/>
      <c r="O361" s="4"/>
      <c r="P361" s="3268"/>
      <c r="Q361" s="3265"/>
      <c r="R361" s="3265"/>
      <c r="S361" s="3266">
        <v>0</v>
      </c>
      <c r="T361" s="3265"/>
      <c r="U361" s="3267">
        <f t="shared" si="29"/>
        <v>200</v>
      </c>
      <c r="V361" s="3265"/>
      <c r="W361" s="3265"/>
      <c r="X361" s="4"/>
      <c r="Y361" s="3265"/>
      <c r="Z361" s="3265"/>
      <c r="AA361" s="3265"/>
      <c r="AB361" s="3265"/>
      <c r="AC361" s="3265"/>
      <c r="AD361" s="3265"/>
      <c r="AE361" s="3265"/>
      <c r="AF361" s="3265"/>
      <c r="AG361" s="3265"/>
      <c r="AH361" s="3265"/>
      <c r="AI361" s="57"/>
      <c r="AJ361" s="57"/>
      <c r="AK361" s="57"/>
      <c r="AL361" s="57"/>
      <c r="AM361" s="57"/>
    </row>
    <row r="362" spans="1:39" s="58" customFormat="1" ht="19.5" x14ac:dyDescent="0.2">
      <c r="A362" s="52">
        <v>35</v>
      </c>
      <c r="B362" s="53"/>
      <c r="C362" s="42"/>
      <c r="D362" s="59" t="s">
        <v>789</v>
      </c>
      <c r="E362" s="69">
        <v>10</v>
      </c>
      <c r="F362" s="69">
        <v>10</v>
      </c>
      <c r="G362" s="69">
        <v>10</v>
      </c>
      <c r="H362" s="69">
        <v>10</v>
      </c>
      <c r="I362" s="70">
        <v>10</v>
      </c>
      <c r="J362" s="4"/>
      <c r="K362" s="4"/>
      <c r="L362" s="3265"/>
      <c r="M362" s="4"/>
      <c r="N362" s="4"/>
      <c r="O362" s="4"/>
      <c r="P362" s="3268"/>
      <c r="Q362" s="3265"/>
      <c r="R362" s="3265"/>
      <c r="S362" s="3266">
        <v>0</v>
      </c>
      <c r="T362" s="3265"/>
      <c r="U362" s="3267">
        <f t="shared" si="29"/>
        <v>50</v>
      </c>
      <c r="V362" s="3265"/>
      <c r="W362" s="3265"/>
      <c r="X362" s="4"/>
      <c r="Y362" s="3265"/>
      <c r="Z362" s="3265"/>
      <c r="AA362" s="3265"/>
      <c r="AB362" s="3265"/>
      <c r="AC362" s="3265"/>
      <c r="AD362" s="3265"/>
      <c r="AE362" s="3265"/>
      <c r="AF362" s="3265"/>
      <c r="AG362" s="3265"/>
      <c r="AH362" s="3265"/>
      <c r="AI362" s="57"/>
      <c r="AJ362" s="57"/>
      <c r="AK362" s="57"/>
      <c r="AL362" s="57"/>
      <c r="AM362" s="57"/>
    </row>
    <row r="363" spans="1:39" s="58" customFormat="1" ht="19.5" x14ac:dyDescent="0.2">
      <c r="A363" s="52">
        <v>36</v>
      </c>
      <c r="B363" s="53"/>
      <c r="C363" s="42"/>
      <c r="D363" s="59" t="s">
        <v>790</v>
      </c>
      <c r="E363" s="99">
        <f>E451</f>
        <v>2810</v>
      </c>
      <c r="F363" s="99">
        <f>F451</f>
        <v>2810</v>
      </c>
      <c r="G363" s="99">
        <f>G451</f>
        <v>2810</v>
      </c>
      <c r="H363" s="99">
        <f>H451</f>
        <v>2810</v>
      </c>
      <c r="I363" s="59">
        <f>I451</f>
        <v>2810</v>
      </c>
      <c r="J363" s="4"/>
      <c r="K363" s="4"/>
      <c r="L363" s="3265"/>
      <c r="M363" s="4"/>
      <c r="N363" s="4"/>
      <c r="O363" s="4"/>
      <c r="P363" s="3268"/>
      <c r="Q363" s="3265"/>
      <c r="R363" s="3265"/>
      <c r="S363" s="3266">
        <v>0</v>
      </c>
      <c r="T363" s="3265"/>
      <c r="U363" s="3267">
        <f t="shared" si="29"/>
        <v>14050</v>
      </c>
      <c r="V363" s="3265"/>
      <c r="W363" s="3265"/>
      <c r="X363" s="4"/>
      <c r="Y363" s="3265"/>
      <c r="Z363" s="3265"/>
      <c r="AA363" s="3265"/>
      <c r="AB363" s="3265"/>
      <c r="AC363" s="3265"/>
      <c r="AD363" s="3265"/>
      <c r="AE363" s="3265"/>
      <c r="AF363" s="3265"/>
      <c r="AG363" s="3265"/>
      <c r="AH363" s="3265"/>
      <c r="AI363" s="57"/>
      <c r="AJ363" s="57"/>
      <c r="AK363" s="57"/>
      <c r="AL363" s="57"/>
      <c r="AM363" s="57"/>
    </row>
    <row r="364" spans="1:39" s="58" customFormat="1" ht="19.5" x14ac:dyDescent="0.2">
      <c r="A364" s="52">
        <v>37</v>
      </c>
      <c r="B364" s="53"/>
      <c r="C364" s="42"/>
      <c r="D364" s="59" t="s">
        <v>791</v>
      </c>
      <c r="E364" s="69">
        <v>10</v>
      </c>
      <c r="F364" s="69">
        <v>10</v>
      </c>
      <c r="G364" s="69">
        <v>10</v>
      </c>
      <c r="H364" s="69">
        <v>10</v>
      </c>
      <c r="I364" s="70">
        <v>10</v>
      </c>
      <c r="J364" s="4"/>
      <c r="K364" s="4"/>
      <c r="L364" s="3265"/>
      <c r="M364" s="4"/>
      <c r="N364" s="4"/>
      <c r="O364" s="4"/>
      <c r="P364" s="3268"/>
      <c r="Q364" s="3265"/>
      <c r="R364" s="3265"/>
      <c r="S364" s="3266">
        <v>0</v>
      </c>
      <c r="T364" s="3265"/>
      <c r="U364" s="3267">
        <f t="shared" si="29"/>
        <v>50</v>
      </c>
      <c r="V364" s="3265"/>
      <c r="W364" s="3265"/>
      <c r="X364" s="4"/>
      <c r="Y364" s="3265"/>
      <c r="Z364" s="3265"/>
      <c r="AA364" s="3265"/>
      <c r="AB364" s="3265"/>
      <c r="AC364" s="3265"/>
      <c r="AD364" s="3265"/>
      <c r="AE364" s="3265"/>
      <c r="AF364" s="3265"/>
      <c r="AG364" s="3265"/>
      <c r="AH364" s="3265"/>
      <c r="AI364" s="57"/>
      <c r="AJ364" s="57"/>
      <c r="AK364" s="57"/>
      <c r="AL364" s="57"/>
      <c r="AM364" s="57"/>
    </row>
    <row r="365" spans="1:39" s="58" customFormat="1" ht="19.5" x14ac:dyDescent="0.2">
      <c r="A365" s="52">
        <v>38</v>
      </c>
      <c r="B365" s="53"/>
      <c r="C365" s="42"/>
      <c r="D365" s="100" t="s">
        <v>792</v>
      </c>
      <c r="E365" s="101">
        <v>10</v>
      </c>
      <c r="F365" s="101">
        <v>10</v>
      </c>
      <c r="G365" s="101">
        <v>10</v>
      </c>
      <c r="H365" s="101">
        <v>10</v>
      </c>
      <c r="I365" s="102">
        <v>10</v>
      </c>
      <c r="J365" s="4"/>
      <c r="K365" s="4"/>
      <c r="L365" s="3265"/>
      <c r="M365" s="4"/>
      <c r="N365" s="4"/>
      <c r="O365" s="4"/>
      <c r="P365" s="3268"/>
      <c r="Q365" s="3265"/>
      <c r="R365" s="3265"/>
      <c r="S365" s="3266">
        <v>0</v>
      </c>
      <c r="T365" s="3265"/>
      <c r="U365" s="3267">
        <f t="shared" si="29"/>
        <v>50</v>
      </c>
      <c r="V365" s="3265"/>
      <c r="W365" s="3265"/>
      <c r="X365" s="4"/>
      <c r="Y365" s="3265"/>
      <c r="Z365" s="3265"/>
      <c r="AA365" s="3265"/>
      <c r="AB365" s="3265"/>
      <c r="AC365" s="3265"/>
      <c r="AD365" s="3265"/>
      <c r="AE365" s="3265"/>
      <c r="AF365" s="3265"/>
      <c r="AG365" s="3265"/>
      <c r="AH365" s="3265"/>
      <c r="AI365" s="57"/>
      <c r="AJ365" s="57"/>
      <c r="AK365" s="57"/>
      <c r="AL365" s="57"/>
      <c r="AM365" s="57"/>
    </row>
    <row r="366" spans="1:39" s="58" customFormat="1" ht="19.5" x14ac:dyDescent="0.2">
      <c r="A366" s="52">
        <v>3</v>
      </c>
      <c r="B366" s="86" t="s">
        <v>793</v>
      </c>
      <c r="C366" s="88"/>
      <c r="D366" s="87"/>
      <c r="E366" s="78">
        <f>E342+E350+E355+E361+E362+E363+E364+E365</f>
        <v>3030</v>
      </c>
      <c r="F366" s="78">
        <f>F342+F350+F355+F361+F362+F363+F364+F365</f>
        <v>3030</v>
      </c>
      <c r="G366" s="80">
        <f>G342+G350+G355+G361+G362+G363+G364+G365</f>
        <v>3030</v>
      </c>
      <c r="H366" s="80">
        <f>H342+H350+H355+H361+H362+H363+H364+H365</f>
        <v>3030</v>
      </c>
      <c r="I366" s="79">
        <f>I342+I350+I355+I361+I362+I363+I364+I365</f>
        <v>3030</v>
      </c>
      <c r="J366" s="4"/>
      <c r="K366" s="4"/>
      <c r="L366" s="3265"/>
      <c r="M366" s="4"/>
      <c r="N366" s="4"/>
      <c r="O366" s="4"/>
      <c r="P366" s="3268"/>
      <c r="Q366" s="3265"/>
      <c r="R366" s="3265"/>
      <c r="S366" s="3266">
        <v>0</v>
      </c>
      <c r="T366" s="3265"/>
      <c r="U366" s="3267">
        <f t="shared" si="29"/>
        <v>15150</v>
      </c>
      <c r="V366" s="3265"/>
      <c r="W366" s="3265"/>
      <c r="X366" s="3265"/>
      <c r="Y366" s="3265"/>
      <c r="Z366" s="3265"/>
      <c r="AA366" s="3265"/>
      <c r="AB366" s="3265"/>
      <c r="AC366" s="3265"/>
      <c r="AD366" s="3265"/>
      <c r="AE366" s="3265"/>
      <c r="AF366" s="3265"/>
      <c r="AG366" s="3265"/>
      <c r="AH366" s="3265"/>
      <c r="AI366" s="57"/>
      <c r="AJ366" s="57"/>
      <c r="AK366" s="57"/>
      <c r="AL366" s="57"/>
      <c r="AM366" s="57"/>
    </row>
    <row r="367" spans="1:39" s="58" customFormat="1" ht="19.5" x14ac:dyDescent="0.2">
      <c r="A367" s="52">
        <v>0</v>
      </c>
      <c r="B367" s="86" t="s">
        <v>794</v>
      </c>
      <c r="C367" s="88"/>
      <c r="D367" s="87"/>
      <c r="E367" s="78">
        <f>E366+E331</f>
        <v>3960</v>
      </c>
      <c r="F367" s="78">
        <f>F366+F331</f>
        <v>3960</v>
      </c>
      <c r="G367" s="80">
        <f>G366+G331</f>
        <v>3960</v>
      </c>
      <c r="H367" s="80">
        <f>H366+H331</f>
        <v>3960</v>
      </c>
      <c r="I367" s="79">
        <f>I366+I331</f>
        <v>3960</v>
      </c>
      <c r="J367" s="4"/>
      <c r="K367" s="4"/>
      <c r="L367" s="3265"/>
      <c r="M367" s="4"/>
      <c r="N367" s="4"/>
      <c r="O367" s="4"/>
      <c r="P367" s="3268"/>
      <c r="Q367" s="3265"/>
      <c r="R367" s="3265"/>
      <c r="S367" s="3266">
        <v>0</v>
      </c>
      <c r="T367" s="3265"/>
      <c r="U367" s="3267">
        <f t="shared" si="29"/>
        <v>19800</v>
      </c>
      <c r="V367" s="3265"/>
      <c r="W367" s="3265"/>
      <c r="X367" s="3265"/>
      <c r="Y367" s="3265"/>
      <c r="Z367" s="3265"/>
      <c r="AA367" s="3265"/>
      <c r="AB367" s="3265"/>
      <c r="AC367" s="3265"/>
      <c r="AD367" s="3265"/>
      <c r="AE367" s="3265"/>
      <c r="AF367" s="3265"/>
      <c r="AG367" s="3265"/>
      <c r="AH367" s="3265"/>
      <c r="AI367" s="57"/>
      <c r="AJ367" s="57"/>
      <c r="AK367" s="57"/>
      <c r="AL367" s="57"/>
      <c r="AM367" s="57"/>
    </row>
    <row r="368" spans="1:39" s="58" customFormat="1" ht="19.5" x14ac:dyDescent="0.2">
      <c r="A368" s="52"/>
      <c r="B368" s="47"/>
      <c r="C368" s="48" t="s">
        <v>672</v>
      </c>
      <c r="D368" s="82"/>
      <c r="E368" s="50"/>
      <c r="F368" s="50"/>
      <c r="G368" s="50"/>
      <c r="H368" s="50"/>
      <c r="I368" s="83"/>
      <c r="J368" s="4"/>
      <c r="K368" s="4"/>
      <c r="L368" s="3265"/>
      <c r="M368" s="4"/>
      <c r="N368" s="4"/>
      <c r="O368" s="4"/>
      <c r="P368" s="3265"/>
      <c r="Q368" s="3265"/>
      <c r="R368" s="3265"/>
      <c r="S368" s="3266">
        <v>0</v>
      </c>
      <c r="T368" s="3265"/>
      <c r="U368" s="3267">
        <f t="shared" si="29"/>
        <v>0</v>
      </c>
      <c r="V368" s="3265"/>
      <c r="W368" s="3265"/>
      <c r="X368" s="3265"/>
      <c r="Y368" s="3265"/>
      <c r="Z368" s="3265"/>
      <c r="AA368" s="3265"/>
      <c r="AB368" s="3265"/>
      <c r="AC368" s="3265"/>
      <c r="AD368" s="3265"/>
      <c r="AE368" s="3265"/>
      <c r="AF368" s="3265"/>
      <c r="AG368" s="3265"/>
      <c r="AH368" s="3265"/>
      <c r="AI368" s="57"/>
      <c r="AJ368" s="57"/>
      <c r="AK368" s="57"/>
      <c r="AL368" s="57"/>
      <c r="AM368" s="57"/>
    </row>
    <row r="369" spans="1:39" s="58" customFormat="1" ht="19.5" x14ac:dyDescent="0.2">
      <c r="A369" s="52">
        <v>291000</v>
      </c>
      <c r="B369" s="53"/>
      <c r="C369" s="42"/>
      <c r="D369" s="54" t="s">
        <v>795</v>
      </c>
      <c r="E369" s="55"/>
      <c r="F369" s="55"/>
      <c r="G369" s="55"/>
      <c r="H369" s="55"/>
      <c r="I369" s="56"/>
      <c r="J369" s="4"/>
      <c r="K369" s="4"/>
      <c r="L369" s="3265"/>
      <c r="M369" s="4"/>
      <c r="N369" s="4"/>
      <c r="O369" s="4"/>
      <c r="P369" s="3268"/>
      <c r="Q369" s="3265"/>
      <c r="R369" s="3265"/>
      <c r="S369" s="3266">
        <v>0</v>
      </c>
      <c r="T369" s="3265"/>
      <c r="U369" s="3267">
        <f t="shared" si="29"/>
        <v>0</v>
      </c>
      <c r="V369" s="3265"/>
      <c r="W369" s="3265"/>
      <c r="X369" s="3265"/>
      <c r="Y369" s="3265"/>
      <c r="Z369" s="3265"/>
      <c r="AA369" s="3265"/>
      <c r="AB369" s="3265"/>
      <c r="AC369" s="3265"/>
      <c r="AD369" s="3265"/>
      <c r="AE369" s="3265"/>
      <c r="AF369" s="3265"/>
      <c r="AG369" s="3265"/>
      <c r="AH369" s="3265"/>
      <c r="AI369" s="57"/>
      <c r="AJ369" s="57"/>
      <c r="AK369" s="57"/>
      <c r="AL369" s="57"/>
      <c r="AM369" s="57"/>
    </row>
    <row r="370" spans="1:39" s="58" customFormat="1" ht="19.5" x14ac:dyDescent="0.2">
      <c r="A370" s="52">
        <v>292000</v>
      </c>
      <c r="B370" s="53"/>
      <c r="C370" s="42"/>
      <c r="D370" s="59" t="s">
        <v>796</v>
      </c>
      <c r="E370" s="69"/>
      <c r="F370" s="69"/>
      <c r="G370" s="69"/>
      <c r="H370" s="69"/>
      <c r="I370" s="70"/>
      <c r="J370" s="4"/>
      <c r="K370" s="4"/>
      <c r="L370" s="3265"/>
      <c r="M370" s="4"/>
      <c r="N370" s="4"/>
      <c r="O370" s="4"/>
      <c r="P370" s="3268"/>
      <c r="Q370" s="3265"/>
      <c r="R370" s="3265"/>
      <c r="S370" s="3266">
        <v>0</v>
      </c>
      <c r="T370" s="3265"/>
      <c r="U370" s="3267">
        <f t="shared" si="29"/>
        <v>0</v>
      </c>
      <c r="V370" s="3265"/>
      <c r="W370" s="3265"/>
      <c r="X370" s="3265"/>
      <c r="Y370" s="3265"/>
      <c r="Z370" s="3265"/>
      <c r="AA370" s="3265"/>
      <c r="AB370" s="3265"/>
      <c r="AC370" s="3265"/>
      <c r="AD370" s="3265"/>
      <c r="AE370" s="3265"/>
      <c r="AF370" s="3265"/>
      <c r="AG370" s="3265"/>
      <c r="AH370" s="3265"/>
      <c r="AI370" s="57"/>
      <c r="AJ370" s="57"/>
      <c r="AK370" s="57"/>
      <c r="AL370" s="57"/>
      <c r="AM370" s="57"/>
    </row>
    <row r="371" spans="1:39" s="58" customFormat="1" ht="19.5" x14ac:dyDescent="0.2">
      <c r="A371" s="52">
        <v>293000</v>
      </c>
      <c r="B371" s="53"/>
      <c r="C371" s="42"/>
      <c r="D371" s="59" t="s">
        <v>797</v>
      </c>
      <c r="E371" s="69"/>
      <c r="F371" s="69"/>
      <c r="G371" s="69"/>
      <c r="H371" s="69"/>
      <c r="I371" s="70"/>
      <c r="J371" s="4"/>
      <c r="K371" s="4"/>
      <c r="L371" s="3265"/>
      <c r="M371" s="4"/>
      <c r="N371" s="4"/>
      <c r="O371" s="4"/>
      <c r="P371" s="3268"/>
      <c r="Q371" s="3265"/>
      <c r="R371" s="3265"/>
      <c r="S371" s="3266">
        <v>0</v>
      </c>
      <c r="T371" s="3265"/>
      <c r="U371" s="3267">
        <f t="shared" si="29"/>
        <v>0</v>
      </c>
      <c r="V371" s="3265"/>
      <c r="W371" s="3265"/>
      <c r="X371" s="3265"/>
      <c r="Y371" s="3265"/>
      <c r="Z371" s="3265"/>
      <c r="AA371" s="3265"/>
      <c r="AB371" s="3265"/>
      <c r="AC371" s="3265"/>
      <c r="AD371" s="3265"/>
      <c r="AE371" s="3265"/>
      <c r="AF371" s="3265"/>
      <c r="AG371" s="3265"/>
      <c r="AH371" s="3265"/>
      <c r="AI371" s="57"/>
      <c r="AJ371" s="57"/>
      <c r="AK371" s="57"/>
      <c r="AL371" s="57"/>
      <c r="AM371" s="57"/>
    </row>
    <row r="372" spans="1:39" s="58" customFormat="1" ht="19.5" x14ac:dyDescent="0.2">
      <c r="A372" s="52">
        <v>294000</v>
      </c>
      <c r="B372" s="53"/>
      <c r="C372" s="42"/>
      <c r="D372" s="89" t="s">
        <v>798</v>
      </c>
      <c r="E372" s="90"/>
      <c r="F372" s="90"/>
      <c r="G372" s="90"/>
      <c r="H372" s="90"/>
      <c r="I372" s="91"/>
      <c r="J372" s="4"/>
      <c r="K372" s="4"/>
      <c r="L372" s="3265"/>
      <c r="M372" s="4"/>
      <c r="N372" s="4"/>
      <c r="O372" s="4"/>
      <c r="P372" s="3268"/>
      <c r="Q372" s="3265"/>
      <c r="R372" s="3265"/>
      <c r="S372" s="3266">
        <v>0</v>
      </c>
      <c r="T372" s="3265"/>
      <c r="U372" s="3267">
        <f t="shared" si="29"/>
        <v>0</v>
      </c>
      <c r="V372" s="3265"/>
      <c r="W372" s="3265"/>
      <c r="X372" s="3265"/>
      <c r="Y372" s="3265"/>
      <c r="Z372" s="3265"/>
      <c r="AA372" s="3265"/>
      <c r="AB372" s="3265"/>
      <c r="AC372" s="3265"/>
      <c r="AD372" s="3265"/>
      <c r="AE372" s="3265"/>
      <c r="AF372" s="3265"/>
      <c r="AG372" s="3265"/>
      <c r="AH372" s="3265"/>
      <c r="AI372" s="57"/>
      <c r="AJ372" s="57"/>
      <c r="AK372" s="57"/>
      <c r="AL372" s="57"/>
      <c r="AM372" s="57"/>
    </row>
    <row r="373" spans="1:39" s="58" customFormat="1" ht="19.5" x14ac:dyDescent="0.2">
      <c r="A373" s="52">
        <v>190000</v>
      </c>
      <c r="B373" s="53"/>
      <c r="C373" s="86" t="s">
        <v>677</v>
      </c>
      <c r="D373" s="87"/>
      <c r="E373" s="78">
        <f>SUM(E369:E372)</f>
        <v>0</v>
      </c>
      <c r="F373" s="78">
        <f>SUM(F369:F372)</f>
        <v>0</v>
      </c>
      <c r="G373" s="80">
        <f>SUM(G369:G372)</f>
        <v>0</v>
      </c>
      <c r="H373" s="80">
        <f>SUM(H369:H372)</f>
        <v>0</v>
      </c>
      <c r="I373" s="79">
        <f>SUM(I369:I372)</f>
        <v>0</v>
      </c>
      <c r="J373" s="4"/>
      <c r="K373" s="4"/>
      <c r="L373" s="3265"/>
      <c r="M373" s="4"/>
      <c r="N373" s="4"/>
      <c r="O373" s="4"/>
      <c r="P373" s="3268"/>
      <c r="Q373" s="3265"/>
      <c r="R373" s="3265"/>
      <c r="S373" s="3266">
        <v>0</v>
      </c>
      <c r="T373" s="3265"/>
      <c r="U373" s="3267">
        <f t="shared" si="29"/>
        <v>0</v>
      </c>
      <c r="V373" s="3265"/>
      <c r="W373" s="3265"/>
      <c r="X373" s="3265"/>
      <c r="Y373" s="3265"/>
      <c r="Z373" s="3265"/>
      <c r="AA373" s="3265"/>
      <c r="AB373" s="3265"/>
      <c r="AC373" s="3265"/>
      <c r="AD373" s="3265"/>
      <c r="AE373" s="3265"/>
      <c r="AF373" s="3265"/>
      <c r="AG373" s="3265"/>
      <c r="AH373" s="3265"/>
      <c r="AI373" s="57"/>
      <c r="AJ373" s="57"/>
      <c r="AK373" s="57"/>
      <c r="AL373" s="57"/>
      <c r="AM373" s="57"/>
    </row>
    <row r="374" spans="1:39" s="58" customFormat="1" ht="19.5" x14ac:dyDescent="0.2">
      <c r="A374" s="52"/>
      <c r="B374" s="77"/>
      <c r="C374" s="42"/>
      <c r="D374" s="92"/>
      <c r="E374" s="42"/>
      <c r="F374" s="42"/>
      <c r="G374" s="42"/>
      <c r="H374" s="42"/>
      <c r="I374" s="92"/>
      <c r="J374" s="4"/>
      <c r="K374" s="4"/>
      <c r="L374" s="3265"/>
      <c r="M374" s="3265"/>
      <c r="N374" s="3265"/>
      <c r="O374" s="3265"/>
      <c r="P374" s="3265"/>
      <c r="Q374" s="3265"/>
      <c r="R374" s="3265"/>
      <c r="S374" s="3266">
        <v>0</v>
      </c>
      <c r="T374" s="3265"/>
      <c r="U374" s="3267">
        <v>1</v>
      </c>
      <c r="V374" s="3265"/>
      <c r="W374" s="3265"/>
      <c r="X374" s="3265"/>
      <c r="Y374" s="3265"/>
      <c r="Z374" s="3265"/>
      <c r="AA374" s="3265"/>
      <c r="AB374" s="3265"/>
      <c r="AC374" s="3265"/>
      <c r="AD374" s="3265"/>
      <c r="AE374" s="3265"/>
      <c r="AF374" s="3265"/>
      <c r="AG374" s="3265"/>
      <c r="AH374" s="3265"/>
      <c r="AI374" s="57"/>
      <c r="AJ374" s="57"/>
      <c r="AK374" s="57"/>
      <c r="AL374" s="57"/>
      <c r="AM374" s="57"/>
    </row>
    <row r="375" spans="1:39" s="58" customFormat="1" x14ac:dyDescent="0.25">
      <c r="A375" s="22"/>
      <c r="B375" s="22"/>
      <c r="C375" s="22"/>
      <c r="D375" s="103" t="s">
        <v>799</v>
      </c>
      <c r="E375" s="104" t="str">
        <f>IF(AND(E376&lt;2,E376&gt;-2),"OK","DESCUADRADO")</f>
        <v>OK</v>
      </c>
      <c r="F375" s="104" t="str">
        <f>IF(AND(F376&lt;2,F376&gt;-2),"OK","DESCUADRADO")</f>
        <v>OK</v>
      </c>
      <c r="G375" s="104" t="str">
        <f>IF(AND(G376&lt;2,G376&gt;-2),"OK","DESCUADRADO")</f>
        <v>OK</v>
      </c>
      <c r="H375" s="104" t="str">
        <f>IF(AND(H376&lt;2,H376&gt;-2),"OK","DESCUADRADO")</f>
        <v>OK</v>
      </c>
      <c r="I375" s="105" t="str">
        <f>IF(AND(I376&lt;2,I376&gt;-2),"OK","DESCUADRADO")</f>
        <v>OK</v>
      </c>
      <c r="J375" s="4"/>
      <c r="K375" s="4"/>
      <c r="L375" s="3265"/>
      <c r="M375" s="3265"/>
      <c r="N375" s="3265"/>
      <c r="O375" s="3265"/>
      <c r="P375" s="3265"/>
      <c r="Q375" s="3265"/>
      <c r="R375" s="3265"/>
      <c r="S375" s="3266">
        <v>0</v>
      </c>
      <c r="T375" s="3265"/>
      <c r="U375" s="3267">
        <v>1</v>
      </c>
      <c r="V375" s="3265"/>
      <c r="W375" s="3265"/>
      <c r="X375" s="3265"/>
      <c r="Y375" s="3265"/>
      <c r="Z375" s="3265"/>
      <c r="AA375" s="3265"/>
      <c r="AB375" s="3265"/>
      <c r="AC375" s="3265"/>
      <c r="AD375" s="3265"/>
      <c r="AE375" s="3265"/>
      <c r="AF375" s="3265"/>
      <c r="AG375" s="3265"/>
      <c r="AH375" s="3265"/>
      <c r="AI375" s="57"/>
      <c r="AJ375" s="57"/>
      <c r="AK375" s="57"/>
      <c r="AL375" s="57"/>
      <c r="AM375" s="57"/>
    </row>
    <row r="376" spans="1:39" s="58" customFormat="1" x14ac:dyDescent="0.25">
      <c r="A376" s="22"/>
      <c r="B376" s="22"/>
      <c r="C376" s="22"/>
      <c r="D376" s="106" t="s">
        <v>800</v>
      </c>
      <c r="E376" s="107">
        <f>+E178-E367</f>
        <v>0</v>
      </c>
      <c r="F376" s="107">
        <f>+F178-F367</f>
        <v>0</v>
      </c>
      <c r="G376" s="107">
        <f>+G178-G367</f>
        <v>0</v>
      </c>
      <c r="H376" s="107">
        <f>+H178-H367</f>
        <v>0</v>
      </c>
      <c r="I376" s="108">
        <f>+I178-I367</f>
        <v>0</v>
      </c>
      <c r="J376" s="4"/>
      <c r="K376" s="4"/>
      <c r="L376" s="3265"/>
      <c r="M376" s="4"/>
      <c r="N376" s="4"/>
      <c r="O376" s="4"/>
      <c r="P376" s="3268"/>
      <c r="Q376" s="3265"/>
      <c r="R376" s="3265"/>
      <c r="S376" s="3266">
        <v>0</v>
      </c>
      <c r="T376" s="3265"/>
      <c r="U376" s="3267">
        <v>1</v>
      </c>
      <c r="V376" s="3265"/>
      <c r="W376" s="3265"/>
      <c r="X376" s="3265"/>
      <c r="Y376" s="3265"/>
      <c r="Z376" s="3265"/>
      <c r="AA376" s="3265"/>
      <c r="AB376" s="3265"/>
      <c r="AC376" s="3265"/>
      <c r="AD376" s="3265"/>
      <c r="AE376" s="3265"/>
      <c r="AF376" s="3265"/>
      <c r="AG376" s="3265"/>
      <c r="AH376" s="3265"/>
      <c r="AI376" s="57"/>
      <c r="AJ376" s="57"/>
      <c r="AK376" s="57"/>
      <c r="AL376" s="57"/>
      <c r="AM376" s="57"/>
    </row>
    <row r="377" spans="1:39" s="58" customFormat="1" ht="19.5" x14ac:dyDescent="0.2">
      <c r="A377" s="52"/>
      <c r="B377" s="77"/>
      <c r="C377" s="42"/>
      <c r="D377" s="92"/>
      <c r="E377" s="42"/>
      <c r="F377" s="42"/>
      <c r="G377" s="42"/>
      <c r="H377" s="42"/>
      <c r="I377" s="109"/>
      <c r="J377" s="4"/>
      <c r="K377" s="4"/>
      <c r="L377" s="3265"/>
      <c r="M377" s="4"/>
      <c r="N377" s="4"/>
      <c r="O377" s="4"/>
      <c r="P377" s="3268"/>
      <c r="Q377" s="3265"/>
      <c r="R377" s="3265"/>
      <c r="S377" s="3266">
        <v>0</v>
      </c>
      <c r="T377" s="3265"/>
      <c r="U377" s="3267">
        <v>1</v>
      </c>
      <c r="V377" s="3265"/>
      <c r="W377" s="3265"/>
      <c r="X377" s="3265"/>
      <c r="Y377" s="3265"/>
      <c r="Z377" s="3265"/>
      <c r="AA377" s="3265"/>
      <c r="AB377" s="3265"/>
      <c r="AC377" s="3265"/>
      <c r="AD377" s="3265"/>
      <c r="AE377" s="3265"/>
      <c r="AF377" s="3265"/>
      <c r="AG377" s="3265"/>
      <c r="AH377" s="3265"/>
      <c r="AI377" s="57"/>
      <c r="AJ377" s="57"/>
      <c r="AK377" s="57"/>
      <c r="AL377" s="57"/>
      <c r="AM377" s="57"/>
    </row>
    <row r="378" spans="1:39" s="58" customFormat="1" ht="23.25" x14ac:dyDescent="0.2">
      <c r="A378" s="52"/>
      <c r="B378" s="110" t="s">
        <v>801</v>
      </c>
      <c r="C378" s="42"/>
      <c r="D378" s="111"/>
      <c r="E378" s="42"/>
      <c r="F378" s="42"/>
      <c r="G378" s="42"/>
      <c r="H378" s="42"/>
      <c r="I378" s="109"/>
      <c r="J378" s="4"/>
      <c r="K378" s="4"/>
      <c r="L378" s="3265"/>
      <c r="M378" s="4"/>
      <c r="N378" s="4"/>
      <c r="O378" s="4"/>
      <c r="P378" s="3268"/>
      <c r="Q378" s="3265"/>
      <c r="R378" s="3265"/>
      <c r="S378" s="3266">
        <v>0</v>
      </c>
      <c r="T378" s="3265"/>
      <c r="U378" s="3267">
        <v>1</v>
      </c>
      <c r="V378" s="3265"/>
      <c r="W378" s="3265"/>
      <c r="X378" s="3265"/>
      <c r="Y378" s="3265"/>
      <c r="Z378" s="3265"/>
      <c r="AA378" s="3265"/>
      <c r="AB378" s="3265"/>
      <c r="AC378" s="3265"/>
      <c r="AD378" s="3265"/>
      <c r="AE378" s="3265"/>
      <c r="AF378" s="3265"/>
      <c r="AG378" s="3265"/>
      <c r="AH378" s="3265"/>
      <c r="AI378" s="57"/>
      <c r="AJ378" s="57"/>
      <c r="AK378" s="57"/>
      <c r="AL378" s="57"/>
      <c r="AM378" s="57"/>
    </row>
    <row r="379" spans="1:39" s="58" customFormat="1" ht="19.5" x14ac:dyDescent="0.2">
      <c r="A379" s="52"/>
      <c r="B379" s="48" t="s">
        <v>802</v>
      </c>
      <c r="C379" s="42"/>
      <c r="D379" s="82"/>
      <c r="E379" s="50"/>
      <c r="F379" s="50"/>
      <c r="G379" s="50"/>
      <c r="H379" s="50"/>
      <c r="I379" s="51"/>
      <c r="J379" s="4"/>
      <c r="K379" s="4"/>
      <c r="L379" s="3265"/>
      <c r="M379" s="4"/>
      <c r="N379" s="4"/>
      <c r="O379" s="4"/>
      <c r="P379" s="3265"/>
      <c r="Q379" s="3265"/>
      <c r="R379" s="3265"/>
      <c r="S379" s="3266">
        <v>0</v>
      </c>
      <c r="T379" s="3265"/>
      <c r="U379" s="3267">
        <v>1</v>
      </c>
      <c r="V379" s="3265"/>
      <c r="W379" s="3265"/>
      <c r="X379" s="3265"/>
      <c r="Y379" s="3265"/>
      <c r="Z379" s="3265"/>
      <c r="AA379" s="3265"/>
      <c r="AB379" s="3265"/>
      <c r="AC379" s="3265"/>
      <c r="AD379" s="3265"/>
      <c r="AE379" s="3265"/>
      <c r="AF379" s="3265"/>
      <c r="AG379" s="3265"/>
      <c r="AH379" s="3265"/>
      <c r="AI379" s="57"/>
      <c r="AJ379" s="57"/>
      <c r="AK379" s="57"/>
      <c r="AL379" s="57"/>
      <c r="AM379" s="57"/>
    </row>
    <row r="380" spans="1:39" s="58" customFormat="1" ht="19.5" x14ac:dyDescent="0.2">
      <c r="A380" s="52">
        <v>410500</v>
      </c>
      <c r="B380" s="53"/>
      <c r="C380" s="42"/>
      <c r="D380" s="54" t="s">
        <v>803</v>
      </c>
      <c r="E380" s="55">
        <v>2610</v>
      </c>
      <c r="F380" s="55">
        <v>2610</v>
      </c>
      <c r="G380" s="55">
        <v>2610</v>
      </c>
      <c r="H380" s="55">
        <v>2610</v>
      </c>
      <c r="I380" s="56">
        <v>2610</v>
      </c>
      <c r="J380" s="4"/>
      <c r="K380" s="4"/>
      <c r="L380" s="3265"/>
      <c r="M380" s="4"/>
      <c r="N380" s="4"/>
      <c r="O380" s="4"/>
      <c r="P380" s="3268"/>
      <c r="Q380" s="3265"/>
      <c r="R380" s="3265"/>
      <c r="S380" s="3266">
        <v>0</v>
      </c>
      <c r="T380" s="3265"/>
      <c r="U380" s="3267">
        <f>SUM(E380:I380)</f>
        <v>13050</v>
      </c>
      <c r="V380" s="3265"/>
      <c r="W380" s="3265"/>
      <c r="X380" s="3265"/>
      <c r="Y380" s="4"/>
      <c r="Z380" s="3265"/>
      <c r="AA380" s="3265"/>
      <c r="AB380" s="3265"/>
      <c r="AC380" s="3265"/>
      <c r="AD380" s="3265"/>
      <c r="AE380" s="3265"/>
      <c r="AF380" s="3265"/>
      <c r="AG380" s="3265"/>
      <c r="AH380" s="3265"/>
      <c r="AI380" s="57"/>
      <c r="AJ380" s="57"/>
      <c r="AK380" s="57"/>
      <c r="AL380" s="57"/>
      <c r="AM380" s="57"/>
    </row>
    <row r="381" spans="1:39" s="58" customFormat="1" ht="19.5" x14ac:dyDescent="0.2">
      <c r="A381" s="52">
        <v>411000</v>
      </c>
      <c r="B381" s="53"/>
      <c r="C381" s="42"/>
      <c r="D381" s="59" t="s">
        <v>804</v>
      </c>
      <c r="E381" s="69">
        <v>1000</v>
      </c>
      <c r="F381" s="69">
        <v>1000</v>
      </c>
      <c r="G381" s="69">
        <v>1000</v>
      </c>
      <c r="H381" s="69">
        <v>1000</v>
      </c>
      <c r="I381" s="70">
        <v>1000</v>
      </c>
      <c r="J381" s="4"/>
      <c r="K381" s="4"/>
      <c r="L381" s="3265"/>
      <c r="M381" s="4"/>
      <c r="N381" s="4"/>
      <c r="O381" s="4"/>
      <c r="P381" s="3268"/>
      <c r="Q381" s="3265"/>
      <c r="R381" s="3265"/>
      <c r="S381" s="3266">
        <v>0</v>
      </c>
      <c r="T381" s="3265"/>
      <c r="U381" s="3267">
        <f>SUM(E381:I381)</f>
        <v>5000</v>
      </c>
      <c r="V381" s="3265"/>
      <c r="W381" s="3265"/>
      <c r="X381" s="3265"/>
      <c r="Y381" s="4"/>
      <c r="Z381" s="3265"/>
      <c r="AA381" s="3265"/>
      <c r="AB381" s="3265"/>
      <c r="AC381" s="3265"/>
      <c r="AD381" s="3265"/>
      <c r="AE381" s="3265"/>
      <c r="AF381" s="3265"/>
      <c r="AG381" s="3265"/>
      <c r="AH381" s="3265"/>
      <c r="AI381" s="57"/>
      <c r="AJ381" s="57"/>
      <c r="AK381" s="57"/>
      <c r="AL381" s="57"/>
      <c r="AM381" s="57"/>
    </row>
    <row r="382" spans="1:39" s="58" customFormat="1" ht="19.5" x14ac:dyDescent="0.2">
      <c r="A382" s="52">
        <v>61</v>
      </c>
      <c r="B382" s="53"/>
      <c r="C382" s="42"/>
      <c r="D382" s="59" t="s">
        <v>805</v>
      </c>
      <c r="E382" s="69">
        <v>500</v>
      </c>
      <c r="F382" s="69">
        <v>500</v>
      </c>
      <c r="G382" s="69">
        <v>500</v>
      </c>
      <c r="H382" s="69">
        <v>500</v>
      </c>
      <c r="I382" s="70">
        <v>500</v>
      </c>
      <c r="J382" s="4"/>
      <c r="K382" s="4"/>
      <c r="L382" s="3265"/>
      <c r="M382" s="4"/>
      <c r="N382" s="4"/>
      <c r="O382" s="4"/>
      <c r="P382" s="3268"/>
      <c r="Q382" s="3265"/>
      <c r="R382" s="3265"/>
      <c r="S382" s="3266">
        <v>0</v>
      </c>
      <c r="T382" s="3265"/>
      <c r="U382" s="3267">
        <f>SUM(E382:I382)</f>
        <v>2500</v>
      </c>
      <c r="V382" s="3265"/>
      <c r="W382" s="3265"/>
      <c r="X382" s="3265"/>
      <c r="Y382" s="4"/>
      <c r="Z382" s="3265"/>
      <c r="AA382" s="3265"/>
      <c r="AB382" s="3265"/>
      <c r="AC382" s="3265"/>
      <c r="AD382" s="3265"/>
      <c r="AE382" s="3265"/>
      <c r="AF382" s="3265"/>
      <c r="AG382" s="3265"/>
      <c r="AH382" s="3265"/>
      <c r="AI382" s="57"/>
      <c r="AJ382" s="57"/>
      <c r="AK382" s="57"/>
      <c r="AL382" s="57"/>
      <c r="AM382" s="57"/>
    </row>
    <row r="383" spans="1:39" s="58" customFormat="1" ht="18.95" customHeight="1" x14ac:dyDescent="0.2">
      <c r="A383" s="22">
        <v>606000</v>
      </c>
      <c r="B383" s="53"/>
      <c r="C383" s="42"/>
      <c r="D383" s="89" t="s">
        <v>806</v>
      </c>
      <c r="E383" s="90"/>
      <c r="F383" s="90"/>
      <c r="G383" s="90"/>
      <c r="H383" s="90"/>
      <c r="I383" s="91"/>
      <c r="J383" s="4"/>
      <c r="K383" s="4"/>
      <c r="L383" s="3265"/>
      <c r="M383" s="4"/>
      <c r="N383" s="4"/>
      <c r="O383" s="4"/>
      <c r="P383" s="3268"/>
      <c r="Q383" s="3265"/>
      <c r="R383" s="3265"/>
      <c r="S383" s="3266">
        <v>0</v>
      </c>
      <c r="T383" s="3265"/>
      <c r="U383" s="3267">
        <f>SUM(E383:I383)</f>
        <v>0</v>
      </c>
      <c r="V383" s="3265"/>
      <c r="W383" s="3265"/>
      <c r="X383" s="3265"/>
      <c r="Y383" s="4"/>
      <c r="Z383" s="3265"/>
      <c r="AA383" s="3265"/>
      <c r="AB383" s="3265"/>
      <c r="AC383" s="3265"/>
      <c r="AD383" s="3265"/>
      <c r="AE383" s="3265"/>
      <c r="AF383" s="3265"/>
      <c r="AG383" s="3265"/>
      <c r="AH383" s="3265"/>
      <c r="AI383" s="57"/>
      <c r="AJ383" s="57"/>
      <c r="AK383" s="57"/>
      <c r="AL383" s="57"/>
      <c r="AM383" s="57"/>
    </row>
    <row r="384" spans="1:39" s="58" customFormat="1" ht="19.5" x14ac:dyDescent="0.2">
      <c r="A384" s="52">
        <v>95</v>
      </c>
      <c r="B384" s="86" t="s">
        <v>807</v>
      </c>
      <c r="C384" s="112"/>
      <c r="D384" s="87"/>
      <c r="E384" s="80">
        <f>E380+E381-E382</f>
        <v>3110</v>
      </c>
      <c r="F384" s="80">
        <f>F380+F381-F382</f>
        <v>3110</v>
      </c>
      <c r="G384" s="80">
        <f>G380+G381-G382</f>
        <v>3110</v>
      </c>
      <c r="H384" s="80">
        <f>H380+H381-H382</f>
        <v>3110</v>
      </c>
      <c r="I384" s="81">
        <f>I380+I381-I382</f>
        <v>3110</v>
      </c>
      <c r="J384" s="4"/>
      <c r="K384" s="4"/>
      <c r="L384" s="3265"/>
      <c r="M384" s="4"/>
      <c r="N384" s="4"/>
      <c r="O384" s="4"/>
      <c r="P384" s="3268"/>
      <c r="Q384" s="3265"/>
      <c r="R384" s="3265"/>
      <c r="S384" s="3266">
        <v>0</v>
      </c>
      <c r="T384" s="3265"/>
      <c r="U384" s="3267">
        <f>SUM(E384:I384)</f>
        <v>15550</v>
      </c>
      <c r="V384" s="3265"/>
      <c r="W384" s="3265"/>
      <c r="X384" s="3265"/>
      <c r="Y384" s="4"/>
      <c r="Z384" s="3265"/>
      <c r="AA384" s="3265"/>
      <c r="AB384" s="3265"/>
      <c r="AC384" s="3265"/>
      <c r="AD384" s="3265"/>
      <c r="AE384" s="3265"/>
      <c r="AF384" s="3265"/>
      <c r="AG384" s="3265"/>
      <c r="AH384" s="3265"/>
      <c r="AI384" s="57"/>
      <c r="AJ384" s="57"/>
      <c r="AK384" s="57"/>
      <c r="AL384" s="57"/>
      <c r="AM384" s="57"/>
    </row>
    <row r="385" spans="1:39" s="58" customFormat="1" ht="19.5" x14ac:dyDescent="0.2">
      <c r="A385" s="52"/>
      <c r="B385" s="47"/>
      <c r="C385" s="113" t="s">
        <v>808</v>
      </c>
      <c r="D385" s="65"/>
      <c r="E385" s="66"/>
      <c r="F385" s="66"/>
      <c r="G385" s="66"/>
      <c r="H385" s="66"/>
      <c r="I385" s="67"/>
      <c r="J385" s="4"/>
      <c r="K385" s="4"/>
      <c r="L385" s="3265"/>
      <c r="M385" s="4"/>
      <c r="N385" s="4"/>
      <c r="O385" s="4"/>
      <c r="P385" s="3268"/>
      <c r="Q385" s="3265"/>
      <c r="R385" s="3265"/>
      <c r="S385" s="3266">
        <v>0</v>
      </c>
      <c r="T385" s="3265"/>
      <c r="U385" s="3267">
        <f>U401</f>
        <v>750</v>
      </c>
      <c r="V385" s="3265"/>
      <c r="W385" s="3265"/>
      <c r="X385" s="3265"/>
      <c r="Y385" s="4"/>
      <c r="Z385" s="3265"/>
      <c r="AA385" s="3265"/>
      <c r="AB385" s="3265"/>
      <c r="AC385" s="3265"/>
      <c r="AD385" s="3265"/>
      <c r="AE385" s="3265"/>
      <c r="AF385" s="3265"/>
      <c r="AG385" s="3265"/>
      <c r="AH385" s="3265"/>
      <c r="AI385" s="57"/>
      <c r="AJ385" s="57"/>
      <c r="AK385" s="57"/>
      <c r="AL385" s="57"/>
      <c r="AM385" s="57"/>
    </row>
    <row r="386" spans="1:39" s="58" customFormat="1" ht="19.5" x14ac:dyDescent="0.2">
      <c r="A386" s="52">
        <v>510500</v>
      </c>
      <c r="B386" s="53"/>
      <c r="C386" s="42"/>
      <c r="D386" s="54" t="s">
        <v>809</v>
      </c>
      <c r="E386" s="55">
        <v>10</v>
      </c>
      <c r="F386" s="55">
        <v>10</v>
      </c>
      <c r="G386" s="55">
        <v>10</v>
      </c>
      <c r="H386" s="55">
        <v>10</v>
      </c>
      <c r="I386" s="56">
        <v>10</v>
      </c>
      <c r="J386" s="4"/>
      <c r="K386" s="4"/>
      <c r="L386" s="3265"/>
      <c r="M386" s="4"/>
      <c r="N386" s="4"/>
      <c r="O386" s="4"/>
      <c r="P386" s="3268"/>
      <c r="Q386" s="3265"/>
      <c r="R386" s="3265"/>
      <c r="S386" s="3266">
        <v>0</v>
      </c>
      <c r="T386" s="3265"/>
      <c r="U386" s="3267">
        <f t="shared" ref="U386:U401" si="30">SUM(E386:I386)</f>
        <v>50</v>
      </c>
      <c r="V386" s="3265"/>
      <c r="W386" s="3265"/>
      <c r="X386" s="3265"/>
      <c r="Y386" s="4"/>
      <c r="Z386" s="3265"/>
      <c r="AA386" s="3265"/>
      <c r="AB386" s="3265"/>
      <c r="AC386" s="3265"/>
      <c r="AD386" s="3265"/>
      <c r="AE386" s="3265"/>
      <c r="AF386" s="3265"/>
      <c r="AG386" s="3265"/>
      <c r="AH386" s="3265"/>
      <c r="AI386" s="57"/>
      <c r="AJ386" s="57"/>
      <c r="AK386" s="57"/>
      <c r="AL386" s="57"/>
      <c r="AM386" s="57"/>
    </row>
    <row r="387" spans="1:39" s="58" customFormat="1" ht="19.5" x14ac:dyDescent="0.2">
      <c r="A387" s="52">
        <v>511000</v>
      </c>
      <c r="B387" s="53"/>
      <c r="C387" s="42"/>
      <c r="D387" s="59" t="s">
        <v>810</v>
      </c>
      <c r="E387" s="69">
        <v>10</v>
      </c>
      <c r="F387" s="69">
        <v>10</v>
      </c>
      <c r="G387" s="69">
        <v>10</v>
      </c>
      <c r="H387" s="69">
        <v>10</v>
      </c>
      <c r="I387" s="70">
        <v>10</v>
      </c>
      <c r="J387" s="4"/>
      <c r="K387" s="4"/>
      <c r="L387" s="3265"/>
      <c r="M387" s="4"/>
      <c r="N387" s="4"/>
      <c r="O387" s="4"/>
      <c r="P387" s="3268"/>
      <c r="Q387" s="3265"/>
      <c r="R387" s="3265"/>
      <c r="S387" s="3266">
        <v>0</v>
      </c>
      <c r="T387" s="3265"/>
      <c r="U387" s="3267">
        <f t="shared" si="30"/>
        <v>50</v>
      </c>
      <c r="V387" s="3265"/>
      <c r="W387" s="3265"/>
      <c r="X387" s="3265"/>
      <c r="Y387" s="4"/>
      <c r="Z387" s="3265"/>
      <c r="AA387" s="3265"/>
      <c r="AB387" s="3265"/>
      <c r="AC387" s="3265"/>
      <c r="AD387" s="3265"/>
      <c r="AE387" s="3265"/>
      <c r="AF387" s="3265"/>
      <c r="AG387" s="3265"/>
      <c r="AH387" s="3265"/>
      <c r="AI387" s="57"/>
      <c r="AJ387" s="57"/>
      <c r="AK387" s="57"/>
      <c r="AL387" s="57"/>
      <c r="AM387" s="57"/>
    </row>
    <row r="388" spans="1:39" s="58" customFormat="1" ht="19.5" x14ac:dyDescent="0.2">
      <c r="A388" s="52">
        <v>511500</v>
      </c>
      <c r="B388" s="53"/>
      <c r="C388" s="42"/>
      <c r="D388" s="59" t="s">
        <v>811</v>
      </c>
      <c r="E388" s="69">
        <v>10</v>
      </c>
      <c r="F388" s="69">
        <v>10</v>
      </c>
      <c r="G388" s="69">
        <v>10</v>
      </c>
      <c r="H388" s="69">
        <v>10</v>
      </c>
      <c r="I388" s="70">
        <v>10</v>
      </c>
      <c r="J388" s="4"/>
      <c r="K388" s="4"/>
      <c r="L388" s="3265"/>
      <c r="M388" s="4"/>
      <c r="N388" s="4"/>
      <c r="O388" s="4"/>
      <c r="P388" s="3268"/>
      <c r="Q388" s="3265"/>
      <c r="R388" s="3265"/>
      <c r="S388" s="3266">
        <v>0</v>
      </c>
      <c r="T388" s="3265"/>
      <c r="U388" s="3267">
        <f t="shared" si="30"/>
        <v>50</v>
      </c>
      <c r="V388" s="3265"/>
      <c r="W388" s="3265"/>
      <c r="X388" s="3265"/>
      <c r="Y388" s="4"/>
      <c r="Z388" s="3265"/>
      <c r="AA388" s="3265"/>
      <c r="AB388" s="3265"/>
      <c r="AC388" s="3265"/>
      <c r="AD388" s="3265"/>
      <c r="AE388" s="3265"/>
      <c r="AF388" s="3265"/>
      <c r="AG388" s="3265"/>
      <c r="AH388" s="3265"/>
      <c r="AI388" s="57"/>
      <c r="AJ388" s="57"/>
      <c r="AK388" s="57"/>
      <c r="AL388" s="57"/>
      <c r="AM388" s="57"/>
    </row>
    <row r="389" spans="1:39" s="58" customFormat="1" ht="19.5" x14ac:dyDescent="0.2">
      <c r="A389" s="52">
        <v>512000</v>
      </c>
      <c r="B389" s="53"/>
      <c r="C389" s="42"/>
      <c r="D389" s="59" t="s">
        <v>812</v>
      </c>
      <c r="E389" s="69">
        <v>10</v>
      </c>
      <c r="F389" s="69">
        <v>10</v>
      </c>
      <c r="G389" s="69">
        <v>10</v>
      </c>
      <c r="H389" s="69">
        <v>10</v>
      </c>
      <c r="I389" s="70">
        <v>10</v>
      </c>
      <c r="J389" s="4"/>
      <c r="K389" s="4"/>
      <c r="L389" s="3265"/>
      <c r="M389" s="4"/>
      <c r="N389" s="4"/>
      <c r="O389" s="4"/>
      <c r="P389" s="3268"/>
      <c r="Q389" s="3265"/>
      <c r="R389" s="3265"/>
      <c r="S389" s="3266">
        <v>0</v>
      </c>
      <c r="T389" s="3265"/>
      <c r="U389" s="3267">
        <f t="shared" si="30"/>
        <v>50</v>
      </c>
      <c r="V389" s="3265"/>
      <c r="W389" s="3265"/>
      <c r="X389" s="3265"/>
      <c r="Y389" s="4"/>
      <c r="Z389" s="3265"/>
      <c r="AA389" s="3265"/>
      <c r="AB389" s="3265"/>
      <c r="AC389" s="3265"/>
      <c r="AD389" s="3265"/>
      <c r="AE389" s="3265"/>
      <c r="AF389" s="3265"/>
      <c r="AG389" s="3265"/>
      <c r="AH389" s="3265"/>
      <c r="AI389" s="57"/>
      <c r="AJ389" s="57"/>
      <c r="AK389" s="57"/>
      <c r="AL389" s="57"/>
      <c r="AM389" s="57"/>
    </row>
    <row r="390" spans="1:39" s="58" customFormat="1" ht="19.5" x14ac:dyDescent="0.2">
      <c r="A390" s="52">
        <v>512500</v>
      </c>
      <c r="B390" s="53"/>
      <c r="C390" s="42"/>
      <c r="D390" s="59" t="s">
        <v>813</v>
      </c>
      <c r="E390" s="69">
        <v>10</v>
      </c>
      <c r="F390" s="69">
        <v>10</v>
      </c>
      <c r="G390" s="69">
        <v>10</v>
      </c>
      <c r="H390" s="69">
        <v>10</v>
      </c>
      <c r="I390" s="70">
        <v>10</v>
      </c>
      <c r="J390" s="4"/>
      <c r="K390" s="4"/>
      <c r="L390" s="3265"/>
      <c r="M390" s="4"/>
      <c r="N390" s="4"/>
      <c r="O390" s="4"/>
      <c r="P390" s="3268"/>
      <c r="Q390" s="3265"/>
      <c r="R390" s="3265"/>
      <c r="S390" s="3266">
        <v>0</v>
      </c>
      <c r="T390" s="3265"/>
      <c r="U390" s="3267">
        <f t="shared" si="30"/>
        <v>50</v>
      </c>
      <c r="V390" s="3265"/>
      <c r="W390" s="3265"/>
      <c r="X390" s="3265"/>
      <c r="Y390" s="4"/>
      <c r="Z390" s="3265"/>
      <c r="AA390" s="3265"/>
      <c r="AB390" s="3265"/>
      <c r="AC390" s="3265"/>
      <c r="AD390" s="3265"/>
      <c r="AE390" s="3265"/>
      <c r="AF390" s="3265"/>
      <c r="AG390" s="3265"/>
      <c r="AH390" s="3265"/>
      <c r="AI390" s="57"/>
      <c r="AJ390" s="57"/>
      <c r="AK390" s="57"/>
      <c r="AL390" s="57"/>
      <c r="AM390" s="57"/>
    </row>
    <row r="391" spans="1:39" s="58" customFormat="1" ht="19.5" x14ac:dyDescent="0.2">
      <c r="A391" s="52">
        <v>513000</v>
      </c>
      <c r="B391" s="53"/>
      <c r="C391" s="42"/>
      <c r="D391" s="59" t="s">
        <v>814</v>
      </c>
      <c r="E391" s="69">
        <v>10</v>
      </c>
      <c r="F391" s="69">
        <v>10</v>
      </c>
      <c r="G391" s="69">
        <v>10</v>
      </c>
      <c r="H391" s="69">
        <v>10</v>
      </c>
      <c r="I391" s="70">
        <v>10</v>
      </c>
      <c r="J391" s="4"/>
      <c r="K391" s="4"/>
      <c r="L391" s="3265"/>
      <c r="M391" s="3265"/>
      <c r="N391" s="3265"/>
      <c r="O391" s="3265"/>
      <c r="P391" s="3265"/>
      <c r="Q391" s="3265"/>
      <c r="R391" s="3265"/>
      <c r="S391" s="3266">
        <v>0</v>
      </c>
      <c r="T391" s="3265"/>
      <c r="U391" s="3267">
        <f t="shared" si="30"/>
        <v>50</v>
      </c>
      <c r="V391" s="3265"/>
      <c r="W391" s="3265"/>
      <c r="X391" s="3265"/>
      <c r="Y391" s="4"/>
      <c r="Z391" s="3265"/>
      <c r="AA391" s="3265"/>
      <c r="AB391" s="3265"/>
      <c r="AC391" s="3265"/>
      <c r="AD391" s="3265"/>
      <c r="AE391" s="3265"/>
      <c r="AF391" s="3265"/>
      <c r="AG391" s="3265"/>
      <c r="AH391" s="3265"/>
      <c r="AI391" s="57"/>
      <c r="AJ391" s="57"/>
      <c r="AK391" s="57"/>
      <c r="AL391" s="57"/>
      <c r="AM391" s="57"/>
    </row>
    <row r="392" spans="1:39" s="58" customFormat="1" ht="19.5" x14ac:dyDescent="0.2">
      <c r="A392" s="52">
        <v>513500</v>
      </c>
      <c r="B392" s="53"/>
      <c r="C392" s="42"/>
      <c r="D392" s="59" t="s">
        <v>469</v>
      </c>
      <c r="E392" s="69">
        <v>10</v>
      </c>
      <c r="F392" s="69">
        <v>10</v>
      </c>
      <c r="G392" s="69">
        <v>10</v>
      </c>
      <c r="H392" s="69">
        <v>10</v>
      </c>
      <c r="I392" s="70">
        <v>10</v>
      </c>
      <c r="J392" s="4"/>
      <c r="K392" s="4"/>
      <c r="L392" s="3265"/>
      <c r="M392" s="3265"/>
      <c r="N392" s="3265"/>
      <c r="O392" s="3265"/>
      <c r="P392" s="3265"/>
      <c r="Q392" s="3265"/>
      <c r="R392" s="3265"/>
      <c r="S392" s="3266">
        <v>0</v>
      </c>
      <c r="T392" s="3265"/>
      <c r="U392" s="3267">
        <f t="shared" si="30"/>
        <v>50</v>
      </c>
      <c r="V392" s="3265"/>
      <c r="W392" s="3265"/>
      <c r="X392" s="3265"/>
      <c r="Y392" s="4"/>
      <c r="Z392" s="3265"/>
      <c r="AA392" s="3265"/>
      <c r="AB392" s="3265"/>
      <c r="AC392" s="3265"/>
      <c r="AD392" s="3265"/>
      <c r="AE392" s="3265"/>
      <c r="AF392" s="3265"/>
      <c r="AG392" s="3265"/>
      <c r="AH392" s="3265"/>
      <c r="AI392" s="57"/>
      <c r="AJ392" s="57"/>
      <c r="AK392" s="57"/>
      <c r="AL392" s="57"/>
      <c r="AM392" s="57"/>
    </row>
    <row r="393" spans="1:39" s="58" customFormat="1" ht="19.5" x14ac:dyDescent="0.2">
      <c r="A393" s="52">
        <v>514000</v>
      </c>
      <c r="B393" s="53"/>
      <c r="C393" s="42"/>
      <c r="D393" s="59" t="s">
        <v>815</v>
      </c>
      <c r="E393" s="69">
        <v>10</v>
      </c>
      <c r="F393" s="69">
        <v>10</v>
      </c>
      <c r="G393" s="69">
        <v>10</v>
      </c>
      <c r="H393" s="69">
        <v>10</v>
      </c>
      <c r="I393" s="70">
        <v>10</v>
      </c>
      <c r="J393" s="4"/>
      <c r="K393" s="4"/>
      <c r="L393" s="3265"/>
      <c r="M393" s="3265"/>
      <c r="N393" s="3265"/>
      <c r="O393" s="3265"/>
      <c r="P393" s="3265"/>
      <c r="Q393" s="3265"/>
      <c r="R393" s="3265"/>
      <c r="S393" s="3266">
        <v>0</v>
      </c>
      <c r="T393" s="3265"/>
      <c r="U393" s="3267">
        <f t="shared" si="30"/>
        <v>50</v>
      </c>
      <c r="V393" s="3265"/>
      <c r="W393" s="3265"/>
      <c r="X393" s="3265"/>
      <c r="Y393" s="4"/>
      <c r="Z393" s="3265"/>
      <c r="AA393" s="3265"/>
      <c r="AB393" s="3265"/>
      <c r="AC393" s="3265"/>
      <c r="AD393" s="3265"/>
      <c r="AE393" s="3265"/>
      <c r="AF393" s="3265"/>
      <c r="AG393" s="3265"/>
      <c r="AH393" s="3265"/>
      <c r="AI393" s="57"/>
      <c r="AJ393" s="57"/>
      <c r="AK393" s="57"/>
      <c r="AL393" s="57"/>
      <c r="AM393" s="57"/>
    </row>
    <row r="394" spans="1:39" s="58" customFormat="1" ht="19.5" x14ac:dyDescent="0.2">
      <c r="A394" s="52">
        <v>514500</v>
      </c>
      <c r="B394" s="53"/>
      <c r="C394" s="42"/>
      <c r="D394" s="59" t="s">
        <v>816</v>
      </c>
      <c r="E394" s="69">
        <v>10</v>
      </c>
      <c r="F394" s="69">
        <v>10</v>
      </c>
      <c r="G394" s="69">
        <v>10</v>
      </c>
      <c r="H394" s="69">
        <v>10</v>
      </c>
      <c r="I394" s="70">
        <v>10</v>
      </c>
      <c r="J394" s="4"/>
      <c r="K394" s="4"/>
      <c r="L394" s="3265"/>
      <c r="M394" s="3265"/>
      <c r="N394" s="3265"/>
      <c r="O394" s="3265"/>
      <c r="P394" s="3265"/>
      <c r="Q394" s="3265"/>
      <c r="R394" s="3265"/>
      <c r="S394" s="3266">
        <v>0</v>
      </c>
      <c r="T394" s="3265"/>
      <c r="U394" s="3267">
        <f t="shared" si="30"/>
        <v>50</v>
      </c>
      <c r="V394" s="3265"/>
      <c r="W394" s="3265"/>
      <c r="X394" s="3265"/>
      <c r="Y394" s="4"/>
      <c r="Z394" s="3265"/>
      <c r="AA394" s="3265"/>
      <c r="AB394" s="3265"/>
      <c r="AC394" s="3265"/>
      <c r="AD394" s="3265"/>
      <c r="AE394" s="3265"/>
      <c r="AF394" s="3265"/>
      <c r="AG394" s="3265"/>
      <c r="AH394" s="3265"/>
      <c r="AI394" s="57"/>
      <c r="AJ394" s="57"/>
      <c r="AK394" s="57"/>
      <c r="AL394" s="57"/>
      <c r="AM394" s="57"/>
    </row>
    <row r="395" spans="1:39" s="58" customFormat="1" ht="19.5" x14ac:dyDescent="0.2">
      <c r="A395" s="52">
        <v>515000</v>
      </c>
      <c r="B395" s="53"/>
      <c r="C395" s="42"/>
      <c r="D395" s="59" t="s">
        <v>817</v>
      </c>
      <c r="E395" s="69">
        <v>10</v>
      </c>
      <c r="F395" s="69">
        <v>10</v>
      </c>
      <c r="G395" s="69">
        <v>10</v>
      </c>
      <c r="H395" s="69">
        <v>10</v>
      </c>
      <c r="I395" s="70">
        <v>10</v>
      </c>
      <c r="J395" s="4"/>
      <c r="K395" s="4"/>
      <c r="L395" s="3265"/>
      <c r="M395" s="3265"/>
      <c r="N395" s="3265"/>
      <c r="O395" s="3265"/>
      <c r="P395" s="3265"/>
      <c r="Q395" s="3265"/>
      <c r="R395" s="3265"/>
      <c r="S395" s="3266">
        <v>0</v>
      </c>
      <c r="T395" s="3265"/>
      <c r="U395" s="3267">
        <f t="shared" si="30"/>
        <v>50</v>
      </c>
      <c r="V395" s="3265"/>
      <c r="W395" s="3265"/>
      <c r="X395" s="3265"/>
      <c r="Y395" s="4"/>
      <c r="Z395" s="3265"/>
      <c r="AA395" s="3265"/>
      <c r="AB395" s="3265"/>
      <c r="AC395" s="3265"/>
      <c r="AD395" s="3265"/>
      <c r="AE395" s="3265"/>
      <c r="AF395" s="3265"/>
      <c r="AG395" s="3265"/>
      <c r="AH395" s="3265"/>
      <c r="AI395" s="57"/>
      <c r="AJ395" s="57"/>
      <c r="AK395" s="57"/>
      <c r="AL395" s="57"/>
      <c r="AM395" s="57"/>
    </row>
    <row r="396" spans="1:39" s="58" customFormat="1" ht="19.5" x14ac:dyDescent="0.2">
      <c r="A396" s="52">
        <v>515500</v>
      </c>
      <c r="B396" s="53"/>
      <c r="C396" s="42"/>
      <c r="D396" s="59" t="s">
        <v>818</v>
      </c>
      <c r="E396" s="69">
        <v>10</v>
      </c>
      <c r="F396" s="69">
        <v>10</v>
      </c>
      <c r="G396" s="69">
        <v>10</v>
      </c>
      <c r="H396" s="69">
        <v>10</v>
      </c>
      <c r="I396" s="70">
        <v>10</v>
      </c>
      <c r="J396" s="4"/>
      <c r="K396" s="4"/>
      <c r="L396" s="3265"/>
      <c r="M396" s="3265"/>
      <c r="N396" s="3265"/>
      <c r="O396" s="3265"/>
      <c r="P396" s="3265"/>
      <c r="Q396" s="3265"/>
      <c r="R396" s="3265"/>
      <c r="S396" s="3266">
        <v>0</v>
      </c>
      <c r="T396" s="3265"/>
      <c r="U396" s="3267">
        <f t="shared" si="30"/>
        <v>50</v>
      </c>
      <c r="V396" s="3265"/>
      <c r="W396" s="3265"/>
      <c r="X396" s="3265"/>
      <c r="Y396" s="4"/>
      <c r="Z396" s="3265"/>
      <c r="AA396" s="3265"/>
      <c r="AB396" s="3265"/>
      <c r="AC396" s="3265"/>
      <c r="AD396" s="3265"/>
      <c r="AE396" s="3265"/>
      <c r="AF396" s="3265"/>
      <c r="AG396" s="3265"/>
      <c r="AH396" s="3265"/>
      <c r="AI396" s="57"/>
      <c r="AJ396" s="57"/>
      <c r="AK396" s="57"/>
      <c r="AL396" s="57"/>
      <c r="AM396" s="57"/>
    </row>
    <row r="397" spans="1:39" s="58" customFormat="1" ht="19.5" x14ac:dyDescent="0.2">
      <c r="A397" s="52">
        <v>519500</v>
      </c>
      <c r="B397" s="53"/>
      <c r="C397" s="42"/>
      <c r="D397" s="59" t="s">
        <v>819</v>
      </c>
      <c r="E397" s="69">
        <v>10</v>
      </c>
      <c r="F397" s="69">
        <v>10</v>
      </c>
      <c r="G397" s="69">
        <v>10</v>
      </c>
      <c r="H397" s="69">
        <v>10</v>
      </c>
      <c r="I397" s="70">
        <v>10</v>
      </c>
      <c r="J397" s="4"/>
      <c r="K397" s="4"/>
      <c r="L397" s="3265"/>
      <c r="M397" s="3265"/>
      <c r="N397" s="3265"/>
      <c r="O397" s="3265"/>
      <c r="P397" s="3265"/>
      <c r="Q397" s="3265"/>
      <c r="R397" s="3265"/>
      <c r="S397" s="3266">
        <v>0</v>
      </c>
      <c r="T397" s="3265"/>
      <c r="U397" s="3267">
        <f t="shared" si="30"/>
        <v>50</v>
      </c>
      <c r="V397" s="3265"/>
      <c r="W397" s="3265"/>
      <c r="X397" s="3265"/>
      <c r="Y397" s="4"/>
      <c r="Z397" s="3265"/>
      <c r="AA397" s="3265"/>
      <c r="AB397" s="3265"/>
      <c r="AC397" s="3265"/>
      <c r="AD397" s="3265"/>
      <c r="AE397" s="3265"/>
      <c r="AF397" s="3265"/>
      <c r="AG397" s="3265"/>
      <c r="AH397" s="3265"/>
      <c r="AI397" s="57"/>
      <c r="AJ397" s="57"/>
      <c r="AK397" s="57"/>
      <c r="AL397" s="57"/>
      <c r="AM397" s="57"/>
    </row>
    <row r="398" spans="1:39" s="58" customFormat="1" ht="19.5" x14ac:dyDescent="0.2">
      <c r="A398" s="52">
        <v>516000</v>
      </c>
      <c r="B398" s="53"/>
      <c r="C398" s="42"/>
      <c r="D398" s="59" t="s">
        <v>598</v>
      </c>
      <c r="E398" s="69">
        <v>10</v>
      </c>
      <c r="F398" s="69">
        <v>10</v>
      </c>
      <c r="G398" s="69">
        <v>10</v>
      </c>
      <c r="H398" s="69">
        <v>10</v>
      </c>
      <c r="I398" s="70">
        <v>10</v>
      </c>
      <c r="J398" s="4"/>
      <c r="K398" s="4"/>
      <c r="L398" s="3265"/>
      <c r="M398" s="3265"/>
      <c r="N398" s="3265"/>
      <c r="O398" s="3265"/>
      <c r="P398" s="3265"/>
      <c r="Q398" s="3265"/>
      <c r="R398" s="3265"/>
      <c r="S398" s="3266">
        <v>0</v>
      </c>
      <c r="T398" s="3265"/>
      <c r="U398" s="3267">
        <f t="shared" si="30"/>
        <v>50</v>
      </c>
      <c r="V398" s="3265"/>
      <c r="W398" s="3265"/>
      <c r="X398" s="3265"/>
      <c r="Y398" s="4"/>
      <c r="Z398" s="3265"/>
      <c r="AA398" s="3265"/>
      <c r="AB398" s="3265"/>
      <c r="AC398" s="3265"/>
      <c r="AD398" s="3265"/>
      <c r="AE398" s="3265"/>
      <c r="AF398" s="3265"/>
      <c r="AG398" s="3265"/>
      <c r="AH398" s="3265"/>
      <c r="AI398" s="57"/>
      <c r="AJ398" s="57"/>
      <c r="AK398" s="57"/>
      <c r="AL398" s="57"/>
      <c r="AM398" s="57"/>
    </row>
    <row r="399" spans="1:39" s="58" customFormat="1" ht="19.5" x14ac:dyDescent="0.2">
      <c r="A399" s="22">
        <v>516500</v>
      </c>
      <c r="B399" s="53"/>
      <c r="C399" s="42"/>
      <c r="D399" s="59" t="s">
        <v>820</v>
      </c>
      <c r="E399" s="69">
        <v>10</v>
      </c>
      <c r="F399" s="69">
        <v>10</v>
      </c>
      <c r="G399" s="69">
        <v>10</v>
      </c>
      <c r="H399" s="69">
        <v>10</v>
      </c>
      <c r="I399" s="70">
        <v>10</v>
      </c>
      <c r="J399" s="4"/>
      <c r="K399" s="4"/>
      <c r="L399" s="3265"/>
      <c r="M399" s="3265"/>
      <c r="N399" s="3265"/>
      <c r="O399" s="3265"/>
      <c r="P399" s="3265"/>
      <c r="Q399" s="3265"/>
      <c r="R399" s="3265"/>
      <c r="S399" s="3266">
        <v>0</v>
      </c>
      <c r="T399" s="3265"/>
      <c r="U399" s="3267">
        <f t="shared" si="30"/>
        <v>50</v>
      </c>
      <c r="V399" s="3265"/>
      <c r="W399" s="3265"/>
      <c r="X399" s="3265"/>
      <c r="Y399" s="4"/>
      <c r="Z399" s="3265"/>
      <c r="AA399" s="3265"/>
      <c r="AB399" s="3265"/>
      <c r="AC399" s="3265"/>
      <c r="AD399" s="3265"/>
      <c r="AE399" s="3265"/>
      <c r="AF399" s="3265"/>
      <c r="AG399" s="3265"/>
      <c r="AH399" s="3265"/>
      <c r="AI399" s="57"/>
      <c r="AJ399" s="57"/>
      <c r="AK399" s="57"/>
      <c r="AL399" s="57"/>
      <c r="AM399" s="57"/>
    </row>
    <row r="400" spans="1:39" s="58" customFormat="1" ht="19.5" x14ac:dyDescent="0.2">
      <c r="A400" s="52">
        <v>519900</v>
      </c>
      <c r="B400" s="53"/>
      <c r="C400" s="42"/>
      <c r="D400" s="68" t="s">
        <v>574</v>
      </c>
      <c r="E400" s="69">
        <v>10</v>
      </c>
      <c r="F400" s="69">
        <v>10</v>
      </c>
      <c r="G400" s="69">
        <v>10</v>
      </c>
      <c r="H400" s="69">
        <v>10</v>
      </c>
      <c r="I400" s="70">
        <v>10</v>
      </c>
      <c r="J400" s="4"/>
      <c r="K400" s="4"/>
      <c r="L400" s="3265"/>
      <c r="M400" s="4"/>
      <c r="N400" s="4"/>
      <c r="O400" s="4"/>
      <c r="P400" s="3265"/>
      <c r="Q400" s="3265"/>
      <c r="R400" s="3265"/>
      <c r="S400" s="3266">
        <v>0</v>
      </c>
      <c r="T400" s="3265"/>
      <c r="U400" s="3267">
        <f t="shared" si="30"/>
        <v>50</v>
      </c>
      <c r="V400" s="3265"/>
      <c r="W400" s="3265"/>
      <c r="X400" s="3265"/>
      <c r="Y400" s="4"/>
      <c r="Z400" s="3265"/>
      <c r="AA400" s="3265"/>
      <c r="AB400" s="3265"/>
      <c r="AC400" s="3265"/>
      <c r="AD400" s="3265"/>
      <c r="AE400" s="3265"/>
      <c r="AF400" s="3265"/>
      <c r="AG400" s="3265"/>
      <c r="AH400" s="3265"/>
      <c r="AI400" s="57"/>
      <c r="AJ400" s="57"/>
      <c r="AK400" s="57"/>
      <c r="AL400" s="57"/>
      <c r="AM400" s="57"/>
    </row>
    <row r="401" spans="1:39" s="58" customFormat="1" ht="19.5" x14ac:dyDescent="0.2">
      <c r="A401" s="52">
        <v>51</v>
      </c>
      <c r="B401" s="53"/>
      <c r="C401" s="60" t="s">
        <v>821</v>
      </c>
      <c r="D401" s="61"/>
      <c r="E401" s="62">
        <f>SUM(E386:E400)</f>
        <v>150</v>
      </c>
      <c r="F401" s="62">
        <f>SUM(F386:F400)</f>
        <v>150</v>
      </c>
      <c r="G401" s="62">
        <f>SUM(G386:G400)</f>
        <v>150</v>
      </c>
      <c r="H401" s="62">
        <f>SUM(H386:H400)</f>
        <v>150</v>
      </c>
      <c r="I401" s="63">
        <f>SUM(I386:I400)</f>
        <v>150</v>
      </c>
      <c r="J401" s="4"/>
      <c r="K401" s="4"/>
      <c r="L401" s="3265"/>
      <c r="M401" s="4"/>
      <c r="N401" s="4"/>
      <c r="O401" s="4"/>
      <c r="P401" s="3265"/>
      <c r="Q401" s="3265"/>
      <c r="R401" s="3265"/>
      <c r="S401" s="3266">
        <v>0</v>
      </c>
      <c r="T401" s="3265"/>
      <c r="U401" s="3267">
        <f t="shared" si="30"/>
        <v>750</v>
      </c>
      <c r="V401" s="3265"/>
      <c r="W401" s="3265"/>
      <c r="X401" s="3265"/>
      <c r="Y401" s="4"/>
      <c r="Z401" s="3265"/>
      <c r="AA401" s="3265"/>
      <c r="AB401" s="3265"/>
      <c r="AC401" s="3265"/>
      <c r="AD401" s="3265"/>
      <c r="AE401" s="3265"/>
      <c r="AF401" s="3265"/>
      <c r="AG401" s="3265"/>
      <c r="AH401" s="3265"/>
      <c r="AI401" s="57"/>
      <c r="AJ401" s="57"/>
      <c r="AK401" s="57"/>
      <c r="AL401" s="57"/>
      <c r="AM401" s="57"/>
    </row>
    <row r="402" spans="1:39" s="58" customFormat="1" ht="19.5" x14ac:dyDescent="0.2">
      <c r="A402" s="52"/>
      <c r="B402" s="47"/>
      <c r="C402" s="48" t="s">
        <v>822</v>
      </c>
      <c r="D402" s="65"/>
      <c r="E402" s="66"/>
      <c r="F402" s="66"/>
      <c r="G402" s="66"/>
      <c r="H402" s="66"/>
      <c r="I402" s="67"/>
      <c r="J402" s="4"/>
      <c r="K402" s="4"/>
      <c r="L402" s="3265"/>
      <c r="M402" s="4"/>
      <c r="N402" s="4"/>
      <c r="O402" s="4"/>
      <c r="P402" s="3265"/>
      <c r="Q402" s="3265"/>
      <c r="R402" s="3265"/>
      <c r="S402" s="3266">
        <v>0</v>
      </c>
      <c r="T402" s="3265"/>
      <c r="U402" s="3267">
        <f>U418</f>
        <v>750</v>
      </c>
      <c r="V402" s="3265"/>
      <c r="W402" s="3265"/>
      <c r="X402" s="3265"/>
      <c r="Y402" s="4"/>
      <c r="Z402" s="3265"/>
      <c r="AA402" s="3265"/>
      <c r="AB402" s="3265"/>
      <c r="AC402" s="3265"/>
      <c r="AD402" s="3265"/>
      <c r="AE402" s="3265"/>
      <c r="AF402" s="3265"/>
      <c r="AG402" s="3265"/>
      <c r="AH402" s="3265"/>
      <c r="AI402" s="57"/>
      <c r="AJ402" s="57"/>
      <c r="AK402" s="57"/>
      <c r="AL402" s="57"/>
      <c r="AM402" s="57"/>
    </row>
    <row r="403" spans="1:39" s="58" customFormat="1" ht="19.5" x14ac:dyDescent="0.2">
      <c r="A403" s="52">
        <v>520500</v>
      </c>
      <c r="B403" s="53"/>
      <c r="C403" s="42"/>
      <c r="D403" s="54" t="s">
        <v>809</v>
      </c>
      <c r="E403" s="55">
        <v>10</v>
      </c>
      <c r="F403" s="55">
        <v>10</v>
      </c>
      <c r="G403" s="55">
        <v>10</v>
      </c>
      <c r="H403" s="55">
        <v>10</v>
      </c>
      <c r="I403" s="56">
        <v>10</v>
      </c>
      <c r="J403" s="4"/>
      <c r="K403" s="4"/>
      <c r="L403" s="3265"/>
      <c r="M403" s="4"/>
      <c r="N403" s="4"/>
      <c r="O403" s="4"/>
      <c r="P403" s="3265"/>
      <c r="Q403" s="3265"/>
      <c r="R403" s="3265"/>
      <c r="S403" s="3266">
        <v>0</v>
      </c>
      <c r="T403" s="3265"/>
      <c r="U403" s="3267">
        <f t="shared" ref="U403:U419" si="31">SUM(E403:I403)</f>
        <v>50</v>
      </c>
      <c r="V403" s="3265"/>
      <c r="W403" s="3265"/>
      <c r="X403" s="3265"/>
      <c r="Y403" s="4"/>
      <c r="Z403" s="3265"/>
      <c r="AA403" s="3265"/>
      <c r="AB403" s="3265"/>
      <c r="AC403" s="3265"/>
      <c r="AD403" s="3265"/>
      <c r="AE403" s="3265"/>
      <c r="AF403" s="3265"/>
      <c r="AG403" s="3265"/>
      <c r="AH403" s="3265"/>
      <c r="AI403" s="57"/>
      <c r="AJ403" s="57"/>
      <c r="AK403" s="57"/>
      <c r="AL403" s="57"/>
      <c r="AM403" s="57"/>
    </row>
    <row r="404" spans="1:39" s="58" customFormat="1" ht="19.5" x14ac:dyDescent="0.2">
      <c r="A404" s="52">
        <v>521000</v>
      </c>
      <c r="B404" s="53"/>
      <c r="C404" s="42"/>
      <c r="D404" s="59" t="s">
        <v>810</v>
      </c>
      <c r="E404" s="69">
        <v>10</v>
      </c>
      <c r="F404" s="69">
        <v>10</v>
      </c>
      <c r="G404" s="69">
        <v>10</v>
      </c>
      <c r="H404" s="69">
        <v>10</v>
      </c>
      <c r="I404" s="70">
        <v>10</v>
      </c>
      <c r="J404" s="4"/>
      <c r="K404" s="4"/>
      <c r="L404" s="3265"/>
      <c r="M404" s="4"/>
      <c r="N404" s="4"/>
      <c r="O404" s="4"/>
      <c r="P404" s="3265"/>
      <c r="Q404" s="3265"/>
      <c r="R404" s="3265"/>
      <c r="S404" s="3266">
        <v>0</v>
      </c>
      <c r="T404" s="3265"/>
      <c r="U404" s="3267">
        <f t="shared" si="31"/>
        <v>50</v>
      </c>
      <c r="V404" s="3265"/>
      <c r="W404" s="3265"/>
      <c r="X404" s="3265"/>
      <c r="Y404" s="4"/>
      <c r="Z404" s="3265"/>
      <c r="AA404" s="3265"/>
      <c r="AB404" s="3265"/>
      <c r="AC404" s="3265"/>
      <c r="AD404" s="3265"/>
      <c r="AE404" s="3265"/>
      <c r="AF404" s="3265"/>
      <c r="AG404" s="3265"/>
      <c r="AH404" s="3265"/>
      <c r="AI404" s="57"/>
      <c r="AJ404" s="57"/>
      <c r="AK404" s="57"/>
      <c r="AL404" s="57"/>
      <c r="AM404" s="57"/>
    </row>
    <row r="405" spans="1:39" s="58" customFormat="1" ht="19.5" x14ac:dyDescent="0.2">
      <c r="A405" s="52">
        <v>521500</v>
      </c>
      <c r="B405" s="53"/>
      <c r="C405" s="42"/>
      <c r="D405" s="59" t="s">
        <v>811</v>
      </c>
      <c r="E405" s="69">
        <v>10</v>
      </c>
      <c r="F405" s="69">
        <v>10</v>
      </c>
      <c r="G405" s="69">
        <v>10</v>
      </c>
      <c r="H405" s="69">
        <v>10</v>
      </c>
      <c r="I405" s="70">
        <v>10</v>
      </c>
      <c r="J405" s="4"/>
      <c r="K405" s="4"/>
      <c r="L405" s="3265"/>
      <c r="M405" s="4"/>
      <c r="N405" s="4"/>
      <c r="O405" s="4"/>
      <c r="P405" s="3265"/>
      <c r="Q405" s="3265"/>
      <c r="R405" s="3265"/>
      <c r="S405" s="3266">
        <v>0</v>
      </c>
      <c r="T405" s="3265"/>
      <c r="U405" s="3267">
        <f t="shared" si="31"/>
        <v>50</v>
      </c>
      <c r="V405" s="3265"/>
      <c r="W405" s="3265"/>
      <c r="X405" s="3265"/>
      <c r="Y405" s="4"/>
      <c r="Z405" s="3265"/>
      <c r="AA405" s="3265"/>
      <c r="AB405" s="3265"/>
      <c r="AC405" s="3265"/>
      <c r="AD405" s="3265"/>
      <c r="AE405" s="3265"/>
      <c r="AF405" s="3265"/>
      <c r="AG405" s="3265"/>
      <c r="AH405" s="3265"/>
      <c r="AI405" s="57"/>
      <c r="AJ405" s="57"/>
      <c r="AK405" s="57"/>
      <c r="AL405" s="57"/>
      <c r="AM405" s="57"/>
    </row>
    <row r="406" spans="1:39" s="58" customFormat="1" ht="19.5" x14ac:dyDescent="0.2">
      <c r="A406" s="52">
        <v>522000</v>
      </c>
      <c r="B406" s="53"/>
      <c r="C406" s="42"/>
      <c r="D406" s="59" t="s">
        <v>812</v>
      </c>
      <c r="E406" s="69">
        <v>10</v>
      </c>
      <c r="F406" s="69">
        <v>10</v>
      </c>
      <c r="G406" s="69">
        <v>10</v>
      </c>
      <c r="H406" s="69">
        <v>10</v>
      </c>
      <c r="I406" s="70">
        <v>10</v>
      </c>
      <c r="J406" s="4"/>
      <c r="K406" s="4"/>
      <c r="L406" s="3265"/>
      <c r="M406" s="4"/>
      <c r="N406" s="4"/>
      <c r="O406" s="4"/>
      <c r="P406" s="3265"/>
      <c r="Q406" s="3265"/>
      <c r="R406" s="3265"/>
      <c r="S406" s="3266">
        <v>0</v>
      </c>
      <c r="T406" s="3265"/>
      <c r="U406" s="3267">
        <f t="shared" si="31"/>
        <v>50</v>
      </c>
      <c r="V406" s="3265"/>
      <c r="W406" s="3265"/>
      <c r="X406" s="3265"/>
      <c r="Y406" s="4"/>
      <c r="Z406" s="3265"/>
      <c r="AA406" s="3265"/>
      <c r="AB406" s="3265"/>
      <c r="AC406" s="3265"/>
      <c r="AD406" s="3265"/>
      <c r="AE406" s="3265"/>
      <c r="AF406" s="3265"/>
      <c r="AG406" s="3265"/>
      <c r="AH406" s="3265"/>
      <c r="AI406" s="57"/>
      <c r="AJ406" s="57"/>
      <c r="AK406" s="57"/>
      <c r="AL406" s="57"/>
      <c r="AM406" s="57"/>
    </row>
    <row r="407" spans="1:39" s="58" customFormat="1" ht="19.5" x14ac:dyDescent="0.2">
      <c r="A407" s="52">
        <v>522500</v>
      </c>
      <c r="B407" s="53"/>
      <c r="C407" s="42"/>
      <c r="D407" s="59" t="s">
        <v>813</v>
      </c>
      <c r="E407" s="69">
        <v>10</v>
      </c>
      <c r="F407" s="69">
        <v>10</v>
      </c>
      <c r="G407" s="69">
        <v>10</v>
      </c>
      <c r="H407" s="69">
        <v>10</v>
      </c>
      <c r="I407" s="70">
        <v>10</v>
      </c>
      <c r="J407" s="4"/>
      <c r="K407" s="4"/>
      <c r="L407" s="3265"/>
      <c r="M407" s="4"/>
      <c r="N407" s="4"/>
      <c r="O407" s="4"/>
      <c r="P407" s="3265"/>
      <c r="Q407" s="3265"/>
      <c r="R407" s="3265"/>
      <c r="S407" s="3266">
        <v>0</v>
      </c>
      <c r="T407" s="3265"/>
      <c r="U407" s="3267">
        <f t="shared" si="31"/>
        <v>50</v>
      </c>
      <c r="V407" s="3265"/>
      <c r="W407" s="3265"/>
      <c r="X407" s="3265"/>
      <c r="Y407" s="4"/>
      <c r="Z407" s="3265"/>
      <c r="AA407" s="3265"/>
      <c r="AB407" s="3265"/>
      <c r="AC407" s="3265"/>
      <c r="AD407" s="3265"/>
      <c r="AE407" s="3265"/>
      <c r="AF407" s="3265"/>
      <c r="AG407" s="3265"/>
      <c r="AH407" s="3265"/>
      <c r="AI407" s="57"/>
      <c r="AJ407" s="57"/>
      <c r="AK407" s="57"/>
      <c r="AL407" s="57"/>
      <c r="AM407" s="57"/>
    </row>
    <row r="408" spans="1:39" s="58" customFormat="1" ht="19.5" x14ac:dyDescent="0.2">
      <c r="A408" s="52">
        <v>523000</v>
      </c>
      <c r="B408" s="53"/>
      <c r="C408" s="42"/>
      <c r="D408" s="59" t="s">
        <v>814</v>
      </c>
      <c r="E408" s="69">
        <v>10</v>
      </c>
      <c r="F408" s="69">
        <v>10</v>
      </c>
      <c r="G408" s="69">
        <v>10</v>
      </c>
      <c r="H408" s="69">
        <v>10</v>
      </c>
      <c r="I408" s="70">
        <v>10</v>
      </c>
      <c r="J408" s="4"/>
      <c r="K408" s="4"/>
      <c r="L408" s="3265"/>
      <c r="M408" s="4"/>
      <c r="N408" s="4"/>
      <c r="O408" s="4"/>
      <c r="P408" s="3265"/>
      <c r="Q408" s="3265"/>
      <c r="R408" s="3265"/>
      <c r="S408" s="3266">
        <v>0</v>
      </c>
      <c r="T408" s="3265"/>
      <c r="U408" s="3267">
        <f t="shared" si="31"/>
        <v>50</v>
      </c>
      <c r="V408" s="3265"/>
      <c r="W408" s="3265"/>
      <c r="X408" s="3265"/>
      <c r="Y408" s="4"/>
      <c r="Z408" s="3265"/>
      <c r="AA408" s="3265"/>
      <c r="AB408" s="3265"/>
      <c r="AC408" s="3265"/>
      <c r="AD408" s="3265"/>
      <c r="AE408" s="3265"/>
      <c r="AF408" s="3265"/>
      <c r="AG408" s="3265"/>
      <c r="AH408" s="3265"/>
      <c r="AI408" s="57"/>
      <c r="AJ408" s="57"/>
      <c r="AK408" s="57"/>
      <c r="AL408" s="57"/>
      <c r="AM408" s="57"/>
    </row>
    <row r="409" spans="1:39" s="58" customFormat="1" ht="19.5" x14ac:dyDescent="0.2">
      <c r="A409" s="52">
        <v>523500</v>
      </c>
      <c r="B409" s="53"/>
      <c r="C409" s="42"/>
      <c r="D409" s="59" t="s">
        <v>469</v>
      </c>
      <c r="E409" s="69">
        <v>10</v>
      </c>
      <c r="F409" s="69">
        <v>10</v>
      </c>
      <c r="G409" s="69">
        <v>10</v>
      </c>
      <c r="H409" s="69">
        <v>10</v>
      </c>
      <c r="I409" s="70">
        <v>10</v>
      </c>
      <c r="J409" s="4"/>
      <c r="K409" s="4"/>
      <c r="L409" s="3265"/>
      <c r="M409" s="4"/>
      <c r="N409" s="4"/>
      <c r="O409" s="4"/>
      <c r="P409" s="3265"/>
      <c r="Q409" s="3265"/>
      <c r="R409" s="3265"/>
      <c r="S409" s="3266">
        <v>0</v>
      </c>
      <c r="T409" s="3265"/>
      <c r="U409" s="3267">
        <f t="shared" si="31"/>
        <v>50</v>
      </c>
      <c r="V409" s="3265"/>
      <c r="W409" s="3265"/>
      <c r="X409" s="3265"/>
      <c r="Y409" s="4"/>
      <c r="Z409" s="3265"/>
      <c r="AA409" s="3265"/>
      <c r="AB409" s="3265"/>
      <c r="AC409" s="3265"/>
      <c r="AD409" s="3265"/>
      <c r="AE409" s="3265"/>
      <c r="AF409" s="3265"/>
      <c r="AG409" s="3265"/>
      <c r="AH409" s="3265"/>
      <c r="AI409" s="57"/>
      <c r="AJ409" s="57"/>
      <c r="AK409" s="57"/>
      <c r="AL409" s="57"/>
      <c r="AM409" s="57"/>
    </row>
    <row r="410" spans="1:39" s="58" customFormat="1" ht="19.5" x14ac:dyDescent="0.2">
      <c r="A410" s="52">
        <v>524000</v>
      </c>
      <c r="B410" s="53"/>
      <c r="C410" s="42"/>
      <c r="D410" s="59" t="s">
        <v>815</v>
      </c>
      <c r="E410" s="69">
        <v>10</v>
      </c>
      <c r="F410" s="69">
        <v>10</v>
      </c>
      <c r="G410" s="69">
        <v>10</v>
      </c>
      <c r="H410" s="69">
        <v>10</v>
      </c>
      <c r="I410" s="70">
        <v>10</v>
      </c>
      <c r="J410" s="4"/>
      <c r="K410" s="4"/>
      <c r="L410" s="3265"/>
      <c r="M410" s="4"/>
      <c r="N410" s="4"/>
      <c r="O410" s="4"/>
      <c r="P410" s="3265"/>
      <c r="Q410" s="3265"/>
      <c r="R410" s="3265"/>
      <c r="S410" s="3266">
        <v>0</v>
      </c>
      <c r="T410" s="3265"/>
      <c r="U410" s="3267">
        <f t="shared" si="31"/>
        <v>50</v>
      </c>
      <c r="V410" s="3265"/>
      <c r="W410" s="3265"/>
      <c r="X410" s="3265"/>
      <c r="Y410" s="4"/>
      <c r="Z410" s="3265"/>
      <c r="AA410" s="3265"/>
      <c r="AB410" s="3265"/>
      <c r="AC410" s="3265"/>
      <c r="AD410" s="3265"/>
      <c r="AE410" s="3265"/>
      <c r="AF410" s="3265"/>
      <c r="AG410" s="3265"/>
      <c r="AH410" s="3265"/>
      <c r="AI410" s="57"/>
      <c r="AJ410" s="57"/>
      <c r="AK410" s="57"/>
      <c r="AL410" s="57"/>
      <c r="AM410" s="57"/>
    </row>
    <row r="411" spans="1:39" s="58" customFormat="1" ht="19.5" x14ac:dyDescent="0.2">
      <c r="A411" s="52">
        <v>524500</v>
      </c>
      <c r="B411" s="53"/>
      <c r="C411" s="42"/>
      <c r="D411" s="59" t="s">
        <v>816</v>
      </c>
      <c r="E411" s="69">
        <v>10</v>
      </c>
      <c r="F411" s="69">
        <v>10</v>
      </c>
      <c r="G411" s="69">
        <v>10</v>
      </c>
      <c r="H411" s="69">
        <v>10</v>
      </c>
      <c r="I411" s="70">
        <v>10</v>
      </c>
      <c r="J411" s="4"/>
      <c r="K411" s="4"/>
      <c r="L411" s="3265"/>
      <c r="M411" s="4"/>
      <c r="N411" s="4"/>
      <c r="O411" s="4"/>
      <c r="P411" s="3265"/>
      <c r="Q411" s="3265"/>
      <c r="R411" s="3265"/>
      <c r="S411" s="3266">
        <v>0</v>
      </c>
      <c r="T411" s="3265"/>
      <c r="U411" s="3267">
        <f t="shared" si="31"/>
        <v>50</v>
      </c>
      <c r="V411" s="3265"/>
      <c r="W411" s="3265"/>
      <c r="X411" s="3265"/>
      <c r="Y411" s="4"/>
      <c r="Z411" s="3265"/>
      <c r="AA411" s="3265"/>
      <c r="AB411" s="3265"/>
      <c r="AC411" s="3265"/>
      <c r="AD411" s="3265"/>
      <c r="AE411" s="3265"/>
      <c r="AF411" s="3265"/>
      <c r="AG411" s="3265"/>
      <c r="AH411" s="3265"/>
      <c r="AI411" s="57"/>
      <c r="AJ411" s="57"/>
      <c r="AK411" s="57"/>
      <c r="AL411" s="57"/>
      <c r="AM411" s="57"/>
    </row>
    <row r="412" spans="1:39" s="58" customFormat="1" ht="19.5" x14ac:dyDescent="0.2">
      <c r="A412" s="52">
        <v>525000</v>
      </c>
      <c r="B412" s="53"/>
      <c r="C412" s="42"/>
      <c r="D412" s="59" t="s">
        <v>817</v>
      </c>
      <c r="E412" s="69">
        <v>10</v>
      </c>
      <c r="F412" s="69">
        <v>10</v>
      </c>
      <c r="G412" s="69">
        <v>10</v>
      </c>
      <c r="H412" s="69">
        <v>10</v>
      </c>
      <c r="I412" s="70">
        <v>10</v>
      </c>
      <c r="J412" s="4"/>
      <c r="K412" s="4"/>
      <c r="L412" s="3265"/>
      <c r="M412" s="4"/>
      <c r="N412" s="4"/>
      <c r="O412" s="4"/>
      <c r="P412" s="3265"/>
      <c r="Q412" s="3265"/>
      <c r="R412" s="3265"/>
      <c r="S412" s="3266">
        <v>0</v>
      </c>
      <c r="T412" s="3265"/>
      <c r="U412" s="3267">
        <f t="shared" si="31"/>
        <v>50</v>
      </c>
      <c r="V412" s="3265"/>
      <c r="W412" s="3265"/>
      <c r="X412" s="3265"/>
      <c r="Y412" s="4"/>
      <c r="Z412" s="3265"/>
      <c r="AA412" s="3265"/>
      <c r="AB412" s="3265"/>
      <c r="AC412" s="3265"/>
      <c r="AD412" s="3265"/>
      <c r="AE412" s="3265"/>
      <c r="AF412" s="3265"/>
      <c r="AG412" s="3265"/>
      <c r="AH412" s="3265"/>
      <c r="AI412" s="57"/>
      <c r="AJ412" s="57"/>
      <c r="AK412" s="57"/>
      <c r="AL412" s="57"/>
      <c r="AM412" s="57"/>
    </row>
    <row r="413" spans="1:39" s="58" customFormat="1" ht="19.5" x14ac:dyDescent="0.2">
      <c r="A413" s="52">
        <v>525500</v>
      </c>
      <c r="B413" s="53"/>
      <c r="C413" s="42"/>
      <c r="D413" s="59" t="s">
        <v>818</v>
      </c>
      <c r="E413" s="69">
        <v>10</v>
      </c>
      <c r="F413" s="69">
        <v>10</v>
      </c>
      <c r="G413" s="69">
        <v>10</v>
      </c>
      <c r="H413" s="69">
        <v>10</v>
      </c>
      <c r="I413" s="70">
        <v>10</v>
      </c>
      <c r="J413" s="4"/>
      <c r="K413" s="4"/>
      <c r="L413" s="3265"/>
      <c r="M413" s="4"/>
      <c r="N413" s="4"/>
      <c r="O413" s="4"/>
      <c r="P413" s="3265"/>
      <c r="Q413" s="3265"/>
      <c r="R413" s="3265"/>
      <c r="S413" s="3266">
        <v>0</v>
      </c>
      <c r="T413" s="3265"/>
      <c r="U413" s="3267">
        <f t="shared" si="31"/>
        <v>50</v>
      </c>
      <c r="V413" s="3265"/>
      <c r="W413" s="3265"/>
      <c r="X413" s="3265"/>
      <c r="Y413" s="4"/>
      <c r="Z413" s="3265"/>
      <c r="AA413" s="3265"/>
      <c r="AB413" s="3265"/>
      <c r="AC413" s="3265"/>
      <c r="AD413" s="3265"/>
      <c r="AE413" s="3265"/>
      <c r="AF413" s="3265"/>
      <c r="AG413" s="3265"/>
      <c r="AH413" s="3265"/>
      <c r="AI413" s="57"/>
      <c r="AJ413" s="57"/>
      <c r="AK413" s="57"/>
      <c r="AL413" s="57"/>
      <c r="AM413" s="57"/>
    </row>
    <row r="414" spans="1:39" s="58" customFormat="1" ht="19.5" x14ac:dyDescent="0.2">
      <c r="A414" s="52">
        <v>529500</v>
      </c>
      <c r="B414" s="53"/>
      <c r="C414" s="42"/>
      <c r="D414" s="59" t="s">
        <v>819</v>
      </c>
      <c r="E414" s="69">
        <v>10</v>
      </c>
      <c r="F414" s="69">
        <v>10</v>
      </c>
      <c r="G414" s="69">
        <v>10</v>
      </c>
      <c r="H414" s="69">
        <v>10</v>
      </c>
      <c r="I414" s="70">
        <v>10</v>
      </c>
      <c r="J414" s="4"/>
      <c r="K414" s="4"/>
      <c r="L414" s="3265"/>
      <c r="M414" s="4"/>
      <c r="N414" s="4"/>
      <c r="O414" s="4"/>
      <c r="P414" s="3265"/>
      <c r="Q414" s="3265"/>
      <c r="R414" s="3265"/>
      <c r="S414" s="3266">
        <v>0</v>
      </c>
      <c r="T414" s="3265"/>
      <c r="U414" s="3267">
        <f t="shared" si="31"/>
        <v>50</v>
      </c>
      <c r="V414" s="3265"/>
      <c r="W414" s="3265"/>
      <c r="X414" s="3265"/>
      <c r="Y414" s="4"/>
      <c r="Z414" s="3265"/>
      <c r="AA414" s="3265"/>
      <c r="AB414" s="3265"/>
      <c r="AC414" s="3265"/>
      <c r="AD414" s="3265"/>
      <c r="AE414" s="3265"/>
      <c r="AF414" s="3265"/>
      <c r="AG414" s="3265"/>
      <c r="AH414" s="3265"/>
      <c r="AI414" s="57"/>
      <c r="AJ414" s="57"/>
      <c r="AK414" s="57"/>
      <c r="AL414" s="57"/>
      <c r="AM414" s="57"/>
    </row>
    <row r="415" spans="1:39" s="58" customFormat="1" ht="18.95" customHeight="1" x14ac:dyDescent="0.2">
      <c r="A415" s="52">
        <v>526000</v>
      </c>
      <c r="B415" s="53"/>
      <c r="C415" s="42"/>
      <c r="D415" s="59" t="s">
        <v>598</v>
      </c>
      <c r="E415" s="69">
        <v>10</v>
      </c>
      <c r="F415" s="69">
        <v>10</v>
      </c>
      <c r="G415" s="69">
        <v>10</v>
      </c>
      <c r="H415" s="69">
        <v>10</v>
      </c>
      <c r="I415" s="70">
        <v>10</v>
      </c>
      <c r="J415" s="4"/>
      <c r="K415" s="4"/>
      <c r="L415" s="3265"/>
      <c r="M415" s="4"/>
      <c r="N415" s="4"/>
      <c r="O415" s="4"/>
      <c r="P415" s="3265"/>
      <c r="Q415" s="3265"/>
      <c r="R415" s="3265"/>
      <c r="S415" s="3266">
        <v>0</v>
      </c>
      <c r="T415" s="3265"/>
      <c r="U415" s="3267">
        <f t="shared" si="31"/>
        <v>50</v>
      </c>
      <c r="V415" s="3265"/>
      <c r="W415" s="3265"/>
      <c r="X415" s="3265"/>
      <c r="Y415" s="4"/>
      <c r="Z415" s="3265"/>
      <c r="AA415" s="3265"/>
      <c r="AB415" s="3265"/>
      <c r="AC415" s="3265"/>
      <c r="AD415" s="3265"/>
      <c r="AE415" s="3265"/>
      <c r="AF415" s="3265"/>
      <c r="AG415" s="3265"/>
      <c r="AH415" s="3265"/>
      <c r="AI415" s="57"/>
      <c r="AJ415" s="57"/>
      <c r="AK415" s="57"/>
      <c r="AL415" s="57"/>
      <c r="AM415" s="57"/>
    </row>
    <row r="416" spans="1:39" s="58" customFormat="1" ht="18.95" customHeight="1" x14ac:dyDescent="0.2">
      <c r="A416" s="52">
        <v>526500</v>
      </c>
      <c r="B416" s="53"/>
      <c r="C416" s="42"/>
      <c r="D416" s="59" t="s">
        <v>823</v>
      </c>
      <c r="E416" s="69">
        <v>10</v>
      </c>
      <c r="F416" s="69">
        <v>10</v>
      </c>
      <c r="G416" s="69">
        <v>10</v>
      </c>
      <c r="H416" s="69">
        <v>10</v>
      </c>
      <c r="I416" s="70">
        <v>10</v>
      </c>
      <c r="J416" s="4"/>
      <c r="K416" s="4"/>
      <c r="L416" s="3265"/>
      <c r="M416" s="4"/>
      <c r="N416" s="4"/>
      <c r="O416" s="4"/>
      <c r="P416" s="3265"/>
      <c r="Q416" s="3265"/>
      <c r="R416" s="3265"/>
      <c r="S416" s="3266">
        <v>0</v>
      </c>
      <c r="T416" s="3265"/>
      <c r="U416" s="3267">
        <f t="shared" si="31"/>
        <v>50</v>
      </c>
      <c r="V416" s="3265"/>
      <c r="W416" s="3265"/>
      <c r="X416" s="3265"/>
      <c r="Y416" s="4"/>
      <c r="Z416" s="3265"/>
      <c r="AA416" s="3265"/>
      <c r="AB416" s="3265"/>
      <c r="AC416" s="3265"/>
      <c r="AD416" s="3265"/>
      <c r="AE416" s="3265"/>
      <c r="AF416" s="3265"/>
      <c r="AG416" s="3265"/>
      <c r="AH416" s="3265"/>
      <c r="AI416" s="57"/>
      <c r="AJ416" s="57"/>
      <c r="AK416" s="57"/>
      <c r="AL416" s="57"/>
      <c r="AM416" s="57"/>
    </row>
    <row r="417" spans="1:39" s="58" customFormat="1" ht="19.5" x14ac:dyDescent="0.2">
      <c r="A417" s="52">
        <v>529900</v>
      </c>
      <c r="B417" s="53"/>
      <c r="C417" s="42"/>
      <c r="D417" s="68" t="s">
        <v>824</v>
      </c>
      <c r="E417" s="69">
        <v>10</v>
      </c>
      <c r="F417" s="69">
        <v>10</v>
      </c>
      <c r="G417" s="69">
        <v>10</v>
      </c>
      <c r="H417" s="69">
        <v>10</v>
      </c>
      <c r="I417" s="70">
        <v>10</v>
      </c>
      <c r="J417" s="4"/>
      <c r="K417" s="4"/>
      <c r="L417" s="3265"/>
      <c r="M417" s="4"/>
      <c r="N417" s="4"/>
      <c r="O417" s="4"/>
      <c r="P417" s="3265"/>
      <c r="Q417" s="3265"/>
      <c r="R417" s="3265"/>
      <c r="S417" s="3266">
        <v>0</v>
      </c>
      <c r="T417" s="3265"/>
      <c r="U417" s="3267">
        <f t="shared" si="31"/>
        <v>50</v>
      </c>
      <c r="V417" s="3265"/>
      <c r="W417" s="3265"/>
      <c r="X417" s="3265"/>
      <c r="Y417" s="4"/>
      <c r="Z417" s="3265"/>
      <c r="AA417" s="3265"/>
      <c r="AB417" s="3265"/>
      <c r="AC417" s="3265"/>
      <c r="AD417" s="3265"/>
      <c r="AE417" s="3265"/>
      <c r="AF417" s="3265"/>
      <c r="AG417" s="3265"/>
      <c r="AH417" s="3265"/>
      <c r="AI417" s="57"/>
      <c r="AJ417" s="57"/>
      <c r="AK417" s="57"/>
      <c r="AL417" s="57"/>
      <c r="AM417" s="57"/>
    </row>
    <row r="418" spans="1:39" s="58" customFormat="1" ht="19.5" x14ac:dyDescent="0.2">
      <c r="A418" s="52">
        <v>52</v>
      </c>
      <c r="B418" s="53"/>
      <c r="C418" s="73" t="s">
        <v>825</v>
      </c>
      <c r="D418" s="74"/>
      <c r="E418" s="75">
        <f>SUM(E403:E417)</f>
        <v>150</v>
      </c>
      <c r="F418" s="75">
        <f>SUM(F403:F417)</f>
        <v>150</v>
      </c>
      <c r="G418" s="75">
        <f>SUM(G403:G417)</f>
        <v>150</v>
      </c>
      <c r="H418" s="75">
        <f>SUM(H403:H417)</f>
        <v>150</v>
      </c>
      <c r="I418" s="76">
        <f>SUM(I403:I417)</f>
        <v>150</v>
      </c>
      <c r="J418" s="4"/>
      <c r="K418" s="4"/>
      <c r="L418" s="3265"/>
      <c r="M418" s="4"/>
      <c r="N418" s="4"/>
      <c r="O418" s="4"/>
      <c r="P418" s="3265"/>
      <c r="Q418" s="3265"/>
      <c r="R418" s="3265"/>
      <c r="S418" s="3266">
        <v>0</v>
      </c>
      <c r="T418" s="3265"/>
      <c r="U418" s="3267">
        <f t="shared" si="31"/>
        <v>750</v>
      </c>
      <c r="V418" s="3265"/>
      <c r="W418" s="3265"/>
      <c r="X418" s="3265"/>
      <c r="Y418" s="4"/>
      <c r="Z418" s="3265"/>
      <c r="AA418" s="3265"/>
      <c r="AB418" s="3265"/>
      <c r="AC418" s="3265"/>
      <c r="AD418" s="3265"/>
      <c r="AE418" s="3265"/>
      <c r="AF418" s="3265"/>
      <c r="AG418" s="3265"/>
      <c r="AH418" s="3265"/>
      <c r="AI418" s="57"/>
      <c r="AJ418" s="57"/>
      <c r="AK418" s="57"/>
      <c r="AL418" s="57"/>
      <c r="AM418" s="57"/>
    </row>
    <row r="419" spans="1:39" s="58" customFormat="1" ht="19.5" x14ac:dyDescent="0.2">
      <c r="A419" s="52">
        <v>96</v>
      </c>
      <c r="B419" s="86" t="s">
        <v>826</v>
      </c>
      <c r="C419" s="112"/>
      <c r="D419" s="87"/>
      <c r="E419" s="80">
        <f>E384-E401-E418</f>
        <v>2810</v>
      </c>
      <c r="F419" s="80">
        <f>F384-F401-F418</f>
        <v>2810</v>
      </c>
      <c r="G419" s="80">
        <f>G384-G401-G418</f>
        <v>2810</v>
      </c>
      <c r="H419" s="80">
        <f>H384-H401-H418</f>
        <v>2810</v>
      </c>
      <c r="I419" s="81">
        <f>I384-I401-I418</f>
        <v>2810</v>
      </c>
      <c r="J419" s="4"/>
      <c r="K419" s="4"/>
      <c r="L419" s="3265"/>
      <c r="M419" s="4"/>
      <c r="N419" s="4"/>
      <c r="O419" s="4"/>
      <c r="P419" s="3265"/>
      <c r="Q419" s="3265"/>
      <c r="R419" s="3265"/>
      <c r="S419" s="3266">
        <v>0</v>
      </c>
      <c r="T419" s="3265"/>
      <c r="U419" s="3267">
        <f t="shared" si="31"/>
        <v>14050</v>
      </c>
      <c r="V419" s="3265"/>
      <c r="W419" s="3265"/>
      <c r="X419" s="3265"/>
      <c r="Y419" s="4"/>
      <c r="Z419" s="3265"/>
      <c r="AA419" s="3265"/>
      <c r="AB419" s="3265"/>
      <c r="AC419" s="3265"/>
      <c r="AD419" s="3265"/>
      <c r="AE419" s="3265"/>
      <c r="AF419" s="3265"/>
      <c r="AG419" s="3265"/>
      <c r="AH419" s="3265"/>
      <c r="AI419" s="57"/>
      <c r="AJ419" s="57"/>
      <c r="AK419" s="57"/>
      <c r="AL419" s="57"/>
      <c r="AM419" s="57"/>
    </row>
    <row r="420" spans="1:39" s="58" customFormat="1" ht="19.5" x14ac:dyDescent="0.2">
      <c r="A420" s="52"/>
      <c r="B420" s="47"/>
      <c r="C420" s="113" t="s">
        <v>827</v>
      </c>
      <c r="D420" s="65"/>
      <c r="E420" s="66"/>
      <c r="F420" s="66"/>
      <c r="G420" s="66"/>
      <c r="H420" s="66"/>
      <c r="I420" s="67"/>
      <c r="J420" s="4"/>
      <c r="K420" s="4"/>
      <c r="L420" s="3265"/>
      <c r="M420" s="4"/>
      <c r="N420" s="4"/>
      <c r="O420" s="4"/>
      <c r="P420" s="3265"/>
      <c r="Q420" s="3265"/>
      <c r="R420" s="3265"/>
      <c r="S420" s="3266">
        <v>0</v>
      </c>
      <c r="T420" s="3265"/>
      <c r="U420" s="3267">
        <f>U433</f>
        <v>600</v>
      </c>
      <c r="V420" s="3265"/>
      <c r="W420" s="3265"/>
      <c r="X420" s="3265"/>
      <c r="Y420" s="4"/>
      <c r="Z420" s="3265"/>
      <c r="AA420" s="3265"/>
      <c r="AB420" s="3265"/>
      <c r="AC420" s="3265"/>
      <c r="AD420" s="3265"/>
      <c r="AE420" s="3265"/>
      <c r="AF420" s="3265"/>
      <c r="AG420" s="3265"/>
      <c r="AH420" s="3265"/>
      <c r="AI420" s="57"/>
      <c r="AJ420" s="57"/>
      <c r="AK420" s="57"/>
      <c r="AL420" s="57"/>
      <c r="AM420" s="57"/>
    </row>
    <row r="421" spans="1:39" s="58" customFormat="1" ht="19.5" x14ac:dyDescent="0.2">
      <c r="A421" s="52">
        <v>421000</v>
      </c>
      <c r="B421" s="53"/>
      <c r="C421" s="42"/>
      <c r="D421" s="54" t="s">
        <v>828</v>
      </c>
      <c r="E421" s="55">
        <v>10</v>
      </c>
      <c r="F421" s="55">
        <v>10</v>
      </c>
      <c r="G421" s="55">
        <v>10</v>
      </c>
      <c r="H421" s="55">
        <v>10</v>
      </c>
      <c r="I421" s="56">
        <v>10</v>
      </c>
      <c r="J421" s="4"/>
      <c r="K421" s="4"/>
      <c r="L421" s="3265"/>
      <c r="M421" s="4"/>
      <c r="N421" s="4"/>
      <c r="O421" s="4"/>
      <c r="P421" s="3265"/>
      <c r="Q421" s="3265"/>
      <c r="R421" s="3265"/>
      <c r="S421" s="3266">
        <v>0</v>
      </c>
      <c r="T421" s="3265"/>
      <c r="U421" s="3267">
        <f t="shared" ref="U421:U433" si="32">SUM(E421:I421)</f>
        <v>50</v>
      </c>
      <c r="V421" s="3265"/>
      <c r="W421" s="3265"/>
      <c r="X421" s="3265"/>
      <c r="Y421" s="4"/>
      <c r="Z421" s="3265"/>
      <c r="AA421" s="3265"/>
      <c r="AB421" s="3265"/>
      <c r="AC421" s="3265"/>
      <c r="AD421" s="3265"/>
      <c r="AE421" s="3265"/>
      <c r="AF421" s="3265"/>
      <c r="AG421" s="3265"/>
      <c r="AH421" s="3265"/>
      <c r="AI421" s="57"/>
      <c r="AJ421" s="57"/>
      <c r="AK421" s="57"/>
      <c r="AL421" s="57"/>
      <c r="AM421" s="57"/>
    </row>
    <row r="422" spans="1:39" s="58" customFormat="1" ht="19.5" x14ac:dyDescent="0.2">
      <c r="A422" s="52">
        <v>421020</v>
      </c>
      <c r="B422" s="53"/>
      <c r="C422" s="42"/>
      <c r="D422" s="59" t="s">
        <v>829</v>
      </c>
      <c r="E422" s="69">
        <v>10</v>
      </c>
      <c r="F422" s="69">
        <v>10</v>
      </c>
      <c r="G422" s="69">
        <v>10</v>
      </c>
      <c r="H422" s="69">
        <v>10</v>
      </c>
      <c r="I422" s="70">
        <v>10</v>
      </c>
      <c r="J422" s="4"/>
      <c r="K422" s="4"/>
      <c r="L422" s="3265"/>
      <c r="M422" s="4"/>
      <c r="N422" s="4"/>
      <c r="O422" s="4"/>
      <c r="P422" s="3265"/>
      <c r="Q422" s="3265"/>
      <c r="R422" s="3265"/>
      <c r="S422" s="3266">
        <v>0</v>
      </c>
      <c r="T422" s="3265"/>
      <c r="U422" s="3267">
        <f t="shared" si="32"/>
        <v>50</v>
      </c>
      <c r="V422" s="3265"/>
      <c r="W422" s="3265"/>
      <c r="X422" s="3265"/>
      <c r="Y422" s="4"/>
      <c r="Z422" s="3265"/>
      <c r="AA422" s="3265"/>
      <c r="AB422" s="3265"/>
      <c r="AC422" s="3265"/>
      <c r="AD422" s="3265"/>
      <c r="AE422" s="3265"/>
      <c r="AF422" s="3265"/>
      <c r="AG422" s="3265"/>
      <c r="AH422" s="3265"/>
      <c r="AI422" s="57"/>
      <c r="AJ422" s="57"/>
      <c r="AK422" s="57"/>
      <c r="AL422" s="57"/>
      <c r="AM422" s="57"/>
    </row>
    <row r="423" spans="1:39" s="58" customFormat="1" ht="19.5" x14ac:dyDescent="0.2">
      <c r="A423" s="52">
        <v>420500</v>
      </c>
      <c r="B423" s="53"/>
      <c r="C423" s="42"/>
      <c r="D423" s="59" t="s">
        <v>830</v>
      </c>
      <c r="E423" s="69">
        <v>10</v>
      </c>
      <c r="F423" s="69">
        <v>10</v>
      </c>
      <c r="G423" s="69">
        <v>10</v>
      </c>
      <c r="H423" s="69">
        <v>10</v>
      </c>
      <c r="I423" s="70">
        <v>10</v>
      </c>
      <c r="J423" s="4"/>
      <c r="K423" s="4"/>
      <c r="L423" s="3265"/>
      <c r="M423" s="4"/>
      <c r="N423" s="4"/>
      <c r="O423" s="4"/>
      <c r="P423" s="3265"/>
      <c r="Q423" s="3265"/>
      <c r="R423" s="3265"/>
      <c r="S423" s="3266">
        <v>0</v>
      </c>
      <c r="T423" s="3265"/>
      <c r="U423" s="3267">
        <f t="shared" si="32"/>
        <v>50</v>
      </c>
      <c r="V423" s="3265"/>
      <c r="W423" s="3265"/>
      <c r="X423" s="3265"/>
      <c r="Y423" s="4"/>
      <c r="Z423" s="3265"/>
      <c r="AA423" s="3265"/>
      <c r="AB423" s="3265"/>
      <c r="AC423" s="3265"/>
      <c r="AD423" s="3265"/>
      <c r="AE423" s="3265"/>
      <c r="AF423" s="3265"/>
      <c r="AG423" s="3265"/>
      <c r="AH423" s="3265"/>
      <c r="AI423" s="57"/>
      <c r="AJ423" s="57"/>
      <c r="AK423" s="57"/>
      <c r="AL423" s="57"/>
      <c r="AM423" s="57"/>
    </row>
    <row r="424" spans="1:39" s="58" customFormat="1" ht="19.5" x14ac:dyDescent="0.2">
      <c r="A424" s="52">
        <v>421040</v>
      </c>
      <c r="B424" s="53"/>
      <c r="C424" s="42"/>
      <c r="D424" s="59" t="s">
        <v>831</v>
      </c>
      <c r="E424" s="69">
        <v>10</v>
      </c>
      <c r="F424" s="69">
        <v>10</v>
      </c>
      <c r="G424" s="69">
        <v>10</v>
      </c>
      <c r="H424" s="69">
        <v>10</v>
      </c>
      <c r="I424" s="70">
        <v>10</v>
      </c>
      <c r="J424" s="4"/>
      <c r="K424" s="4"/>
      <c r="L424" s="3265"/>
      <c r="M424" s="4"/>
      <c r="N424" s="4"/>
      <c r="O424" s="4"/>
      <c r="P424" s="3265"/>
      <c r="Q424" s="3265"/>
      <c r="R424" s="3265"/>
      <c r="S424" s="3266">
        <v>0</v>
      </c>
      <c r="T424" s="3265"/>
      <c r="U424" s="3267">
        <f t="shared" si="32"/>
        <v>50</v>
      </c>
      <c r="V424" s="3265"/>
      <c r="W424" s="3265"/>
      <c r="X424" s="3265"/>
      <c r="Y424" s="4"/>
      <c r="Z424" s="3265"/>
      <c r="AA424" s="3265"/>
      <c r="AB424" s="3265"/>
      <c r="AC424" s="3265"/>
      <c r="AD424" s="3265"/>
      <c r="AE424" s="3265"/>
      <c r="AF424" s="3265"/>
      <c r="AG424" s="3265"/>
      <c r="AH424" s="3265"/>
      <c r="AI424" s="57"/>
      <c r="AJ424" s="57"/>
      <c r="AK424" s="57"/>
      <c r="AL424" s="57"/>
      <c r="AM424" s="57"/>
    </row>
    <row r="425" spans="1:39" s="58" customFormat="1" ht="19.5" x14ac:dyDescent="0.2">
      <c r="A425" s="52">
        <v>421500</v>
      </c>
      <c r="B425" s="53"/>
      <c r="C425" s="42"/>
      <c r="D425" s="59" t="s">
        <v>832</v>
      </c>
      <c r="E425" s="69">
        <v>10</v>
      </c>
      <c r="F425" s="69">
        <v>10</v>
      </c>
      <c r="G425" s="69">
        <v>10</v>
      </c>
      <c r="H425" s="69">
        <v>10</v>
      </c>
      <c r="I425" s="70">
        <v>10</v>
      </c>
      <c r="J425" s="4"/>
      <c r="K425" s="4"/>
      <c r="L425" s="3265"/>
      <c r="M425" s="4"/>
      <c r="N425" s="4"/>
      <c r="O425" s="4"/>
      <c r="P425" s="3265"/>
      <c r="Q425" s="3265"/>
      <c r="R425" s="3265"/>
      <c r="S425" s="3266">
        <v>0</v>
      </c>
      <c r="T425" s="3265"/>
      <c r="U425" s="3267">
        <f t="shared" si="32"/>
        <v>50</v>
      </c>
      <c r="V425" s="3265"/>
      <c r="W425" s="3265"/>
      <c r="X425" s="3265"/>
      <c r="Y425" s="3265"/>
      <c r="Z425" s="3265"/>
      <c r="AA425" s="3265"/>
      <c r="AB425" s="3265"/>
      <c r="AC425" s="3265"/>
      <c r="AD425" s="3265"/>
      <c r="AE425" s="3265"/>
      <c r="AF425" s="3265"/>
      <c r="AG425" s="3265"/>
      <c r="AH425" s="3265"/>
      <c r="AI425" s="57"/>
      <c r="AJ425" s="57"/>
      <c r="AK425" s="57"/>
      <c r="AL425" s="57"/>
      <c r="AM425" s="57"/>
    </row>
    <row r="426" spans="1:39" s="58" customFormat="1" ht="19.5" x14ac:dyDescent="0.2">
      <c r="A426" s="52">
        <v>422000</v>
      </c>
      <c r="B426" s="53"/>
      <c r="C426" s="42"/>
      <c r="D426" s="59" t="s">
        <v>812</v>
      </c>
      <c r="E426" s="69">
        <v>10</v>
      </c>
      <c r="F426" s="69">
        <v>10</v>
      </c>
      <c r="G426" s="69">
        <v>10</v>
      </c>
      <c r="H426" s="69">
        <v>10</v>
      </c>
      <c r="I426" s="70">
        <v>10</v>
      </c>
      <c r="J426" s="4"/>
      <c r="K426" s="4"/>
      <c r="L426" s="3265"/>
      <c r="M426" s="4"/>
      <c r="N426" s="4"/>
      <c r="O426" s="4"/>
      <c r="P426" s="3265"/>
      <c r="Q426" s="3265"/>
      <c r="R426" s="3265"/>
      <c r="S426" s="3266">
        <v>0</v>
      </c>
      <c r="T426" s="3265"/>
      <c r="U426" s="3267">
        <f t="shared" si="32"/>
        <v>50</v>
      </c>
      <c r="V426" s="3265"/>
      <c r="W426" s="3265"/>
      <c r="X426" s="3265"/>
      <c r="Y426" s="3265"/>
      <c r="Z426" s="3265"/>
      <c r="AA426" s="3265"/>
      <c r="AB426" s="3265"/>
      <c r="AC426" s="3265"/>
      <c r="AD426" s="3265"/>
      <c r="AE426" s="3265"/>
      <c r="AF426" s="3265"/>
      <c r="AG426" s="3265"/>
      <c r="AH426" s="3265"/>
      <c r="AI426" s="57"/>
      <c r="AJ426" s="57"/>
      <c r="AK426" s="57"/>
      <c r="AL426" s="57"/>
      <c r="AM426" s="57"/>
    </row>
    <row r="427" spans="1:39" s="58" customFormat="1" ht="19.5" x14ac:dyDescent="0.2">
      <c r="A427" s="52">
        <v>422500</v>
      </c>
      <c r="B427" s="53"/>
      <c r="C427" s="42"/>
      <c r="D427" s="59" t="s">
        <v>833</v>
      </c>
      <c r="E427" s="69">
        <v>10</v>
      </c>
      <c r="F427" s="69">
        <v>10</v>
      </c>
      <c r="G427" s="69">
        <v>10</v>
      </c>
      <c r="H427" s="69">
        <v>10</v>
      </c>
      <c r="I427" s="70">
        <v>10</v>
      </c>
      <c r="J427" s="4"/>
      <c r="K427" s="4"/>
      <c r="L427" s="3265"/>
      <c r="M427" s="4"/>
      <c r="N427" s="4"/>
      <c r="O427" s="4"/>
      <c r="P427" s="3265"/>
      <c r="Q427" s="3265"/>
      <c r="R427" s="3265"/>
      <c r="S427" s="3266">
        <v>0</v>
      </c>
      <c r="T427" s="3265"/>
      <c r="U427" s="3267">
        <f t="shared" si="32"/>
        <v>50</v>
      </c>
      <c r="V427" s="3265"/>
      <c r="W427" s="3265"/>
      <c r="X427" s="3265"/>
      <c r="Y427" s="3265"/>
      <c r="Z427" s="3265"/>
      <c r="AA427" s="3265"/>
      <c r="AB427" s="3265"/>
      <c r="AC427" s="3265"/>
      <c r="AD427" s="3265"/>
      <c r="AE427" s="3265"/>
      <c r="AF427" s="3265"/>
      <c r="AG427" s="3265"/>
      <c r="AH427" s="3265"/>
      <c r="AI427" s="57"/>
      <c r="AJ427" s="57"/>
      <c r="AK427" s="57"/>
      <c r="AL427" s="57"/>
      <c r="AM427" s="57"/>
    </row>
    <row r="428" spans="1:39" s="58" customFormat="1" ht="19.5" x14ac:dyDescent="0.2">
      <c r="A428" s="52">
        <v>423500</v>
      </c>
      <c r="B428" s="53"/>
      <c r="C428" s="42"/>
      <c r="D428" s="59" t="s">
        <v>469</v>
      </c>
      <c r="E428" s="69">
        <v>10</v>
      </c>
      <c r="F428" s="69">
        <v>10</v>
      </c>
      <c r="G428" s="69">
        <v>10</v>
      </c>
      <c r="H428" s="69">
        <v>10</v>
      </c>
      <c r="I428" s="70">
        <v>10</v>
      </c>
      <c r="J428" s="4"/>
      <c r="K428" s="4"/>
      <c r="L428" s="3265"/>
      <c r="M428" s="4"/>
      <c r="N428" s="4"/>
      <c r="O428" s="4"/>
      <c r="P428" s="3265"/>
      <c r="Q428" s="3265"/>
      <c r="R428" s="3265"/>
      <c r="S428" s="3266">
        <v>0</v>
      </c>
      <c r="T428" s="3265"/>
      <c r="U428" s="3267">
        <f t="shared" si="32"/>
        <v>50</v>
      </c>
      <c r="V428" s="3265"/>
      <c r="W428" s="3265"/>
      <c r="X428" s="3265"/>
      <c r="Y428" s="3265"/>
      <c r="Z428" s="3265"/>
      <c r="AA428" s="3265"/>
      <c r="AB428" s="3265"/>
      <c r="AC428" s="3265"/>
      <c r="AD428" s="3265"/>
      <c r="AE428" s="3265"/>
      <c r="AF428" s="3265"/>
      <c r="AG428" s="3265"/>
      <c r="AH428" s="3265"/>
      <c r="AI428" s="57"/>
      <c r="AJ428" s="57"/>
      <c r="AK428" s="57"/>
      <c r="AL428" s="57"/>
      <c r="AM428" s="57"/>
    </row>
    <row r="429" spans="1:39" s="58" customFormat="1" ht="19.5" x14ac:dyDescent="0.2">
      <c r="A429" s="52">
        <v>424000</v>
      </c>
      <c r="B429" s="53"/>
      <c r="C429" s="42"/>
      <c r="D429" s="59" t="s">
        <v>834</v>
      </c>
      <c r="E429" s="69">
        <v>10</v>
      </c>
      <c r="F429" s="69">
        <v>10</v>
      </c>
      <c r="G429" s="69">
        <v>10</v>
      </c>
      <c r="H429" s="69">
        <v>10</v>
      </c>
      <c r="I429" s="70">
        <v>10</v>
      </c>
      <c r="J429" s="4"/>
      <c r="K429" s="4"/>
      <c r="L429" s="3265"/>
      <c r="M429" s="4"/>
      <c r="N429" s="4"/>
      <c r="O429" s="4"/>
      <c r="P429" s="3265"/>
      <c r="Q429" s="3265"/>
      <c r="R429" s="3265"/>
      <c r="S429" s="3266">
        <v>0</v>
      </c>
      <c r="T429" s="3265"/>
      <c r="U429" s="3267">
        <f t="shared" si="32"/>
        <v>50</v>
      </c>
      <c r="V429" s="3265"/>
      <c r="W429" s="3265"/>
      <c r="X429" s="3265"/>
      <c r="Y429" s="3265"/>
      <c r="Z429" s="3265"/>
      <c r="AA429" s="3265"/>
      <c r="AB429" s="3265"/>
      <c r="AC429" s="3265"/>
      <c r="AD429" s="3265"/>
      <c r="AE429" s="3265"/>
      <c r="AF429" s="3265"/>
      <c r="AG429" s="3265"/>
      <c r="AH429" s="3265"/>
      <c r="AI429" s="57"/>
      <c r="AJ429" s="57"/>
      <c r="AK429" s="57"/>
      <c r="AL429" s="57"/>
      <c r="AM429" s="57"/>
    </row>
    <row r="430" spans="1:39" s="58" customFormat="1" ht="19.5" x14ac:dyDescent="0.2">
      <c r="A430" s="52">
        <v>425000</v>
      </c>
      <c r="B430" s="53"/>
      <c r="C430" s="42"/>
      <c r="D430" s="59" t="s">
        <v>835</v>
      </c>
      <c r="E430" s="69">
        <v>10</v>
      </c>
      <c r="F430" s="69">
        <v>10</v>
      </c>
      <c r="G430" s="69">
        <v>10</v>
      </c>
      <c r="H430" s="69">
        <v>10</v>
      </c>
      <c r="I430" s="70">
        <v>10</v>
      </c>
      <c r="J430" s="4"/>
      <c r="K430" s="4"/>
      <c r="L430" s="3265"/>
      <c r="M430" s="4"/>
      <c r="N430" s="4"/>
      <c r="O430" s="4"/>
      <c r="P430" s="3265"/>
      <c r="Q430" s="3265"/>
      <c r="R430" s="3265"/>
      <c r="S430" s="3266">
        <v>0</v>
      </c>
      <c r="T430" s="3265"/>
      <c r="U430" s="3267">
        <f t="shared" si="32"/>
        <v>50</v>
      </c>
      <c r="V430" s="3265"/>
      <c r="W430" s="3265"/>
      <c r="X430" s="3265"/>
      <c r="Y430" s="3265"/>
      <c r="Z430" s="3265"/>
      <c r="AA430" s="3265"/>
      <c r="AB430" s="3265"/>
      <c r="AC430" s="3265"/>
      <c r="AD430" s="3265"/>
      <c r="AE430" s="3265"/>
      <c r="AF430" s="3265"/>
      <c r="AG430" s="3265"/>
      <c r="AH430" s="3265"/>
      <c r="AI430" s="57"/>
      <c r="AJ430" s="57"/>
      <c r="AK430" s="57"/>
      <c r="AL430" s="57"/>
      <c r="AM430" s="57"/>
    </row>
    <row r="431" spans="1:39" s="58" customFormat="1" ht="19.5" x14ac:dyDescent="0.2">
      <c r="A431" s="52">
        <v>426500</v>
      </c>
      <c r="B431" s="53"/>
      <c r="C431" s="42"/>
      <c r="D431" s="59" t="s">
        <v>529</v>
      </c>
      <c r="E431" s="69">
        <v>10</v>
      </c>
      <c r="F431" s="69">
        <v>10</v>
      </c>
      <c r="G431" s="69">
        <v>10</v>
      </c>
      <c r="H431" s="69">
        <v>10</v>
      </c>
      <c r="I431" s="70">
        <v>10</v>
      </c>
      <c r="J431" s="4"/>
      <c r="K431" s="4"/>
      <c r="L431" s="3265"/>
      <c r="M431" s="4"/>
      <c r="N431" s="4"/>
      <c r="O431" s="4"/>
      <c r="P431" s="3265"/>
      <c r="Q431" s="3265"/>
      <c r="R431" s="3265"/>
      <c r="S431" s="3266">
        <v>0</v>
      </c>
      <c r="T431" s="3265"/>
      <c r="U431" s="3267">
        <f t="shared" si="32"/>
        <v>50</v>
      </c>
      <c r="V431" s="3265"/>
      <c r="W431" s="3265"/>
      <c r="X431" s="3265"/>
      <c r="Y431" s="3265"/>
      <c r="Z431" s="3265"/>
      <c r="AA431" s="3265"/>
      <c r="AB431" s="3265"/>
      <c r="AC431" s="3265"/>
      <c r="AD431" s="3265"/>
      <c r="AE431" s="3265"/>
      <c r="AF431" s="3265"/>
      <c r="AG431" s="3265"/>
      <c r="AH431" s="3265"/>
      <c r="AI431" s="57"/>
      <c r="AJ431" s="57"/>
      <c r="AK431" s="57"/>
      <c r="AL431" s="57"/>
      <c r="AM431" s="57"/>
    </row>
    <row r="432" spans="1:39" s="58" customFormat="1" ht="19.5" x14ac:dyDescent="0.2">
      <c r="A432" s="52">
        <v>429500</v>
      </c>
      <c r="B432" s="53"/>
      <c r="C432" s="42"/>
      <c r="D432" s="59" t="s">
        <v>819</v>
      </c>
      <c r="E432" s="69">
        <v>10</v>
      </c>
      <c r="F432" s="69">
        <v>10</v>
      </c>
      <c r="G432" s="69">
        <v>10</v>
      </c>
      <c r="H432" s="69">
        <v>10</v>
      </c>
      <c r="I432" s="70">
        <v>10</v>
      </c>
      <c r="J432" s="4"/>
      <c r="K432" s="4"/>
      <c r="L432" s="3265"/>
      <c r="M432" s="4"/>
      <c r="N432" s="4"/>
      <c r="O432" s="4"/>
      <c r="P432" s="3265"/>
      <c r="Q432" s="3265"/>
      <c r="R432" s="3265"/>
      <c r="S432" s="3266">
        <v>0</v>
      </c>
      <c r="T432" s="3265"/>
      <c r="U432" s="3267">
        <f t="shared" si="32"/>
        <v>50</v>
      </c>
      <c r="V432" s="3265"/>
      <c r="W432" s="3265"/>
      <c r="X432" s="3265"/>
      <c r="Y432" s="3265"/>
      <c r="Z432" s="3265"/>
      <c r="AA432" s="3265"/>
      <c r="AB432" s="3265"/>
      <c r="AC432" s="3265"/>
      <c r="AD432" s="3265"/>
      <c r="AE432" s="3265"/>
      <c r="AF432" s="3265"/>
      <c r="AG432" s="3265"/>
      <c r="AH432" s="3265"/>
      <c r="AI432" s="57"/>
      <c r="AJ432" s="57"/>
      <c r="AK432" s="57"/>
      <c r="AL432" s="57"/>
      <c r="AM432" s="57"/>
    </row>
    <row r="433" spans="1:39" s="58" customFormat="1" ht="19.5" x14ac:dyDescent="0.2">
      <c r="A433" s="52">
        <v>42</v>
      </c>
      <c r="B433" s="53"/>
      <c r="C433" s="60" t="s">
        <v>836</v>
      </c>
      <c r="D433" s="61"/>
      <c r="E433" s="62">
        <f>SUM(E421:E432)</f>
        <v>120</v>
      </c>
      <c r="F433" s="62">
        <f>SUM(F421:F432)</f>
        <v>120</v>
      </c>
      <c r="G433" s="62">
        <f>SUM(G421:G432)</f>
        <v>120</v>
      </c>
      <c r="H433" s="62">
        <f>SUM(H421:H432)</f>
        <v>120</v>
      </c>
      <c r="I433" s="63">
        <f>SUM(I421:I432)</f>
        <v>120</v>
      </c>
      <c r="J433" s="4"/>
      <c r="K433" s="4"/>
      <c r="L433" s="3265"/>
      <c r="M433" s="4"/>
      <c r="N433" s="4"/>
      <c r="O433" s="4"/>
      <c r="P433" s="3265"/>
      <c r="Q433" s="3265"/>
      <c r="R433" s="3265"/>
      <c r="S433" s="3266">
        <v>0</v>
      </c>
      <c r="T433" s="3265"/>
      <c r="U433" s="3267">
        <f t="shared" si="32"/>
        <v>600</v>
      </c>
      <c r="V433" s="3265"/>
      <c r="W433" s="3265"/>
      <c r="X433" s="3265"/>
      <c r="Y433" s="3265"/>
      <c r="Z433" s="3265"/>
      <c r="AA433" s="3265"/>
      <c r="AB433" s="3265"/>
      <c r="AC433" s="3265"/>
      <c r="AD433" s="3265"/>
      <c r="AE433" s="3265"/>
      <c r="AF433" s="3265"/>
      <c r="AG433" s="3265"/>
      <c r="AH433" s="3265"/>
      <c r="AI433" s="57"/>
      <c r="AJ433" s="57"/>
      <c r="AK433" s="57"/>
      <c r="AL433" s="57"/>
      <c r="AM433" s="57"/>
    </row>
    <row r="434" spans="1:39" s="58" customFormat="1" ht="19.5" x14ac:dyDescent="0.2">
      <c r="A434" s="52"/>
      <c r="B434" s="47"/>
      <c r="C434" s="48" t="s">
        <v>837</v>
      </c>
      <c r="D434" s="65"/>
      <c r="E434" s="66"/>
      <c r="F434" s="66"/>
      <c r="G434" s="66"/>
      <c r="H434" s="66"/>
      <c r="I434" s="67"/>
      <c r="J434" s="4"/>
      <c r="K434" s="4"/>
      <c r="L434" s="3265"/>
      <c r="M434" s="4"/>
      <c r="N434" s="4"/>
      <c r="O434" s="4"/>
      <c r="P434" s="3265"/>
      <c r="Q434" s="3265"/>
      <c r="R434" s="3265"/>
      <c r="S434" s="3266">
        <v>0</v>
      </c>
      <c r="T434" s="3265"/>
      <c r="U434" s="3267">
        <f>U447</f>
        <v>600</v>
      </c>
      <c r="V434" s="3265"/>
      <c r="W434" s="3265"/>
      <c r="X434" s="3265"/>
      <c r="Y434" s="3265"/>
      <c r="Z434" s="3265"/>
      <c r="AA434" s="3265"/>
      <c r="AB434" s="3265"/>
      <c r="AC434" s="3265"/>
      <c r="AD434" s="3265"/>
      <c r="AE434" s="3265"/>
      <c r="AF434" s="3265"/>
      <c r="AG434" s="3265"/>
      <c r="AH434" s="3265"/>
      <c r="AI434" s="57"/>
      <c r="AJ434" s="57"/>
      <c r="AK434" s="57"/>
      <c r="AL434" s="57"/>
      <c r="AM434" s="57"/>
    </row>
    <row r="435" spans="1:39" s="58" customFormat="1" ht="19.5" x14ac:dyDescent="0.2">
      <c r="A435" s="52">
        <v>5301</v>
      </c>
      <c r="B435" s="53"/>
      <c r="C435" s="42"/>
      <c r="D435" s="54" t="s">
        <v>838</v>
      </c>
      <c r="E435" s="55">
        <v>10</v>
      </c>
      <c r="F435" s="55">
        <v>10</v>
      </c>
      <c r="G435" s="55">
        <v>10</v>
      </c>
      <c r="H435" s="55">
        <v>10</v>
      </c>
      <c r="I435" s="56">
        <v>10</v>
      </c>
      <c r="J435" s="4"/>
      <c r="K435" s="4"/>
      <c r="L435" s="3265"/>
      <c r="M435" s="4"/>
      <c r="N435" s="4"/>
      <c r="O435" s="4"/>
      <c r="P435" s="3265"/>
      <c r="Q435" s="3265"/>
      <c r="R435" s="3265"/>
      <c r="S435" s="3266">
        <v>0</v>
      </c>
      <c r="T435" s="3265"/>
      <c r="U435" s="3267">
        <f t="shared" ref="U435:U452" si="33">SUM(E435:I435)</f>
        <v>50</v>
      </c>
      <c r="V435" s="3265"/>
      <c r="W435" s="3265"/>
      <c r="X435" s="3265"/>
      <c r="Y435" s="3265"/>
      <c r="Z435" s="3265"/>
      <c r="AA435" s="3265"/>
      <c r="AB435" s="3265"/>
      <c r="AC435" s="3265"/>
      <c r="AD435" s="3265"/>
      <c r="AE435" s="3265"/>
      <c r="AF435" s="3265"/>
      <c r="AG435" s="3265"/>
      <c r="AH435" s="3265"/>
      <c r="AI435" s="57"/>
      <c r="AJ435" s="57"/>
      <c r="AK435" s="57"/>
      <c r="AL435" s="57"/>
      <c r="AM435" s="57"/>
    </row>
    <row r="436" spans="1:39" s="58" customFormat="1" ht="19.5" x14ac:dyDescent="0.2">
      <c r="A436" s="52">
        <v>530525</v>
      </c>
      <c r="B436" s="53"/>
      <c r="C436" s="42"/>
      <c r="D436" s="59" t="s">
        <v>829</v>
      </c>
      <c r="E436" s="69">
        <v>10</v>
      </c>
      <c r="F436" s="69">
        <v>10</v>
      </c>
      <c r="G436" s="69">
        <v>10</v>
      </c>
      <c r="H436" s="69">
        <v>10</v>
      </c>
      <c r="I436" s="70">
        <v>10</v>
      </c>
      <c r="J436" s="4"/>
      <c r="K436" s="4"/>
      <c r="L436" s="3265"/>
      <c r="M436" s="4"/>
      <c r="N436" s="4"/>
      <c r="O436" s="4"/>
      <c r="P436" s="3265"/>
      <c r="Q436" s="3265"/>
      <c r="R436" s="3265"/>
      <c r="S436" s="3266">
        <v>0</v>
      </c>
      <c r="T436" s="3265"/>
      <c r="U436" s="3267">
        <f t="shared" si="33"/>
        <v>50</v>
      </c>
      <c r="V436" s="3265"/>
      <c r="W436" s="3265"/>
      <c r="X436" s="3265"/>
      <c r="Y436" s="3265"/>
      <c r="Z436" s="3265"/>
      <c r="AA436" s="3265"/>
      <c r="AB436" s="3265"/>
      <c r="AC436" s="3265"/>
      <c r="AD436" s="3265"/>
      <c r="AE436" s="3265"/>
      <c r="AF436" s="3265"/>
      <c r="AG436" s="3265"/>
      <c r="AH436" s="3265"/>
      <c r="AI436" s="57"/>
      <c r="AJ436" s="57"/>
      <c r="AK436" s="57"/>
      <c r="AL436" s="57"/>
      <c r="AM436" s="57"/>
    </row>
    <row r="437" spans="1:39" s="58" customFormat="1" ht="19.5" x14ac:dyDescent="0.2">
      <c r="A437" s="52">
        <v>530505</v>
      </c>
      <c r="B437" s="53"/>
      <c r="C437" s="42"/>
      <c r="D437" s="59" t="s">
        <v>839</v>
      </c>
      <c r="E437" s="69">
        <v>10</v>
      </c>
      <c r="F437" s="69">
        <v>10</v>
      </c>
      <c r="G437" s="69">
        <v>10</v>
      </c>
      <c r="H437" s="69">
        <v>10</v>
      </c>
      <c r="I437" s="70">
        <v>10</v>
      </c>
      <c r="J437" s="4"/>
      <c r="K437" s="4"/>
      <c r="L437" s="3265"/>
      <c r="M437" s="4"/>
      <c r="N437" s="4"/>
      <c r="O437" s="4"/>
      <c r="P437" s="3265"/>
      <c r="Q437" s="3265"/>
      <c r="R437" s="3265"/>
      <c r="S437" s="3266">
        <v>0</v>
      </c>
      <c r="T437" s="3265"/>
      <c r="U437" s="3267">
        <f t="shared" si="33"/>
        <v>50</v>
      </c>
      <c r="V437" s="3265"/>
      <c r="W437" s="3265"/>
      <c r="X437" s="3265"/>
      <c r="Y437" s="3265"/>
      <c r="Z437" s="3265"/>
      <c r="AA437" s="3265"/>
      <c r="AB437" s="3265"/>
      <c r="AC437" s="3265"/>
      <c r="AD437" s="3265"/>
      <c r="AE437" s="3265"/>
      <c r="AF437" s="3265"/>
      <c r="AG437" s="3265"/>
      <c r="AH437" s="3265"/>
      <c r="AI437" s="57"/>
      <c r="AJ437" s="57"/>
      <c r="AK437" s="57"/>
      <c r="AL437" s="57"/>
      <c r="AM437" s="57"/>
    </row>
    <row r="438" spans="1:39" s="58" customFormat="1" ht="19.5" x14ac:dyDescent="0.2">
      <c r="A438" s="52">
        <v>530515</v>
      </c>
      <c r="B438" s="53"/>
      <c r="C438" s="42"/>
      <c r="D438" s="59" t="s">
        <v>840</v>
      </c>
      <c r="E438" s="69">
        <v>10</v>
      </c>
      <c r="F438" s="69">
        <v>10</v>
      </c>
      <c r="G438" s="69">
        <v>10</v>
      </c>
      <c r="H438" s="69">
        <v>10</v>
      </c>
      <c r="I438" s="70">
        <v>10</v>
      </c>
      <c r="J438" s="4"/>
      <c r="K438" s="4"/>
      <c r="L438" s="3265"/>
      <c r="M438" s="4"/>
      <c r="N438" s="4"/>
      <c r="O438" s="4"/>
      <c r="P438" s="3265"/>
      <c r="Q438" s="3265"/>
      <c r="R438" s="3265"/>
      <c r="S438" s="3266">
        <v>0</v>
      </c>
      <c r="T438" s="3265"/>
      <c r="U438" s="3267">
        <f t="shared" si="33"/>
        <v>50</v>
      </c>
      <c r="V438" s="3265"/>
      <c r="W438" s="3265"/>
      <c r="X438" s="3265"/>
      <c r="Y438" s="3265"/>
      <c r="Z438" s="3265"/>
      <c r="AA438" s="3265"/>
      <c r="AB438" s="3265"/>
      <c r="AC438" s="3265"/>
      <c r="AD438" s="3265"/>
      <c r="AE438" s="3265"/>
      <c r="AF438" s="3265"/>
      <c r="AG438" s="3265"/>
      <c r="AH438" s="3265"/>
      <c r="AI438" s="57"/>
      <c r="AJ438" s="57"/>
      <c r="AK438" s="57"/>
      <c r="AL438" s="57"/>
      <c r="AM438" s="57"/>
    </row>
    <row r="439" spans="1:39" s="58" customFormat="1" ht="19.5" x14ac:dyDescent="0.2">
      <c r="A439" s="52">
        <v>530535</v>
      </c>
      <c r="B439" s="53"/>
      <c r="C439" s="42"/>
      <c r="D439" s="59" t="s">
        <v>831</v>
      </c>
      <c r="E439" s="69">
        <v>10</v>
      </c>
      <c r="F439" s="69">
        <v>10</v>
      </c>
      <c r="G439" s="69">
        <v>10</v>
      </c>
      <c r="H439" s="69">
        <v>10</v>
      </c>
      <c r="I439" s="70">
        <v>10</v>
      </c>
      <c r="J439" s="4"/>
      <c r="K439" s="4"/>
      <c r="L439" s="3265"/>
      <c r="M439" s="4"/>
      <c r="N439" s="4"/>
      <c r="O439" s="4"/>
      <c r="P439" s="3265"/>
      <c r="Q439" s="3265"/>
      <c r="R439" s="3265"/>
      <c r="S439" s="3266">
        <v>0</v>
      </c>
      <c r="T439" s="3265"/>
      <c r="U439" s="3267">
        <f t="shared" si="33"/>
        <v>50</v>
      </c>
      <c r="V439" s="3265"/>
      <c r="W439" s="3265"/>
      <c r="X439" s="3265"/>
      <c r="Y439" s="3265"/>
      <c r="Z439" s="3265"/>
      <c r="AA439" s="3265"/>
      <c r="AB439" s="3265"/>
      <c r="AC439" s="3265"/>
      <c r="AD439" s="3265"/>
      <c r="AE439" s="3265"/>
      <c r="AF439" s="3265"/>
      <c r="AG439" s="3265"/>
      <c r="AH439" s="3265"/>
      <c r="AI439" s="57"/>
      <c r="AJ439" s="57"/>
      <c r="AK439" s="57"/>
      <c r="AL439" s="57"/>
      <c r="AM439" s="57"/>
    </row>
    <row r="440" spans="1:39" s="58" customFormat="1" ht="19.5" x14ac:dyDescent="0.2">
      <c r="A440" s="52">
        <v>531000</v>
      </c>
      <c r="B440" s="53"/>
      <c r="C440" s="42"/>
      <c r="D440" s="59" t="s">
        <v>841</v>
      </c>
      <c r="E440" s="69">
        <v>10</v>
      </c>
      <c r="F440" s="69">
        <v>10</v>
      </c>
      <c r="G440" s="69">
        <v>10</v>
      </c>
      <c r="H440" s="69">
        <v>10</v>
      </c>
      <c r="I440" s="70">
        <v>10</v>
      </c>
      <c r="J440" s="4"/>
      <c r="K440" s="4"/>
      <c r="L440" s="3265"/>
      <c r="M440" s="4"/>
      <c r="N440" s="4"/>
      <c r="O440" s="4"/>
      <c r="P440" s="3265"/>
      <c r="Q440" s="3265"/>
      <c r="R440" s="3265"/>
      <c r="S440" s="3266">
        <v>0</v>
      </c>
      <c r="T440" s="3265"/>
      <c r="U440" s="3267">
        <f t="shared" si="33"/>
        <v>50</v>
      </c>
      <c r="V440" s="3265"/>
      <c r="W440" s="3265"/>
      <c r="X440" s="3265"/>
      <c r="Y440" s="3265"/>
      <c r="Z440" s="3265"/>
      <c r="AA440" s="3265"/>
      <c r="AB440" s="3265"/>
      <c r="AC440" s="3265"/>
      <c r="AD440" s="3265"/>
      <c r="AE440" s="3265"/>
      <c r="AF440" s="3265"/>
      <c r="AG440" s="3265"/>
      <c r="AH440" s="3265"/>
      <c r="AI440" s="57"/>
      <c r="AJ440" s="57"/>
      <c r="AK440" s="57"/>
      <c r="AL440" s="57"/>
      <c r="AM440" s="57"/>
    </row>
    <row r="441" spans="1:39" s="58" customFormat="1" ht="19.5" x14ac:dyDescent="0.2">
      <c r="A441" s="52">
        <v>531300</v>
      </c>
      <c r="B441" s="53"/>
      <c r="C441" s="42"/>
      <c r="D441" s="59" t="s">
        <v>842</v>
      </c>
      <c r="E441" s="69">
        <v>10</v>
      </c>
      <c r="F441" s="69">
        <v>10</v>
      </c>
      <c r="G441" s="69">
        <v>10</v>
      </c>
      <c r="H441" s="69">
        <v>10</v>
      </c>
      <c r="I441" s="70">
        <v>10</v>
      </c>
      <c r="J441" s="4"/>
      <c r="K441" s="4"/>
      <c r="L441" s="3265"/>
      <c r="M441" s="4"/>
      <c r="N441" s="4"/>
      <c r="O441" s="4"/>
      <c r="P441" s="3265"/>
      <c r="Q441" s="3265"/>
      <c r="R441" s="3265"/>
      <c r="S441" s="3266">
        <v>0</v>
      </c>
      <c r="T441" s="3265"/>
      <c r="U441" s="3267">
        <f t="shared" si="33"/>
        <v>50</v>
      </c>
      <c r="V441" s="3265"/>
      <c r="W441" s="3265"/>
      <c r="X441" s="3265"/>
      <c r="Y441" s="3265"/>
      <c r="Z441" s="3265"/>
      <c r="AA441" s="3265"/>
      <c r="AB441" s="3265"/>
      <c r="AC441" s="3265"/>
      <c r="AD441" s="3265"/>
      <c r="AE441" s="3265"/>
      <c r="AF441" s="3265"/>
      <c r="AG441" s="3265"/>
      <c r="AH441" s="3265"/>
      <c r="AI441" s="57"/>
      <c r="AJ441" s="57"/>
      <c r="AK441" s="57"/>
      <c r="AL441" s="57"/>
      <c r="AM441" s="57"/>
    </row>
    <row r="442" spans="1:39" s="58" customFormat="1" ht="19.5" x14ac:dyDescent="0.2">
      <c r="A442" s="52">
        <v>531500</v>
      </c>
      <c r="B442" s="53"/>
      <c r="C442" s="42"/>
      <c r="D442" s="59" t="s">
        <v>843</v>
      </c>
      <c r="E442" s="69">
        <v>10</v>
      </c>
      <c r="F442" s="69">
        <v>10</v>
      </c>
      <c r="G442" s="69">
        <v>10</v>
      </c>
      <c r="H442" s="69">
        <v>10</v>
      </c>
      <c r="I442" s="70">
        <v>10</v>
      </c>
      <c r="J442" s="4"/>
      <c r="K442" s="4"/>
      <c r="L442" s="3265"/>
      <c r="M442" s="4"/>
      <c r="N442" s="4"/>
      <c r="O442" s="4"/>
      <c r="P442" s="3265"/>
      <c r="Q442" s="3265"/>
      <c r="R442" s="3265"/>
      <c r="S442" s="3266">
        <v>0</v>
      </c>
      <c r="T442" s="3265"/>
      <c r="U442" s="3267">
        <f t="shared" si="33"/>
        <v>50</v>
      </c>
      <c r="V442" s="3265"/>
      <c r="W442" s="3265"/>
      <c r="X442" s="3265"/>
      <c r="Y442" s="3265"/>
      <c r="Z442" s="3265"/>
      <c r="AA442" s="3265"/>
      <c r="AB442" s="3265"/>
      <c r="AC442" s="3265"/>
      <c r="AD442" s="3265"/>
      <c r="AE442" s="3265"/>
      <c r="AF442" s="3265"/>
      <c r="AG442" s="3265"/>
      <c r="AH442" s="3265"/>
      <c r="AI442" s="57"/>
      <c r="AJ442" s="57"/>
      <c r="AK442" s="57"/>
      <c r="AL442" s="57"/>
      <c r="AM442" s="57"/>
    </row>
    <row r="443" spans="1:39" s="58" customFormat="1" ht="19.5" x14ac:dyDescent="0.2">
      <c r="A443" s="52">
        <v>531515</v>
      </c>
      <c r="B443" s="53"/>
      <c r="C443" s="42"/>
      <c r="D443" s="59" t="s">
        <v>844</v>
      </c>
      <c r="E443" s="69">
        <v>10</v>
      </c>
      <c r="F443" s="69">
        <v>10</v>
      </c>
      <c r="G443" s="69">
        <v>10</v>
      </c>
      <c r="H443" s="69">
        <v>10</v>
      </c>
      <c r="I443" s="70">
        <v>10</v>
      </c>
      <c r="J443" s="4"/>
      <c r="K443" s="4"/>
      <c r="L443" s="3265"/>
      <c r="M443" s="4"/>
      <c r="N443" s="4"/>
      <c r="O443" s="4"/>
      <c r="P443" s="3265"/>
      <c r="Q443" s="3265"/>
      <c r="R443" s="3265"/>
      <c r="S443" s="3266">
        <v>0</v>
      </c>
      <c r="T443" s="3265"/>
      <c r="U443" s="3267">
        <f t="shared" si="33"/>
        <v>50</v>
      </c>
      <c r="V443" s="3265"/>
      <c r="W443" s="3265"/>
      <c r="X443" s="3265"/>
      <c r="Y443" s="3265"/>
      <c r="Z443" s="3265"/>
      <c r="AA443" s="3265"/>
      <c r="AB443" s="3265"/>
      <c r="AC443" s="3265"/>
      <c r="AD443" s="3265"/>
      <c r="AE443" s="3265"/>
      <c r="AF443" s="3265"/>
      <c r="AG443" s="3265"/>
      <c r="AH443" s="3265"/>
      <c r="AI443" s="57"/>
      <c r="AJ443" s="57"/>
      <c r="AK443" s="57"/>
      <c r="AL443" s="57"/>
      <c r="AM443" s="57"/>
    </row>
    <row r="444" spans="1:39" s="58" customFormat="1" ht="19.5" x14ac:dyDescent="0.2">
      <c r="A444" s="52">
        <v>531520</v>
      </c>
      <c r="B444" s="53"/>
      <c r="C444" s="42"/>
      <c r="D444" s="59" t="s">
        <v>845</v>
      </c>
      <c r="E444" s="69">
        <v>10</v>
      </c>
      <c r="F444" s="69">
        <v>10</v>
      </c>
      <c r="G444" s="69">
        <v>10</v>
      </c>
      <c r="H444" s="69">
        <v>10</v>
      </c>
      <c r="I444" s="70">
        <v>10</v>
      </c>
      <c r="J444" s="4"/>
      <c r="K444" s="4"/>
      <c r="L444" s="3265"/>
      <c r="M444" s="4"/>
      <c r="N444" s="4"/>
      <c r="O444" s="4"/>
      <c r="P444" s="3265"/>
      <c r="Q444" s="3265"/>
      <c r="R444" s="3265"/>
      <c r="S444" s="3266">
        <v>0</v>
      </c>
      <c r="T444" s="3265"/>
      <c r="U444" s="3267">
        <f t="shared" si="33"/>
        <v>50</v>
      </c>
      <c r="V444" s="3265"/>
      <c r="W444" s="3265"/>
      <c r="X444" s="3265"/>
      <c r="Y444" s="3265"/>
      <c r="Z444" s="3265"/>
      <c r="AA444" s="3265"/>
      <c r="AB444" s="3265"/>
      <c r="AC444" s="3265"/>
      <c r="AD444" s="3265"/>
      <c r="AE444" s="3265"/>
      <c r="AF444" s="3265"/>
      <c r="AG444" s="3265"/>
      <c r="AH444" s="3265"/>
      <c r="AI444" s="57"/>
      <c r="AJ444" s="57"/>
      <c r="AK444" s="57"/>
      <c r="AL444" s="57"/>
      <c r="AM444" s="57"/>
    </row>
    <row r="445" spans="1:39" s="58" customFormat="1" ht="19.5" x14ac:dyDescent="0.2">
      <c r="A445" s="52">
        <v>539525</v>
      </c>
      <c r="B445" s="53"/>
      <c r="C445" s="42"/>
      <c r="D445" s="59" t="s">
        <v>776</v>
      </c>
      <c r="E445" s="69">
        <v>10</v>
      </c>
      <c r="F445" s="69">
        <v>10</v>
      </c>
      <c r="G445" s="69">
        <v>10</v>
      </c>
      <c r="H445" s="69">
        <v>10</v>
      </c>
      <c r="I445" s="70">
        <v>10</v>
      </c>
      <c r="J445" s="4"/>
      <c r="K445" s="4"/>
      <c r="L445" s="3265"/>
      <c r="M445" s="4"/>
      <c r="N445" s="4"/>
      <c r="O445" s="4"/>
      <c r="P445" s="3265"/>
      <c r="Q445" s="3265"/>
      <c r="R445" s="3265"/>
      <c r="S445" s="3266">
        <v>0</v>
      </c>
      <c r="T445" s="3265"/>
      <c r="U445" s="3267">
        <f t="shared" si="33"/>
        <v>50</v>
      </c>
      <c r="V445" s="3265"/>
      <c r="W445" s="3265"/>
      <c r="X445" s="3265"/>
      <c r="Y445" s="3265"/>
      <c r="Z445" s="3265"/>
      <c r="AA445" s="3265"/>
      <c r="AB445" s="3265"/>
      <c r="AC445" s="3265"/>
      <c r="AD445" s="3265"/>
      <c r="AE445" s="3265"/>
      <c r="AF445" s="3265"/>
      <c r="AG445" s="3265"/>
      <c r="AH445" s="3265"/>
      <c r="AI445" s="57"/>
      <c r="AJ445" s="57"/>
      <c r="AK445" s="57"/>
      <c r="AL445" s="57"/>
      <c r="AM445" s="57"/>
    </row>
    <row r="446" spans="1:39" s="58" customFormat="1" ht="19.5" x14ac:dyDescent="0.2">
      <c r="A446" s="52">
        <v>539595</v>
      </c>
      <c r="B446" s="53"/>
      <c r="C446" s="42"/>
      <c r="D446" s="59" t="s">
        <v>846</v>
      </c>
      <c r="E446" s="69">
        <v>10</v>
      </c>
      <c r="F446" s="69">
        <v>10</v>
      </c>
      <c r="G446" s="69">
        <v>10</v>
      </c>
      <c r="H446" s="69">
        <v>10</v>
      </c>
      <c r="I446" s="70">
        <v>10</v>
      </c>
      <c r="J446" s="4"/>
      <c r="K446" s="4"/>
      <c r="L446" s="3265"/>
      <c r="M446" s="4"/>
      <c r="N446" s="4"/>
      <c r="O446" s="4"/>
      <c r="P446" s="3265"/>
      <c r="Q446" s="3265"/>
      <c r="R446" s="3265"/>
      <c r="S446" s="3266">
        <v>0</v>
      </c>
      <c r="T446" s="3265"/>
      <c r="U446" s="3267">
        <f t="shared" si="33"/>
        <v>50</v>
      </c>
      <c r="V446" s="3265"/>
      <c r="W446" s="3265"/>
      <c r="X446" s="3265"/>
      <c r="Y446" s="3265"/>
      <c r="Z446" s="3265"/>
      <c r="AA446" s="3265"/>
      <c r="AB446" s="3265"/>
      <c r="AC446" s="3265"/>
      <c r="AD446" s="3265"/>
      <c r="AE446" s="3265"/>
      <c r="AF446" s="3265"/>
      <c r="AG446" s="3265"/>
      <c r="AH446" s="3265"/>
      <c r="AI446" s="57"/>
      <c r="AJ446" s="57"/>
      <c r="AK446" s="57"/>
      <c r="AL446" s="57"/>
      <c r="AM446" s="57"/>
    </row>
    <row r="447" spans="1:39" s="58" customFormat="1" ht="19.5" x14ac:dyDescent="0.2">
      <c r="A447" s="52">
        <v>53</v>
      </c>
      <c r="B447" s="53"/>
      <c r="C447" s="60" t="s">
        <v>847</v>
      </c>
      <c r="D447" s="96"/>
      <c r="E447" s="97">
        <f>SUM(E435:E446)</f>
        <v>120</v>
      </c>
      <c r="F447" s="97">
        <f>SUM(F435:F446)</f>
        <v>120</v>
      </c>
      <c r="G447" s="97">
        <f>SUM(G435:G446)</f>
        <v>120</v>
      </c>
      <c r="H447" s="97">
        <f>SUM(H435:H446)</f>
        <v>120</v>
      </c>
      <c r="I447" s="98">
        <f>SUM(I435:I446)</f>
        <v>120</v>
      </c>
      <c r="J447" s="4"/>
      <c r="K447" s="4"/>
      <c r="L447" s="3265"/>
      <c r="M447" s="4"/>
      <c r="N447" s="4"/>
      <c r="O447" s="4"/>
      <c r="P447" s="3265"/>
      <c r="Q447" s="3265"/>
      <c r="R447" s="3265"/>
      <c r="S447" s="3266">
        <v>0</v>
      </c>
      <c r="T447" s="3265"/>
      <c r="U447" s="3267">
        <f t="shared" si="33"/>
        <v>600</v>
      </c>
      <c r="V447" s="3265"/>
      <c r="W447" s="3265"/>
      <c r="X447" s="3265"/>
      <c r="Y447" s="3265"/>
      <c r="Z447" s="3265"/>
      <c r="AA447" s="3265"/>
      <c r="AB447" s="3265"/>
      <c r="AC447" s="3265"/>
      <c r="AD447" s="3265"/>
      <c r="AE447" s="3265"/>
      <c r="AF447" s="3265"/>
      <c r="AG447" s="3265"/>
      <c r="AH447" s="3265"/>
      <c r="AI447" s="57"/>
      <c r="AJ447" s="57"/>
      <c r="AK447" s="57"/>
      <c r="AL447" s="57"/>
      <c r="AM447" s="57"/>
    </row>
    <row r="448" spans="1:39" s="58" customFormat="1" ht="19.5" x14ac:dyDescent="0.2">
      <c r="A448" s="52">
        <v>98</v>
      </c>
      <c r="B448" s="53"/>
      <c r="C448" s="42"/>
      <c r="D448" s="89" t="s">
        <v>848</v>
      </c>
      <c r="E448" s="90"/>
      <c r="F448" s="90"/>
      <c r="G448" s="90"/>
      <c r="H448" s="90"/>
      <c r="I448" s="91"/>
      <c r="J448" s="4"/>
      <c r="K448" s="4"/>
      <c r="L448" s="3265"/>
      <c r="M448" s="4"/>
      <c r="N448" s="4"/>
      <c r="O448" s="4"/>
      <c r="P448" s="3265"/>
      <c r="Q448" s="3265"/>
      <c r="R448" s="3265"/>
      <c r="S448" s="3266">
        <v>0</v>
      </c>
      <c r="T448" s="3265"/>
      <c r="U448" s="3267">
        <f t="shared" si="33"/>
        <v>0</v>
      </c>
      <c r="V448" s="3265"/>
      <c r="W448" s="3265"/>
      <c r="X448" s="3265"/>
      <c r="Y448" s="3265"/>
      <c r="Z448" s="3265"/>
      <c r="AA448" s="3265"/>
      <c r="AB448" s="3265"/>
      <c r="AC448" s="3265"/>
      <c r="AD448" s="3265"/>
      <c r="AE448" s="3265"/>
      <c r="AF448" s="3265"/>
      <c r="AG448" s="3265"/>
      <c r="AH448" s="3265"/>
      <c r="AI448" s="57"/>
      <c r="AJ448" s="57"/>
      <c r="AK448" s="57"/>
      <c r="AL448" s="57"/>
      <c r="AM448" s="57"/>
    </row>
    <row r="449" spans="1:39" s="58" customFormat="1" ht="19.5" x14ac:dyDescent="0.2">
      <c r="A449" s="22">
        <v>97</v>
      </c>
      <c r="B449" s="86" t="s">
        <v>849</v>
      </c>
      <c r="C449" s="112"/>
      <c r="D449" s="87"/>
      <c r="E449" s="80">
        <f>E419+E433-E447-E448</f>
        <v>2810</v>
      </c>
      <c r="F449" s="80">
        <f>F419+F433-F447-F448</f>
        <v>2810</v>
      </c>
      <c r="G449" s="80">
        <f>G419+G433-G447-G448</f>
        <v>2810</v>
      </c>
      <c r="H449" s="80">
        <f>H419+H433-H447-H448</f>
        <v>2810</v>
      </c>
      <c r="I449" s="81">
        <f>I419+I433-I447-I448</f>
        <v>2810</v>
      </c>
      <c r="J449" s="4"/>
      <c r="K449" s="4"/>
      <c r="L449" s="3265"/>
      <c r="M449" s="4"/>
      <c r="N449" s="4"/>
      <c r="O449" s="4"/>
      <c r="P449" s="3265"/>
      <c r="Q449" s="3265"/>
      <c r="R449" s="3265"/>
      <c r="S449" s="3266">
        <v>0</v>
      </c>
      <c r="T449" s="3265"/>
      <c r="U449" s="3267">
        <f t="shared" si="33"/>
        <v>14050</v>
      </c>
      <c r="V449" s="3265"/>
      <c r="W449" s="3265"/>
      <c r="X449" s="3265"/>
      <c r="Y449" s="3265"/>
      <c r="Z449" s="3265"/>
      <c r="AA449" s="3265"/>
      <c r="AB449" s="3265"/>
      <c r="AC449" s="3265"/>
      <c r="AD449" s="3265"/>
      <c r="AE449" s="3265"/>
      <c r="AF449" s="3265"/>
      <c r="AG449" s="3265"/>
      <c r="AH449" s="3265"/>
      <c r="AI449" s="57"/>
      <c r="AJ449" s="57"/>
      <c r="AK449" s="57"/>
      <c r="AL449" s="57"/>
      <c r="AM449" s="57"/>
    </row>
    <row r="450" spans="1:39" s="58" customFormat="1" ht="19.5" x14ac:dyDescent="0.2">
      <c r="A450" s="52">
        <v>54</v>
      </c>
      <c r="B450" s="53"/>
      <c r="C450" s="42"/>
      <c r="D450" s="114" t="s">
        <v>811</v>
      </c>
      <c r="E450" s="90"/>
      <c r="F450" s="90"/>
      <c r="G450" s="115"/>
      <c r="H450" s="115"/>
      <c r="I450" s="91"/>
      <c r="J450" s="4"/>
      <c r="K450" s="4"/>
      <c r="L450" s="3265"/>
      <c r="M450" s="3265"/>
      <c r="N450" s="3265"/>
      <c r="O450" s="3265"/>
      <c r="P450" s="3265"/>
      <c r="Q450" s="3265"/>
      <c r="R450" s="3265"/>
      <c r="S450" s="3266">
        <v>0</v>
      </c>
      <c r="T450" s="3265"/>
      <c r="U450" s="3267">
        <f t="shared" si="33"/>
        <v>0</v>
      </c>
      <c r="V450" s="3265"/>
      <c r="W450" s="3265"/>
      <c r="X450" s="3265"/>
      <c r="Y450" s="3265"/>
      <c r="Z450" s="3265"/>
      <c r="AA450" s="3265"/>
      <c r="AB450" s="3265"/>
      <c r="AC450" s="3265"/>
      <c r="AD450" s="3265"/>
      <c r="AE450" s="3265"/>
      <c r="AF450" s="3265"/>
      <c r="AG450" s="3265"/>
      <c r="AH450" s="3265"/>
      <c r="AI450" s="57"/>
      <c r="AJ450" s="57"/>
      <c r="AK450" s="57"/>
      <c r="AL450" s="57"/>
      <c r="AM450" s="57"/>
    </row>
    <row r="451" spans="1:39" s="58" customFormat="1" ht="19.5" x14ac:dyDescent="0.2">
      <c r="A451" s="52">
        <v>99</v>
      </c>
      <c r="B451" s="86" t="s">
        <v>850</v>
      </c>
      <c r="C451" s="112"/>
      <c r="D451" s="87"/>
      <c r="E451" s="80">
        <f>+E449-E450</f>
        <v>2810</v>
      </c>
      <c r="F451" s="80">
        <f>+F449-F450</f>
        <v>2810</v>
      </c>
      <c r="G451" s="80">
        <f>+G449-G450</f>
        <v>2810</v>
      </c>
      <c r="H451" s="80">
        <f>+H449-H450</f>
        <v>2810</v>
      </c>
      <c r="I451" s="81">
        <f>+I449-I450</f>
        <v>2810</v>
      </c>
      <c r="J451" s="4"/>
      <c r="K451" s="4"/>
      <c r="L451" s="3265"/>
      <c r="M451" s="3265"/>
      <c r="N451" s="3265"/>
      <c r="O451" s="3265"/>
      <c r="P451" s="3265"/>
      <c r="Q451" s="3265"/>
      <c r="R451" s="3265"/>
      <c r="S451" s="3266">
        <v>0</v>
      </c>
      <c r="T451" s="3265"/>
      <c r="U451" s="3267">
        <f t="shared" si="33"/>
        <v>14050</v>
      </c>
      <c r="V451" s="3265"/>
      <c r="W451" s="3265"/>
      <c r="X451" s="3265"/>
      <c r="Y451" s="3265"/>
      <c r="Z451" s="3265"/>
      <c r="AA451" s="3265"/>
      <c r="AB451" s="3265"/>
      <c r="AC451" s="3265"/>
      <c r="AD451" s="3265"/>
      <c r="AE451" s="3265"/>
      <c r="AF451" s="3265"/>
      <c r="AG451" s="3265"/>
      <c r="AH451" s="3265"/>
      <c r="AI451" s="57"/>
      <c r="AJ451" s="57"/>
      <c r="AK451" s="57"/>
      <c r="AL451" s="57"/>
      <c r="AM451" s="57"/>
    </row>
    <row r="452" spans="1:39" s="58" customFormat="1" ht="19.5" x14ac:dyDescent="0.2">
      <c r="A452" s="22"/>
      <c r="B452" s="116" t="s">
        <v>851</v>
      </c>
      <c r="C452" s="66"/>
      <c r="D452" s="117"/>
      <c r="E452" s="118"/>
      <c r="F452" s="119"/>
      <c r="G452" s="119"/>
      <c r="H452" s="119"/>
      <c r="I452" s="120"/>
      <c r="J452" s="4"/>
      <c r="K452" s="4"/>
      <c r="L452" s="3265"/>
      <c r="M452" s="3265"/>
      <c r="N452" s="3265"/>
      <c r="O452" s="3265"/>
      <c r="P452" s="3265"/>
      <c r="Q452" s="3265"/>
      <c r="R452" s="3265"/>
      <c r="S452" s="3266">
        <v>0</v>
      </c>
      <c r="T452" s="3265"/>
      <c r="U452" s="3267">
        <f t="shared" si="33"/>
        <v>0</v>
      </c>
      <c r="V452" s="3265"/>
      <c r="W452" s="3265"/>
      <c r="X452" s="3265"/>
      <c r="Y452" s="3265"/>
      <c r="Z452" s="3265"/>
      <c r="AA452" s="3265"/>
      <c r="AB452" s="3265"/>
      <c r="AC452" s="3265"/>
      <c r="AD452" s="3265"/>
      <c r="AE452" s="3265"/>
      <c r="AF452" s="3265"/>
      <c r="AG452" s="3265"/>
      <c r="AH452" s="3265"/>
      <c r="AI452" s="57"/>
      <c r="AJ452" s="57"/>
      <c r="AK452" s="57"/>
      <c r="AL452" s="57"/>
      <c r="AM452" s="57"/>
    </row>
    <row r="453" spans="1:39" s="58" customFormat="1" ht="19.5" x14ac:dyDescent="0.3">
      <c r="A453" s="22"/>
      <c r="B453" s="22"/>
      <c r="C453" s="22"/>
      <c r="E453" s="121"/>
      <c r="F453" s="121"/>
      <c r="G453" s="121"/>
      <c r="H453" s="121"/>
      <c r="I453" s="122"/>
      <c r="J453" s="4"/>
      <c r="K453" s="4"/>
      <c r="L453" s="3265"/>
      <c r="M453" s="4"/>
      <c r="N453" s="4"/>
      <c r="O453" s="4"/>
      <c r="P453" s="4"/>
      <c r="Q453" s="4"/>
      <c r="R453" s="3265"/>
      <c r="S453" s="3266">
        <v>0</v>
      </c>
      <c r="T453" s="3265"/>
      <c r="U453" s="3267">
        <v>1</v>
      </c>
      <c r="V453" s="3265"/>
      <c r="W453" s="3265"/>
      <c r="X453" s="3265"/>
      <c r="Y453" s="3265"/>
      <c r="Z453" s="3265"/>
      <c r="AA453" s="3265"/>
      <c r="AB453" s="3265"/>
      <c r="AC453" s="3265"/>
      <c r="AD453" s="3265"/>
      <c r="AE453" s="3265"/>
      <c r="AF453" s="3265"/>
      <c r="AG453" s="3265"/>
      <c r="AH453" s="3265"/>
      <c r="AI453" s="57"/>
      <c r="AJ453" s="57"/>
      <c r="AK453" s="57"/>
      <c r="AL453" s="57"/>
      <c r="AM453" s="57"/>
    </row>
    <row r="454" spans="1:39" ht="21" x14ac:dyDescent="0.35">
      <c r="A454" s="123"/>
      <c r="B454" s="123"/>
      <c r="C454" s="123"/>
      <c r="D454" s="124" t="s">
        <v>852</v>
      </c>
      <c r="E454" s="125">
        <f>E419+E415+E416+E398+E399+E383</f>
        <v>2850</v>
      </c>
      <c r="F454" s="125">
        <f>F419+F415+F416+F398+F399+F383</f>
        <v>2850</v>
      </c>
      <c r="G454" s="125">
        <f>G419+G415+G416+G398+G399+G383</f>
        <v>2850</v>
      </c>
      <c r="H454" s="125">
        <f>H419+H415+H416+H398+H399+H383</f>
        <v>2850</v>
      </c>
      <c r="I454" s="126">
        <f>I419+I415+I416+I398+I399+I383</f>
        <v>2850</v>
      </c>
      <c r="S454" s="3266">
        <v>0</v>
      </c>
      <c r="U454" s="3267">
        <f>SUM(E454:I454)</f>
        <v>14250</v>
      </c>
      <c r="Z454" s="4"/>
      <c r="AA454" s="4"/>
      <c r="AB454" s="4"/>
    </row>
    <row r="455" spans="1:39" x14ac:dyDescent="0.25">
      <c r="A455" s="123"/>
      <c r="B455" s="123"/>
      <c r="C455" s="123"/>
      <c r="D455" s="2"/>
      <c r="E455" s="127"/>
      <c r="F455" s="127"/>
      <c r="G455" s="127"/>
      <c r="H455" s="127"/>
      <c r="I455" s="128"/>
      <c r="M455" s="3265"/>
      <c r="N455" s="3265"/>
      <c r="O455" s="3265"/>
      <c r="P455" s="3265"/>
      <c r="Q455" s="3265"/>
      <c r="Z455" s="4"/>
      <c r="AA455" s="4"/>
      <c r="AB455" s="4"/>
    </row>
    <row r="456" spans="1:39" s="58" customFormat="1" x14ac:dyDescent="0.25">
      <c r="A456" s="22"/>
      <c r="B456" s="22"/>
      <c r="C456" s="22"/>
      <c r="D456" s="129" t="s">
        <v>853</v>
      </c>
      <c r="E456" s="130" t="str">
        <f>IF(E64+E76+E197&gt;0,IF(E382&gt;0,"OK","Debe ingresar Costo Vtas"),"OK")</f>
        <v>OK</v>
      </c>
      <c r="F456" s="130" t="str">
        <f>IF(F64+F76+F197&gt;0,IF(F382&gt;0,"OK","Debe ingresar Costo Vtas"),"OK")</f>
        <v>OK</v>
      </c>
      <c r="G456" s="130" t="str">
        <f>IF(G64+G76+G197&gt;0,IF(G382&gt;0,"OK","Debe ingresar Costo Vtas"),"OK")</f>
        <v>OK</v>
      </c>
      <c r="H456" s="130" t="str">
        <f>IF(H64+H76+H197&gt;0,IF(H382&gt;0,"OK","Debe ingresar Costo Vtas"),"OK")</f>
        <v>OK</v>
      </c>
      <c r="I456" s="131" t="str">
        <f>IF(I64+I76+I197&gt;0,IF(I382&gt;0,"OK","Debe ingresar Costo Vtas"),"OK")</f>
        <v>OK</v>
      </c>
      <c r="J456" s="4"/>
      <c r="K456" s="4"/>
      <c r="L456" s="3265"/>
      <c r="M456" s="3265"/>
      <c r="N456" s="3265"/>
      <c r="O456" s="3265"/>
      <c r="P456" s="3265"/>
      <c r="Q456" s="3265"/>
      <c r="R456" s="3265"/>
      <c r="S456" s="3265"/>
      <c r="T456" s="3265"/>
      <c r="U456" s="3265"/>
      <c r="V456" s="3265"/>
      <c r="W456" s="3265"/>
      <c r="X456" s="3265"/>
      <c r="Y456" s="3265"/>
      <c r="Z456" s="3265"/>
      <c r="AA456" s="3265"/>
      <c r="AB456" s="3265"/>
      <c r="AC456" s="3265"/>
      <c r="AD456" s="3265"/>
      <c r="AE456" s="3265"/>
      <c r="AF456" s="3265"/>
      <c r="AG456" s="3265"/>
      <c r="AH456" s="3265"/>
      <c r="AI456" s="57"/>
      <c r="AJ456" s="57"/>
      <c r="AK456" s="57"/>
      <c r="AL456" s="57"/>
      <c r="AM456" s="57"/>
    </row>
    <row r="457" spans="1:39" s="58" customFormat="1" x14ac:dyDescent="0.25">
      <c r="A457" s="22"/>
      <c r="B457" s="22"/>
      <c r="C457" s="22"/>
      <c r="D457" s="132"/>
      <c r="E457" s="133"/>
      <c r="F457" s="133"/>
      <c r="G457" s="133"/>
      <c r="H457" s="133"/>
      <c r="I457" s="134"/>
      <c r="J457" s="4"/>
      <c r="K457" s="4"/>
      <c r="L457" s="3265"/>
      <c r="M457" s="3265"/>
      <c r="N457" s="3265"/>
      <c r="O457" s="3265"/>
      <c r="P457" s="3265"/>
      <c r="Q457" s="3265"/>
      <c r="R457" s="3265"/>
      <c r="S457" s="3265"/>
      <c r="T457" s="3265"/>
      <c r="U457" s="3265"/>
      <c r="V457" s="3265"/>
      <c r="W457" s="3265"/>
      <c r="X457" s="3265"/>
      <c r="Y457" s="3265"/>
      <c r="Z457" s="3265"/>
      <c r="AA457" s="3265"/>
      <c r="AB457" s="3265"/>
      <c r="AC457" s="3265"/>
      <c r="AD457" s="3265"/>
      <c r="AE457" s="3265"/>
      <c r="AF457" s="3265"/>
      <c r="AG457" s="3265"/>
      <c r="AH457" s="3265"/>
      <c r="AI457" s="57"/>
      <c r="AJ457" s="57"/>
      <c r="AK457" s="57"/>
      <c r="AL457" s="57"/>
      <c r="AM457" s="57"/>
    </row>
    <row r="458" spans="1:39" s="58" customFormat="1" hidden="1" x14ac:dyDescent="0.25">
      <c r="A458" s="22"/>
      <c r="B458" s="22"/>
      <c r="C458" s="22"/>
      <c r="D458" s="135" t="s">
        <v>854</v>
      </c>
      <c r="E458" s="3355" t="s">
        <v>855</v>
      </c>
      <c r="F458" s="3355" t="s">
        <v>855</v>
      </c>
      <c r="G458" s="3355" t="s">
        <v>855</v>
      </c>
      <c r="H458" s="3355" t="s">
        <v>855</v>
      </c>
      <c r="I458" s="3352" t="s">
        <v>855</v>
      </c>
      <c r="J458" s="4"/>
      <c r="K458" s="4"/>
      <c r="L458" s="3265"/>
      <c r="M458" s="3265"/>
      <c r="N458" s="3265"/>
      <c r="O458" s="3265"/>
      <c r="P458" s="3265"/>
      <c r="Q458" s="3265"/>
      <c r="R458" s="3265"/>
      <c r="S458" s="3265"/>
      <c r="T458" s="3265"/>
      <c r="U458" s="3265"/>
      <c r="V458" s="3265"/>
      <c r="W458" s="3265"/>
      <c r="X458" s="3265"/>
      <c r="Y458" s="3265"/>
      <c r="Z458" s="3265"/>
      <c r="AA458" s="3265"/>
      <c r="AB458" s="3265"/>
      <c r="AC458" s="3265"/>
      <c r="AD458" s="3265"/>
      <c r="AE458" s="3265"/>
      <c r="AF458" s="3265"/>
      <c r="AG458" s="3265"/>
      <c r="AH458" s="3265"/>
      <c r="AI458" s="57"/>
      <c r="AJ458" s="57"/>
      <c r="AK458" s="57"/>
      <c r="AL458" s="57"/>
      <c r="AM458" s="57"/>
    </row>
    <row r="459" spans="1:39" s="58" customFormat="1" hidden="1" x14ac:dyDescent="0.25">
      <c r="A459" s="22"/>
      <c r="B459" s="22"/>
      <c r="C459" s="22"/>
      <c r="D459" s="135" t="s">
        <v>856</v>
      </c>
      <c r="E459" s="3356"/>
      <c r="F459" s="3356"/>
      <c r="G459" s="3356"/>
      <c r="H459" s="3356"/>
      <c r="I459" s="3353"/>
      <c r="J459" s="4"/>
      <c r="K459" s="4"/>
      <c r="L459" s="3265"/>
      <c r="M459" s="3265"/>
      <c r="N459" s="3265"/>
      <c r="O459" s="3265"/>
      <c r="P459" s="3265"/>
      <c r="Q459" s="3265"/>
      <c r="R459" s="3265"/>
      <c r="S459" s="3265"/>
      <c r="T459" s="3265"/>
      <c r="U459" s="3265"/>
      <c r="V459" s="3265"/>
      <c r="W459" s="3265"/>
      <c r="X459" s="3265"/>
      <c r="Y459" s="3265"/>
      <c r="Z459" s="3265"/>
      <c r="AA459" s="3265"/>
      <c r="AB459" s="3265"/>
      <c r="AC459" s="3265"/>
      <c r="AD459" s="3265"/>
      <c r="AE459" s="3265"/>
      <c r="AF459" s="3265"/>
      <c r="AG459" s="3265"/>
      <c r="AH459" s="3265"/>
      <c r="AI459" s="57"/>
      <c r="AJ459" s="57"/>
      <c r="AK459" s="57"/>
      <c r="AL459" s="57"/>
      <c r="AM459" s="57"/>
    </row>
    <row r="460" spans="1:39" s="58" customFormat="1" x14ac:dyDescent="0.25">
      <c r="A460" s="22"/>
      <c r="B460" s="22"/>
      <c r="C460" s="22"/>
      <c r="D460" s="129" t="s">
        <v>857</v>
      </c>
      <c r="E460" s="136" t="str">
        <f>IF(AND(E461&lt;2,E461&gt;-2),"OK","DESCUADRADO")</f>
        <v>OK</v>
      </c>
      <c r="F460" s="136" t="str">
        <f>IF(AND(F461&lt;2,F461&gt;-2),"OK","DESCUADRADO")</f>
        <v>OK</v>
      </c>
      <c r="G460" s="136" t="str">
        <f>IF(AND(G461&lt;2,G461&gt;-2),"OK","DESCUADRADO")</f>
        <v>OK</v>
      </c>
      <c r="H460" s="136" t="str">
        <f>IF(AND(H461&lt;2,H461&gt;-2),"OK","DESCUADRADO")</f>
        <v>OK</v>
      </c>
      <c r="I460" s="137" t="str">
        <f>IF(AND(I461&lt;2,I461&gt;-2),"OK","DESCUADRADO")</f>
        <v>OK</v>
      </c>
      <c r="J460" s="4"/>
      <c r="K460" s="4"/>
      <c r="L460" s="3265"/>
      <c r="M460" s="3265"/>
      <c r="N460" s="3265"/>
      <c r="O460" s="3265"/>
      <c r="P460" s="3265"/>
      <c r="Q460" s="3265"/>
      <c r="R460" s="3265"/>
      <c r="S460" s="3265"/>
      <c r="T460" s="3265"/>
      <c r="U460" s="3265"/>
      <c r="V460" s="3265"/>
      <c r="W460" s="3265"/>
      <c r="X460" s="3265"/>
      <c r="Y460" s="3265"/>
      <c r="Z460" s="3265"/>
      <c r="AA460" s="3265"/>
      <c r="AB460" s="3265"/>
      <c r="AC460" s="3265"/>
      <c r="AD460" s="3265"/>
      <c r="AE460" s="3265"/>
      <c r="AF460" s="3265"/>
      <c r="AG460" s="3265"/>
      <c r="AH460" s="3265"/>
      <c r="AI460" s="57"/>
      <c r="AJ460" s="57"/>
      <c r="AK460" s="57"/>
      <c r="AL460" s="57"/>
      <c r="AM460" s="57"/>
    </row>
    <row r="461" spans="1:39" s="58" customFormat="1" x14ac:dyDescent="0.25">
      <c r="A461" s="22"/>
      <c r="B461" s="22"/>
      <c r="C461" s="22"/>
      <c r="D461" s="132" t="s">
        <v>858</v>
      </c>
      <c r="E461" s="138">
        <f>E363-E451</f>
        <v>0</v>
      </c>
      <c r="F461" s="138">
        <f>F363-F451</f>
        <v>0</v>
      </c>
      <c r="G461" s="138">
        <f>G363-G451</f>
        <v>0</v>
      </c>
      <c r="H461" s="138">
        <f>H363-H451</f>
        <v>0</v>
      </c>
      <c r="I461" s="139">
        <f>I363-I451</f>
        <v>0</v>
      </c>
      <c r="J461" s="4"/>
      <c r="K461" s="4"/>
      <c r="L461" s="3265"/>
      <c r="M461" s="3265"/>
      <c r="N461" s="3265"/>
      <c r="O461" s="3265"/>
      <c r="P461" s="3265"/>
      <c r="Q461" s="3265"/>
      <c r="R461" s="3265"/>
      <c r="S461" s="3265"/>
      <c r="T461" s="3265"/>
      <c r="U461" s="3265"/>
      <c r="V461" s="3265"/>
      <c r="W461" s="3265"/>
      <c r="X461" s="3265"/>
      <c r="Y461" s="3265"/>
      <c r="Z461" s="3265"/>
      <c r="AA461" s="3265"/>
      <c r="AB461" s="3265"/>
      <c r="AC461" s="3265"/>
      <c r="AD461" s="3265"/>
      <c r="AE461" s="3265"/>
      <c r="AF461" s="3265"/>
      <c r="AG461" s="3265"/>
      <c r="AH461" s="3265"/>
      <c r="AI461" s="57"/>
      <c r="AJ461" s="57"/>
      <c r="AK461" s="57"/>
      <c r="AL461" s="57"/>
      <c r="AM461" s="57"/>
    </row>
    <row r="462" spans="1:39" s="141" customFormat="1" ht="12.75" x14ac:dyDescent="0.2">
      <c r="A462" s="140"/>
      <c r="B462" s="140"/>
      <c r="C462" s="140"/>
      <c r="E462" s="140" t="str">
        <f>IF(AND(E375="OK",E460="OK"),"",E4&amp;" - ")</f>
        <v/>
      </c>
      <c r="F462" s="140" t="str">
        <f>IF(AND(F375="OK",F460="OK"),"",F4&amp;" - ")</f>
        <v/>
      </c>
      <c r="G462" s="140" t="str">
        <f>IF(AND(G375="OK",G460="OK"),"",G4&amp;" - ")</f>
        <v/>
      </c>
      <c r="H462" s="140" t="str">
        <f>IF(AND(H375="OK",H460="OK"),"",H8&amp;" - "&amp;H4&amp;" - ")</f>
        <v/>
      </c>
      <c r="I462" s="142" t="str">
        <f>IF(AND(I375="OK",I460="OK"),"",I8&amp;" - "&amp;I4&amp;" - ")</f>
        <v/>
      </c>
      <c r="J462" s="4"/>
      <c r="K462" s="4"/>
      <c r="L462" s="3265"/>
      <c r="M462" s="3265"/>
      <c r="N462" s="3265"/>
      <c r="O462" s="3265"/>
      <c r="P462" s="3265"/>
      <c r="Q462" s="3265"/>
      <c r="R462" s="3265"/>
      <c r="S462" s="3265"/>
      <c r="T462" s="3265"/>
      <c r="U462" s="3265"/>
      <c r="V462" s="3265"/>
      <c r="W462" s="3265"/>
      <c r="X462" s="3265"/>
      <c r="Y462" s="3265"/>
      <c r="Z462" s="3265"/>
      <c r="AA462" s="3265"/>
      <c r="AB462" s="3265"/>
      <c r="AC462" s="3265"/>
      <c r="AD462" s="3265"/>
      <c r="AE462" s="3265"/>
      <c r="AF462" s="3265"/>
      <c r="AG462" s="3265"/>
      <c r="AH462" s="3265"/>
      <c r="AI462" s="57"/>
      <c r="AJ462" s="57"/>
    </row>
    <row r="463" spans="1:39" s="141" customFormat="1" ht="12.75" x14ac:dyDescent="0.2">
      <c r="A463" s="140"/>
      <c r="B463" s="140"/>
      <c r="C463" s="140"/>
      <c r="E463" s="141" t="str">
        <f>TRIM(IF(AND(E462="",F462="",G462="",H462="",I462=""),"",("Valide el vr. de la Utilidad del P&amp;G vs. el Patrimonio, para: "&amp;E462&amp;" "&amp;F462&amp;" "&amp;G462&amp;" "&amp;H462)))</f>
        <v/>
      </c>
      <c r="I463" s="57"/>
      <c r="J463" s="4"/>
      <c r="K463" s="4"/>
      <c r="L463" s="3265"/>
      <c r="M463" s="3265"/>
      <c r="N463" s="3265"/>
      <c r="O463" s="3265"/>
      <c r="P463" s="3265"/>
      <c r="Q463" s="3265"/>
      <c r="R463" s="3265"/>
      <c r="S463" s="3265"/>
      <c r="T463" s="3265"/>
      <c r="U463" s="3265"/>
      <c r="V463" s="3265"/>
      <c r="W463" s="3265"/>
      <c r="X463" s="3265"/>
      <c r="Y463" s="3265"/>
      <c r="Z463" s="3265"/>
      <c r="AA463" s="3265"/>
      <c r="AB463" s="3265"/>
      <c r="AC463" s="3265"/>
      <c r="AD463" s="3265"/>
      <c r="AE463" s="3265"/>
      <c r="AF463" s="3265"/>
      <c r="AG463" s="3265"/>
      <c r="AH463" s="3265"/>
      <c r="AI463" s="57"/>
      <c r="AJ463" s="57"/>
    </row>
    <row r="464" spans="1:39" s="141" customFormat="1" ht="12.75" x14ac:dyDescent="0.2">
      <c r="A464" s="140"/>
      <c r="B464" s="140"/>
      <c r="C464" s="140"/>
      <c r="E464" s="141" t="s">
        <v>859</v>
      </c>
      <c r="F464" s="141" t="str">
        <f>IF(F178=0,"",IFERROR(IF(ABS((F383-E383)/ABS(E383)*100)&gt;40,": "&amp;F4&amp;" - "&amp;(F383-E383)/ABS(E383)*100&amp;"%.",""),""))</f>
        <v/>
      </c>
      <c r="G464" s="141" t="str">
        <f>IF(G178=0,"",IFERROR(IF(ABS((G383-F383)/ABS(F383)*100)&gt;40,": "&amp;G4&amp;" - "&amp;(G383-F383)/ABS(F383)*100&amp;"%.",""),""))</f>
        <v/>
      </c>
      <c r="H464" s="141" t="str">
        <f>IF(H178=0,"",IFERROR(IF(ABS((H383-G383)/ABS(G383)*100)&gt;40,": "&amp;H4&amp;" - "&amp;(H383-G383)/ABS(G383)*100&amp;"%.",""),""))</f>
        <v/>
      </c>
      <c r="I464" s="57" t="str">
        <f>IF(I178=0,"",IFERROR(IF(ABS((I383-H383)/ABS(H383)*100)&gt;40,": "&amp;I4&amp;" - "&amp;(I383-H383)/ABS(H383)*100&amp;"%.",""),""))</f>
        <v/>
      </c>
      <c r="J464" s="4"/>
      <c r="K464" s="4"/>
      <c r="L464" s="3265"/>
      <c r="M464" s="3265"/>
      <c r="N464" s="3265"/>
      <c r="O464" s="3265"/>
      <c r="P464" s="3265"/>
      <c r="Q464" s="3265"/>
      <c r="R464" s="3265"/>
      <c r="S464" s="3265"/>
      <c r="T464" s="3265"/>
      <c r="U464" s="3265"/>
      <c r="V464" s="3265"/>
      <c r="W464" s="3265"/>
      <c r="X464" s="3265"/>
      <c r="Y464" s="3265"/>
      <c r="Z464" s="3265"/>
      <c r="AA464" s="3265"/>
      <c r="AB464" s="3265"/>
      <c r="AC464" s="3265"/>
      <c r="AD464" s="3265"/>
      <c r="AE464" s="3265"/>
      <c r="AF464" s="3265"/>
      <c r="AG464" s="3265"/>
      <c r="AH464" s="3265"/>
      <c r="AI464" s="57"/>
      <c r="AJ464" s="57"/>
    </row>
    <row r="465" spans="1:36" s="141" customFormat="1" ht="12.75" x14ac:dyDescent="0.2">
      <c r="A465" s="140"/>
      <c r="B465" s="140"/>
      <c r="C465" s="140"/>
      <c r="E465" s="141" t="s">
        <v>860</v>
      </c>
      <c r="F465" s="143" t="str">
        <f>IF(F178=0,"",IF(AND((F192+F266)&gt;0,F435=0),(": "&amp;F4),""))</f>
        <v/>
      </c>
      <c r="G465" s="143" t="str">
        <f>IF(G178=0,"",IF(AND((G192+G266)&gt;0,G435=0),(": "&amp;G4),""))</f>
        <v/>
      </c>
      <c r="H465" s="143" t="str">
        <f>IF(H178=0,"",IF(AND((H192+H266)&gt;0,H435=0),(": "&amp;H4&amp;"-"&amp;H8),""))</f>
        <v/>
      </c>
      <c r="I465" s="144" t="str">
        <f>IF(I178=0,"",IF(AND((I192+I266)&gt;0,I435=0),(": "&amp;I4&amp;"-"&amp;I8),""))</f>
        <v/>
      </c>
      <c r="J465" s="4"/>
      <c r="K465" s="4"/>
      <c r="L465" s="3265"/>
      <c r="M465" s="3265"/>
      <c r="N465" s="3265"/>
      <c r="O465" s="3265"/>
      <c r="P465" s="3265"/>
      <c r="Q465" s="3265"/>
      <c r="R465" s="3265"/>
      <c r="S465" s="3265"/>
      <c r="T465" s="3265"/>
      <c r="U465" s="3265"/>
      <c r="V465" s="3265"/>
      <c r="W465" s="3265"/>
      <c r="X465" s="3265"/>
      <c r="Y465" s="3265"/>
      <c r="Z465" s="3265"/>
      <c r="AA465" s="3265"/>
      <c r="AB465" s="3265"/>
      <c r="AC465" s="3265"/>
      <c r="AD465" s="3265"/>
      <c r="AE465" s="3265"/>
      <c r="AF465" s="3265"/>
      <c r="AG465" s="3265"/>
      <c r="AH465" s="3265"/>
      <c r="AI465" s="57"/>
      <c r="AJ465" s="57"/>
    </row>
    <row r="466" spans="1:36" s="141" customFormat="1" ht="12.75" x14ac:dyDescent="0.2">
      <c r="A466" s="140"/>
      <c r="B466" s="140"/>
      <c r="C466" s="140"/>
      <c r="E466" s="141" t="s">
        <v>861</v>
      </c>
      <c r="F466" s="141" t="str">
        <f>IF(F178=0,"",IF(ABS(IFERROR(((F380+F381)-(E380+E381))/ABS(E380+E381)*100,0))&gt;30,(": "&amp;F4),""))</f>
        <v/>
      </c>
      <c r="G466" s="141" t="str">
        <f>IF(G178=0,"",IF(ABS(IFERROR(((G380+G381)-(F380+F381))/ABS(F380+F381)*100,0))&gt;30,(": "&amp;G4),""))</f>
        <v/>
      </c>
      <c r="H466" s="141" t="str">
        <f>IF(H178=0,"",IF(ABS(IFERROR(((H380+H381)-(G380+G381))/ABS(G380+G381)*100,0))&gt;30,(": "&amp;H4),""))</f>
        <v/>
      </c>
      <c r="I466" s="57" t="str">
        <f>IF(I178=0,"",IF(ABS(IFERROR(((I380+I381)-(H380+H381))/ABS(H380+H381)*100,0))&gt;30,(": "&amp;I4),""))</f>
        <v/>
      </c>
      <c r="J466" s="4"/>
      <c r="K466" s="4"/>
      <c r="L466" s="3265"/>
      <c r="M466" s="4"/>
      <c r="N466" s="4"/>
      <c r="O466" s="4"/>
      <c r="P466" s="4"/>
      <c r="Q466" s="4"/>
      <c r="R466" s="3265"/>
      <c r="S466" s="3265"/>
      <c r="T466" s="3265"/>
      <c r="U466" s="3265"/>
      <c r="V466" s="3265"/>
      <c r="W466" s="3265"/>
      <c r="X466" s="3265"/>
      <c r="Y466" s="3265"/>
      <c r="Z466" s="3265"/>
      <c r="AA466" s="3265"/>
      <c r="AB466" s="3265"/>
      <c r="AC466" s="3265"/>
      <c r="AD466" s="3265"/>
      <c r="AE466" s="3265"/>
      <c r="AF466" s="3265"/>
      <c r="AG466" s="3265"/>
      <c r="AH466" s="3265"/>
      <c r="AI466" s="57"/>
      <c r="AJ466" s="57"/>
    </row>
    <row r="467" spans="1:36" s="145" customFormat="1" ht="12.75" x14ac:dyDescent="0.2">
      <c r="E467" s="141" t="s">
        <v>862</v>
      </c>
      <c r="F467" s="145" t="str">
        <f>IF(F178=0,"",IF(ABS(IFERROR(((F366-E366)/ABS(E366)*100),0))&gt;30,(": "&amp;F4),""))</f>
        <v/>
      </c>
      <c r="G467" s="145" t="str">
        <f>IF(G178=0,"",IF(ABS(IFERROR(((G366-F366)/ABS(F366)*100),0))&gt;30,(": "&amp;G4),""))</f>
        <v/>
      </c>
      <c r="H467" s="145" t="str">
        <f>IF(H178=0,"",IF(ABS(IFERROR(((H366-G366)/ABS(G366)*100),0))&gt;30,(": "&amp;H4),""))</f>
        <v/>
      </c>
      <c r="I467" s="145" t="str">
        <f>IF(I178=0,"",IF(ABS(IFERROR(((I366-H366)/ABS(H366)*100),0))&gt;30,(": "&amp;I4),""))</f>
        <v/>
      </c>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24"/>
      <c r="AJ467" s="24"/>
    </row>
    <row r="468" spans="1:36" s="145" customFormat="1" ht="12.75" x14ac:dyDescent="0.2">
      <c r="E468" s="145" t="str">
        <f>IF(E458="OK","",E4&amp;" - ")</f>
        <v/>
      </c>
      <c r="F468" s="145" t="str">
        <f>IF(F458="OK","",F4&amp;" - ")</f>
        <v/>
      </c>
      <c r="G468" s="145" t="str">
        <f>IF(G458="OK","",G4&amp;" - ")</f>
        <v/>
      </c>
      <c r="H468" s="145" t="str">
        <f>IF(H458="OK","",H4&amp;" - ")</f>
        <v/>
      </c>
      <c r="I468" s="24" t="str">
        <f>IF(I458="OK","",I4&amp;" - ")</f>
        <v/>
      </c>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24"/>
      <c r="AJ468" s="24"/>
    </row>
    <row r="469" spans="1:36" s="145" customFormat="1" ht="12.75" x14ac:dyDescent="0.2">
      <c r="E469" s="145" t="str">
        <f>(IF(AND(E458="OK",F458="OK",G458="OK",H458="OK",I458="OK"),"","Valide el Cálculo del Ebitda, para los años: "&amp;E468&amp;F468&amp;G468&amp;H468&amp;I468))</f>
        <v/>
      </c>
      <c r="I469" s="2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24"/>
      <c r="AJ469" s="24"/>
    </row>
    <row r="470" spans="1:36" s="145" customFormat="1" ht="12.75" x14ac:dyDescent="0.2">
      <c r="E470" s="145" t="str">
        <f>IF(E456="OK","",E4&amp;" - ")</f>
        <v/>
      </c>
      <c r="F470" s="145" t="str">
        <f>IF(F456="OK","",F4&amp;" - ")</f>
        <v/>
      </c>
      <c r="G470" s="145" t="str">
        <f>IF(G456="OK","",G4&amp;" - ")</f>
        <v/>
      </c>
      <c r="H470" s="145" t="str">
        <f>IF(H456="OK","",H4&amp;" - ")</f>
        <v/>
      </c>
      <c r="I470" s="24" t="str">
        <f>IF(I456="OK","",I4&amp;" - ")</f>
        <v/>
      </c>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24"/>
      <c r="AJ470" s="24"/>
    </row>
    <row r="471" spans="1:36" s="145" customFormat="1" ht="12.75" x14ac:dyDescent="0.2">
      <c r="E471" s="145" t="str">
        <f>(IF(AND(E456="OK",F456="OK",G456="OK",H456="OK",I456="OK"),"","Valide el Costo de Ventas, para los años: "&amp;E470&amp;F470&amp;G470&amp;H470&amp;I470))</f>
        <v/>
      </c>
      <c r="I471" s="2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24"/>
      <c r="AJ471" s="24"/>
    </row>
    <row r="472" spans="1:36" s="145" customFormat="1" ht="12.75" x14ac:dyDescent="0.2">
      <c r="I472" s="2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24"/>
      <c r="AJ472" s="24"/>
    </row>
    <row r="473" spans="1:36" s="145" customFormat="1" ht="12.75" x14ac:dyDescent="0.2">
      <c r="I473" s="2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24"/>
      <c r="AJ473" s="24"/>
    </row>
    <row r="474" spans="1:36" s="145" customFormat="1" ht="12.75" x14ac:dyDescent="0.2">
      <c r="I474" s="2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24"/>
      <c r="AJ474" s="24"/>
    </row>
    <row r="475" spans="1:36" s="145" customFormat="1" ht="12.75" x14ac:dyDescent="0.2">
      <c r="I475" s="2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24"/>
      <c r="AJ475" s="24"/>
    </row>
    <row r="476" spans="1:36" s="145" customFormat="1" ht="12.75" x14ac:dyDescent="0.2">
      <c r="I476" s="2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24"/>
      <c r="AJ476" s="24"/>
    </row>
    <row r="477" spans="1:36" s="145" customFormat="1" ht="12.75" x14ac:dyDescent="0.2">
      <c r="I477" s="2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24"/>
      <c r="AJ477" s="24"/>
    </row>
    <row r="478" spans="1:36" s="145" customFormat="1" ht="12.75" x14ac:dyDescent="0.2">
      <c r="I478" s="2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24"/>
      <c r="AJ478" s="24"/>
    </row>
    <row r="479" spans="1:36" s="145" customFormat="1" ht="12.75" x14ac:dyDescent="0.2">
      <c r="I479" s="2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24"/>
      <c r="AJ479" s="24"/>
    </row>
    <row r="480" spans="1:36" s="145" customFormat="1" ht="12.75" x14ac:dyDescent="0.2">
      <c r="I480" s="2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24"/>
      <c r="AJ480" s="24"/>
    </row>
    <row r="481" spans="1:36" s="145" customFormat="1" ht="12.75" x14ac:dyDescent="0.2">
      <c r="I481" s="2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24"/>
      <c r="AJ481" s="24"/>
    </row>
    <row r="482" spans="1:36" s="145" customFormat="1" ht="12.75" x14ac:dyDescent="0.2">
      <c r="I482" s="2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24"/>
      <c r="AJ482" s="24"/>
    </row>
    <row r="483" spans="1:36" s="145" customFormat="1" ht="12.75" x14ac:dyDescent="0.2">
      <c r="I483" s="2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24"/>
      <c r="AJ483" s="24"/>
    </row>
    <row r="484" spans="1:36" s="145" customFormat="1" ht="12.75" x14ac:dyDescent="0.2">
      <c r="I484" s="2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24"/>
      <c r="AJ484" s="24"/>
    </row>
    <row r="485" spans="1:36" s="145" customFormat="1" ht="12.75" x14ac:dyDescent="0.2">
      <c r="I485" s="2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24"/>
      <c r="AJ485" s="24"/>
    </row>
    <row r="486" spans="1:36" s="145" customFormat="1" ht="12.75" x14ac:dyDescent="0.2">
      <c r="I486" s="2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24"/>
      <c r="AJ486" s="24"/>
    </row>
    <row r="487" spans="1:36" s="145" customFormat="1" ht="12.75" x14ac:dyDescent="0.2">
      <c r="I487" s="2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24"/>
      <c r="AJ487" s="24"/>
    </row>
    <row r="488" spans="1:36" s="145" customFormat="1" ht="12.75" x14ac:dyDescent="0.2">
      <c r="I488" s="2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24"/>
      <c r="AJ488" s="24"/>
    </row>
    <row r="489" spans="1:36" s="145" customFormat="1" ht="12.75" x14ac:dyDescent="0.2">
      <c r="I489" s="2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24"/>
      <c r="AJ489" s="24"/>
    </row>
    <row r="490" spans="1:36" s="2" customFormat="1" x14ac:dyDescent="0.25">
      <c r="A490" s="123"/>
      <c r="B490" s="123"/>
      <c r="C490" s="123"/>
      <c r="I490" s="2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24"/>
      <c r="AJ490" s="24"/>
    </row>
    <row r="491" spans="1:36" s="2" customFormat="1" x14ac:dyDescent="0.25">
      <c r="A491" s="123"/>
      <c r="B491" s="123"/>
      <c r="C491" s="123"/>
      <c r="I491" s="2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24"/>
      <c r="AJ491" s="24"/>
    </row>
    <row r="492" spans="1:36" s="2" customFormat="1" x14ac:dyDescent="0.25">
      <c r="A492" s="123"/>
      <c r="B492" s="123"/>
      <c r="C492" s="123"/>
      <c r="I492" s="2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24"/>
      <c r="AJ492" s="24"/>
    </row>
    <row r="493" spans="1:36" s="2" customFormat="1" x14ac:dyDescent="0.25">
      <c r="A493" s="123"/>
      <c r="B493" s="123"/>
      <c r="C493" s="123"/>
      <c r="I493" s="2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24"/>
      <c r="AJ493" s="24"/>
    </row>
    <row r="494" spans="1:36" s="2" customFormat="1" x14ac:dyDescent="0.25">
      <c r="A494" s="123"/>
      <c r="B494" s="123"/>
      <c r="C494" s="123"/>
      <c r="I494" s="2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24"/>
      <c r="AJ494" s="24"/>
    </row>
    <row r="495" spans="1:36" s="2" customFormat="1" x14ac:dyDescent="0.25">
      <c r="A495" s="123"/>
      <c r="B495" s="123"/>
      <c r="C495" s="123"/>
      <c r="I495" s="2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24"/>
      <c r="AJ495" s="24"/>
    </row>
    <row r="496" spans="1:36" s="2" customFormat="1" x14ac:dyDescent="0.25">
      <c r="A496" s="123"/>
      <c r="B496" s="123"/>
      <c r="C496" s="123"/>
      <c r="I496" s="2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24"/>
      <c r="AJ496" s="24"/>
    </row>
    <row r="497" spans="1:36" s="2" customFormat="1" x14ac:dyDescent="0.25">
      <c r="A497" s="123"/>
      <c r="B497" s="123"/>
      <c r="C497" s="123"/>
      <c r="I497" s="2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24"/>
      <c r="AJ497" s="24"/>
    </row>
    <row r="498" spans="1:36" x14ac:dyDescent="0.25">
      <c r="D498" s="2"/>
      <c r="E498" s="2"/>
      <c r="F498" s="2"/>
      <c r="G498" s="2"/>
      <c r="H498" s="2"/>
      <c r="I498" s="24"/>
      <c r="Z498" s="4"/>
      <c r="AA498" s="4"/>
      <c r="AB498" s="4"/>
    </row>
    <row r="499" spans="1:36" x14ac:dyDescent="0.25">
      <c r="Z499" s="4"/>
      <c r="AA499" s="4"/>
      <c r="AB499" s="4"/>
    </row>
    <row r="500" spans="1:36" x14ac:dyDescent="0.25">
      <c r="Z500" s="4"/>
      <c r="AA500" s="4"/>
      <c r="AB500" s="4"/>
    </row>
    <row r="501" spans="1:36" x14ac:dyDescent="0.25">
      <c r="Z501" s="4"/>
      <c r="AA501" s="4"/>
      <c r="AB501" s="4"/>
    </row>
    <row r="502" spans="1:36" x14ac:dyDescent="0.25">
      <c r="Z502" s="4"/>
      <c r="AA502" s="4"/>
      <c r="AB502" s="4"/>
    </row>
    <row r="503" spans="1:36" x14ac:dyDescent="0.25">
      <c r="Z503" s="4"/>
      <c r="AA503" s="4"/>
      <c r="AB503" s="4"/>
    </row>
    <row r="504" spans="1:36" x14ac:dyDescent="0.25">
      <c r="Z504" s="4"/>
      <c r="AA504" s="4"/>
      <c r="AB504" s="4"/>
    </row>
    <row r="505" spans="1:36" x14ac:dyDescent="0.25">
      <c r="Z505" s="4"/>
      <c r="AA505" s="4"/>
      <c r="AB505" s="4"/>
    </row>
    <row r="506" spans="1:36" x14ac:dyDescent="0.25">
      <c r="Z506" s="4"/>
      <c r="AA506" s="4"/>
      <c r="AB506" s="4"/>
    </row>
    <row r="507" spans="1:36" x14ac:dyDescent="0.25">
      <c r="Z507" s="4"/>
      <c r="AA507" s="4"/>
      <c r="AB507" s="4"/>
    </row>
    <row r="508" spans="1:36" x14ac:dyDescent="0.25">
      <c r="Z508" s="4"/>
      <c r="AA508" s="4"/>
      <c r="AB508" s="4"/>
    </row>
    <row r="509" spans="1:36" x14ac:dyDescent="0.25">
      <c r="Z509" s="4"/>
      <c r="AA509" s="4"/>
      <c r="AB509" s="4"/>
    </row>
    <row r="510" spans="1:36" x14ac:dyDescent="0.25">
      <c r="Z510" s="4"/>
      <c r="AA510" s="4"/>
      <c r="AB510" s="4"/>
    </row>
  </sheetData>
  <sheetProtection password="D5B5" sheet="1" objects="1" scenarios="1"/>
  <mergeCells count="6">
    <mergeCell ref="I458:I459"/>
    <mergeCell ref="D2:G2"/>
    <mergeCell ref="E458:E459"/>
    <mergeCell ref="F458:F459"/>
    <mergeCell ref="G458:G459"/>
    <mergeCell ref="H458:H459"/>
  </mergeCells>
  <conditionalFormatting sqref="E460:E461 F456:I461 E456:E458 E375:I376">
    <cfRule type="containsText" dxfId="51" priority="15" operator="containsText" text="Descuadrado">
      <formula>NOT(ISERROR(SEARCH("Descuadrado",E375)))</formula>
    </cfRule>
    <cfRule type="containsText" dxfId="50" priority="16" stopIfTrue="1" operator="containsText" text="OK">
      <formula>NOT(ISERROR(SEARCH("OK",E375)))</formula>
    </cfRule>
  </conditionalFormatting>
  <conditionalFormatting sqref="D256">
    <cfRule type="cellIs" dxfId="49" priority="14" stopIfTrue="1" operator="equal">
      <formula>"Anticipos Recibidos de Clientes"</formula>
    </cfRule>
  </conditionalFormatting>
  <conditionalFormatting sqref="D424 D437:D438">
    <cfRule type="expression" dxfId="48" priority="13" stopIfTrue="1">
      <formula>$D$254="Anticipos Recibidos de Clientes"</formula>
    </cfRule>
  </conditionalFormatting>
  <conditionalFormatting sqref="G375:H376">
    <cfRule type="containsText" dxfId="47" priority="11" operator="containsText" text="Descuadrado">
      <formula>NOT(ISERROR(SEARCH("Descuadrado",G375)))</formula>
    </cfRule>
    <cfRule type="containsText" dxfId="46" priority="12" stopIfTrue="1" operator="containsText" text="OK">
      <formula>NOT(ISERROR(SEARCH("OK",G375)))</formula>
    </cfRule>
  </conditionalFormatting>
  <conditionalFormatting sqref="E460:E461 F456:I461 E456:E458 E375:I376">
    <cfRule type="containsText" dxfId="45" priority="9" operator="containsText" text="Descuadrado">
      <formula>NOT(ISERROR(SEARCH("Descuadrado",E375)))</formula>
    </cfRule>
    <cfRule type="containsText" dxfId="44" priority="10" stopIfTrue="1" operator="containsText" text="OK">
      <formula>NOT(ISERROR(SEARCH("OK",E375)))</formula>
    </cfRule>
  </conditionalFormatting>
  <conditionalFormatting sqref="D256">
    <cfRule type="cellIs" dxfId="43" priority="8" stopIfTrue="1" operator="equal">
      <formula>"Anticipos Recibidos de Clientes"</formula>
    </cfRule>
  </conditionalFormatting>
  <conditionalFormatting sqref="D424">
    <cfRule type="expression" dxfId="42" priority="7" stopIfTrue="1">
      <formula>$D$254="Anticipos Recibidos de Clientes"</formula>
    </cfRule>
  </conditionalFormatting>
  <conditionalFormatting sqref="E460:E461 F456:I461 E456:E458 E375:I376">
    <cfRule type="containsText" dxfId="41" priority="5" operator="containsText" text="Descuadrado">
      <formula>NOT(ISERROR(SEARCH("Descuadrado",E375)))</formula>
    </cfRule>
    <cfRule type="containsText" dxfId="40" priority="6" stopIfTrue="1" operator="containsText" text="OK">
      <formula>NOT(ISERROR(SEARCH("OK",E375)))</formula>
    </cfRule>
  </conditionalFormatting>
  <conditionalFormatting sqref="G375:H376">
    <cfRule type="containsText" dxfId="39" priority="3" operator="containsText" text="Descuadrado">
      <formula>NOT(ISERROR(SEARCH("Descuadrado",G375)))</formula>
    </cfRule>
    <cfRule type="containsText" dxfId="38" priority="4" stopIfTrue="1" operator="containsText" text="OK">
      <formula>NOT(ISERROR(SEARCH("OK",G375)))</formula>
    </cfRule>
  </conditionalFormatting>
  <conditionalFormatting sqref="E460:E461 F456:I461 E456:E458 E375:I376">
    <cfRule type="containsText" dxfId="37" priority="1" operator="containsText" text="Descuadrado">
      <formula>NOT(ISERROR(SEARCH("Descuadrado",E375)))</formula>
    </cfRule>
    <cfRule type="containsText" dxfId="36" priority="2" stopIfTrue="1" operator="containsText" text="OK">
      <formula>NOT(ISERROR(SEARCH("OK",E375)))</formula>
    </cfRule>
  </conditionalFormatting>
  <dataValidations count="26">
    <dataValidation type="list" allowBlank="1" showInputMessage="1" showErrorMessage="1" errorTitle="Digitación Errada" error="Debe ingresar el Año con información Financiera a cierre de Diciembre  más reciente." sqref="H4" xr:uid="{00000000-0002-0000-2400-000000000000}">
      <formula1>$M$13:$M$17</formula1>
    </dataValidation>
    <dataValidation allowBlank="1" showInputMessage="1" showErrorMessage="1" sqref="F6:G6" xr:uid="{00000000-0002-0000-2400-000001000000}"/>
    <dataValidation type="list" allowBlank="1" showInputMessage="1" showErrorMessage="1" errorTitle="Digitación Errada" error="Debe ingresar el Año con información Financiera a cierre de Diciembre  Más reciente." sqref="G4" xr:uid="{00000000-0002-0000-2400-000002000000}">
      <formula1>$M$13:$M$17</formula1>
    </dataValidation>
    <dataValidation type="list" allowBlank="1" showInputMessage="1" showErrorMessage="1" sqref="E8:I8" xr:uid="{00000000-0002-0000-2400-000003000000}">
      <formula1>$O$13:$O$24</formula1>
    </dataValidation>
    <dataValidation type="list" allowBlank="1" showInputMessage="1" showErrorMessage="1" sqref="H6:I6" xr:uid="{00000000-0002-0000-2400-000004000000}">
      <formula1>$P$13:$P$23</formula1>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xr:uid="{00000000-0002-0000-2400-000005000000}">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xr:uid="{00000000-0002-0000-2400-000006000000}">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xr:uid="{00000000-0002-0000-2400-000007000000}">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xr:uid="{00000000-0002-0000-2400-00000800000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xr:uid="{00000000-0002-0000-2400-000009000000}">
      <formula1>0</formula1>
      <formula2>999999999999</formula2>
    </dataValidation>
    <dataValidation type="decimal" operator="greaterThan" allowBlank="1" showInputMessage="1" showErrorMessage="1" error="Debe digitar un número válido" sqref="F450:I450" xr:uid="{00000000-0002-0000-2400-00000A00000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xr:uid="{00000000-0002-0000-2400-00000B000000}">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xr:uid="{00000000-0002-0000-2400-00000C000000}">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xr:uid="{00000000-0002-0000-2400-00000D00000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xr:uid="{00000000-0002-0000-2400-00000E000000}">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xr:uid="{00000000-0002-0000-2400-00000F00000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xr:uid="{00000000-0002-0000-2400-000010000000}">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xr:uid="{00000000-0002-0000-2400-000011000000}">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xr:uid="{00000000-0002-0000-2400-000012000000}">
      <formula1>0</formula1>
      <formula2>999999999999</formula2>
    </dataValidation>
    <dataValidation type="whole" allowBlank="1" showInputMessage="1" showErrorMessage="1" errorTitle="Digitación Errada" error="Debe ingresar el Año con información Financiera a cierre de Diciembre  Más reciente." sqref="WVP4:WVP5 JD4:JD5 WLT4:WLT5 WBX4:WBX5 VSB4:VSB5 VIF4:VIF5 UYJ4:UYJ5 UON4:UON5 UER4:UER5 TUV4:TUV5 TKZ4:TKZ5 TBD4:TBD5 SRH4:SRH5 SHL4:SHL5 RXP4:RXP5 RNT4:RNT5 RDX4:RDX5 QUB4:QUB5 QKF4:QKF5 QAJ4:QAJ5 PQN4:PQN5 PGR4:PGR5 OWV4:OWV5 OMZ4:OMZ5 ODD4:ODD5 NTH4:NTH5 NJL4:NJL5 MZP4:MZP5 MPT4:MPT5 MFX4:MFX5 LWB4:LWB5 LMF4:LMF5 LCJ4:LCJ5 KSN4:KSN5 KIR4:KIR5 JYV4:JYV5 JOZ4:JOZ5 JFD4:JFD5 IVH4:IVH5 ILL4:ILL5 IBP4:IBP5 HRT4:HRT5 HHX4:HHX5 GYB4:GYB5 GOF4:GOF5 GEJ4:GEJ5 FUN4:FUN5 FKR4:FKR5 FAV4:FAV5 EQZ4:EQZ5 EHD4:EHD5 DXH4:DXH5 DNL4:DNL5 DDP4:DDP5 CTT4:CTT5 CJX4:CJX5 CAB4:CAB5 BQF4:BQF5 BGJ4:BGJ5 AWN4:AWN5 AMR4:AMR5 ACV4:ACV5 SZ4:SZ5" xr:uid="{00000000-0002-0000-2400-000013000000}">
      <formula1>2009</formula1>
      <formula2>2020</formula2>
    </dataValidation>
    <dataValidation type="list" allowBlank="1" showInputMessage="1" showErrorMessage="1" sqref="WVQ8:WVQ10 JE8:JE10 WLU8:WLU10 WBY8:WBY10 VSC8:VSC10 VIG8:VIG10 UYK8:UYK10 UOO8:UOO10 UES8:UES10 TUW8:TUW10 TLA8:TLA10 TBE8:TBE10 SRI8:SRI10 SHM8:SHM10 RXQ8:RXQ10 RNU8:RNU10 RDY8:RDY10 QUC8:QUC10 QKG8:QKG10 QAK8:QAK10 PQO8:PQO10 PGS8:PGS10 OWW8:OWW10 ONA8:ONA10 ODE8:ODE10 NTI8:NTI10 NJM8:NJM10 MZQ8:MZQ10 MPU8:MPU10 MFY8:MFY10 LWC8:LWC10 LMG8:LMG10 LCK8:LCK10 KSO8:KSO10 KIS8:KIS10 JYW8:JYW10 JPA8:JPA10 JFE8:JFE10 IVI8:IVI10 ILM8:ILM10 IBQ8:IBQ10 HRU8:HRU10 HHY8:HHY10 GYC8:GYC10 GOG8:GOG10 GEK8:GEK10 FUO8:FUO10 FKS8:FKS10 FAW8:FAW10 ERA8:ERA10 EHE8:EHE10 DXI8:DXI10 DNM8:DNM10 DDQ8:DDQ10 CTU8:CTU10 CJY8:CJY10 CAC8:CAC10 BQG8:BQG10 BGK8:BGK10 AWO8:AWO10 AMS8:AMS10 ACW8:ACW10 TA8:TA10 H10" xr:uid="{00000000-0002-0000-2400-000014000000}">
      <formula1>$N$12:$N$390</formula1>
    </dataValidation>
    <dataValidation type="list" allowBlank="1" showInputMessage="1" showErrorMessage="1" sqref="WVQ4:WVR5 JE4:JF5 TA4:TB5 ACW4:ACX5 AMS4:AMT5 AWO4:AWP5 BGK4:BGL5 BQG4:BQH5 CAC4:CAD5 CJY4:CJZ5 CTU4:CTV5 DDQ4:DDR5 DNM4:DNN5 DXI4:DXJ5 EHE4:EHF5 ERA4:ERB5 FAW4:FAX5 FKS4:FKT5 FUO4:FUP5 GEK4:GEL5 GOG4:GOH5 GYC4:GYD5 HHY4:HHZ5 HRU4:HRV5 IBQ4:IBR5 ILM4:ILN5 IVI4:IVJ5 JFE4:JFF5 JPA4:JPB5 JYW4:JYX5 KIS4:KIT5 KSO4:KSP5 LCK4:LCL5 LMG4:LMH5 LWC4:LWD5 MFY4:MFZ5 MPU4:MPV5 MZQ4:MZR5 NJM4:NJN5 NTI4:NTJ5 ODE4:ODF5 ONA4:ONB5 OWW4:OWX5 PGS4:PGT5 PQO4:PQP5 QAK4:QAL5 QKG4:QKH5 QUC4:QUD5 RDY4:RDZ5 RNU4:RNV5 RXQ4:RXR5 SHM4:SHN5 SRI4:SRJ5 TBE4:TBF5 TLA4:TLB5 TUW4:TUX5 UES4:UET5 UOO4:UOP5 UYK4:UYL5 VIG4:VIH5 VSC4:VSD5 WBY4:WBZ5 WLU4:WLV5 I4" xr:uid="{00000000-0002-0000-2400-000015000000}">
      <formula1>$M$12:$M$17</formula1>
    </dataValidation>
    <dataValidation type="list" allowBlank="1" showInputMessage="1" showErrorMessage="1" sqref="JB6:JF7 WLR6:WLV7 WBV6:WBZ7 VRZ6:VSD7 VID6:VIH7 UYH6:UYL7 UOL6:UOP7 UEP6:UET7 TUT6:TUX7 TKX6:TLB7 TBB6:TBF7 SRF6:SRJ7 SHJ6:SHN7 RXN6:RXR7 RNR6:RNV7 RDV6:RDZ7 QTZ6:QUD7 QKD6:QKH7 QAH6:QAL7 PQL6:PQP7 PGP6:PGT7 OWT6:OWX7 OMX6:ONB7 ODB6:ODF7 NTF6:NTJ7 NJJ6:NJN7 MZN6:MZR7 MPR6:MPV7 MFV6:MFZ7 LVZ6:LWD7 LMD6:LMH7 LCH6:LCL7 KSL6:KSP7 KIP6:KIT7 JYT6:JYX7 JOX6:JPB7 JFB6:JFF7 IVF6:IVJ7 ILJ6:ILN7 IBN6:IBR7 HRR6:HRV7 HHV6:HHZ7 GXZ6:GYD7 GOD6:GOH7 GEH6:GEL7 FUL6:FUP7 FKP6:FKT7 FAT6:FAX7 EQX6:ERB7 EHB6:EHF7 DXF6:DXJ7 DNJ6:DNN7 DDN6:DDR7 CTR6:CTV7 CJV6:CJZ7 BZZ6:CAD7 BQD6:BQH7 BGH6:BGL7 AWL6:AWP7 AMP6:AMT7 ACT6:ACX7 SX6:TB7 WVN6:WVR7" xr:uid="{00000000-0002-0000-2400-000016000000}">
      <formula1>$M$6:$M$7</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BGH15:BGN374 E342:E343 BGH417:BGN420 E349 E351 E355:E356 E359 E366:E368 E377:H379 I377:I381 F452:J452 BQD15:BQJ374 BZZ15:CAF374 CJV15:CKB374 CTR15:CTX374 DDN15:DDT374 DNJ15:DNP374 DXF15:DXL374 EHB15:EHH374 EQX15:ERD374 FAT15:FAZ374 FKP15:FKV374 FUL15:FUR374 GEH15:GEN374 GOD15:GOJ374 GXZ15:GYF374 HHV15:HIB374 HRR15:HRX374 IBN15:IBT374 ILJ15:ILP374 IVF15:IVL374 JFB15:JFH374 JOX15:JPD374 JYT15:JYZ374 KIP15:KIV374 KSL15:KSR374 LCH15:LCN374 LMD15:LMJ374 LVZ15:LWF374 MFV15:MGB374 MPR15:MPX374 MZN15:MZT374 NJJ15:NJP374 NTF15:NTL374 ODB15:ODH374 OMX15:OND374 OWT15:OWZ374 PGP15:PGV374 PQL15:PQR374 QAH15:QAN374 QKD15:QKJ374 QTZ15:QUF374 RDV15:REB374 RNR15:RNX374 RXN15:RXT374 SHJ15:SHP374 SRF15:SRL374 TBB15:TBH374 TKX15:TLD374 TUT15:TUZ374 UEP15:UEV374 UOL15:UOR374 UYH15:UYN374 VID15:VIJ374 VRZ15:VSF374 WBV15:WCB374 WLR15:WLX374 JB417:JH420 WLR377:WLX391 WBV377:WCB391 VRZ377:VSF391 VID377:VIJ391 UYH377:UYN391 UOL377:UOR391 UEP377:UEV391 TUT377:TUZ391 TKX377:TLD391 TBB377:TBH391 SRF377:SRL391 SHJ377:SHP391 RXN377:RXT391 RNR377:RNX391 RDV377:REB391 QTZ377:QUF391 QKD377:QKJ391 QAH377:QAN391 PQL377:PQR391 PGP377:PGV391 OWT377:OWZ391 OMX377:OND391 ODB377:ODH391 NTF377:NTL391 NJJ377:NJP391 MZN377:MZT391 MPR377:MPX391 MFV377:MGB391 LVZ377:LWF391 LMD377:LMJ391 LCH377:LCN391 KSL377:KSR391 KIP377:KIV391 JYT377:JYZ391 JOX377:JPD391 JFB377:JFH391 IVF377:IVL391 ILJ377:ILP391 IBN377:IBT391 HRR377:HRX391 HHV377:HIB391 GXZ377:GYF391 GOD377:GOJ391 GEH377:GEN391 FUL377:FUR391 FKP377:FKV391 FAT377:FAZ391 EQX377:ERD391 EHB377:EHH391 DXF377:DXL391 DNJ377:DNP391 DDN377:DDT391 CTR377:CTX391 CJV377:CKB391 BZZ377:CAF391 BQD377:BQJ391 BGH377:BGN391 AWL377:AWR391 AMP377:AMV391 ACT377:ACZ391 SX377:TD391 JB377:JH391 WVN377:WVT391 AWL417:AWR420 AMP417:AMV420 I332:I351 ACT417:ACZ420 SX417:TD420 WVN15:WVT374 WVN451:WVT452 WLR451:WLX452 WBV451:WCB452 VRZ451:VSF452 VID451:VIJ452 UYH451:UYN452 UOL451:UOR452 UEP451:UEV452 TUT451:TUZ452 TKX451:TLD452 TBB451:TBH452 SRF451:SRL452 SHJ451:SHP452 RXN451:RXT452 RNR451:RNX452 RDV451:REB452 QTZ451:QUF452 QKD451:QKJ452 QAH451:QAN452 PQL451:PQR452 PGP451:PGV452 OWT451:OWZ452 OMX451:OND452 ODB451:ODH452 NTF451:NTL452 NJJ451:NJP452 MZN451:MZT452 MPR451:MPX452 MFV451:MGB452 LVZ451:LWF452 LMD451:LMJ452 LCH451:LCN452 KSL451:KSR452 KIP451:KIV452 JYT451:JYZ452 JOX451:JPD452 JFB451:JFH452 IVF451:IVL452 ILJ451:ILP452 IBN451:IBT452 HRR451:HRX452 HHV451:HIB452 GXZ451:GYF452 GOD451:GOJ452 GEH451:GEN452 FUL451:FUR452 FKP451:FKV452 FAT451:FAZ452 EQX451:ERD452 EHB451:EHH452 DXF451:DXL452 DNJ451:DNP452 DDN451:DDT452 CTR451:CTX452 CJV451:CKB452 BZZ451:CAF452 BQD451:BQJ452 BGH451:BGN452 AWL451:AWR452 AMP451:AMV452 ACT451:ACZ452 SX451:TD452 JB451:JH452 WVN442:WVT444 WLR442:WLX444 WBV442:WCB444 VRZ442:VSF444 VID442:VIJ444 UYH442:UYN444 UOL442:UOR444 UEP442:UEV444 TUT442:TUZ444 TKX442:TLD444 TBB442:TBH444 SRF442:SRL444 SHJ442:SHP444 RXN442:RXT444 RNR442:RNX444 RDV442:REB444 QTZ442:QUF444 QKD442:QKJ444 QAH442:QAN444 PQL442:PQR444 PGP442:PGV444 OWT442:OWZ444 OMX442:OND444 ODB442:ODH444 NTF442:NTL444 NJJ442:NJP444 MZN442:MZT444 MPR442:MPX444 MFV442:MGB444 LVZ442:LWF444 LMD442:LMJ444 LCH442:LCN444 KSL442:KSR444 KIP442:KIV444 JYT442:JYZ444 JOX442:JPD444 JFB442:JFH444 IVF442:IVL444 ILJ442:ILP444 IBN442:IBT444 HRR442:HRX444 HHV442:HIB444 GXZ442:GYF444 GOD442:GOJ444 GEH442:GEN444 FUL442:FUR444 FKP442:FKV444 FAT442:FAZ444 EQX442:ERD444 EHB442:EHH444 DXF442:DXL444 DNJ442:DNP444 DDN442:DDT444 CTR442:CTX444 CJV442:CKB444 BZZ442:CAF444 BQD442:BQJ444 BGH442:BGN444 AWL442:AWR444 AMP442:AMV444 ACT442:ACZ444 SX442:TD444 JB442:JH444 I355:I374 WVN439:WVT439 WLR439:WLX439 WBV439:WCB439 VRZ439:VSF439 VID439:VIJ439 UYH439:UYN439 UOL439:UOR439 UEP439:UEV439 TUT439:TUZ439 TKX439:TLD439 TBB439:TBH439 SRF439:SRL439 SHJ439:SHP439 RXN439:RXT439 RNR439:RNX439 RDV439:REB439 QTZ439:QUF439 QKD439:QKJ439 QAH439:QAN439 PQL439:PQR439 PGP439:PGV439 OWT439:OWZ439 OMX439:OND439 ODB439:ODH439 NTF439:NTL439 NJJ439:NJP439 MZN439:MZT439 MPR439:MPX439 MFV439:MGB439 LVZ439:LWF439 LMD439:LMJ439 LCH439:LCN439 KSL439:KSR439 KIP439:KIV439 JYT439:JYZ439 JOX439:JPD439 JFB439:JFH439 IVF439:IVL439 ILJ439:ILP439 IBN439:IBT439 HRR439:HRX439 HHV439:HIB439 GXZ439:GYF439 GOD439:GOJ439 GEH439:GEN439 FUL439:FUR439 FKP439:FKV439 FAT439:FAZ439 EQX439:ERD439 EHB439:EHH439 DXF439:DXL439 DNJ439:DNP439 DDN439:DDT439 CTR439:CTX439 CJV439:CKB439 BZZ439:CAF439 BQD439:BQJ439 BGH439:BGN439 AWL439:AWR439 AMP439:AMV439 ACT439:ACZ439 SX439:TD439 JB439:JH439 JB15:JH374 WVN430:WVT430 WLR430:WLX430 WBV430:WCB430 VRZ430:VSF430 VID430:VIJ430 UYH430:UYN430 UOL430:UOR430 UEP430:UEV430 TUT430:TUZ430 TKX430:TLD430 TBB430:TBH430 SRF430:SRL430 SHJ430:SHP430 RXN430:RXT430 RNR430:RNX430 RDV430:REB430 QTZ430:QUF430 QKD430:QKJ430 QAH430:QAN430 PQL430:PQR430 PGP430:PGV430 OWT430:OWZ430 OMX430:OND430 ODB430:ODH430 NTF430:NTL430 NJJ430:NJP430 MZN430:MZT430 MPR430:MPX430 MFV430:MGB430 LVZ430:LWF430 LMD430:LMJ430 LCH430:LCN430 KSL430:KSR430 KIP430:KIV430 JYT430:JYZ430 JOX430:JPD430 JFB430:JFH430 IVF430:IVL430 ILJ430:ILP430 IBN430:IBT430 HRR430:HRX430 HHV430:HIB430 GXZ430:GYF430 GOD430:GOJ430 GEH430:GEN430 FUL430:FUR430 FKP430:FKV430 FAT430:FAZ430 EQX430:ERD430 EHB430:EHH430 DXF430:DXL430 DNJ430:DNP430 DDN430:DDT430 CTR430:CTX430 CJV430:CKB430 BZZ430:CAF430 BQD430:BQJ430 BGH430:BGN430 AWL430:AWR430 AMP430:AMV430 ACT430:ACZ430 SX430:TD430 JB430:JH430 SX15:TD374 WVN398:WVT399 WLR398:WLX399 WBV398:WCB399 VRZ398:VSF399 VID398:VIJ399 UYH398:UYN399 UOL398:UOR399 UEP398:UEV399 TUT398:TUZ399 TKX398:TLD399 TBB398:TBH399 SRF398:SRL399 SHJ398:SHP399 RXN398:RXT399 RNR398:RNX399 RDV398:REB399 QTZ398:QUF399 QKD398:QKJ399 QAH398:QAN399 PQL398:PQR399 PGP398:PGV399 OWT398:OWZ399 OMX398:OND399 ODB398:ODH399 NTF398:NTL399 NJJ398:NJP399 MZN398:MZT399 MPR398:MPX399 MFV398:MGB399 LVZ398:LWF399 LMD398:LMJ399 LCH398:LCN399 KSL398:KSR399 KIP398:KIV399 JYT398:JYZ399 JOX398:JPD399 JFB398:JFH399 IVF398:IVL399 ILJ398:ILP399 IBN398:IBT399 HRR398:HRX399 HHV398:HIB399 GXZ398:GYF399 GOD398:GOJ399 GEH398:GEN399 FUL398:FUR399 FKP398:FKV399 FAT398:FAZ399 EQX398:ERD399 EHB398:EHH399 DXF398:DXL399 DNJ398:DNP399 DDN398:DDT399 CTR398:CTX399 CJV398:CKB399 BZZ398:CAF399 BQD398:BQJ399 BGH398:BGN399 AWL398:AWR399 AMP398:AMV399 ACT398:ACZ399 SX398:TD399 JB398:JH399 ACT15:ACZ374 WVN405:WVT405 WLR405:WLX405 WBV405:WCB405 VRZ405:VSF405 VID405:VIJ405 UYH405:UYN405 UOL405:UOR405 UEP405:UEV405 TUT405:TUZ405 TKX405:TLD405 TBB405:TBH405 SRF405:SRL405 SHJ405:SHP405 RXN405:RXT405 RNR405:RNX405 RDV405:REB405 QTZ405:QUF405 QKD405:QKJ405 QAH405:QAN405 PQL405:PQR405 PGP405:PGV405 OWT405:OWZ405 OMX405:OND405 ODB405:ODH405 NTF405:NTL405 NJJ405:NJP405 MZN405:MZT405 MPR405:MPX405 MFV405:MGB405 LVZ405:LWF405 LMD405:LMJ405 LCH405:LCN405 KSL405:KSR405 KIP405:KIV405 JYT405:JYZ405 JOX405:JPD405 JFB405:JFH405 IVF405:IVL405 ILJ405:ILP405 IBN405:IBT405 HRR405:HRX405 HHV405:HIB405 GXZ405:GYF405 GOD405:GOJ405 GEH405:GEN405 FUL405:FUR405 FKP405:FKV405 FAT405:FAZ405 EQX405:ERD405 EHB405:EHH405 DXF405:DXL405 DNJ405:DNP405 DDN405:DDT405 CTR405:CTX405 CJV405:CKB405 BZZ405:CAF405 BQD405:BQJ405 BGH405:BGN405 AWL405:AWR405 AMP405:AMV405 ACT405:ACZ405 SX405:TD405 JB405:JH405 AMP15:AMV374 WVN413:WVT413 WLR413:WLX413 WBV413:WCB413 VRZ413:VSF413 VID413:VIJ413 UYH413:UYN413 UOL413:UOR413 UEP413:UEV413 TUT413:TUZ413 TKX413:TLD413 TBB413:TBH413 SRF413:SRL413 SHJ413:SHP413 RXN413:RXT413 RNR413:RNX413 RDV413:REB413 QTZ413:QUF413 QKD413:QKJ413 QAH413:QAN413 PQL413:PQR413 PGP413:PGV413 OWT413:OWZ413 OMX413:OND413 ODB413:ODH413 NTF413:NTL413 NJJ413:NJP413 MZN413:MZT413 MPR413:MPX413 MFV413:MGB413 LVZ413:LWF413 LMD413:LMJ413 LCH413:LCN413 KSL413:KSR413 KIP413:KIV413 JYT413:JYZ413 JOX413:JPD413 JFB413:JFH413 IVF413:IVL413 ILJ413:ILP413 IBN413:IBT413 HRR413:HRX413 HHV413:HIB413 GXZ413:GYF413 GOD413:GOJ413 GEH413:GEN413 FUL413:FUR413 FKP413:FKV413 FAT413:FAZ413 EQX413:ERD413 EHB413:EHH413 DXF413:DXL413 DNJ413:DNP413 DDN413:DDT413 CTR413:CTX413 CJV413:CKB413 BZZ413:CAF413 BQD413:BQJ413 BGH413:BGN413 AWL413:AWR413 AMP413:AMV413 ACT413:ACZ413 SX413:TD413 JB413:JH413 AWL15:AWR374 WVN417:WVT420 WLR417:WLX420 WBV417:WCB420 VRZ417:VSF420 VID417:VIJ420 UYH417:UYN420 UOL417:UOR420 UEP417:UEV420 TUT417:TUZ420 TKX417:TLD420 TBB417:TBH420 SRF417:SRL420 SHJ417:SHP420 RXN417:RXT420 RNR417:RNX420 RDV417:REB420 QTZ417:QUF420 QKD417:QKJ420 QAH417:QAN420 PQL417:PQR420 PGP417:PGV420 OWT417:OWZ420 OMX417:OND420 ODB417:ODH420 NTF417:NTL420 NJJ417:NJP420 MZN417:MZT420 MPR417:MPX420 MFV417:MGB420 LVZ417:LWF420 LMD417:LMJ420 LCH417:LCN420 KSL417:KSR420 KIP417:KIV420 JYT417:JYZ420 JOX417:JPD420 JFB417:JFH420 IVF417:IVL420 ILJ417:ILP420 IBN417:IBT420 HRR417:HRX420 HHV417:HIB420 GXZ417:GYF420 GOD417:GOJ420 GEH417:GEN420 FUL417:FUR420 FKP417:FKV420 FAT417:FAZ420 EQX417:ERD420 EHB417:EHH420 DXF417:DXL420 DNJ417:DNP420 DDN417:DDT420 CTR417:CTX420 CJV417:CKB420 BZZ417:CAF420 BQD417:BQJ420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K377:K391 K451:K452 K417:K420 K442:K444 K439 K430 K398:K399 K405 K413 K15:K374" xr:uid="{00000000-0002-0000-2400-000017000000}">
      <formula1>-999999999999</formula1>
      <formula2>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UEP11:UEV14 CJV421:CKB429 FUL421:FUR429 FKP421:FKV429 FAT421:FAZ429 EQX421:ERD429 EHB421:EHH429 DXF421:DXL429 DNJ421:DNP429 DDN421:DDT429 TUT11:TUZ14 TKX11:TLD14 TBB11:TBH14 SRF11:SRL14 SHJ11:SHP14 RXN11:RXT14 RNR11:RNX14 RDV11:REB14 QTZ11:QUF14 QKD11:QKJ14 QAH11:QAN14 PQL11:PQR14 PGP11:PGV14 OWT11:OWZ14 OMX11:OND14 ODB11:ODH14 NTF11:NTL14 NJJ11:NJP14 MZN11:MZT14 MPR11:MPX14 MFV11:MGB14 LVZ11:LWF14 LMD11:LMJ14 LCH11:LCN14 KSL11:KSR14 KIP11:KIV14 JYT11:JYZ14 JOX11:JPD14 JFB11:JFH14 IVF11:IVL14 ILJ11:ILP14 IBN11:IBT14 HRR11:HRX14 HHV11:HIB14 GXZ11:GYF14 GOD11:GOJ14 GEH11:GEN14 FUL11:FUR14 FKP11:FKV14 FAT11:FAZ14 EQX11:ERD14 EHB11:EHH14 DXF11:DXL14 DNJ11:DNP14 DDN11:DDT14 CTR11:CTX14 CJV11:CKB14 BZZ11:CAF14 BQD11:BQJ14 BGH11:BGN14 AWL11:AWR14 AMP11:AMV14 ACT11:ACZ14 SX11:TD14 JB11:JH14 BZZ421:CAF429 WVN11:WVT14 BQD421:BQJ429 BGH421:BGN429 AWL421:AWR429 AMP421:AMV429 ACT421:ACZ429 SX421:TD429 CTR421:CTX429 JB421:JH429 WLR445:WLX450 WBV445:WCB450 VRZ445:VSF450 VID445:VIJ450 UYH445:UYN450 UOL445:UOR450 UEP445:UEV450 TUT445:TUZ450 TKX445:TLD450 TBB445:TBH450 SRF445:SRL450 SHJ445:SHP450 RXN445:RXT450 RNR445:RNX450 RDV445:REB450 QTZ445:QUF450 QKD445:QKJ450 QAH445:QAN450 PQL445:PQR450 PGP445:PGV450 OWT445:OWZ450 OMX445:OND450 ODB445:ODH450 NTF445:NTL450 NJJ445:NJP450 MZN445:MZT450 MPR445:MPX450 MFV445:MGB450 LVZ445:LWF450 LMD445:LMJ450 LCH445:LCN450 KSL445:KSR450 KIP445:KIV450 JYT445:JYZ450 JOX445:JPD450 JFB445:JFH450 IVF445:IVL450 ILJ445:ILP450 IBN445:IBT450 HRR445:HRX450 HHV445:HIB450 GXZ445:GYF450 GOD445:GOJ450 GEH445:GEN450 FUL445:FUR450 FKP445:FKV450 FAT445:FAZ450 EQX445:ERD450 EHB445:EHH450 DXF445:DXL450 DNJ445:DNP450 DDN445:DDT450 CTR445:CTX450 CJV445:CKB450 BZZ445:CAF450 BQD445:BQJ450 BGH445:BGN450 AWL445:AWR450 AMP445:AMV450 ACT445:ACZ450 SX445:TD450 JB445:JH450 WVN445:WVT450 WLR11:WLX14 WVN440:WVT441 WLR440:WLX441 WBV440:WCB441 VRZ440:VSF441 VID440:VIJ441 UYH440:UYN441 UOL440:UOR441 UEP440:UEV441 TUT440:TUZ441 TKX440:TLD441 TBB440:TBH441 SRF440:SRL441 SHJ440:SHP441 RXN440:RXT441 RNR440:RNX441 RDV440:REB441 QTZ440:QUF441 QKD440:QKJ441 QAH440:QAN441 PQL440:PQR441 PGP440:PGV441 OWT440:OWZ441 OMX440:OND441 ODB440:ODH441 NTF440:NTL441 NJJ440:NJP441 MZN440:MZT441 MPR440:MPX441 MFV440:MGB441 LVZ440:LWF441 LMD440:LMJ441 LCH440:LCN441 KSL440:KSR441 KIP440:KIV441 JYT440:JYZ441 JOX440:JPD441 JFB440:JFH441 IVF440:IVL441 ILJ440:ILP441 IBN440:IBT441 HRR440:HRX441 HHV440:HIB441 GXZ440:GYF441 GOD440:GOJ441 GEH440:GEN441 FUL440:FUR441 FKP440:FKV441 FAT440:FAZ441 EQX440:ERD441 EHB440:EHH441 DXF440:DXL441 DNJ440:DNP441 DDN440:DDT441 CTR440:CTX441 CJV440:CKB441 BZZ440:CAF441 BQD440:BQJ441 BGH440:BGN441 AWL440:AWR441 AMP440:AMV441 ACT440:ACZ441 SX440:TD441 JB440:JH441 WVN431:WVT438 WLR431:WLX438 WBV431:WCB438 VRZ431:VSF438 VID431:VIJ438 UYH431:UYN438 UOL431:UOR438 UEP431:UEV438 TUT431:TUZ438 TKX431:TLD438 TBB431:TBH438 SRF431:SRL438 SHJ431:SHP438 RXN431:RXT438 RNR431:RNX438 RDV431:REB438 QTZ431:QUF438 QKD431:QKJ438 QAH431:QAN438 PQL431:PQR438 PGP431:PGV438 OWT431:OWZ438 OMX431:OND438 ODB431:ODH438 NTF431:NTL438 NJJ431:NJP438 MZN431:MZT438 MPR431:MPX438 MFV431:MGB438 LVZ431:LWF438 LMD431:LMJ438 LCH431:LCN438 KSL431:KSR438 KIP431:KIV438 JYT431:JYZ438 JOX431:JPD438 JFB431:JFH438 IVF431:IVL438 ILJ431:ILP438 IBN431:IBT438 HRR431:HRX438 HHV431:HIB438 GXZ431:GYF438 GOD431:GOJ438 GEH431:GEN438 FUL431:FUR438 FKP431:FKV438 FAT431:FAZ438 EQX431:ERD438 EHB431:EHH438 DXF431:DXL438 DNJ431:DNP438 DDN431:DDT438 CTR431:CTX438 CJV431:CKB438 BZZ431:CAF438 BQD431:BQJ438 BGH431:BGN438 AWL431:AWR438 AMP431:AMV438 ACT431:ACZ438 SX431:TD438 JB431:JH438 WBV11:WCB14 WVN406:WVT412 WLR406:WLX412 WBV406:WCB412 VRZ406:VSF412 VID406:VIJ412 UYH406:UYN412 UOL406:UOR412 UEP406:UEV412 TUT406:TUZ412 TKX406:TLD412 TBB406:TBH412 SRF406:SRL412 SHJ406:SHP412 RXN406:RXT412 RNR406:RNX412 RDV406:REB412 QTZ406:QUF412 QKD406:QKJ412 QAH406:QAN412 PQL406:PQR412 PGP406:PGV412 OWT406:OWZ412 OMX406:OND412 ODB406:ODH412 NTF406:NTL412 NJJ406:NJP412 MZN406:MZT412 MPR406:MPX412 MFV406:MGB412 LVZ406:LWF412 LMD406:LMJ412 LCH406:LCN412 KSL406:KSR412 KIP406:KIV412 JYT406:JYZ412 JOX406:JPD412 JFB406:JFH412 IVF406:IVL412 ILJ406:ILP412 IBN406:IBT412 HRR406:HRX412 HHV406:HIB412 GXZ406:GYF412 GOD406:GOJ412 GEH406:GEN412 FUL406:FUR412 FKP406:FKV412 FAT406:FAZ412 EQX406:ERD412 EHB406:EHH412 DXF406:DXL412 DNJ406:DNP412 DDN406:DDT412 CTR406:CTX412 CJV406:CKB412 BZZ406:CAF412 BQD406:BQJ412 BGH406:BGN412 AWL406:AWR412 AMP406:AMV412 ACT406:ACZ412 SX406:TD412 JB406:JH412 VRZ11:VSF14 WVN392:WVT397 WLR392:WLX397 WBV392:WCB397 VRZ392:VSF397 VID392:VIJ397 UYH392:UYN397 UOL392:UOR397 UEP392:UEV397 TUT392:TUZ397 TKX392:TLD397 TBB392:TBH397 SRF392:SRL397 SHJ392:SHP397 RXN392:RXT397 RNR392:RNX397 RDV392:REB397 QTZ392:QUF397 QKD392:QKJ397 QAH392:QAN397 PQL392:PQR397 PGP392:PGV397 OWT392:OWZ397 OMX392:OND397 ODB392:ODH397 NTF392:NTL397 NJJ392:NJP397 MZN392:MZT397 MPR392:MPX397 MFV392:MGB397 LVZ392:LWF397 LMD392:LMJ397 LCH392:LCN397 KSL392:KSR397 KIP392:KIV397 JYT392:JYZ397 JOX392:JPD397 JFB392:JFH397 IVF392:IVL397 ILJ392:ILP397 IBN392:IBT397 HRR392:HRX397 HHV392:HIB397 GXZ392:GYF397 GOD392:GOJ397 GEH392:GEN397 FUL392:FUR397 FKP392:FKV397 FAT392:FAZ397 EQX392:ERD397 EHB392:EHH397 DXF392:DXL397 DNJ392:DNP397 DDN392:DDT397 CTR392:CTX397 CJV392:CKB397 BZZ392:CAF397 BQD392:BQJ397 BGH392:BGN397 AWL392:AWR397 AMP392:AMV397 ACT392:ACZ397 SX392:TD397 JB392:JH397 VID11:VIJ14 WVN400:WVT404 WLR400:WLX404 WBV400:WCB404 VRZ400:VSF404 VID400:VIJ404 UYH400:UYN404 UOL400:UOR404 UEP400:UEV404 TUT400:TUZ404 TKX400:TLD404 TBB400:TBH404 SRF400:SRL404 SHJ400:SHP404 RXN400:RXT404 RNR400:RNX404 RDV400:REB404 QTZ400:QUF404 QKD400:QKJ404 QAH400:QAN404 PQL400:PQR404 PGP400:PGV404 OWT400:OWZ404 OMX400:OND404 ODB400:ODH404 NTF400:NTL404 NJJ400:NJP404 MZN400:MZT404 MPR400:MPX404 MFV400:MGB404 LVZ400:LWF404 LMD400:LMJ404 LCH400:LCN404 KSL400:KSR404 KIP400:KIV404 JYT400:JYZ404 JOX400:JPD404 JFB400:JFH404 IVF400:IVL404 ILJ400:ILP404 IBN400:IBT404 HRR400:HRX404 HHV400:HIB404 GXZ400:GYF404 GOD400:GOJ404 GEH400:GEN404 FUL400:FUR404 FKP400:FKV404 FAT400:FAZ404 EQX400:ERD404 EHB400:EHH404 DXF400:DXL404 DNJ400:DNP404 DDN400:DDT404 CTR400:CTX404 CJV400:CKB404 BZZ400:CAF404 BQD400:BQJ404 BGH400:BGN404 AWL400:AWR404 AMP400:AMV404 ACT400:ACZ404 SX400:TD404 JB400:JH404 UYH11:UYN14 WVN414:WVT416 WLR414:WLX416 WBV414:WCB416 VRZ414:VSF416 VID414:VIJ416 UYH414:UYN416 UOL414:UOR416 UEP414:UEV416 TUT414:TUZ416 TKX414:TLD416 TBB414:TBH416 SRF414:SRL416 SHJ414:SHP416 RXN414:RXT416 RNR414:RNX416 RDV414:REB416 QTZ414:QUF416 QKD414:QKJ416 QAH414:QAN416 PQL414:PQR416 PGP414:PGV416 OWT414:OWZ416 OMX414:OND416 ODB414:ODH416 NTF414:NTL416 NJJ414:NJP416 MZN414:MZT416 MPR414:MPX416 MFV414:MGB416 LVZ414:LWF416 LMD414:LMJ416 LCH414:LCN416 KSL414:KSR416 KIP414:KIV416 JYT414:JYZ416 JOX414:JPD416 JFB414:JFH416 IVF414:IVL416 ILJ414:ILP416 IBN414:IBT416 HRR414:HRX416 HHV414:HIB416 GXZ414:GYF416 GOD414:GOJ416 GEH414:GEN416 FUL414:FUR416 FKP414:FKV416 FAT414:FAZ416 EQX414:ERD416 EHB414:EHH416 DXF414:DXL416 DNJ414:DNP416 DDN414:DDT416 CTR414:CTX416 CJV414:CKB416 BZZ414:CAF416 BQD414:BQJ416 BGH414:BGN416 AWL414:AWR416 AMP414:AMV416 ACT414:ACZ416 SX414:TD416 JB414:JH416 UOL11:UOR14 WVN421:WVT429 WLR421:WLX429 WBV421:WCB429 VRZ421:VSF429 VID421:VIJ429 UYH421:UYN429 UOL421:UOR429 UEP421:UEV429 TUT421:TUZ429 TKX421:TLD429 TBB421:TBH429 SRF421:SRL429 SHJ421:SHP429 RXN421:RXT429 RNR421:RNX429 RDV421:REB429 QTZ421:QUF429 QKD421:QKJ429 QAH421:QAN429 PQL421:PQR429 PGP421:PGV429 OWT421:OWZ429 OMX421:OND429 ODB421:ODH429 NTF421:NTL429 NJJ421:NJP429 MZN421:MZT429 MPR421:MPX429 MFV421:MGB429 LVZ421:LWF429 LMD421:LMJ429 LCH421:LCN429 KSL421:KSR429 KIP421:KIV429 JYT421:JYZ429 JOX421:JPD429 JFB421:JFH429 IVF421:IVL429 ILJ421:ILP429 IBN421:IBT429 HRR421:HRX429 HHV421:HIB429 GXZ421:GYF429 GOD421:GOJ429 GEH421:GEN429 K421:K429 K445:K450 K440:K441 K431:K438 K406:K412 K392:K397 K400:K404 K414:K416 K12:K14" xr:uid="{00000000-0002-0000-2400-000018000000}">
      <formula1>-999999999999</formula1>
      <formula2>999999999999</formula2>
    </dataValidation>
    <dataValidation type="list" allowBlank="1" showInputMessage="1" showErrorMessage="1" sqref="E5:I5" xr:uid="{00000000-0002-0000-2400-000019000000}">
      <formula1>$N$6:$N$8</formula1>
    </dataValidation>
  </dataValidations>
  <pageMargins left="0.3" right="0.31" top="0.23" bottom="0.28000000000000003" header="0.23" footer="0.17"/>
  <pageSetup scale="43" fitToHeight="1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7"/>
  <dimension ref="A1:I481"/>
  <sheetViews>
    <sheetView showGridLines="0" showRowColHeaders="0" zoomScale="70" zoomScaleNormal="70" workbookViewId="0">
      <selection activeCell="E9" sqref="E9"/>
    </sheetView>
  </sheetViews>
  <sheetFormatPr baseColWidth="10" defaultRowHeight="15" x14ac:dyDescent="0.25"/>
  <cols>
    <col min="1" max="1" width="2.5703125" style="146" customWidth="1"/>
    <col min="2" max="3" width="4" style="146" customWidth="1"/>
    <col min="4" max="4" width="75.7109375" bestFit="1" customWidth="1"/>
    <col min="5" max="8" width="29.42578125" customWidth="1"/>
    <col min="9" max="9" width="29.42578125" style="64" customWidth="1"/>
  </cols>
  <sheetData>
    <row r="1" spans="1:9" s="2" customFormat="1" ht="28.5" customHeight="1" x14ac:dyDescent="0.25">
      <c r="A1" s="22"/>
      <c r="B1" s="22"/>
      <c r="C1" s="22"/>
      <c r="D1"/>
      <c r="E1"/>
      <c r="F1"/>
      <c r="G1"/>
      <c r="H1"/>
      <c r="I1" s="23" t="e">
        <f>#REF!</f>
        <v>#REF!</v>
      </c>
    </row>
    <row r="2" spans="1:9" s="2" customFormat="1" ht="28.5" customHeight="1" thickBot="1" x14ac:dyDescent="0.3">
      <c r="A2" s="22"/>
      <c r="B2" s="22"/>
      <c r="C2" s="22"/>
      <c r="D2" s="3354" t="str">
        <f>'Estados Financieros'!D2:G2</f>
        <v>900.142.011 Prueba Da 27.08.23</v>
      </c>
      <c r="E2" s="3354"/>
      <c r="F2" s="3354"/>
      <c r="G2" s="3354"/>
      <c r="H2" s="25"/>
      <c r="I2" s="26"/>
    </row>
    <row r="3" spans="1:9" s="2" customFormat="1" ht="16.5" customHeight="1" thickBot="1" x14ac:dyDescent="0.3">
      <c r="A3" s="22"/>
      <c r="B3" s="22"/>
      <c r="C3" s="22"/>
      <c r="D3" s="27" t="s">
        <v>2165</v>
      </c>
      <c r="E3" s="28" t="s">
        <v>533</v>
      </c>
      <c r="F3" s="29" t="s">
        <v>533</v>
      </c>
      <c r="G3" s="29" t="s">
        <v>533</v>
      </c>
      <c r="H3" s="29" t="s">
        <v>534</v>
      </c>
      <c r="I3" s="30" t="s">
        <v>535</v>
      </c>
    </row>
    <row r="4" spans="1:9" s="2" customFormat="1" ht="21" x14ac:dyDescent="0.35">
      <c r="A4" s="22"/>
      <c r="B4" s="22"/>
      <c r="C4" s="22"/>
      <c r="D4" s="31" t="s">
        <v>536</v>
      </c>
      <c r="E4" s="32">
        <f>'Estados Financieros'!E4</f>
        <v>2019</v>
      </c>
      <c r="F4" s="33">
        <f>'Estados Financieros'!F4</f>
        <v>2020</v>
      </c>
      <c r="G4" s="34">
        <f>'Estados Financieros'!G4</f>
        <v>2021</v>
      </c>
      <c r="H4" s="34">
        <f>'Estados Financieros'!H4</f>
        <v>2021</v>
      </c>
      <c r="I4" s="34">
        <f>'Estados Financieros'!I4</f>
        <v>2020</v>
      </c>
    </row>
    <row r="5" spans="1:9" s="2" customFormat="1" ht="21" x14ac:dyDescent="0.35">
      <c r="A5" s="22"/>
      <c r="B5" s="22"/>
      <c r="C5" s="22"/>
      <c r="D5" s="3175" t="s">
        <v>2166</v>
      </c>
      <c r="E5" s="32" t="str">
        <f>'Estados Financieros'!E5</f>
        <v>Auditados Sin Salvedades</v>
      </c>
      <c r="F5" s="33" t="str">
        <f>'Estados Financieros'!F5</f>
        <v>Auditados Sin Salvedades</v>
      </c>
      <c r="G5" s="3176" t="str">
        <f>'Estados Financieros'!G5</f>
        <v>Auditados Sin Salvedades</v>
      </c>
      <c r="H5" s="3176"/>
      <c r="I5" s="3176"/>
    </row>
    <row r="6" spans="1:9" s="2" customFormat="1" ht="21" x14ac:dyDescent="0.35">
      <c r="A6" s="22"/>
      <c r="B6" s="22"/>
      <c r="C6" s="22"/>
      <c r="D6" s="35" t="s">
        <v>538</v>
      </c>
      <c r="E6" s="36" t="str">
        <f>'Estados Financieros'!E6</f>
        <v>12</v>
      </c>
      <c r="F6" s="36" t="str">
        <f>'Estados Financieros'!F6</f>
        <v>12</v>
      </c>
      <c r="G6" s="36" t="str">
        <f>'Estados Financieros'!G6</f>
        <v>12</v>
      </c>
      <c r="H6" s="37" t="str">
        <f>'Estados Financieros'!H6</f>
        <v>06</v>
      </c>
      <c r="I6" s="37" t="str">
        <f>'Estados Financieros'!I6</f>
        <v>06</v>
      </c>
    </row>
    <row r="7" spans="1:9" s="2" customFormat="1" ht="21" x14ac:dyDescent="0.35">
      <c r="A7" s="22"/>
      <c r="B7" s="22"/>
      <c r="C7" s="22"/>
      <c r="D7" s="35" t="s">
        <v>539</v>
      </c>
      <c r="E7" s="36">
        <f>'Estados Financieros'!E7</f>
        <v>360</v>
      </c>
      <c r="F7" s="36">
        <f>'Estados Financieros'!F7</f>
        <v>360</v>
      </c>
      <c r="G7" s="36">
        <f>'Estados Financieros'!G7</f>
        <v>360</v>
      </c>
      <c r="H7" s="36">
        <f>'Estados Financieros'!H7</f>
        <v>180</v>
      </c>
      <c r="I7" s="36">
        <f>'Estados Financieros'!I7</f>
        <v>180</v>
      </c>
    </row>
    <row r="8" spans="1:9" s="2" customFormat="1" ht="16.5" customHeight="1" thickBot="1" x14ac:dyDescent="0.3">
      <c r="A8" s="22"/>
      <c r="B8" s="22"/>
      <c r="C8" s="22"/>
      <c r="D8" s="38" t="s">
        <v>540</v>
      </c>
      <c r="E8" s="39" t="str">
        <f>'Estados Financieros'!E8</f>
        <v>Diciembre</v>
      </c>
      <c r="F8" s="39" t="str">
        <f>'Estados Financieros'!F8</f>
        <v>Diciembre</v>
      </c>
      <c r="G8" s="39" t="str">
        <f>'Estados Financieros'!G8</f>
        <v>Diciembre</v>
      </c>
      <c r="H8" s="39" t="str">
        <f>'Estados Financieros'!H8</f>
        <v>Junio</v>
      </c>
      <c r="I8" s="39" t="str">
        <f>'Estados Financieros'!I8</f>
        <v>Junio</v>
      </c>
    </row>
    <row r="9" spans="1:9" s="46" customFormat="1" ht="16.5" customHeight="1" x14ac:dyDescent="0.25">
      <c r="A9" s="40"/>
      <c r="B9" s="41" t="s">
        <v>541</v>
      </c>
      <c r="C9" s="41"/>
      <c r="D9" s="41"/>
      <c r="E9" s="3185" t="str">
        <f>'Estados Financieros'!E9</f>
        <v>Tasas:  = 0, -  = 0, -  = 0,</v>
      </c>
      <c r="F9" s="42"/>
      <c r="G9" s="43"/>
      <c r="H9" s="44" t="s">
        <v>532</v>
      </c>
      <c r="I9" s="45" t="s">
        <v>532</v>
      </c>
    </row>
    <row r="10" spans="1:9" s="46" customFormat="1" ht="16.5" customHeight="1" x14ac:dyDescent="0.25">
      <c r="A10" s="40"/>
      <c r="B10" s="47" t="s">
        <v>1426</v>
      </c>
      <c r="C10" s="48" t="s">
        <v>542</v>
      </c>
      <c r="D10" s="49"/>
      <c r="E10" s="50"/>
      <c r="F10" s="50"/>
      <c r="G10" s="50"/>
      <c r="H10" s="50"/>
      <c r="I10" s="51"/>
    </row>
    <row r="11" spans="1:9" s="58" customFormat="1" ht="15.75" customHeight="1" x14ac:dyDescent="0.2">
      <c r="A11" s="52"/>
      <c r="B11" s="53"/>
      <c r="C11" s="42"/>
      <c r="D11" s="54" t="s">
        <v>543</v>
      </c>
      <c r="E11" s="3149">
        <f>'Estados Financieros'!E11</f>
        <v>30</v>
      </c>
      <c r="F11" s="3149">
        <f>'Estados Financieros'!F11</f>
        <v>30</v>
      </c>
      <c r="G11" s="3149">
        <f>'Estados Financieros'!G11</f>
        <v>30</v>
      </c>
      <c r="H11" s="3149">
        <f>'Estados Financieros'!H11</f>
        <v>30</v>
      </c>
      <c r="I11" s="3148">
        <f>'Estados Financieros'!I11</f>
        <v>30</v>
      </c>
    </row>
    <row r="12" spans="1:9" s="58" customFormat="1" ht="15.75" customHeight="1" x14ac:dyDescent="0.2">
      <c r="A12" s="52"/>
      <c r="B12" s="53"/>
      <c r="C12" s="42"/>
      <c r="D12" s="59" t="s">
        <v>545</v>
      </c>
      <c r="E12" s="3149">
        <f>'Estados Financieros'!E12</f>
        <v>30</v>
      </c>
      <c r="F12" s="3149">
        <f>'Estados Financieros'!F12</f>
        <v>30</v>
      </c>
      <c r="G12" s="3149">
        <f>'Estados Financieros'!G12</f>
        <v>30</v>
      </c>
      <c r="H12" s="3149">
        <f>'Estados Financieros'!H12</f>
        <v>30</v>
      </c>
      <c r="I12" s="3148">
        <f>'Estados Financieros'!I12</f>
        <v>30</v>
      </c>
    </row>
    <row r="13" spans="1:9" s="58" customFormat="1" ht="19.5" x14ac:dyDescent="0.2">
      <c r="A13" s="52"/>
      <c r="B13" s="53"/>
      <c r="C13" s="42"/>
      <c r="D13" s="59" t="s">
        <v>549</v>
      </c>
      <c r="E13" s="3149">
        <f>'Estados Financieros'!E13</f>
        <v>30</v>
      </c>
      <c r="F13" s="3149">
        <f>'Estados Financieros'!F13</f>
        <v>30</v>
      </c>
      <c r="G13" s="3149">
        <f>'Estados Financieros'!G13</f>
        <v>30</v>
      </c>
      <c r="H13" s="3149">
        <f>'Estados Financieros'!H13</f>
        <v>30</v>
      </c>
      <c r="I13" s="3148">
        <f>'Estados Financieros'!I13</f>
        <v>30</v>
      </c>
    </row>
    <row r="14" spans="1:9" s="58" customFormat="1" ht="19.5" x14ac:dyDescent="0.2">
      <c r="A14" s="52"/>
      <c r="B14" s="53"/>
      <c r="C14" s="42"/>
      <c r="D14" s="59" t="s">
        <v>550</v>
      </c>
      <c r="E14" s="3149">
        <f>'Estados Financieros'!E14</f>
        <v>30</v>
      </c>
      <c r="F14" s="3149">
        <f>'Estados Financieros'!F14</f>
        <v>30</v>
      </c>
      <c r="G14" s="3149">
        <f>'Estados Financieros'!G14</f>
        <v>30</v>
      </c>
      <c r="H14" s="3149">
        <f>'Estados Financieros'!H14</f>
        <v>30</v>
      </c>
      <c r="I14" s="3148">
        <f>'Estados Financieros'!I14</f>
        <v>30</v>
      </c>
    </row>
    <row r="15" spans="1:9" s="58" customFormat="1" ht="19.5" x14ac:dyDescent="0.2">
      <c r="A15" s="52"/>
      <c r="B15" s="53"/>
      <c r="C15" s="42"/>
      <c r="D15" s="59" t="s">
        <v>551</v>
      </c>
      <c r="E15" s="3149">
        <f>'Estados Financieros'!E15</f>
        <v>30</v>
      </c>
      <c r="F15" s="3149">
        <f>'Estados Financieros'!F15</f>
        <v>30</v>
      </c>
      <c r="G15" s="3149">
        <f>'Estados Financieros'!G15</f>
        <v>30</v>
      </c>
      <c r="H15" s="3149">
        <f>'Estados Financieros'!H15</f>
        <v>30</v>
      </c>
      <c r="I15" s="3148">
        <f>'Estados Financieros'!I15</f>
        <v>30</v>
      </c>
    </row>
    <row r="16" spans="1:9" s="58" customFormat="1" ht="19.5" x14ac:dyDescent="0.2">
      <c r="A16" s="52"/>
      <c r="B16" s="53"/>
      <c r="C16" s="60" t="s">
        <v>552</v>
      </c>
      <c r="D16" s="61"/>
      <c r="E16" s="3153">
        <f>'Estados Financieros'!E16</f>
        <v>150</v>
      </c>
      <c r="F16" s="3153">
        <f>'Estados Financieros'!F16</f>
        <v>150</v>
      </c>
      <c r="G16" s="3153">
        <f>'Estados Financieros'!G16</f>
        <v>150</v>
      </c>
      <c r="H16" s="3153">
        <f>'Estados Financieros'!H16</f>
        <v>150</v>
      </c>
      <c r="I16" s="3152">
        <f>'Estados Financieros'!I16</f>
        <v>150</v>
      </c>
    </row>
    <row r="17" spans="1:9" s="58" customFormat="1" ht="19.5" x14ac:dyDescent="0.2">
      <c r="A17" s="52"/>
      <c r="B17" s="47"/>
      <c r="C17" s="48" t="s">
        <v>553</v>
      </c>
      <c r="D17" s="65"/>
      <c r="E17" s="3151"/>
      <c r="F17" s="3151"/>
      <c r="G17" s="3151"/>
      <c r="H17" s="3151"/>
      <c r="I17" s="3150"/>
    </row>
    <row r="18" spans="1:9" s="58" customFormat="1" ht="19.5" x14ac:dyDescent="0.2">
      <c r="A18" s="52"/>
      <c r="B18" s="53"/>
      <c r="C18" s="42"/>
      <c r="D18" s="54" t="s">
        <v>554</v>
      </c>
      <c r="E18" s="3149">
        <f>'Estados Financieros'!E18</f>
        <v>30</v>
      </c>
      <c r="F18" s="3149">
        <f>'Estados Financieros'!F18</f>
        <v>30</v>
      </c>
      <c r="G18" s="3149">
        <f>'Estados Financieros'!G18</f>
        <v>30</v>
      </c>
      <c r="H18" s="3149">
        <f>'Estados Financieros'!H18</f>
        <v>30</v>
      </c>
      <c r="I18" s="3148">
        <f>'Estados Financieros'!I18</f>
        <v>30</v>
      </c>
    </row>
    <row r="19" spans="1:9" s="58" customFormat="1" ht="19.5" x14ac:dyDescent="0.2">
      <c r="A19" s="52"/>
      <c r="B19" s="53"/>
      <c r="C19" s="42"/>
      <c r="D19" s="59" t="s">
        <v>555</v>
      </c>
      <c r="E19" s="3149">
        <f>'Estados Financieros'!E19</f>
        <v>30</v>
      </c>
      <c r="F19" s="3149">
        <f>'Estados Financieros'!F19</f>
        <v>30</v>
      </c>
      <c r="G19" s="3149">
        <f>'Estados Financieros'!G19</f>
        <v>30</v>
      </c>
      <c r="H19" s="3149">
        <f>'Estados Financieros'!H19</f>
        <v>30</v>
      </c>
      <c r="I19" s="3148">
        <f>'Estados Financieros'!I19</f>
        <v>30</v>
      </c>
    </row>
    <row r="20" spans="1:9" s="58" customFormat="1" ht="19.5" x14ac:dyDescent="0.2">
      <c r="A20" s="52"/>
      <c r="B20" s="53"/>
      <c r="C20" s="42"/>
      <c r="D20" s="59" t="s">
        <v>556</v>
      </c>
      <c r="E20" s="3149">
        <f>'Estados Financieros'!E20</f>
        <v>30</v>
      </c>
      <c r="F20" s="3149">
        <f>'Estados Financieros'!F20</f>
        <v>30</v>
      </c>
      <c r="G20" s="3149">
        <f>'Estados Financieros'!G20</f>
        <v>30</v>
      </c>
      <c r="H20" s="3149">
        <f>'Estados Financieros'!H20</f>
        <v>30</v>
      </c>
      <c r="I20" s="3148">
        <f>'Estados Financieros'!I20</f>
        <v>30</v>
      </c>
    </row>
    <row r="21" spans="1:9" s="58" customFormat="1" ht="19.5" x14ac:dyDescent="0.2">
      <c r="A21" s="52"/>
      <c r="B21" s="53"/>
      <c r="C21" s="42"/>
      <c r="D21" s="59" t="s">
        <v>557</v>
      </c>
      <c r="E21" s="3149">
        <f>'Estados Financieros'!E21</f>
        <v>30</v>
      </c>
      <c r="F21" s="3149">
        <f>'Estados Financieros'!F21</f>
        <v>30</v>
      </c>
      <c r="G21" s="3149">
        <f>'Estados Financieros'!G21</f>
        <v>30</v>
      </c>
      <c r="H21" s="3149">
        <f>'Estados Financieros'!H21</f>
        <v>30</v>
      </c>
      <c r="I21" s="3148">
        <f>'Estados Financieros'!I21</f>
        <v>30</v>
      </c>
    </row>
    <row r="22" spans="1:9" s="58" customFormat="1" ht="19.5" x14ac:dyDescent="0.2">
      <c r="A22" s="52"/>
      <c r="B22" s="53"/>
      <c r="C22" s="42"/>
      <c r="D22" s="59" t="s">
        <v>558</v>
      </c>
      <c r="E22" s="3149">
        <f>'Estados Financieros'!E22</f>
        <v>30</v>
      </c>
      <c r="F22" s="3149">
        <f>'Estados Financieros'!F22</f>
        <v>30</v>
      </c>
      <c r="G22" s="3149">
        <f>'Estados Financieros'!G22</f>
        <v>30</v>
      </c>
      <c r="H22" s="3149">
        <f>'Estados Financieros'!H22</f>
        <v>30</v>
      </c>
      <c r="I22" s="3148">
        <f>'Estados Financieros'!I22</f>
        <v>30</v>
      </c>
    </row>
    <row r="23" spans="1:9" s="58" customFormat="1" ht="19.5" x14ac:dyDescent="0.2">
      <c r="A23" s="52"/>
      <c r="B23" s="53"/>
      <c r="C23" s="42"/>
      <c r="D23" s="59" t="s">
        <v>559</v>
      </c>
      <c r="E23" s="3149">
        <f>'Estados Financieros'!E23</f>
        <v>30</v>
      </c>
      <c r="F23" s="3149">
        <f>'Estados Financieros'!F23</f>
        <v>30</v>
      </c>
      <c r="G23" s="3149">
        <f>'Estados Financieros'!G23</f>
        <v>30</v>
      </c>
      <c r="H23" s="3149">
        <f>'Estados Financieros'!H23</f>
        <v>30</v>
      </c>
      <c r="I23" s="3148">
        <f>'Estados Financieros'!I23</f>
        <v>30</v>
      </c>
    </row>
    <row r="24" spans="1:9" s="58" customFormat="1" ht="19.5" x14ac:dyDescent="0.2">
      <c r="A24" s="52"/>
      <c r="B24" s="53"/>
      <c r="C24" s="42"/>
      <c r="D24" s="59" t="s">
        <v>560</v>
      </c>
      <c r="E24" s="3149">
        <f>'Estados Financieros'!E24</f>
        <v>30</v>
      </c>
      <c r="F24" s="3149">
        <f>'Estados Financieros'!F24</f>
        <v>30</v>
      </c>
      <c r="G24" s="3149">
        <f>'Estados Financieros'!G24</f>
        <v>30</v>
      </c>
      <c r="H24" s="3149">
        <f>'Estados Financieros'!H24</f>
        <v>30</v>
      </c>
      <c r="I24" s="3148">
        <f>'Estados Financieros'!I24</f>
        <v>30</v>
      </c>
    </row>
    <row r="25" spans="1:9" s="58" customFormat="1" ht="19.5" x14ac:dyDescent="0.2">
      <c r="A25" s="52"/>
      <c r="B25" s="53"/>
      <c r="C25" s="42"/>
      <c r="D25" s="59" t="s">
        <v>561</v>
      </c>
      <c r="E25" s="3149">
        <f>'Estados Financieros'!E25</f>
        <v>30</v>
      </c>
      <c r="F25" s="3149">
        <f>'Estados Financieros'!F25</f>
        <v>30</v>
      </c>
      <c r="G25" s="3149">
        <f>'Estados Financieros'!G25</f>
        <v>30</v>
      </c>
      <c r="H25" s="3149">
        <f>'Estados Financieros'!H25</f>
        <v>30</v>
      </c>
      <c r="I25" s="3148">
        <f>'Estados Financieros'!I25</f>
        <v>30</v>
      </c>
    </row>
    <row r="26" spans="1:9" s="58" customFormat="1" ht="19.5" x14ac:dyDescent="0.2">
      <c r="A26" s="52"/>
      <c r="B26" s="53"/>
      <c r="C26" s="60" t="s">
        <v>563</v>
      </c>
      <c r="D26" s="61"/>
      <c r="E26" s="3153">
        <f>'Estados Financieros'!E26</f>
        <v>240</v>
      </c>
      <c r="F26" s="3153">
        <f>'Estados Financieros'!F26</f>
        <v>240</v>
      </c>
      <c r="G26" s="3153">
        <f>'Estados Financieros'!G26</f>
        <v>240</v>
      </c>
      <c r="H26" s="3153">
        <f>'Estados Financieros'!H26</f>
        <v>240</v>
      </c>
      <c r="I26" s="3152">
        <f>'Estados Financieros'!I26</f>
        <v>240</v>
      </c>
    </row>
    <row r="27" spans="1:9" s="58" customFormat="1" ht="19.5" x14ac:dyDescent="0.2">
      <c r="A27" s="52"/>
      <c r="B27" s="47"/>
      <c r="C27" s="48" t="s">
        <v>565</v>
      </c>
      <c r="D27" s="65"/>
      <c r="E27" s="3151"/>
      <c r="F27" s="3151"/>
      <c r="G27" s="3151"/>
      <c r="H27" s="3151"/>
      <c r="I27" s="3150"/>
    </row>
    <row r="28" spans="1:9" s="58" customFormat="1" ht="19.5" x14ac:dyDescent="0.2">
      <c r="A28" s="52"/>
      <c r="B28" s="53"/>
      <c r="C28" s="42"/>
      <c r="D28" s="54" t="s">
        <v>567</v>
      </c>
      <c r="E28" s="3149">
        <f>'Estados Financieros'!E28</f>
        <v>30</v>
      </c>
      <c r="F28" s="3149">
        <f>'Estados Financieros'!F28</f>
        <v>30</v>
      </c>
      <c r="G28" s="3149">
        <f>'Estados Financieros'!G28</f>
        <v>30</v>
      </c>
      <c r="H28" s="3149">
        <f>'Estados Financieros'!H28</f>
        <v>30</v>
      </c>
      <c r="I28" s="3148">
        <f>'Estados Financieros'!I28</f>
        <v>30</v>
      </c>
    </row>
    <row r="29" spans="1:9" s="58" customFormat="1" ht="19.5" x14ac:dyDescent="0.2">
      <c r="A29" s="52"/>
      <c r="B29" s="53"/>
      <c r="C29" s="42"/>
      <c r="D29" s="59" t="s">
        <v>569</v>
      </c>
      <c r="E29" s="3149">
        <f>'Estados Financieros'!E29</f>
        <v>30</v>
      </c>
      <c r="F29" s="3149">
        <f>'Estados Financieros'!F29</f>
        <v>30</v>
      </c>
      <c r="G29" s="3149">
        <f>'Estados Financieros'!G29</f>
        <v>30</v>
      </c>
      <c r="H29" s="3149">
        <f>'Estados Financieros'!H29</f>
        <v>30</v>
      </c>
      <c r="I29" s="3148">
        <f>'Estados Financieros'!I29</f>
        <v>30</v>
      </c>
    </row>
    <row r="30" spans="1:9" s="58" customFormat="1" ht="19.5" x14ac:dyDescent="0.2">
      <c r="A30" s="52"/>
      <c r="B30" s="53"/>
      <c r="C30" s="42"/>
      <c r="D30" s="59" t="s">
        <v>571</v>
      </c>
      <c r="E30" s="3149">
        <f>'Estados Financieros'!E30</f>
        <v>30</v>
      </c>
      <c r="F30" s="3149">
        <f>'Estados Financieros'!F30</f>
        <v>30</v>
      </c>
      <c r="G30" s="3149">
        <f>'Estados Financieros'!G30</f>
        <v>30</v>
      </c>
      <c r="H30" s="3149">
        <f>'Estados Financieros'!H30</f>
        <v>30</v>
      </c>
      <c r="I30" s="3148">
        <f>'Estados Financieros'!I30</f>
        <v>30</v>
      </c>
    </row>
    <row r="31" spans="1:9" s="58" customFormat="1" ht="19.5" x14ac:dyDescent="0.2">
      <c r="A31" s="52"/>
      <c r="B31" s="53"/>
      <c r="C31" s="42"/>
      <c r="D31" s="59" t="s">
        <v>573</v>
      </c>
      <c r="E31" s="3149">
        <f>'Estados Financieros'!E31</f>
        <v>30</v>
      </c>
      <c r="F31" s="3149">
        <f>'Estados Financieros'!F31</f>
        <v>30</v>
      </c>
      <c r="G31" s="3149">
        <f>'Estados Financieros'!G31</f>
        <v>30</v>
      </c>
      <c r="H31" s="3149">
        <f>'Estados Financieros'!H31</f>
        <v>30</v>
      </c>
      <c r="I31" s="3148">
        <f>'Estados Financieros'!I31</f>
        <v>30</v>
      </c>
    </row>
    <row r="32" spans="1:9" s="58" customFormat="1" ht="19.5" x14ac:dyDescent="0.2">
      <c r="A32" s="52"/>
      <c r="B32" s="53"/>
      <c r="C32" s="42"/>
      <c r="D32" s="68" t="s">
        <v>574</v>
      </c>
      <c r="E32" s="3149">
        <f>'Estados Financieros'!E32</f>
        <v>30</v>
      </c>
      <c r="F32" s="3149">
        <f>'Estados Financieros'!F32</f>
        <v>30</v>
      </c>
      <c r="G32" s="3149">
        <f>'Estados Financieros'!G32</f>
        <v>30</v>
      </c>
      <c r="H32" s="3149">
        <f>'Estados Financieros'!H32</f>
        <v>30</v>
      </c>
      <c r="I32" s="3148">
        <f>'Estados Financieros'!I32</f>
        <v>30</v>
      </c>
    </row>
    <row r="33" spans="1:9" s="58" customFormat="1" ht="19.5" x14ac:dyDescent="0.2">
      <c r="A33" s="52"/>
      <c r="B33" s="53"/>
      <c r="C33" s="60" t="s">
        <v>575</v>
      </c>
      <c r="D33" s="61"/>
      <c r="E33" s="3153">
        <f>'Estados Financieros'!E33</f>
        <v>90</v>
      </c>
      <c r="F33" s="3153">
        <f>'Estados Financieros'!F33</f>
        <v>90</v>
      </c>
      <c r="G33" s="3153">
        <f>'Estados Financieros'!G33</f>
        <v>90</v>
      </c>
      <c r="H33" s="3153">
        <f>'Estados Financieros'!H33</f>
        <v>90</v>
      </c>
      <c r="I33" s="3152">
        <f>'Estados Financieros'!I33</f>
        <v>90</v>
      </c>
    </row>
    <row r="34" spans="1:9" s="58" customFormat="1" ht="19.5" x14ac:dyDescent="0.2">
      <c r="A34" s="52"/>
      <c r="B34" s="47"/>
      <c r="C34" s="48" t="s">
        <v>576</v>
      </c>
      <c r="D34" s="65"/>
      <c r="E34" s="3151"/>
      <c r="F34" s="3151"/>
      <c r="G34" s="3151"/>
      <c r="H34" s="3151"/>
      <c r="I34" s="3150"/>
    </row>
    <row r="35" spans="1:9" s="58" customFormat="1" ht="19.5" x14ac:dyDescent="0.2">
      <c r="A35" s="52"/>
      <c r="B35" s="53"/>
      <c r="C35" s="42"/>
      <c r="D35" s="54" t="s">
        <v>577</v>
      </c>
      <c r="E35" s="3149">
        <f>'Estados Financieros'!E35</f>
        <v>30</v>
      </c>
      <c r="F35" s="3149">
        <f>'Estados Financieros'!F35</f>
        <v>30</v>
      </c>
      <c r="G35" s="3149">
        <f>'Estados Financieros'!G35</f>
        <v>30</v>
      </c>
      <c r="H35" s="3149">
        <f>'Estados Financieros'!H35</f>
        <v>30</v>
      </c>
      <c r="I35" s="3148">
        <f>'Estados Financieros'!I35</f>
        <v>30</v>
      </c>
    </row>
    <row r="36" spans="1:9" s="58" customFormat="1" ht="19.5" x14ac:dyDescent="0.2">
      <c r="A36" s="52"/>
      <c r="B36" s="53"/>
      <c r="C36" s="42"/>
      <c r="D36" s="59" t="s">
        <v>578</v>
      </c>
      <c r="E36" s="3147">
        <f>'Estados Financieros'!E36</f>
        <v>30</v>
      </c>
      <c r="F36" s="3147">
        <f>'Estados Financieros'!F36</f>
        <v>30</v>
      </c>
      <c r="G36" s="3147">
        <f>'Estados Financieros'!G36</f>
        <v>30</v>
      </c>
      <c r="H36" s="3147">
        <f>'Estados Financieros'!H36</f>
        <v>30</v>
      </c>
      <c r="I36" s="3146">
        <f>'Estados Financieros'!I36</f>
        <v>30</v>
      </c>
    </row>
    <row r="37" spans="1:9" s="58" customFormat="1" ht="19.5" x14ac:dyDescent="0.2">
      <c r="A37" s="52"/>
      <c r="B37" s="53"/>
      <c r="C37" s="42"/>
      <c r="D37" s="59" t="s">
        <v>579</v>
      </c>
      <c r="E37" s="3147">
        <f>'Estados Financieros'!E37</f>
        <v>30</v>
      </c>
      <c r="F37" s="3147">
        <f>'Estados Financieros'!F37</f>
        <v>30</v>
      </c>
      <c r="G37" s="3147">
        <f>'Estados Financieros'!G37</f>
        <v>30</v>
      </c>
      <c r="H37" s="3147">
        <f>'Estados Financieros'!H37</f>
        <v>30</v>
      </c>
      <c r="I37" s="3146">
        <f>'Estados Financieros'!I37</f>
        <v>30</v>
      </c>
    </row>
    <row r="38" spans="1:9" s="58" customFormat="1" ht="19.5" x14ac:dyDescent="0.2">
      <c r="A38" s="52"/>
      <c r="B38" s="53"/>
      <c r="C38" s="42"/>
      <c r="D38" s="59" t="s">
        <v>580</v>
      </c>
      <c r="E38" s="3147">
        <f>'Estados Financieros'!E38</f>
        <v>30</v>
      </c>
      <c r="F38" s="3147">
        <f>'Estados Financieros'!F38</f>
        <v>30</v>
      </c>
      <c r="G38" s="3147">
        <f>'Estados Financieros'!G38</f>
        <v>30</v>
      </c>
      <c r="H38" s="3147">
        <f>'Estados Financieros'!H38</f>
        <v>30</v>
      </c>
      <c r="I38" s="3146">
        <f>'Estados Financieros'!I38</f>
        <v>30</v>
      </c>
    </row>
    <row r="39" spans="1:9" s="58" customFormat="1" ht="19.5" x14ac:dyDescent="0.2">
      <c r="A39" s="52"/>
      <c r="B39" s="53"/>
      <c r="C39" s="42"/>
      <c r="D39" s="59" t="s">
        <v>581</v>
      </c>
      <c r="E39" s="3147">
        <f>'Estados Financieros'!E39</f>
        <v>30</v>
      </c>
      <c r="F39" s="3147">
        <f>'Estados Financieros'!F39</f>
        <v>30</v>
      </c>
      <c r="G39" s="3147">
        <f>'Estados Financieros'!G39</f>
        <v>30</v>
      </c>
      <c r="H39" s="3147">
        <f>'Estados Financieros'!H39</f>
        <v>30</v>
      </c>
      <c r="I39" s="3146">
        <f>'Estados Financieros'!I39</f>
        <v>30</v>
      </c>
    </row>
    <row r="40" spans="1:9" s="58" customFormat="1" ht="19.5" x14ac:dyDescent="0.2">
      <c r="A40" s="52"/>
      <c r="B40" s="53"/>
      <c r="C40" s="42"/>
      <c r="D40" s="59" t="s">
        <v>582</v>
      </c>
      <c r="E40" s="3147">
        <f>'Estados Financieros'!E40</f>
        <v>30</v>
      </c>
      <c r="F40" s="3147">
        <f>'Estados Financieros'!F40</f>
        <v>30</v>
      </c>
      <c r="G40" s="3147">
        <f>'Estados Financieros'!G40</f>
        <v>30</v>
      </c>
      <c r="H40" s="3147">
        <f>'Estados Financieros'!H40</f>
        <v>30</v>
      </c>
      <c r="I40" s="3146">
        <f>'Estados Financieros'!I40</f>
        <v>30</v>
      </c>
    </row>
    <row r="41" spans="1:9" s="58" customFormat="1" ht="19.5" x14ac:dyDescent="0.2">
      <c r="A41" s="52"/>
      <c r="B41" s="53"/>
      <c r="C41" s="42"/>
      <c r="D41" s="59" t="s">
        <v>583</v>
      </c>
      <c r="E41" s="3147">
        <f>'Estados Financieros'!E41</f>
        <v>30</v>
      </c>
      <c r="F41" s="3147">
        <f>'Estados Financieros'!F41</f>
        <v>30</v>
      </c>
      <c r="G41" s="3147">
        <f>'Estados Financieros'!G41</f>
        <v>30</v>
      </c>
      <c r="H41" s="3147">
        <f>'Estados Financieros'!H41</f>
        <v>30</v>
      </c>
      <c r="I41" s="3146">
        <f>'Estados Financieros'!I41</f>
        <v>30</v>
      </c>
    </row>
    <row r="42" spans="1:9" s="58" customFormat="1" ht="19.5" x14ac:dyDescent="0.2">
      <c r="A42" s="52"/>
      <c r="B42" s="53"/>
      <c r="C42" s="42"/>
      <c r="D42" s="59" t="s">
        <v>584</v>
      </c>
      <c r="E42" s="3147">
        <f>'Estados Financieros'!E42</f>
        <v>30</v>
      </c>
      <c r="F42" s="3147">
        <f>'Estados Financieros'!F42</f>
        <v>30</v>
      </c>
      <c r="G42" s="3147">
        <f>'Estados Financieros'!G42</f>
        <v>30</v>
      </c>
      <c r="H42" s="3147">
        <f>'Estados Financieros'!H42</f>
        <v>30</v>
      </c>
      <c r="I42" s="3146">
        <f>'Estados Financieros'!I42</f>
        <v>30</v>
      </c>
    </row>
    <row r="43" spans="1:9" s="58" customFormat="1" ht="19.5" x14ac:dyDescent="0.2">
      <c r="A43" s="52"/>
      <c r="B43" s="53"/>
      <c r="C43" s="42"/>
      <c r="D43" s="59" t="s">
        <v>585</v>
      </c>
      <c r="E43" s="3147">
        <f>'Estados Financieros'!E43</f>
        <v>30</v>
      </c>
      <c r="F43" s="3147">
        <f>'Estados Financieros'!F43</f>
        <v>30</v>
      </c>
      <c r="G43" s="3147">
        <f>'Estados Financieros'!G43</f>
        <v>30</v>
      </c>
      <c r="H43" s="3147">
        <f>'Estados Financieros'!H43</f>
        <v>30</v>
      </c>
      <c r="I43" s="3146">
        <f>'Estados Financieros'!I43</f>
        <v>30</v>
      </c>
    </row>
    <row r="44" spans="1:9" s="58" customFormat="1" ht="19.5" x14ac:dyDescent="0.2">
      <c r="A44" s="52"/>
      <c r="B44" s="53"/>
      <c r="C44" s="42"/>
      <c r="D44" s="59" t="s">
        <v>586</v>
      </c>
      <c r="E44" s="3147">
        <f>'Estados Financieros'!E44</f>
        <v>30</v>
      </c>
      <c r="F44" s="3147">
        <f>'Estados Financieros'!F44</f>
        <v>30</v>
      </c>
      <c r="G44" s="3147">
        <f>'Estados Financieros'!G44</f>
        <v>30</v>
      </c>
      <c r="H44" s="3147">
        <f>'Estados Financieros'!H44</f>
        <v>30</v>
      </c>
      <c r="I44" s="3146">
        <f>'Estados Financieros'!I44</f>
        <v>30</v>
      </c>
    </row>
    <row r="45" spans="1:9" s="58" customFormat="1" ht="19.5" x14ac:dyDescent="0.2">
      <c r="A45" s="52"/>
      <c r="B45" s="53"/>
      <c r="C45" s="42"/>
      <c r="D45" s="59" t="s">
        <v>587</v>
      </c>
      <c r="E45" s="3147">
        <f>'Estados Financieros'!E45</f>
        <v>30</v>
      </c>
      <c r="F45" s="3147">
        <f>'Estados Financieros'!F45</f>
        <v>30</v>
      </c>
      <c r="G45" s="3147">
        <f>'Estados Financieros'!G45</f>
        <v>30</v>
      </c>
      <c r="H45" s="3147">
        <f>'Estados Financieros'!H45</f>
        <v>30</v>
      </c>
      <c r="I45" s="3146">
        <f>'Estados Financieros'!I45</f>
        <v>30</v>
      </c>
    </row>
    <row r="46" spans="1:9" s="58" customFormat="1" ht="19.5" x14ac:dyDescent="0.2">
      <c r="A46" s="52"/>
      <c r="B46" s="53"/>
      <c r="C46" s="42"/>
      <c r="D46" s="59" t="s">
        <v>588</v>
      </c>
      <c r="E46" s="3147">
        <f>'Estados Financieros'!E46</f>
        <v>30</v>
      </c>
      <c r="F46" s="3147">
        <f>'Estados Financieros'!F46</f>
        <v>30</v>
      </c>
      <c r="G46" s="3147">
        <f>'Estados Financieros'!G46</f>
        <v>30</v>
      </c>
      <c r="H46" s="3147">
        <f>'Estados Financieros'!H46</f>
        <v>30</v>
      </c>
      <c r="I46" s="3146">
        <f>'Estados Financieros'!I46</f>
        <v>30</v>
      </c>
    </row>
    <row r="47" spans="1:9" s="58" customFormat="1" ht="19.5" x14ac:dyDescent="0.2">
      <c r="A47" s="52"/>
      <c r="B47" s="53"/>
      <c r="C47" s="42"/>
      <c r="D47" s="59" t="s">
        <v>589</v>
      </c>
      <c r="E47" s="3147">
        <f>'Estados Financieros'!E47</f>
        <v>30</v>
      </c>
      <c r="F47" s="3147">
        <f>'Estados Financieros'!F47</f>
        <v>30</v>
      </c>
      <c r="G47" s="3147">
        <f>'Estados Financieros'!G47</f>
        <v>30</v>
      </c>
      <c r="H47" s="3147">
        <f>'Estados Financieros'!H47</f>
        <v>30</v>
      </c>
      <c r="I47" s="3146">
        <f>'Estados Financieros'!I47</f>
        <v>30</v>
      </c>
    </row>
    <row r="48" spans="1:9" s="58" customFormat="1" ht="19.5" x14ac:dyDescent="0.2">
      <c r="A48" s="52"/>
      <c r="B48" s="53"/>
      <c r="C48" s="42"/>
      <c r="D48" s="59" t="s">
        <v>574</v>
      </c>
      <c r="E48" s="3147">
        <f>'Estados Financieros'!E48</f>
        <v>30</v>
      </c>
      <c r="F48" s="3147">
        <f>'Estados Financieros'!F48</f>
        <v>30</v>
      </c>
      <c r="G48" s="3147">
        <f>'Estados Financieros'!G48</f>
        <v>30</v>
      </c>
      <c r="H48" s="3147">
        <f>'Estados Financieros'!H48</f>
        <v>30</v>
      </c>
      <c r="I48" s="3146">
        <f>'Estados Financieros'!I48</f>
        <v>30</v>
      </c>
    </row>
    <row r="49" spans="1:9" s="58" customFormat="1" ht="19.5" x14ac:dyDescent="0.2">
      <c r="A49" s="52"/>
      <c r="B49" s="53"/>
      <c r="C49" s="60" t="s">
        <v>590</v>
      </c>
      <c r="D49" s="61"/>
      <c r="E49" s="3153">
        <f>'Estados Financieros'!E49</f>
        <v>420</v>
      </c>
      <c r="F49" s="3153">
        <f>'Estados Financieros'!F49</f>
        <v>420</v>
      </c>
      <c r="G49" s="3153">
        <f>'Estados Financieros'!G49</f>
        <v>420</v>
      </c>
      <c r="H49" s="3153">
        <f>'Estados Financieros'!H49</f>
        <v>420</v>
      </c>
      <c r="I49" s="3152">
        <f>'Estados Financieros'!I49</f>
        <v>420</v>
      </c>
    </row>
    <row r="50" spans="1:9" s="58" customFormat="1" ht="19.5" x14ac:dyDescent="0.2">
      <c r="A50" s="52"/>
      <c r="B50" s="47"/>
      <c r="C50" s="48" t="s">
        <v>591</v>
      </c>
      <c r="D50" s="65"/>
      <c r="E50" s="3151"/>
      <c r="F50" s="3151"/>
      <c r="G50" s="3151"/>
      <c r="H50" s="3151"/>
      <c r="I50" s="3150"/>
    </row>
    <row r="51" spans="1:9" s="58" customFormat="1" ht="19.5" x14ac:dyDescent="0.2">
      <c r="A51" s="52"/>
      <c r="B51" s="53"/>
      <c r="C51" s="42"/>
      <c r="D51" s="54" t="s">
        <v>592</v>
      </c>
      <c r="E51" s="3149">
        <f>'Estados Financieros'!E51</f>
        <v>30</v>
      </c>
      <c r="F51" s="3149">
        <f>'Estados Financieros'!F51</f>
        <v>30</v>
      </c>
      <c r="G51" s="3149">
        <f>'Estados Financieros'!G51</f>
        <v>30</v>
      </c>
      <c r="H51" s="3149">
        <f>'Estados Financieros'!H51</f>
        <v>30</v>
      </c>
      <c r="I51" s="3148">
        <f>'Estados Financieros'!I51</f>
        <v>30</v>
      </c>
    </row>
    <row r="52" spans="1:9" s="58" customFormat="1" ht="19.5" x14ac:dyDescent="0.2">
      <c r="A52" s="52"/>
      <c r="B52" s="53"/>
      <c r="C52" s="42"/>
      <c r="D52" s="59" t="s">
        <v>593</v>
      </c>
      <c r="E52" s="3147">
        <f>'Estados Financieros'!E52</f>
        <v>30</v>
      </c>
      <c r="F52" s="3147">
        <f>'Estados Financieros'!F52</f>
        <v>30</v>
      </c>
      <c r="G52" s="3147">
        <f>'Estados Financieros'!G52</f>
        <v>30</v>
      </c>
      <c r="H52" s="3147">
        <f>'Estados Financieros'!H52</f>
        <v>30</v>
      </c>
      <c r="I52" s="3146">
        <f>'Estados Financieros'!I52</f>
        <v>30</v>
      </c>
    </row>
    <row r="53" spans="1:9" s="58" customFormat="1" ht="19.5" x14ac:dyDescent="0.2">
      <c r="A53" s="52"/>
      <c r="B53" s="53"/>
      <c r="C53" s="42"/>
      <c r="D53" s="59" t="s">
        <v>594</v>
      </c>
      <c r="E53" s="3147">
        <f>'Estados Financieros'!E53</f>
        <v>30</v>
      </c>
      <c r="F53" s="3147">
        <f>'Estados Financieros'!F53</f>
        <v>30</v>
      </c>
      <c r="G53" s="3147">
        <f>'Estados Financieros'!G53</f>
        <v>30</v>
      </c>
      <c r="H53" s="3147">
        <f>'Estados Financieros'!H53</f>
        <v>30</v>
      </c>
      <c r="I53" s="3146">
        <f>'Estados Financieros'!I53</f>
        <v>30</v>
      </c>
    </row>
    <row r="54" spans="1:9" s="58" customFormat="1" ht="19.5" x14ac:dyDescent="0.2">
      <c r="A54" s="52"/>
      <c r="B54" s="53"/>
      <c r="C54" s="42"/>
      <c r="D54" s="59" t="s">
        <v>595</v>
      </c>
      <c r="E54" s="3147">
        <f>'Estados Financieros'!E54</f>
        <v>30</v>
      </c>
      <c r="F54" s="3147">
        <f>'Estados Financieros'!F54</f>
        <v>30</v>
      </c>
      <c r="G54" s="3147">
        <f>'Estados Financieros'!G54</f>
        <v>30</v>
      </c>
      <c r="H54" s="3147">
        <f>'Estados Financieros'!H54</f>
        <v>30</v>
      </c>
      <c r="I54" s="3146">
        <f>'Estados Financieros'!I54</f>
        <v>30</v>
      </c>
    </row>
    <row r="55" spans="1:9" s="58" customFormat="1" ht="19.5" x14ac:dyDescent="0.2">
      <c r="A55" s="52"/>
      <c r="B55" s="53"/>
      <c r="C55" s="42"/>
      <c r="D55" s="59" t="s">
        <v>596</v>
      </c>
      <c r="E55" s="3147">
        <f>'Estados Financieros'!E55</f>
        <v>30</v>
      </c>
      <c r="F55" s="3147">
        <f>'Estados Financieros'!F55</f>
        <v>30</v>
      </c>
      <c r="G55" s="3147">
        <f>'Estados Financieros'!G55</f>
        <v>30</v>
      </c>
      <c r="H55" s="3147">
        <f>'Estados Financieros'!H55</f>
        <v>30</v>
      </c>
      <c r="I55" s="3146">
        <f>'Estados Financieros'!I55</f>
        <v>30</v>
      </c>
    </row>
    <row r="56" spans="1:9" s="58" customFormat="1" ht="19.5" x14ac:dyDescent="0.2">
      <c r="A56" s="52"/>
      <c r="B56" s="53"/>
      <c r="C56" s="42"/>
      <c r="D56" s="59" t="s">
        <v>597</v>
      </c>
      <c r="E56" s="3147">
        <f>'Estados Financieros'!E56</f>
        <v>30</v>
      </c>
      <c r="F56" s="3147">
        <f>'Estados Financieros'!F56</f>
        <v>30</v>
      </c>
      <c r="G56" s="3147">
        <f>'Estados Financieros'!G56</f>
        <v>30</v>
      </c>
      <c r="H56" s="3147">
        <f>'Estados Financieros'!H56</f>
        <v>30</v>
      </c>
      <c r="I56" s="3146">
        <f>'Estados Financieros'!I56</f>
        <v>30</v>
      </c>
    </row>
    <row r="57" spans="1:9" s="58" customFormat="1" ht="19.5" x14ac:dyDescent="0.2">
      <c r="A57" s="52"/>
      <c r="B57" s="53"/>
      <c r="C57" s="42"/>
      <c r="D57" s="59" t="s">
        <v>453</v>
      </c>
      <c r="E57" s="3147">
        <f>'Estados Financieros'!E57</f>
        <v>30</v>
      </c>
      <c r="F57" s="3147">
        <f>'Estados Financieros'!F57</f>
        <v>30</v>
      </c>
      <c r="G57" s="3147">
        <f>'Estados Financieros'!G57</f>
        <v>30</v>
      </c>
      <c r="H57" s="3147">
        <f>'Estados Financieros'!H57</f>
        <v>30</v>
      </c>
      <c r="I57" s="3146">
        <f>'Estados Financieros'!I57</f>
        <v>30</v>
      </c>
    </row>
    <row r="58" spans="1:9" s="58" customFormat="1" ht="18.95" customHeight="1" x14ac:dyDescent="0.2">
      <c r="A58" s="52"/>
      <c r="B58" s="53"/>
      <c r="C58" s="42"/>
      <c r="D58" s="59"/>
      <c r="E58" s="3147"/>
      <c r="F58" s="3147"/>
      <c r="G58" s="3147"/>
      <c r="H58" s="3147"/>
      <c r="I58" s="3146"/>
    </row>
    <row r="59" spans="1:9" s="58" customFormat="1" ht="18.95" customHeight="1" x14ac:dyDescent="0.2">
      <c r="A59" s="52"/>
      <c r="B59" s="53"/>
      <c r="C59" s="42"/>
      <c r="D59" s="59"/>
      <c r="E59" s="3147"/>
      <c r="F59" s="3147"/>
      <c r="G59" s="3147"/>
      <c r="H59" s="3147"/>
      <c r="I59" s="3146"/>
    </row>
    <row r="60" spans="1:9" s="58" customFormat="1" ht="18.95" customHeight="1" x14ac:dyDescent="0.2">
      <c r="A60" s="52"/>
      <c r="B60" s="53"/>
      <c r="C60" s="42"/>
      <c r="D60" s="59"/>
      <c r="E60" s="3147"/>
      <c r="F60" s="3147"/>
      <c r="G60" s="3147"/>
      <c r="H60" s="3147"/>
      <c r="I60" s="3146"/>
    </row>
    <row r="61" spans="1:9" s="58" customFormat="1" ht="19.5" x14ac:dyDescent="0.2">
      <c r="A61" s="52"/>
      <c r="B61" s="53"/>
      <c r="C61" s="42"/>
      <c r="D61" s="59" t="s">
        <v>598</v>
      </c>
      <c r="E61" s="3147">
        <f>'Estados Financieros'!E61</f>
        <v>30</v>
      </c>
      <c r="F61" s="3147">
        <f>'Estados Financieros'!F61</f>
        <v>30</v>
      </c>
      <c r="G61" s="3147">
        <f>'Estados Financieros'!G61</f>
        <v>30</v>
      </c>
      <c r="H61" s="3147">
        <f>'Estados Financieros'!H61</f>
        <v>30</v>
      </c>
      <c r="I61" s="3146">
        <f>'Estados Financieros'!I61</f>
        <v>30</v>
      </c>
    </row>
    <row r="62" spans="1:9" s="58" customFormat="1" ht="19.5" x14ac:dyDescent="0.2">
      <c r="A62" s="52"/>
      <c r="B62" s="53"/>
      <c r="C62" s="42"/>
      <c r="D62" s="59" t="s">
        <v>560</v>
      </c>
      <c r="E62" s="3147">
        <f>'Estados Financieros'!E62</f>
        <v>30</v>
      </c>
      <c r="F62" s="3147">
        <f>'Estados Financieros'!F62</f>
        <v>30</v>
      </c>
      <c r="G62" s="3147">
        <f>'Estados Financieros'!G62</f>
        <v>30</v>
      </c>
      <c r="H62" s="3147">
        <f>'Estados Financieros'!H62</f>
        <v>30</v>
      </c>
      <c r="I62" s="3146">
        <f>'Estados Financieros'!I62</f>
        <v>30</v>
      </c>
    </row>
    <row r="63" spans="1:9" s="58" customFormat="1" ht="19.5" x14ac:dyDescent="0.2">
      <c r="A63" s="52"/>
      <c r="B63" s="53"/>
      <c r="C63" s="42"/>
      <c r="D63" s="68" t="s">
        <v>574</v>
      </c>
      <c r="E63" s="3147">
        <f>'Estados Financieros'!E63</f>
        <v>30</v>
      </c>
      <c r="F63" s="3147">
        <f>'Estados Financieros'!F63</f>
        <v>30</v>
      </c>
      <c r="G63" s="3147">
        <f>'Estados Financieros'!G63</f>
        <v>30</v>
      </c>
      <c r="H63" s="3147">
        <f>'Estados Financieros'!H63</f>
        <v>30</v>
      </c>
      <c r="I63" s="3146">
        <f>'Estados Financieros'!I63</f>
        <v>30</v>
      </c>
    </row>
    <row r="64" spans="1:9" s="58" customFormat="1" ht="19.5" x14ac:dyDescent="0.2">
      <c r="A64" s="52"/>
      <c r="B64" s="53"/>
      <c r="C64" s="60" t="s">
        <v>599</v>
      </c>
      <c r="D64" s="61"/>
      <c r="E64" s="3153">
        <f>'Estados Financieros'!E64</f>
        <v>390</v>
      </c>
      <c r="F64" s="3153">
        <f>'Estados Financieros'!F64</f>
        <v>390</v>
      </c>
      <c r="G64" s="3153">
        <f>'Estados Financieros'!G64</f>
        <v>390</v>
      </c>
      <c r="H64" s="3153">
        <f>'Estados Financieros'!H64</f>
        <v>390</v>
      </c>
      <c r="I64" s="3152">
        <f>'Estados Financieros'!I64</f>
        <v>390</v>
      </c>
    </row>
    <row r="65" spans="1:9" s="58" customFormat="1" ht="19.5" x14ac:dyDescent="0.2">
      <c r="A65" s="52"/>
      <c r="B65" s="47"/>
      <c r="C65" s="48" t="s">
        <v>600</v>
      </c>
      <c r="D65" s="65"/>
      <c r="E65" s="3151"/>
      <c r="F65" s="3151"/>
      <c r="G65" s="3151"/>
      <c r="H65" s="3151"/>
      <c r="I65" s="3150"/>
    </row>
    <row r="66" spans="1:9" s="58" customFormat="1" ht="19.5" x14ac:dyDescent="0.2">
      <c r="A66" s="52"/>
      <c r="B66" s="53"/>
      <c r="C66" s="71"/>
      <c r="D66" s="54" t="s">
        <v>601</v>
      </c>
      <c r="E66" s="3149">
        <f>'Estados Financieros'!E66</f>
        <v>30</v>
      </c>
      <c r="F66" s="3149">
        <f>'Estados Financieros'!F66</f>
        <v>30</v>
      </c>
      <c r="G66" s="3149">
        <f>'Estados Financieros'!G66</f>
        <v>30</v>
      </c>
      <c r="H66" s="3149">
        <f>'Estados Financieros'!H66</f>
        <v>30</v>
      </c>
      <c r="I66" s="3148">
        <f>'Estados Financieros'!I66</f>
        <v>30</v>
      </c>
    </row>
    <row r="67" spans="1:9" s="58" customFormat="1" ht="19.5" x14ac:dyDescent="0.2">
      <c r="A67" s="52"/>
      <c r="B67" s="53"/>
      <c r="C67" s="42"/>
      <c r="D67" s="59" t="s">
        <v>602</v>
      </c>
      <c r="E67" s="3147">
        <f>'Estados Financieros'!E67</f>
        <v>30</v>
      </c>
      <c r="F67" s="3147">
        <f>'Estados Financieros'!F67</f>
        <v>30</v>
      </c>
      <c r="G67" s="3147">
        <f>'Estados Financieros'!G67</f>
        <v>30</v>
      </c>
      <c r="H67" s="3147">
        <f>'Estados Financieros'!H67</f>
        <v>30</v>
      </c>
      <c r="I67" s="3146">
        <f>'Estados Financieros'!I67</f>
        <v>30</v>
      </c>
    </row>
    <row r="68" spans="1:9" s="58" customFormat="1" ht="18.95" customHeight="1" x14ac:dyDescent="0.2">
      <c r="A68" s="52"/>
      <c r="B68" s="53"/>
      <c r="C68" s="42"/>
      <c r="D68" s="59"/>
      <c r="E68" s="3147"/>
      <c r="F68" s="3147"/>
      <c r="G68" s="3147"/>
      <c r="H68" s="3147"/>
      <c r="I68" s="3146"/>
    </row>
    <row r="69" spans="1:9" s="58" customFormat="1" ht="19.5" x14ac:dyDescent="0.2">
      <c r="A69" s="52"/>
      <c r="B69" s="53"/>
      <c r="C69" s="42"/>
      <c r="D69" s="59" t="s">
        <v>453</v>
      </c>
      <c r="E69" s="3147">
        <f>'Estados Financieros'!E69</f>
        <v>30</v>
      </c>
      <c r="F69" s="3147">
        <f>'Estados Financieros'!F69</f>
        <v>30</v>
      </c>
      <c r="G69" s="3147">
        <f>'Estados Financieros'!G69</f>
        <v>30</v>
      </c>
      <c r="H69" s="3147">
        <f>'Estados Financieros'!H69</f>
        <v>30</v>
      </c>
      <c r="I69" s="3146">
        <f>'Estados Financieros'!I69</f>
        <v>30</v>
      </c>
    </row>
    <row r="70" spans="1:9" s="58" customFormat="1" ht="18.95" customHeight="1" x14ac:dyDescent="0.2">
      <c r="A70" s="52"/>
      <c r="B70" s="53"/>
      <c r="C70" s="42"/>
      <c r="D70" s="59"/>
      <c r="E70" s="3147"/>
      <c r="F70" s="3147"/>
      <c r="G70" s="3147"/>
      <c r="H70" s="3147"/>
      <c r="I70" s="3146"/>
    </row>
    <row r="71" spans="1:9" s="58" customFormat="1" ht="18.95" customHeight="1" x14ac:dyDescent="0.2">
      <c r="A71" s="52"/>
      <c r="B71" s="53"/>
      <c r="C71" s="42"/>
      <c r="D71" s="59"/>
      <c r="E71" s="3147"/>
      <c r="F71" s="3147"/>
      <c r="G71" s="3147"/>
      <c r="H71" s="3147"/>
      <c r="I71" s="3146"/>
    </row>
    <row r="72" spans="1:9" s="58" customFormat="1" ht="18.95" customHeight="1" x14ac:dyDescent="0.2">
      <c r="A72" s="52"/>
      <c r="B72" s="53"/>
      <c r="C72" s="42"/>
      <c r="D72" s="59"/>
      <c r="E72" s="3147"/>
      <c r="F72" s="3147"/>
      <c r="G72" s="3147"/>
      <c r="H72" s="3147"/>
      <c r="I72" s="3146"/>
    </row>
    <row r="73" spans="1:9" s="58" customFormat="1" ht="19.5" x14ac:dyDescent="0.2">
      <c r="A73" s="52"/>
      <c r="B73" s="53"/>
      <c r="C73" s="42"/>
      <c r="D73" s="59" t="s">
        <v>598</v>
      </c>
      <c r="E73" s="3147">
        <f>'Estados Financieros'!E73</f>
        <v>30</v>
      </c>
      <c r="F73" s="3147">
        <f>'Estados Financieros'!F73</f>
        <v>30</v>
      </c>
      <c r="G73" s="3147">
        <f>'Estados Financieros'!G73</f>
        <v>30</v>
      </c>
      <c r="H73" s="3147">
        <f>'Estados Financieros'!H73</f>
        <v>30</v>
      </c>
      <c r="I73" s="3146">
        <f>'Estados Financieros'!I73</f>
        <v>30</v>
      </c>
    </row>
    <row r="74" spans="1:9" s="58" customFormat="1" ht="19.5" x14ac:dyDescent="0.2">
      <c r="A74" s="52"/>
      <c r="B74" s="53"/>
      <c r="C74" s="42"/>
      <c r="D74" s="59" t="s">
        <v>560</v>
      </c>
      <c r="E74" s="3147">
        <f>'Estados Financieros'!E74</f>
        <v>30</v>
      </c>
      <c r="F74" s="3147">
        <f>'Estados Financieros'!F74</f>
        <v>30</v>
      </c>
      <c r="G74" s="3147">
        <f>'Estados Financieros'!G74</f>
        <v>30</v>
      </c>
      <c r="H74" s="3147">
        <f>'Estados Financieros'!H74</f>
        <v>30</v>
      </c>
      <c r="I74" s="3146">
        <f>'Estados Financieros'!I74</f>
        <v>30</v>
      </c>
    </row>
    <row r="75" spans="1:9" s="58" customFormat="1" ht="19.5" x14ac:dyDescent="0.2">
      <c r="A75" s="52"/>
      <c r="B75" s="53"/>
      <c r="C75" s="42"/>
      <c r="D75" s="59" t="s">
        <v>603</v>
      </c>
      <c r="E75" s="3147">
        <f>'Estados Financieros'!E75</f>
        <v>30</v>
      </c>
      <c r="F75" s="3147">
        <f>'Estados Financieros'!F75</f>
        <v>30</v>
      </c>
      <c r="G75" s="3147">
        <f>'Estados Financieros'!G75</f>
        <v>30</v>
      </c>
      <c r="H75" s="3147">
        <f>'Estados Financieros'!H75</f>
        <v>30</v>
      </c>
      <c r="I75" s="3146">
        <f>'Estados Financieros'!I75</f>
        <v>30</v>
      </c>
    </row>
    <row r="76" spans="1:9" s="58" customFormat="1" ht="19.5" x14ac:dyDescent="0.2">
      <c r="A76" s="52"/>
      <c r="B76" s="53"/>
      <c r="C76" s="60" t="s">
        <v>604</v>
      </c>
      <c r="D76" s="61"/>
      <c r="E76" s="3153">
        <f>'Estados Financieros'!E76</f>
        <v>300</v>
      </c>
      <c r="F76" s="3153">
        <f>'Estados Financieros'!F76</f>
        <v>300</v>
      </c>
      <c r="G76" s="3153">
        <f>'Estados Financieros'!G76</f>
        <v>300</v>
      </c>
      <c r="H76" s="3153">
        <f>'Estados Financieros'!H76</f>
        <v>300</v>
      </c>
      <c r="I76" s="3152">
        <f>'Estados Financieros'!I76</f>
        <v>300</v>
      </c>
    </row>
    <row r="77" spans="1:9" s="58" customFormat="1" ht="19.5" x14ac:dyDescent="0.2">
      <c r="A77" s="52"/>
      <c r="B77" s="47"/>
      <c r="C77" s="48" t="s">
        <v>605</v>
      </c>
      <c r="D77" s="65"/>
      <c r="E77" s="3151"/>
      <c r="F77" s="3151"/>
      <c r="G77" s="3151"/>
      <c r="H77" s="3151"/>
      <c r="I77" s="3150"/>
    </row>
    <row r="78" spans="1:9" s="58" customFormat="1" ht="19.5" x14ac:dyDescent="0.2">
      <c r="A78" s="52"/>
      <c r="B78" s="53"/>
      <c r="C78" s="42"/>
      <c r="D78" s="54" t="s">
        <v>606</v>
      </c>
      <c r="E78" s="3149">
        <f>'Estados Financieros'!E78</f>
        <v>30</v>
      </c>
      <c r="F78" s="3149">
        <f>'Estados Financieros'!F78</f>
        <v>30</v>
      </c>
      <c r="G78" s="3149">
        <f>'Estados Financieros'!G78</f>
        <v>30</v>
      </c>
      <c r="H78" s="3149">
        <f>'Estados Financieros'!H78</f>
        <v>30</v>
      </c>
      <c r="I78" s="3148">
        <f>'Estados Financieros'!I78</f>
        <v>30</v>
      </c>
    </row>
    <row r="79" spans="1:9" s="58" customFormat="1" ht="19.5" x14ac:dyDescent="0.2">
      <c r="A79" s="52"/>
      <c r="B79" s="53"/>
      <c r="C79" s="42"/>
      <c r="D79" s="59" t="s">
        <v>607</v>
      </c>
      <c r="E79" s="3147">
        <f>'Estados Financieros'!E79</f>
        <v>30</v>
      </c>
      <c r="F79" s="3147">
        <f>'Estados Financieros'!F79</f>
        <v>30</v>
      </c>
      <c r="G79" s="3147">
        <f>'Estados Financieros'!G79</f>
        <v>30</v>
      </c>
      <c r="H79" s="3147">
        <f>'Estados Financieros'!H79</f>
        <v>30</v>
      </c>
      <c r="I79" s="3146">
        <f>'Estados Financieros'!I79</f>
        <v>30</v>
      </c>
    </row>
    <row r="80" spans="1:9" s="58" customFormat="1" ht="19.5" x14ac:dyDescent="0.2">
      <c r="A80" s="52"/>
      <c r="B80" s="53"/>
      <c r="C80" s="42"/>
      <c r="D80" s="59" t="s">
        <v>608</v>
      </c>
      <c r="E80" s="3147">
        <f>'Estados Financieros'!E80</f>
        <v>30</v>
      </c>
      <c r="F80" s="3147">
        <f>'Estados Financieros'!F80</f>
        <v>30</v>
      </c>
      <c r="G80" s="3147">
        <f>'Estados Financieros'!G80</f>
        <v>30</v>
      </c>
      <c r="H80" s="3147">
        <f>'Estados Financieros'!H80</f>
        <v>30</v>
      </c>
      <c r="I80" s="3146">
        <f>'Estados Financieros'!I80</f>
        <v>30</v>
      </c>
    </row>
    <row r="81" spans="1:9" s="58" customFormat="1" ht="19.5" x14ac:dyDescent="0.2">
      <c r="A81" s="52"/>
      <c r="B81" s="53"/>
      <c r="C81" s="42"/>
      <c r="D81" s="59" t="s">
        <v>609</v>
      </c>
      <c r="E81" s="3147">
        <f>'Estados Financieros'!E81</f>
        <v>30</v>
      </c>
      <c r="F81" s="3147">
        <f>'Estados Financieros'!F81</f>
        <v>30</v>
      </c>
      <c r="G81" s="3147">
        <f>'Estados Financieros'!G81</f>
        <v>30</v>
      </c>
      <c r="H81" s="3147">
        <f>'Estados Financieros'!H81</f>
        <v>30</v>
      </c>
      <c r="I81" s="3146">
        <f>'Estados Financieros'!I81</f>
        <v>30</v>
      </c>
    </row>
    <row r="82" spans="1:9" s="58" customFormat="1" ht="18.95" customHeight="1" x14ac:dyDescent="0.2">
      <c r="A82" s="52"/>
      <c r="B82" s="53"/>
      <c r="C82" s="42"/>
      <c r="D82" s="59"/>
      <c r="E82" s="3147"/>
      <c r="F82" s="3147"/>
      <c r="G82" s="3147"/>
      <c r="H82" s="3147"/>
      <c r="I82" s="3146"/>
    </row>
    <row r="83" spans="1:9" s="58" customFormat="1" ht="19.5" x14ac:dyDescent="0.2">
      <c r="A83" s="52"/>
      <c r="B83" s="53"/>
      <c r="C83" s="42"/>
      <c r="D83" s="59" t="s">
        <v>560</v>
      </c>
      <c r="E83" s="3147">
        <f>'Estados Financieros'!E83</f>
        <v>30</v>
      </c>
      <c r="F83" s="3147">
        <f>'Estados Financieros'!F83</f>
        <v>30</v>
      </c>
      <c r="G83" s="3147">
        <f>'Estados Financieros'!G83</f>
        <v>30</v>
      </c>
      <c r="H83" s="3147">
        <f>'Estados Financieros'!H83</f>
        <v>30</v>
      </c>
      <c r="I83" s="3146">
        <f>'Estados Financieros'!I83</f>
        <v>30</v>
      </c>
    </row>
    <row r="84" spans="1:9" s="58" customFormat="1" ht="19.5" x14ac:dyDescent="0.2">
      <c r="A84" s="52"/>
      <c r="B84" s="53"/>
      <c r="C84" s="60" t="s">
        <v>610</v>
      </c>
      <c r="D84" s="61"/>
      <c r="E84" s="3153">
        <f>'Estados Financieros'!E84</f>
        <v>180</v>
      </c>
      <c r="F84" s="3153">
        <f>'Estados Financieros'!F84</f>
        <v>180</v>
      </c>
      <c r="G84" s="3153">
        <f>'Estados Financieros'!G84</f>
        <v>180</v>
      </c>
      <c r="H84" s="3153">
        <f>'Estados Financieros'!H84</f>
        <v>180</v>
      </c>
      <c r="I84" s="3152">
        <f>'Estados Financieros'!I84</f>
        <v>180</v>
      </c>
    </row>
    <row r="85" spans="1:9" s="58" customFormat="1" ht="19.5" x14ac:dyDescent="0.2">
      <c r="A85" s="52"/>
      <c r="B85" s="47"/>
      <c r="C85" s="48" t="s">
        <v>611</v>
      </c>
      <c r="D85" s="65"/>
      <c r="E85" s="3151"/>
      <c r="F85" s="3151"/>
      <c r="G85" s="3151"/>
      <c r="H85" s="3151"/>
      <c r="I85" s="3150"/>
    </row>
    <row r="86" spans="1:9" s="58" customFormat="1" ht="19.5" x14ac:dyDescent="0.2">
      <c r="A86" s="52"/>
      <c r="B86" s="53"/>
      <c r="C86" s="42"/>
      <c r="D86" s="68" t="s">
        <v>612</v>
      </c>
      <c r="E86" s="3149">
        <f>'Estados Financieros'!E86</f>
        <v>30</v>
      </c>
      <c r="F86" s="3149">
        <f>'Estados Financieros'!F86</f>
        <v>30</v>
      </c>
      <c r="G86" s="3149">
        <f>'Estados Financieros'!G86</f>
        <v>30</v>
      </c>
      <c r="H86" s="3149">
        <f>'Estados Financieros'!H86</f>
        <v>30</v>
      </c>
      <c r="I86" s="3148">
        <f>'Estados Financieros'!I86</f>
        <v>30</v>
      </c>
    </row>
    <row r="87" spans="1:9" s="58" customFormat="1" ht="18.95" customHeight="1" x14ac:dyDescent="0.2">
      <c r="A87" s="52"/>
      <c r="B87" s="53"/>
      <c r="C87" s="42"/>
      <c r="D87" s="59"/>
      <c r="E87" s="3147"/>
      <c r="F87" s="3147"/>
      <c r="G87" s="3147"/>
      <c r="H87" s="3147"/>
      <c r="I87" s="3146"/>
    </row>
    <row r="88" spans="1:9" s="58" customFormat="1" ht="19.5" x14ac:dyDescent="0.2">
      <c r="A88" s="52"/>
      <c r="B88" s="53"/>
      <c r="C88" s="42"/>
      <c r="D88" s="68" t="s">
        <v>613</v>
      </c>
      <c r="E88" s="3147">
        <f>'Estados Financieros'!E88</f>
        <v>30</v>
      </c>
      <c r="F88" s="3147">
        <f>'Estados Financieros'!F88</f>
        <v>30</v>
      </c>
      <c r="G88" s="3147">
        <f>'Estados Financieros'!G88</f>
        <v>30</v>
      </c>
      <c r="H88" s="3147">
        <f>'Estados Financieros'!H88</f>
        <v>30</v>
      </c>
      <c r="I88" s="3146">
        <f>'Estados Financieros'!I88</f>
        <v>30</v>
      </c>
    </row>
    <row r="89" spans="1:9" s="58" customFormat="1" ht="18.95" customHeight="1" x14ac:dyDescent="0.2">
      <c r="A89" s="52"/>
      <c r="B89" s="53"/>
      <c r="C89" s="42"/>
      <c r="D89" s="59"/>
      <c r="E89" s="3147"/>
      <c r="F89" s="3147"/>
      <c r="G89" s="3168"/>
      <c r="H89" s="3168"/>
      <c r="I89" s="3166"/>
    </row>
    <row r="90" spans="1:9" s="58" customFormat="1" ht="19.5" x14ac:dyDescent="0.2">
      <c r="A90" s="52"/>
      <c r="B90" s="53"/>
      <c r="C90" s="73" t="s">
        <v>614</v>
      </c>
      <c r="D90" s="74"/>
      <c r="E90" s="3155">
        <f>'Estados Financieros'!E90</f>
        <v>90</v>
      </c>
      <c r="F90" s="3155">
        <f>'Estados Financieros'!F90</f>
        <v>90</v>
      </c>
      <c r="G90" s="3155">
        <f>'Estados Financieros'!G90</f>
        <v>90</v>
      </c>
      <c r="H90" s="3155">
        <f>'Estados Financieros'!H90</f>
        <v>90</v>
      </c>
      <c r="I90" s="3154">
        <f>'Estados Financieros'!I90</f>
        <v>90</v>
      </c>
    </row>
    <row r="91" spans="1:9" s="58" customFormat="1" ht="19.5" x14ac:dyDescent="0.2">
      <c r="A91" s="52"/>
      <c r="B91" s="77"/>
      <c r="C91" s="78" t="s">
        <v>615</v>
      </c>
      <c r="D91" s="79"/>
      <c r="E91" s="3140">
        <f>'Estados Financieros'!E91</f>
        <v>1860</v>
      </c>
      <c r="F91" s="3140">
        <f>'Estados Financieros'!F91</f>
        <v>1860</v>
      </c>
      <c r="G91" s="3140">
        <f>'Estados Financieros'!G91</f>
        <v>1860</v>
      </c>
      <c r="H91" s="3140">
        <f>'Estados Financieros'!H91</f>
        <v>1860</v>
      </c>
      <c r="I91" s="3139">
        <f>'Estados Financieros'!I91</f>
        <v>1860</v>
      </c>
    </row>
    <row r="92" spans="1:9" s="58" customFormat="1" ht="19.5" x14ac:dyDescent="0.2">
      <c r="A92" s="52"/>
      <c r="B92" s="47"/>
      <c r="C92" s="48" t="s">
        <v>616</v>
      </c>
      <c r="D92" s="82"/>
      <c r="E92" s="3157"/>
      <c r="F92" s="3157"/>
      <c r="G92" s="3157"/>
      <c r="H92" s="3157"/>
      <c r="I92" s="3163"/>
    </row>
    <row r="93" spans="1:9" s="58" customFormat="1" ht="19.5" x14ac:dyDescent="0.2">
      <c r="A93" s="52"/>
      <c r="B93" s="53"/>
      <c r="C93" s="42"/>
      <c r="D93" s="54" t="s">
        <v>617</v>
      </c>
      <c r="E93" s="3149">
        <f>'Estados Financieros'!E93</f>
        <v>30</v>
      </c>
      <c r="F93" s="3149">
        <f>'Estados Financieros'!F93</f>
        <v>30</v>
      </c>
      <c r="G93" s="3149">
        <f>'Estados Financieros'!G93</f>
        <v>30</v>
      </c>
      <c r="H93" s="3149">
        <f>'Estados Financieros'!H93</f>
        <v>30</v>
      </c>
      <c r="I93" s="3148">
        <f>'Estados Financieros'!I93</f>
        <v>30</v>
      </c>
    </row>
    <row r="94" spans="1:9" s="58" customFormat="1" ht="19.5" x14ac:dyDescent="0.2">
      <c r="A94" s="52"/>
      <c r="B94" s="53"/>
      <c r="C94" s="42"/>
      <c r="D94" s="59" t="s">
        <v>618</v>
      </c>
      <c r="E94" s="3147">
        <f>'Estados Financieros'!E94</f>
        <v>30</v>
      </c>
      <c r="F94" s="3147">
        <f>'Estados Financieros'!F94</f>
        <v>30</v>
      </c>
      <c r="G94" s="3147">
        <f>'Estados Financieros'!G94</f>
        <v>30</v>
      </c>
      <c r="H94" s="3147">
        <f>'Estados Financieros'!H94</f>
        <v>30</v>
      </c>
      <c r="I94" s="3146">
        <f>'Estados Financieros'!I94</f>
        <v>30</v>
      </c>
    </row>
    <row r="95" spans="1:9" s="58" customFormat="1" ht="19.5" x14ac:dyDescent="0.2">
      <c r="A95" s="52"/>
      <c r="B95" s="53"/>
      <c r="C95" s="42"/>
      <c r="D95" s="59" t="s">
        <v>619</v>
      </c>
      <c r="E95" s="3147">
        <f>'Estados Financieros'!E95</f>
        <v>30</v>
      </c>
      <c r="F95" s="3147">
        <f>'Estados Financieros'!F95</f>
        <v>30</v>
      </c>
      <c r="G95" s="3147">
        <f>'Estados Financieros'!G95</f>
        <v>30</v>
      </c>
      <c r="H95" s="3147">
        <f>'Estados Financieros'!H95</f>
        <v>30</v>
      </c>
      <c r="I95" s="3146">
        <f>'Estados Financieros'!I95</f>
        <v>30</v>
      </c>
    </row>
    <row r="96" spans="1:9" s="58" customFormat="1" ht="19.5" x14ac:dyDescent="0.2">
      <c r="A96" s="52"/>
      <c r="B96" s="53"/>
      <c r="C96" s="42"/>
      <c r="D96" s="59" t="s">
        <v>362</v>
      </c>
      <c r="E96" s="3147">
        <f>'Estados Financieros'!E96</f>
        <v>30</v>
      </c>
      <c r="F96" s="3147">
        <f>'Estados Financieros'!F96</f>
        <v>30</v>
      </c>
      <c r="G96" s="3147">
        <f>'Estados Financieros'!G96</f>
        <v>30</v>
      </c>
      <c r="H96" s="3147">
        <f>'Estados Financieros'!H96</f>
        <v>30</v>
      </c>
      <c r="I96" s="3146">
        <f>'Estados Financieros'!I96</f>
        <v>30</v>
      </c>
    </row>
    <row r="97" spans="1:9" s="58" customFormat="1" ht="19.5" x14ac:dyDescent="0.2">
      <c r="A97" s="52"/>
      <c r="B97" s="53"/>
      <c r="C97" s="42"/>
      <c r="D97" s="59" t="s">
        <v>620</v>
      </c>
      <c r="E97" s="3147">
        <f>'Estados Financieros'!E97</f>
        <v>30</v>
      </c>
      <c r="F97" s="3147">
        <f>'Estados Financieros'!F97</f>
        <v>30</v>
      </c>
      <c r="G97" s="3147">
        <f>'Estados Financieros'!G97</f>
        <v>30</v>
      </c>
      <c r="H97" s="3147">
        <f>'Estados Financieros'!H97</f>
        <v>30</v>
      </c>
      <c r="I97" s="3146">
        <f>'Estados Financieros'!I97</f>
        <v>30</v>
      </c>
    </row>
    <row r="98" spans="1:9" s="58" customFormat="1" ht="19.5" x14ac:dyDescent="0.2">
      <c r="A98" s="52"/>
      <c r="B98" s="53"/>
      <c r="C98" s="42"/>
      <c r="D98" s="59" t="s">
        <v>621</v>
      </c>
      <c r="E98" s="3147">
        <f>'Estados Financieros'!E98</f>
        <v>30</v>
      </c>
      <c r="F98" s="3147">
        <f>'Estados Financieros'!F98</f>
        <v>30</v>
      </c>
      <c r="G98" s="3147">
        <f>'Estados Financieros'!G98</f>
        <v>30</v>
      </c>
      <c r="H98" s="3147">
        <f>'Estados Financieros'!H98</f>
        <v>30</v>
      </c>
      <c r="I98" s="3146">
        <f>'Estados Financieros'!I98</f>
        <v>30</v>
      </c>
    </row>
    <row r="99" spans="1:9" s="58" customFormat="1" ht="19.5" x14ac:dyDescent="0.2">
      <c r="A99" s="52"/>
      <c r="B99" s="53"/>
      <c r="C99" s="42"/>
      <c r="D99" s="59" t="s">
        <v>622</v>
      </c>
      <c r="E99" s="3147">
        <f>'Estados Financieros'!E99</f>
        <v>30</v>
      </c>
      <c r="F99" s="3147">
        <f>'Estados Financieros'!F99</f>
        <v>30</v>
      </c>
      <c r="G99" s="3147">
        <f>'Estados Financieros'!G99</f>
        <v>30</v>
      </c>
      <c r="H99" s="3147">
        <f>'Estados Financieros'!H99</f>
        <v>30</v>
      </c>
      <c r="I99" s="3146">
        <f>'Estados Financieros'!I99</f>
        <v>30</v>
      </c>
    </row>
    <row r="100" spans="1:9" s="58" customFormat="1" ht="19.5" x14ac:dyDescent="0.2">
      <c r="A100" s="52"/>
      <c r="B100" s="53"/>
      <c r="C100" s="42"/>
      <c r="D100" s="59" t="s">
        <v>623</v>
      </c>
      <c r="E100" s="3147">
        <f>'Estados Financieros'!E100</f>
        <v>30</v>
      </c>
      <c r="F100" s="3147">
        <f>'Estados Financieros'!F100</f>
        <v>30</v>
      </c>
      <c r="G100" s="3147">
        <f>'Estados Financieros'!G100</f>
        <v>30</v>
      </c>
      <c r="H100" s="3147">
        <f>'Estados Financieros'!H100</f>
        <v>30</v>
      </c>
      <c r="I100" s="3146">
        <f>'Estados Financieros'!I100</f>
        <v>30</v>
      </c>
    </row>
    <row r="101" spans="1:9" s="58" customFormat="1" ht="19.5" x14ac:dyDescent="0.2">
      <c r="A101" s="52"/>
      <c r="B101" s="53"/>
      <c r="C101" s="42"/>
      <c r="D101" s="59" t="s">
        <v>624</v>
      </c>
      <c r="E101" s="3147">
        <f>'Estados Financieros'!E101</f>
        <v>30</v>
      </c>
      <c r="F101" s="3147">
        <f>'Estados Financieros'!F101</f>
        <v>30</v>
      </c>
      <c r="G101" s="3147">
        <f>'Estados Financieros'!G101</f>
        <v>30</v>
      </c>
      <c r="H101" s="3147">
        <f>'Estados Financieros'!H101</f>
        <v>30</v>
      </c>
      <c r="I101" s="3146">
        <f>'Estados Financieros'!I101</f>
        <v>30</v>
      </c>
    </row>
    <row r="102" spans="1:9" s="58" customFormat="1" ht="19.5" x14ac:dyDescent="0.2">
      <c r="A102" s="52"/>
      <c r="B102" s="53"/>
      <c r="C102" s="42"/>
      <c r="D102" s="59" t="s">
        <v>625</v>
      </c>
      <c r="E102" s="3147">
        <f>'Estados Financieros'!E102</f>
        <v>30</v>
      </c>
      <c r="F102" s="3147">
        <f>'Estados Financieros'!F102</f>
        <v>30</v>
      </c>
      <c r="G102" s="3147">
        <f>'Estados Financieros'!G102</f>
        <v>30</v>
      </c>
      <c r="H102" s="3147">
        <f>'Estados Financieros'!H102</f>
        <v>30</v>
      </c>
      <c r="I102" s="3146">
        <f>'Estados Financieros'!I102</f>
        <v>30</v>
      </c>
    </row>
    <row r="103" spans="1:9" s="58" customFormat="1" ht="19.5" x14ac:dyDescent="0.2">
      <c r="A103" s="52"/>
      <c r="B103" s="53"/>
      <c r="C103" s="42"/>
      <c r="D103" s="59" t="s">
        <v>626</v>
      </c>
      <c r="E103" s="3147">
        <f>'Estados Financieros'!E103</f>
        <v>30</v>
      </c>
      <c r="F103" s="3147">
        <f>'Estados Financieros'!F103</f>
        <v>30</v>
      </c>
      <c r="G103" s="3147">
        <f>'Estados Financieros'!G103</f>
        <v>30</v>
      </c>
      <c r="H103" s="3147">
        <f>'Estados Financieros'!H103</f>
        <v>30</v>
      </c>
      <c r="I103" s="3146">
        <f>'Estados Financieros'!I103</f>
        <v>30</v>
      </c>
    </row>
    <row r="104" spans="1:9" s="58" customFormat="1" ht="19.5" x14ac:dyDescent="0.2">
      <c r="A104" s="52"/>
      <c r="B104" s="53"/>
      <c r="C104" s="42"/>
      <c r="D104" s="59" t="s">
        <v>627</v>
      </c>
      <c r="E104" s="3147">
        <f>'Estados Financieros'!E104</f>
        <v>30</v>
      </c>
      <c r="F104" s="3147">
        <f>'Estados Financieros'!F104</f>
        <v>30</v>
      </c>
      <c r="G104" s="3147">
        <f>'Estados Financieros'!G104</f>
        <v>30</v>
      </c>
      <c r="H104" s="3147">
        <f>'Estados Financieros'!H104</f>
        <v>30</v>
      </c>
      <c r="I104" s="3146">
        <f>'Estados Financieros'!I104</f>
        <v>30</v>
      </c>
    </row>
    <row r="105" spans="1:9" s="58" customFormat="1" ht="19.5" x14ac:dyDescent="0.2">
      <c r="A105" s="52"/>
      <c r="B105" s="53"/>
      <c r="C105" s="42"/>
      <c r="D105" s="59" t="s">
        <v>628</v>
      </c>
      <c r="E105" s="3147">
        <f>'Estados Financieros'!E105</f>
        <v>30</v>
      </c>
      <c r="F105" s="3147">
        <f>'Estados Financieros'!F105</f>
        <v>30</v>
      </c>
      <c r="G105" s="3147">
        <f>'Estados Financieros'!G105</f>
        <v>30</v>
      </c>
      <c r="H105" s="3147">
        <f>'Estados Financieros'!H105</f>
        <v>30</v>
      </c>
      <c r="I105" s="3146">
        <f>'Estados Financieros'!I105</f>
        <v>30</v>
      </c>
    </row>
    <row r="106" spans="1:9" s="58" customFormat="1" ht="19.5" x14ac:dyDescent="0.2">
      <c r="A106" s="52"/>
      <c r="B106" s="53"/>
      <c r="C106" s="42"/>
      <c r="D106" s="59" t="s">
        <v>629</v>
      </c>
      <c r="E106" s="3147">
        <f>'Estados Financieros'!E106</f>
        <v>30</v>
      </c>
      <c r="F106" s="3147">
        <f>'Estados Financieros'!F106</f>
        <v>30</v>
      </c>
      <c r="G106" s="3147">
        <f>'Estados Financieros'!G106</f>
        <v>30</v>
      </c>
      <c r="H106" s="3147">
        <f>'Estados Financieros'!H106</f>
        <v>30</v>
      </c>
      <c r="I106" s="3146">
        <f>'Estados Financieros'!I106</f>
        <v>30</v>
      </c>
    </row>
    <row r="107" spans="1:9" s="58" customFormat="1" ht="19.5" x14ac:dyDescent="0.2">
      <c r="A107" s="52"/>
      <c r="B107" s="53"/>
      <c r="C107" s="42"/>
      <c r="D107" s="59" t="s">
        <v>630</v>
      </c>
      <c r="E107" s="3147">
        <f>'Estados Financieros'!E107</f>
        <v>30</v>
      </c>
      <c r="F107" s="3147">
        <f>'Estados Financieros'!F107</f>
        <v>30</v>
      </c>
      <c r="G107" s="3147">
        <f>'Estados Financieros'!G107</f>
        <v>30</v>
      </c>
      <c r="H107" s="3147">
        <f>'Estados Financieros'!H107</f>
        <v>30</v>
      </c>
      <c r="I107" s="3146">
        <f>'Estados Financieros'!I107</f>
        <v>30</v>
      </c>
    </row>
    <row r="108" spans="1:9" s="58" customFormat="1" ht="19.5" x14ac:dyDescent="0.2">
      <c r="A108" s="52"/>
      <c r="B108" s="53"/>
      <c r="C108" s="42"/>
      <c r="D108" s="59" t="s">
        <v>453</v>
      </c>
      <c r="E108" s="3147">
        <f>'Estados Financieros'!E108</f>
        <v>30</v>
      </c>
      <c r="F108" s="3147">
        <f>'Estados Financieros'!F108</f>
        <v>30</v>
      </c>
      <c r="G108" s="3147">
        <f>'Estados Financieros'!G108</f>
        <v>30</v>
      </c>
      <c r="H108" s="3147">
        <f>'Estados Financieros'!H108</f>
        <v>30</v>
      </c>
      <c r="I108" s="3146">
        <f>'Estados Financieros'!I108</f>
        <v>30</v>
      </c>
    </row>
    <row r="109" spans="1:9" s="58" customFormat="1" ht="19.5" x14ac:dyDescent="0.2">
      <c r="A109" s="52"/>
      <c r="B109" s="53"/>
      <c r="C109" s="42"/>
      <c r="D109" s="59" t="s">
        <v>631</v>
      </c>
      <c r="E109" s="3147">
        <f>'Estados Financieros'!E109</f>
        <v>30</v>
      </c>
      <c r="F109" s="3147">
        <f>'Estados Financieros'!F109</f>
        <v>30</v>
      </c>
      <c r="G109" s="3147">
        <f>'Estados Financieros'!G109</f>
        <v>30</v>
      </c>
      <c r="H109" s="3147">
        <f>'Estados Financieros'!H109</f>
        <v>30</v>
      </c>
      <c r="I109" s="3146">
        <f>'Estados Financieros'!I109</f>
        <v>30</v>
      </c>
    </row>
    <row r="110" spans="1:9" s="58" customFormat="1" ht="19.5" x14ac:dyDescent="0.2">
      <c r="A110" s="52"/>
      <c r="B110" s="53"/>
      <c r="C110" s="42"/>
      <c r="D110" s="59" t="s">
        <v>632</v>
      </c>
      <c r="E110" s="3147">
        <f>'Estados Financieros'!E110</f>
        <v>30</v>
      </c>
      <c r="F110" s="3147">
        <f>'Estados Financieros'!F110</f>
        <v>30</v>
      </c>
      <c r="G110" s="3147">
        <f>'Estados Financieros'!G110</f>
        <v>30</v>
      </c>
      <c r="H110" s="3147">
        <f>'Estados Financieros'!H110</f>
        <v>30</v>
      </c>
      <c r="I110" s="3146">
        <f>'Estados Financieros'!I110</f>
        <v>30</v>
      </c>
    </row>
    <row r="111" spans="1:9" s="58" customFormat="1" ht="19.5" x14ac:dyDescent="0.2">
      <c r="A111" s="52"/>
      <c r="B111" s="53"/>
      <c r="C111" s="42"/>
      <c r="D111" s="59" t="s">
        <v>560</v>
      </c>
      <c r="E111" s="3147">
        <f>'Estados Financieros'!E111</f>
        <v>30</v>
      </c>
      <c r="F111" s="3147">
        <f>'Estados Financieros'!F111</f>
        <v>30</v>
      </c>
      <c r="G111" s="3147">
        <f>'Estados Financieros'!G111</f>
        <v>30</v>
      </c>
      <c r="H111" s="3147">
        <f>'Estados Financieros'!H111</f>
        <v>30</v>
      </c>
      <c r="I111" s="3146">
        <f>'Estados Financieros'!I111</f>
        <v>30</v>
      </c>
    </row>
    <row r="112" spans="1:9" s="58" customFormat="1" ht="19.5" x14ac:dyDescent="0.2">
      <c r="A112" s="52"/>
      <c r="B112" s="53"/>
      <c r="C112" s="42"/>
      <c r="D112" s="59" t="s">
        <v>603</v>
      </c>
      <c r="E112" s="3147">
        <f>'Estados Financieros'!E112</f>
        <v>30</v>
      </c>
      <c r="F112" s="3147">
        <f>'Estados Financieros'!F112</f>
        <v>30</v>
      </c>
      <c r="G112" s="3147">
        <f>'Estados Financieros'!G112</f>
        <v>30</v>
      </c>
      <c r="H112" s="3147">
        <f>'Estados Financieros'!H112</f>
        <v>30</v>
      </c>
      <c r="I112" s="3146">
        <f>'Estados Financieros'!I112</f>
        <v>30</v>
      </c>
    </row>
    <row r="113" spans="1:9" s="58" customFormat="1" ht="19.5" x14ac:dyDescent="0.2">
      <c r="A113" s="52"/>
      <c r="B113" s="53"/>
      <c r="C113" s="60" t="s">
        <v>633</v>
      </c>
      <c r="D113" s="61"/>
      <c r="E113" s="3153">
        <f>'Estados Financieros'!E113</f>
        <v>600</v>
      </c>
      <c r="F113" s="3153">
        <f>'Estados Financieros'!F113</f>
        <v>600</v>
      </c>
      <c r="G113" s="3153">
        <f>'Estados Financieros'!G113</f>
        <v>600</v>
      </c>
      <c r="H113" s="3153">
        <f>'Estados Financieros'!H113</f>
        <v>600</v>
      </c>
      <c r="I113" s="3152">
        <f>'Estados Financieros'!I113</f>
        <v>600</v>
      </c>
    </row>
    <row r="114" spans="1:9" s="58" customFormat="1" ht="19.5" x14ac:dyDescent="0.2">
      <c r="A114" s="52"/>
      <c r="B114" s="47"/>
      <c r="C114" s="48" t="s">
        <v>634</v>
      </c>
      <c r="D114" s="65"/>
      <c r="E114" s="3151"/>
      <c r="F114" s="3151"/>
      <c r="G114" s="3151"/>
      <c r="H114" s="3151"/>
      <c r="I114" s="3150"/>
    </row>
    <row r="115" spans="1:9" s="58" customFormat="1" ht="19.5" x14ac:dyDescent="0.2">
      <c r="A115" s="52"/>
      <c r="B115" s="53"/>
      <c r="C115" s="42"/>
      <c r="D115" s="54" t="s">
        <v>567</v>
      </c>
      <c r="E115" s="3149">
        <f>'Estados Financieros'!E115</f>
        <v>30</v>
      </c>
      <c r="F115" s="3149">
        <f>'Estados Financieros'!F115</f>
        <v>30</v>
      </c>
      <c r="G115" s="3149">
        <f>'Estados Financieros'!G115</f>
        <v>30</v>
      </c>
      <c r="H115" s="3149">
        <f>'Estados Financieros'!H115</f>
        <v>30</v>
      </c>
      <c r="I115" s="3148">
        <f>'Estados Financieros'!I115</f>
        <v>30</v>
      </c>
    </row>
    <row r="116" spans="1:9" s="58" customFormat="1" ht="19.5" x14ac:dyDescent="0.2">
      <c r="A116" s="52"/>
      <c r="B116" s="53"/>
      <c r="C116" s="42"/>
      <c r="D116" s="59" t="s">
        <v>569</v>
      </c>
      <c r="E116" s="3147">
        <f>'Estados Financieros'!E116</f>
        <v>30</v>
      </c>
      <c r="F116" s="3147">
        <f>'Estados Financieros'!F116</f>
        <v>30</v>
      </c>
      <c r="G116" s="3147">
        <f>'Estados Financieros'!G116</f>
        <v>30</v>
      </c>
      <c r="H116" s="3147">
        <f>'Estados Financieros'!H116</f>
        <v>30</v>
      </c>
      <c r="I116" s="3146">
        <f>'Estados Financieros'!I116</f>
        <v>30</v>
      </c>
    </row>
    <row r="117" spans="1:9" s="58" customFormat="1" ht="19.5" x14ac:dyDescent="0.2">
      <c r="A117" s="52"/>
      <c r="B117" s="53"/>
      <c r="C117" s="42"/>
      <c r="D117" s="59" t="s">
        <v>571</v>
      </c>
      <c r="E117" s="3147">
        <f>'Estados Financieros'!E117</f>
        <v>30</v>
      </c>
      <c r="F117" s="3147">
        <f>'Estados Financieros'!F117</f>
        <v>30</v>
      </c>
      <c r="G117" s="3147">
        <f>'Estados Financieros'!G117</f>
        <v>30</v>
      </c>
      <c r="H117" s="3147">
        <f>'Estados Financieros'!H117</f>
        <v>30</v>
      </c>
      <c r="I117" s="3146">
        <f>'Estados Financieros'!I117</f>
        <v>30</v>
      </c>
    </row>
    <row r="118" spans="1:9" s="58" customFormat="1" ht="19.5" x14ac:dyDescent="0.2">
      <c r="A118" s="52"/>
      <c r="B118" s="53"/>
      <c r="C118" s="42"/>
      <c r="D118" s="59" t="s">
        <v>635</v>
      </c>
      <c r="E118" s="3147">
        <f>'Estados Financieros'!E118</f>
        <v>30</v>
      </c>
      <c r="F118" s="3147">
        <f>'Estados Financieros'!F118</f>
        <v>30</v>
      </c>
      <c r="G118" s="3147">
        <f>'Estados Financieros'!G118</f>
        <v>30</v>
      </c>
      <c r="H118" s="3147">
        <f>'Estados Financieros'!H118</f>
        <v>30</v>
      </c>
      <c r="I118" s="3146">
        <f>'Estados Financieros'!I118</f>
        <v>30</v>
      </c>
    </row>
    <row r="119" spans="1:9" s="58" customFormat="1" ht="19.5" x14ac:dyDescent="0.2">
      <c r="A119" s="52"/>
      <c r="B119" s="53"/>
      <c r="C119" s="42"/>
      <c r="D119" s="59" t="s">
        <v>577</v>
      </c>
      <c r="E119" s="3147">
        <f>'Estados Financieros'!E119</f>
        <v>30</v>
      </c>
      <c r="F119" s="3147">
        <f>'Estados Financieros'!F119</f>
        <v>30</v>
      </c>
      <c r="G119" s="3147">
        <f>'Estados Financieros'!G119</f>
        <v>30</v>
      </c>
      <c r="H119" s="3147">
        <f>'Estados Financieros'!H119</f>
        <v>30</v>
      </c>
      <c r="I119" s="3146">
        <f>'Estados Financieros'!I119</f>
        <v>30</v>
      </c>
    </row>
    <row r="120" spans="1:9" s="58" customFormat="1" ht="19.5" x14ac:dyDescent="0.2">
      <c r="A120" s="52"/>
      <c r="B120" s="53"/>
      <c r="C120" s="42"/>
      <c r="D120" s="59" t="s">
        <v>578</v>
      </c>
      <c r="E120" s="3147">
        <f>'Estados Financieros'!E120</f>
        <v>30</v>
      </c>
      <c r="F120" s="3147">
        <f>'Estados Financieros'!F120</f>
        <v>30</v>
      </c>
      <c r="G120" s="3147">
        <f>'Estados Financieros'!G120</f>
        <v>30</v>
      </c>
      <c r="H120" s="3147">
        <f>'Estados Financieros'!H120</f>
        <v>30</v>
      </c>
      <c r="I120" s="3146">
        <f>'Estados Financieros'!I120</f>
        <v>30</v>
      </c>
    </row>
    <row r="121" spans="1:9" s="58" customFormat="1" ht="19.5" x14ac:dyDescent="0.2">
      <c r="A121" s="52"/>
      <c r="B121" s="53"/>
      <c r="C121" s="42"/>
      <c r="D121" s="59" t="s">
        <v>579</v>
      </c>
      <c r="E121" s="3147">
        <f>'Estados Financieros'!E121</f>
        <v>30</v>
      </c>
      <c r="F121" s="3147">
        <f>'Estados Financieros'!F121</f>
        <v>30</v>
      </c>
      <c r="G121" s="3147">
        <f>'Estados Financieros'!G121</f>
        <v>30</v>
      </c>
      <c r="H121" s="3147">
        <f>'Estados Financieros'!H121</f>
        <v>30</v>
      </c>
      <c r="I121" s="3146">
        <f>'Estados Financieros'!I121</f>
        <v>30</v>
      </c>
    </row>
    <row r="122" spans="1:9" s="58" customFormat="1" ht="19.5" x14ac:dyDescent="0.2">
      <c r="A122" s="52"/>
      <c r="B122" s="53"/>
      <c r="C122" s="42"/>
      <c r="D122" s="59" t="s">
        <v>580</v>
      </c>
      <c r="E122" s="3147">
        <f>'Estados Financieros'!E122</f>
        <v>30</v>
      </c>
      <c r="F122" s="3147">
        <f>'Estados Financieros'!F122</f>
        <v>30</v>
      </c>
      <c r="G122" s="3147">
        <f>'Estados Financieros'!G122</f>
        <v>30</v>
      </c>
      <c r="H122" s="3147">
        <f>'Estados Financieros'!H122</f>
        <v>30</v>
      </c>
      <c r="I122" s="3146">
        <f>'Estados Financieros'!I122</f>
        <v>30</v>
      </c>
    </row>
    <row r="123" spans="1:9" s="58" customFormat="1" ht="19.5" x14ac:dyDescent="0.2">
      <c r="A123" s="52"/>
      <c r="B123" s="53"/>
      <c r="C123" s="42"/>
      <c r="D123" s="59" t="s">
        <v>581</v>
      </c>
      <c r="E123" s="3147">
        <f>'Estados Financieros'!E123</f>
        <v>30</v>
      </c>
      <c r="F123" s="3147">
        <f>'Estados Financieros'!F123</f>
        <v>30</v>
      </c>
      <c r="G123" s="3147">
        <f>'Estados Financieros'!G123</f>
        <v>30</v>
      </c>
      <c r="H123" s="3147">
        <f>'Estados Financieros'!H123</f>
        <v>30</v>
      </c>
      <c r="I123" s="3146">
        <f>'Estados Financieros'!I123</f>
        <v>30</v>
      </c>
    </row>
    <row r="124" spans="1:9" s="58" customFormat="1" ht="19.5" x14ac:dyDescent="0.2">
      <c r="A124" s="52"/>
      <c r="B124" s="53"/>
      <c r="C124" s="42"/>
      <c r="D124" s="59" t="s">
        <v>582</v>
      </c>
      <c r="E124" s="3147">
        <f>'Estados Financieros'!E124</f>
        <v>30</v>
      </c>
      <c r="F124" s="3147">
        <f>'Estados Financieros'!F124</f>
        <v>30</v>
      </c>
      <c r="G124" s="3147">
        <f>'Estados Financieros'!G124</f>
        <v>30</v>
      </c>
      <c r="H124" s="3147">
        <f>'Estados Financieros'!H124</f>
        <v>30</v>
      </c>
      <c r="I124" s="3146">
        <f>'Estados Financieros'!I124</f>
        <v>30</v>
      </c>
    </row>
    <row r="125" spans="1:9" s="58" customFormat="1" ht="19.5" x14ac:dyDescent="0.2">
      <c r="A125" s="52"/>
      <c r="B125" s="53"/>
      <c r="C125" s="42"/>
      <c r="D125" s="59" t="s">
        <v>583</v>
      </c>
      <c r="E125" s="3147">
        <f>'Estados Financieros'!E125</f>
        <v>30</v>
      </c>
      <c r="F125" s="3147">
        <f>'Estados Financieros'!F125</f>
        <v>30</v>
      </c>
      <c r="G125" s="3147">
        <f>'Estados Financieros'!G125</f>
        <v>30</v>
      </c>
      <c r="H125" s="3147">
        <f>'Estados Financieros'!H125</f>
        <v>30</v>
      </c>
      <c r="I125" s="3146">
        <f>'Estados Financieros'!I125</f>
        <v>30</v>
      </c>
    </row>
    <row r="126" spans="1:9" s="58" customFormat="1" ht="19.5" x14ac:dyDescent="0.2">
      <c r="A126" s="52"/>
      <c r="B126" s="53"/>
      <c r="C126" s="42"/>
      <c r="D126" s="59" t="s">
        <v>584</v>
      </c>
      <c r="E126" s="3147">
        <f>'Estados Financieros'!E126</f>
        <v>30</v>
      </c>
      <c r="F126" s="3147">
        <f>'Estados Financieros'!F126</f>
        <v>30</v>
      </c>
      <c r="G126" s="3147">
        <f>'Estados Financieros'!G126</f>
        <v>30</v>
      </c>
      <c r="H126" s="3147">
        <f>'Estados Financieros'!H126</f>
        <v>30</v>
      </c>
      <c r="I126" s="3146">
        <f>'Estados Financieros'!I126</f>
        <v>30</v>
      </c>
    </row>
    <row r="127" spans="1:9" s="58" customFormat="1" ht="19.5" x14ac:dyDescent="0.2">
      <c r="A127" s="52"/>
      <c r="B127" s="53"/>
      <c r="C127" s="42"/>
      <c r="D127" s="59" t="s">
        <v>585</v>
      </c>
      <c r="E127" s="3147">
        <f>'Estados Financieros'!E127</f>
        <v>30</v>
      </c>
      <c r="F127" s="3147">
        <f>'Estados Financieros'!F127</f>
        <v>30</v>
      </c>
      <c r="G127" s="3147">
        <f>'Estados Financieros'!G127</f>
        <v>30</v>
      </c>
      <c r="H127" s="3147">
        <f>'Estados Financieros'!H127</f>
        <v>30</v>
      </c>
      <c r="I127" s="3146">
        <f>'Estados Financieros'!I127</f>
        <v>30</v>
      </c>
    </row>
    <row r="128" spans="1:9" s="58" customFormat="1" ht="19.5" x14ac:dyDescent="0.2">
      <c r="A128" s="52"/>
      <c r="B128" s="53"/>
      <c r="C128" s="42"/>
      <c r="D128" s="59" t="s">
        <v>586</v>
      </c>
      <c r="E128" s="3147">
        <f>'Estados Financieros'!E128</f>
        <v>30</v>
      </c>
      <c r="F128" s="3147">
        <f>'Estados Financieros'!F128</f>
        <v>30</v>
      </c>
      <c r="G128" s="3147">
        <f>'Estados Financieros'!G128</f>
        <v>30</v>
      </c>
      <c r="H128" s="3147">
        <f>'Estados Financieros'!H128</f>
        <v>30</v>
      </c>
      <c r="I128" s="3146">
        <f>'Estados Financieros'!I128</f>
        <v>30</v>
      </c>
    </row>
    <row r="129" spans="1:9" s="58" customFormat="1" ht="19.5" x14ac:dyDescent="0.2">
      <c r="A129" s="52"/>
      <c r="B129" s="53"/>
      <c r="C129" s="42"/>
      <c r="D129" s="59" t="s">
        <v>636</v>
      </c>
      <c r="E129" s="3147">
        <f>'Estados Financieros'!E129</f>
        <v>30</v>
      </c>
      <c r="F129" s="3147">
        <f>'Estados Financieros'!F129</f>
        <v>30</v>
      </c>
      <c r="G129" s="3147">
        <f>'Estados Financieros'!G129</f>
        <v>30</v>
      </c>
      <c r="H129" s="3147">
        <f>'Estados Financieros'!H129</f>
        <v>30</v>
      </c>
      <c r="I129" s="3146">
        <f>'Estados Financieros'!I129</f>
        <v>30</v>
      </c>
    </row>
    <row r="130" spans="1:9" s="58" customFormat="1" ht="19.5" x14ac:dyDescent="0.2">
      <c r="A130" s="52"/>
      <c r="B130" s="53"/>
      <c r="C130" s="42"/>
      <c r="D130" s="59" t="s">
        <v>637</v>
      </c>
      <c r="E130" s="3147">
        <f>'Estados Financieros'!E130</f>
        <v>30</v>
      </c>
      <c r="F130" s="3147">
        <f>'Estados Financieros'!F130</f>
        <v>30</v>
      </c>
      <c r="G130" s="3147">
        <f>'Estados Financieros'!G130</f>
        <v>30</v>
      </c>
      <c r="H130" s="3147">
        <f>'Estados Financieros'!H130</f>
        <v>30</v>
      </c>
      <c r="I130" s="3146">
        <f>'Estados Financieros'!I130</f>
        <v>30</v>
      </c>
    </row>
    <row r="131" spans="1:9" s="58" customFormat="1" ht="19.5" x14ac:dyDescent="0.2">
      <c r="A131" s="52"/>
      <c r="B131" s="53"/>
      <c r="C131" s="42"/>
      <c r="D131" s="59" t="s">
        <v>638</v>
      </c>
      <c r="E131" s="3147">
        <f>'Estados Financieros'!E131</f>
        <v>30</v>
      </c>
      <c r="F131" s="3147">
        <f>'Estados Financieros'!F131</f>
        <v>30</v>
      </c>
      <c r="G131" s="3147">
        <f>'Estados Financieros'!G131</f>
        <v>30</v>
      </c>
      <c r="H131" s="3147">
        <f>'Estados Financieros'!H131</f>
        <v>30</v>
      </c>
      <c r="I131" s="3146">
        <f>'Estados Financieros'!I131</f>
        <v>30</v>
      </c>
    </row>
    <row r="132" spans="1:9" s="58" customFormat="1" ht="19.5" x14ac:dyDescent="0.2">
      <c r="A132" s="52"/>
      <c r="B132" s="53"/>
      <c r="C132" s="42"/>
      <c r="D132" s="59" t="s">
        <v>588</v>
      </c>
      <c r="E132" s="3147">
        <f>'Estados Financieros'!E132</f>
        <v>30</v>
      </c>
      <c r="F132" s="3147">
        <f>'Estados Financieros'!F132</f>
        <v>30</v>
      </c>
      <c r="G132" s="3147">
        <f>'Estados Financieros'!G132</f>
        <v>30</v>
      </c>
      <c r="H132" s="3147">
        <f>'Estados Financieros'!H132</f>
        <v>30</v>
      </c>
      <c r="I132" s="3146">
        <f>'Estados Financieros'!I132</f>
        <v>30</v>
      </c>
    </row>
    <row r="133" spans="1:9" s="58" customFormat="1" ht="18.95" customHeight="1" x14ac:dyDescent="0.2">
      <c r="A133" s="52"/>
      <c r="B133" s="53"/>
      <c r="C133" s="42"/>
      <c r="D133" s="59"/>
      <c r="E133" s="3147"/>
      <c r="F133" s="3147"/>
      <c r="G133" s="3147"/>
      <c r="H133" s="3147"/>
      <c r="I133" s="3146"/>
    </row>
    <row r="134" spans="1:9" s="58" customFormat="1" ht="19.5" x14ac:dyDescent="0.2">
      <c r="A134" s="52"/>
      <c r="B134" s="53"/>
      <c r="C134" s="42"/>
      <c r="D134" s="59" t="s">
        <v>603</v>
      </c>
      <c r="E134" s="3147">
        <f>'Estados Financieros'!E134</f>
        <v>30</v>
      </c>
      <c r="F134" s="3147">
        <f>'Estados Financieros'!F134</f>
        <v>30</v>
      </c>
      <c r="G134" s="3147">
        <f>'Estados Financieros'!G134</f>
        <v>30</v>
      </c>
      <c r="H134" s="3147">
        <f>'Estados Financieros'!H134</f>
        <v>30</v>
      </c>
      <c r="I134" s="3146">
        <f>'Estados Financieros'!I134</f>
        <v>30</v>
      </c>
    </row>
    <row r="135" spans="1:9" s="58" customFormat="1" ht="19.5" x14ac:dyDescent="0.2">
      <c r="A135" s="52"/>
      <c r="B135" s="53"/>
      <c r="C135" s="60" t="s">
        <v>639</v>
      </c>
      <c r="D135" s="61"/>
      <c r="E135" s="3153">
        <f>'Estados Financieros'!E135</f>
        <v>600</v>
      </c>
      <c r="F135" s="3153">
        <f>'Estados Financieros'!F135</f>
        <v>600</v>
      </c>
      <c r="G135" s="3153">
        <f>'Estados Financieros'!G135</f>
        <v>600</v>
      </c>
      <c r="H135" s="3153">
        <f>'Estados Financieros'!H135</f>
        <v>600</v>
      </c>
      <c r="I135" s="3152">
        <f>'Estados Financieros'!I135</f>
        <v>600</v>
      </c>
    </row>
    <row r="136" spans="1:9" s="58" customFormat="1" ht="19.5" x14ac:dyDescent="0.2">
      <c r="A136" s="52"/>
      <c r="B136" s="47"/>
      <c r="C136" s="48" t="s">
        <v>640</v>
      </c>
      <c r="D136" s="65"/>
      <c r="E136" s="3151"/>
      <c r="F136" s="3151"/>
      <c r="G136" s="3151"/>
      <c r="H136" s="3151"/>
      <c r="I136" s="3150"/>
    </row>
    <row r="137" spans="1:9" s="58" customFormat="1" ht="19.5" x14ac:dyDescent="0.2">
      <c r="A137" s="52"/>
      <c r="B137" s="53"/>
      <c r="C137" s="42"/>
      <c r="D137" s="54" t="s">
        <v>641</v>
      </c>
      <c r="E137" s="3149">
        <f>'Estados Financieros'!E137</f>
        <v>30</v>
      </c>
      <c r="F137" s="3149">
        <f>'Estados Financieros'!F137</f>
        <v>30</v>
      </c>
      <c r="G137" s="3149">
        <f>'Estados Financieros'!G137</f>
        <v>30</v>
      </c>
      <c r="H137" s="3149">
        <f>'Estados Financieros'!H137</f>
        <v>30</v>
      </c>
      <c r="I137" s="3148">
        <f>'Estados Financieros'!I137</f>
        <v>30</v>
      </c>
    </row>
    <row r="138" spans="1:9" s="58" customFormat="1" ht="19.5" x14ac:dyDescent="0.2">
      <c r="A138" s="52"/>
      <c r="B138" s="53"/>
      <c r="C138" s="42"/>
      <c r="D138" s="59" t="s">
        <v>642</v>
      </c>
      <c r="E138" s="3147">
        <f>'Estados Financieros'!E138</f>
        <v>30</v>
      </c>
      <c r="F138" s="3147">
        <f>'Estados Financieros'!F138</f>
        <v>30</v>
      </c>
      <c r="G138" s="3147">
        <f>'Estados Financieros'!G138</f>
        <v>30</v>
      </c>
      <c r="H138" s="3147">
        <f>'Estados Financieros'!H138</f>
        <v>30</v>
      </c>
      <c r="I138" s="3146">
        <f>'Estados Financieros'!I138</f>
        <v>30</v>
      </c>
    </row>
    <row r="139" spans="1:9" s="58" customFormat="1" ht="19.5" x14ac:dyDescent="0.2">
      <c r="A139" s="52"/>
      <c r="B139" s="53"/>
      <c r="C139" s="42"/>
      <c r="D139" s="59" t="s">
        <v>554</v>
      </c>
      <c r="E139" s="3147">
        <f>'Estados Financieros'!E139</f>
        <v>30</v>
      </c>
      <c r="F139" s="3147">
        <f>'Estados Financieros'!F139</f>
        <v>30</v>
      </c>
      <c r="G139" s="3147">
        <f>'Estados Financieros'!G139</f>
        <v>30</v>
      </c>
      <c r="H139" s="3147">
        <f>'Estados Financieros'!H139</f>
        <v>30</v>
      </c>
      <c r="I139" s="3146">
        <f>'Estados Financieros'!I139</f>
        <v>30</v>
      </c>
    </row>
    <row r="140" spans="1:9" s="58" customFormat="1" ht="19.5" x14ac:dyDescent="0.2">
      <c r="A140" s="52"/>
      <c r="B140" s="53"/>
      <c r="C140" s="42"/>
      <c r="D140" s="59" t="s">
        <v>643</v>
      </c>
      <c r="E140" s="3147">
        <f>'Estados Financieros'!E140</f>
        <v>30</v>
      </c>
      <c r="F140" s="3147">
        <f>'Estados Financieros'!F140</f>
        <v>30</v>
      </c>
      <c r="G140" s="3147">
        <f>'Estados Financieros'!G140</f>
        <v>30</v>
      </c>
      <c r="H140" s="3147">
        <f>'Estados Financieros'!H140</f>
        <v>30</v>
      </c>
      <c r="I140" s="3146">
        <f>'Estados Financieros'!I140</f>
        <v>30</v>
      </c>
    </row>
    <row r="141" spans="1:9" s="58" customFormat="1" ht="19.5" x14ac:dyDescent="0.2">
      <c r="A141" s="52"/>
      <c r="B141" s="53"/>
      <c r="C141" s="42"/>
      <c r="D141" s="59" t="s">
        <v>644</v>
      </c>
      <c r="E141" s="3147">
        <f>'Estados Financieros'!E141</f>
        <v>30</v>
      </c>
      <c r="F141" s="3147">
        <f>'Estados Financieros'!F141</f>
        <v>30</v>
      </c>
      <c r="G141" s="3147">
        <f>'Estados Financieros'!G141</f>
        <v>30</v>
      </c>
      <c r="H141" s="3147">
        <f>'Estados Financieros'!H141</f>
        <v>30</v>
      </c>
      <c r="I141" s="3146">
        <f>'Estados Financieros'!I141</f>
        <v>30</v>
      </c>
    </row>
    <row r="142" spans="1:9" s="58" customFormat="1" ht="19.5" x14ac:dyDescent="0.2">
      <c r="A142" s="52"/>
      <c r="B142" s="53"/>
      <c r="C142" s="42"/>
      <c r="D142" s="59" t="s">
        <v>645</v>
      </c>
      <c r="E142" s="3147">
        <f>'Estados Financieros'!E142</f>
        <v>30</v>
      </c>
      <c r="F142" s="3147">
        <f>'Estados Financieros'!F142</f>
        <v>30</v>
      </c>
      <c r="G142" s="3147">
        <f>'Estados Financieros'!G142</f>
        <v>30</v>
      </c>
      <c r="H142" s="3147">
        <f>'Estados Financieros'!H142</f>
        <v>30</v>
      </c>
      <c r="I142" s="3146">
        <f>'Estados Financieros'!I142</f>
        <v>30</v>
      </c>
    </row>
    <row r="143" spans="1:9" s="58" customFormat="1" ht="19.5" x14ac:dyDescent="0.2">
      <c r="A143" s="52"/>
      <c r="B143" s="53"/>
      <c r="C143" s="42"/>
      <c r="D143" s="68" t="s">
        <v>646</v>
      </c>
      <c r="E143" s="3147">
        <f>'Estados Financieros'!E143</f>
        <v>30</v>
      </c>
      <c r="F143" s="3147">
        <f>'Estados Financieros'!F143</f>
        <v>30</v>
      </c>
      <c r="G143" s="3147">
        <f>'Estados Financieros'!G143</f>
        <v>30</v>
      </c>
      <c r="H143" s="3147">
        <f>'Estados Financieros'!H143</f>
        <v>30</v>
      </c>
      <c r="I143" s="3146">
        <f>'Estados Financieros'!I143</f>
        <v>30</v>
      </c>
    </row>
    <row r="144" spans="1:9" s="58" customFormat="1" ht="19.5" x14ac:dyDescent="0.2">
      <c r="A144" s="52"/>
      <c r="B144" s="53"/>
      <c r="C144" s="42"/>
      <c r="D144" s="68" t="s">
        <v>647</v>
      </c>
      <c r="E144" s="3147">
        <f>'Estados Financieros'!E144</f>
        <v>30</v>
      </c>
      <c r="F144" s="3147">
        <f>'Estados Financieros'!F144</f>
        <v>30</v>
      </c>
      <c r="G144" s="3147">
        <f>'Estados Financieros'!G144</f>
        <v>30</v>
      </c>
      <c r="H144" s="3147">
        <f>'Estados Financieros'!H144</f>
        <v>30</v>
      </c>
      <c r="I144" s="3146">
        <f>'Estados Financieros'!I144</f>
        <v>30</v>
      </c>
    </row>
    <row r="145" spans="1:9" s="58" customFormat="1" ht="19.5" x14ac:dyDescent="0.2">
      <c r="A145" s="52"/>
      <c r="B145" s="53"/>
      <c r="C145" s="42"/>
      <c r="D145" s="59" t="s">
        <v>603</v>
      </c>
      <c r="E145" s="3147">
        <f>'Estados Financieros'!E145</f>
        <v>30</v>
      </c>
      <c r="F145" s="3147">
        <f>'Estados Financieros'!F145</f>
        <v>30</v>
      </c>
      <c r="G145" s="3147">
        <f>'Estados Financieros'!G145</f>
        <v>30</v>
      </c>
      <c r="H145" s="3147">
        <f>'Estados Financieros'!H145</f>
        <v>30</v>
      </c>
      <c r="I145" s="3146">
        <f>'Estados Financieros'!I145</f>
        <v>30</v>
      </c>
    </row>
    <row r="146" spans="1:9" s="58" customFormat="1" ht="19.5" x14ac:dyDescent="0.2">
      <c r="A146" s="52"/>
      <c r="B146" s="53"/>
      <c r="C146" s="60" t="s">
        <v>648</v>
      </c>
      <c r="D146" s="61"/>
      <c r="E146" s="3153">
        <f>'Estados Financieros'!E146</f>
        <v>270</v>
      </c>
      <c r="F146" s="3153">
        <f>'Estados Financieros'!F146</f>
        <v>270</v>
      </c>
      <c r="G146" s="3153">
        <f>'Estados Financieros'!G146</f>
        <v>270</v>
      </c>
      <c r="H146" s="3153">
        <f>'Estados Financieros'!H146</f>
        <v>270</v>
      </c>
      <c r="I146" s="3152">
        <f>'Estados Financieros'!I146</f>
        <v>270</v>
      </c>
    </row>
    <row r="147" spans="1:9" s="58" customFormat="1" ht="19.5" x14ac:dyDescent="0.2">
      <c r="A147" s="52"/>
      <c r="B147" s="47"/>
      <c r="C147" s="48" t="s">
        <v>649</v>
      </c>
      <c r="D147" s="65"/>
      <c r="E147" s="3151"/>
      <c r="F147" s="3151"/>
      <c r="G147" s="3151"/>
      <c r="H147" s="3151"/>
      <c r="I147" s="3150"/>
    </row>
    <row r="148" spans="1:9" s="58" customFormat="1" ht="19.5" x14ac:dyDescent="0.2">
      <c r="A148" s="52"/>
      <c r="B148" s="53"/>
      <c r="C148" s="42"/>
      <c r="D148" s="54" t="s">
        <v>606</v>
      </c>
      <c r="E148" s="3149">
        <f>'Estados Financieros'!E148</f>
        <v>30</v>
      </c>
      <c r="F148" s="3149">
        <f>'Estados Financieros'!F148</f>
        <v>30</v>
      </c>
      <c r="G148" s="3149">
        <f>'Estados Financieros'!G148</f>
        <v>30</v>
      </c>
      <c r="H148" s="3149">
        <f>'Estados Financieros'!H148</f>
        <v>30</v>
      </c>
      <c r="I148" s="3148">
        <f>'Estados Financieros'!I148</f>
        <v>30</v>
      </c>
    </row>
    <row r="149" spans="1:9" s="58" customFormat="1" ht="19.5" x14ac:dyDescent="0.2">
      <c r="A149" s="52"/>
      <c r="B149" s="53"/>
      <c r="C149" s="42"/>
      <c r="D149" s="59" t="s">
        <v>607</v>
      </c>
      <c r="E149" s="3147">
        <f>'Estados Financieros'!E149</f>
        <v>30</v>
      </c>
      <c r="F149" s="3147">
        <f>'Estados Financieros'!F149</f>
        <v>30</v>
      </c>
      <c r="G149" s="3147">
        <f>'Estados Financieros'!G149</f>
        <v>30</v>
      </c>
      <c r="H149" s="3147">
        <f>'Estados Financieros'!H149</f>
        <v>30</v>
      </c>
      <c r="I149" s="3146">
        <f>'Estados Financieros'!I149</f>
        <v>30</v>
      </c>
    </row>
    <row r="150" spans="1:9" s="58" customFormat="1" ht="19.5" x14ac:dyDescent="0.2">
      <c r="A150" s="52"/>
      <c r="B150" s="53"/>
      <c r="C150" s="42"/>
      <c r="D150" s="59" t="s">
        <v>608</v>
      </c>
      <c r="E150" s="3147">
        <f>'Estados Financieros'!E150</f>
        <v>30</v>
      </c>
      <c r="F150" s="3147">
        <f>'Estados Financieros'!F150</f>
        <v>30</v>
      </c>
      <c r="G150" s="3147">
        <f>'Estados Financieros'!G150</f>
        <v>30</v>
      </c>
      <c r="H150" s="3147">
        <f>'Estados Financieros'!H150</f>
        <v>30</v>
      </c>
      <c r="I150" s="3146">
        <f>'Estados Financieros'!I150</f>
        <v>30</v>
      </c>
    </row>
    <row r="151" spans="1:9" s="58" customFormat="1" ht="19.5" x14ac:dyDescent="0.2">
      <c r="A151" s="52"/>
      <c r="B151" s="53"/>
      <c r="C151" s="42"/>
      <c r="D151" s="68" t="s">
        <v>650</v>
      </c>
      <c r="E151" s="3147">
        <f>'Estados Financieros'!E151</f>
        <v>30</v>
      </c>
      <c r="F151" s="3147">
        <f>'Estados Financieros'!F151</f>
        <v>30</v>
      </c>
      <c r="G151" s="3147">
        <f>'Estados Financieros'!G151</f>
        <v>30</v>
      </c>
      <c r="H151" s="3147">
        <f>'Estados Financieros'!H151</f>
        <v>30</v>
      </c>
      <c r="I151" s="3146">
        <f>'Estados Financieros'!I151</f>
        <v>30</v>
      </c>
    </row>
    <row r="152" spans="1:9" s="58" customFormat="1" ht="19.5" x14ac:dyDescent="0.2">
      <c r="A152" s="52"/>
      <c r="B152" s="53"/>
      <c r="C152" s="42"/>
      <c r="D152" s="68" t="s">
        <v>609</v>
      </c>
      <c r="E152" s="3147">
        <f>'Estados Financieros'!E152</f>
        <v>30</v>
      </c>
      <c r="F152" s="3147">
        <f>'Estados Financieros'!F152</f>
        <v>30</v>
      </c>
      <c r="G152" s="3147">
        <f>'Estados Financieros'!G152</f>
        <v>30</v>
      </c>
      <c r="H152" s="3147">
        <f>'Estados Financieros'!H152</f>
        <v>30</v>
      </c>
      <c r="I152" s="3146">
        <f>'Estados Financieros'!I152</f>
        <v>30</v>
      </c>
    </row>
    <row r="153" spans="1:9" s="58" customFormat="1" ht="19.5" x14ac:dyDescent="0.2">
      <c r="A153" s="52"/>
      <c r="B153" s="53"/>
      <c r="C153" s="42"/>
      <c r="D153" s="59" t="s">
        <v>632</v>
      </c>
      <c r="E153" s="3147">
        <f>'Estados Financieros'!E153</f>
        <v>30</v>
      </c>
      <c r="F153" s="3147">
        <f>'Estados Financieros'!F153</f>
        <v>30</v>
      </c>
      <c r="G153" s="3147">
        <f>'Estados Financieros'!G153</f>
        <v>30</v>
      </c>
      <c r="H153" s="3147">
        <f>'Estados Financieros'!H153</f>
        <v>30</v>
      </c>
      <c r="I153" s="3146">
        <f>'Estados Financieros'!I153</f>
        <v>30</v>
      </c>
    </row>
    <row r="154" spans="1:9" s="58" customFormat="1" ht="19.5" x14ac:dyDescent="0.2">
      <c r="A154" s="52"/>
      <c r="B154" s="53"/>
      <c r="C154" s="60" t="s">
        <v>651</v>
      </c>
      <c r="D154" s="61"/>
      <c r="E154" s="3153">
        <f>'Estados Financieros'!E154</f>
        <v>180</v>
      </c>
      <c r="F154" s="3153">
        <f>'Estados Financieros'!F154</f>
        <v>180</v>
      </c>
      <c r="G154" s="3153">
        <f>'Estados Financieros'!G154</f>
        <v>180</v>
      </c>
      <c r="H154" s="3153">
        <f>'Estados Financieros'!H154</f>
        <v>180</v>
      </c>
      <c r="I154" s="3152">
        <f>'Estados Financieros'!I154</f>
        <v>180</v>
      </c>
    </row>
    <row r="155" spans="1:9" s="58" customFormat="1" ht="19.5" x14ac:dyDescent="0.2">
      <c r="A155" s="52"/>
      <c r="B155" s="47"/>
      <c r="C155" s="48" t="s">
        <v>652</v>
      </c>
      <c r="D155" s="65"/>
      <c r="E155" s="3151"/>
      <c r="F155" s="3151"/>
      <c r="G155" s="3151"/>
      <c r="H155" s="3151"/>
      <c r="I155" s="3150"/>
    </row>
    <row r="156" spans="1:9" s="58" customFormat="1" ht="19.5" x14ac:dyDescent="0.2">
      <c r="A156" s="52"/>
      <c r="B156" s="53"/>
      <c r="C156" s="42"/>
      <c r="D156" s="54" t="s">
        <v>653</v>
      </c>
      <c r="E156" s="3149">
        <f>'Estados Financieros'!E156</f>
        <v>30</v>
      </c>
      <c r="F156" s="3149">
        <f>'Estados Financieros'!F156</f>
        <v>30</v>
      </c>
      <c r="G156" s="3149">
        <f>'Estados Financieros'!G156</f>
        <v>30</v>
      </c>
      <c r="H156" s="3149">
        <f>'Estados Financieros'!H156</f>
        <v>30</v>
      </c>
      <c r="I156" s="3148">
        <f>'Estados Financieros'!I156</f>
        <v>30</v>
      </c>
    </row>
    <row r="157" spans="1:9" s="58" customFormat="1" ht="19.5" x14ac:dyDescent="0.2">
      <c r="A157" s="52"/>
      <c r="B157" s="53"/>
      <c r="C157" s="42"/>
      <c r="D157" s="59" t="s">
        <v>654</v>
      </c>
      <c r="E157" s="3147">
        <f>'Estados Financieros'!E157</f>
        <v>30</v>
      </c>
      <c r="F157" s="3147">
        <f>'Estados Financieros'!F157</f>
        <v>30</v>
      </c>
      <c r="G157" s="3147">
        <f>'Estados Financieros'!G157</f>
        <v>30</v>
      </c>
      <c r="H157" s="3147">
        <f>'Estados Financieros'!H157</f>
        <v>30</v>
      </c>
      <c r="I157" s="3146">
        <f>'Estados Financieros'!I157</f>
        <v>30</v>
      </c>
    </row>
    <row r="158" spans="1:9" s="58" customFormat="1" ht="19.5" x14ac:dyDescent="0.2">
      <c r="A158" s="52"/>
      <c r="B158" s="53"/>
      <c r="C158" s="42"/>
      <c r="D158" s="59" t="s">
        <v>655</v>
      </c>
      <c r="E158" s="3147">
        <f>'Estados Financieros'!E158</f>
        <v>30</v>
      </c>
      <c r="F158" s="3147">
        <f>'Estados Financieros'!F158</f>
        <v>30</v>
      </c>
      <c r="G158" s="3147">
        <f>'Estados Financieros'!G158</f>
        <v>30</v>
      </c>
      <c r="H158" s="3147">
        <f>'Estados Financieros'!H158</f>
        <v>30</v>
      </c>
      <c r="I158" s="3146">
        <f>'Estados Financieros'!I158</f>
        <v>30</v>
      </c>
    </row>
    <row r="159" spans="1:9" s="58" customFormat="1" ht="19.5" x14ac:dyDescent="0.2">
      <c r="A159" s="52"/>
      <c r="B159" s="53"/>
      <c r="C159" s="42"/>
      <c r="D159" s="59" t="s">
        <v>453</v>
      </c>
      <c r="E159" s="3147">
        <f>'Estados Financieros'!E159</f>
        <v>30</v>
      </c>
      <c r="F159" s="3147">
        <f>'Estados Financieros'!F159</f>
        <v>30</v>
      </c>
      <c r="G159" s="3147">
        <f>'Estados Financieros'!G159</f>
        <v>30</v>
      </c>
      <c r="H159" s="3147">
        <f>'Estados Financieros'!H159</f>
        <v>30</v>
      </c>
      <c r="I159" s="3146">
        <f>'Estados Financieros'!I159</f>
        <v>30</v>
      </c>
    </row>
    <row r="160" spans="1:9" s="58" customFormat="1" ht="19.5" x14ac:dyDescent="0.2">
      <c r="A160" s="52"/>
      <c r="B160" s="53"/>
      <c r="C160" s="42"/>
      <c r="D160" s="59" t="s">
        <v>656</v>
      </c>
      <c r="E160" s="3147">
        <f>'Estados Financieros'!E160</f>
        <v>30</v>
      </c>
      <c r="F160" s="3147">
        <f>'Estados Financieros'!F160</f>
        <v>30</v>
      </c>
      <c r="G160" s="3147">
        <f>'Estados Financieros'!G160</f>
        <v>30</v>
      </c>
      <c r="H160" s="3147">
        <f>'Estados Financieros'!H160</f>
        <v>30</v>
      </c>
      <c r="I160" s="3146">
        <f>'Estados Financieros'!I160</f>
        <v>30</v>
      </c>
    </row>
    <row r="161" spans="1:9" s="58" customFormat="1" ht="19.5" x14ac:dyDescent="0.2">
      <c r="A161" s="52"/>
      <c r="B161" s="53"/>
      <c r="C161" s="42"/>
      <c r="D161" s="59" t="s">
        <v>560</v>
      </c>
      <c r="E161" s="3147">
        <f>'Estados Financieros'!E161</f>
        <v>30</v>
      </c>
      <c r="F161" s="3147">
        <f>'Estados Financieros'!F161</f>
        <v>30</v>
      </c>
      <c r="G161" s="3147">
        <f>'Estados Financieros'!G161</f>
        <v>30</v>
      </c>
      <c r="H161" s="3147">
        <f>'Estados Financieros'!H161</f>
        <v>30</v>
      </c>
      <c r="I161" s="3146">
        <f>'Estados Financieros'!I161</f>
        <v>30</v>
      </c>
    </row>
    <row r="162" spans="1:9" s="58" customFormat="1" ht="19.5" x14ac:dyDescent="0.2">
      <c r="A162" s="52"/>
      <c r="B162" s="53"/>
      <c r="C162" s="42"/>
      <c r="D162" s="59" t="s">
        <v>603</v>
      </c>
      <c r="E162" s="3147">
        <f>'Estados Financieros'!E162</f>
        <v>30</v>
      </c>
      <c r="F162" s="3147">
        <f>'Estados Financieros'!F162</f>
        <v>30</v>
      </c>
      <c r="G162" s="3147">
        <f>'Estados Financieros'!G162</f>
        <v>30</v>
      </c>
      <c r="H162" s="3147">
        <f>'Estados Financieros'!H162</f>
        <v>30</v>
      </c>
      <c r="I162" s="3146">
        <f>'Estados Financieros'!I162</f>
        <v>30</v>
      </c>
    </row>
    <row r="163" spans="1:9" s="58" customFormat="1" ht="19.5" x14ac:dyDescent="0.2">
      <c r="A163" s="52"/>
      <c r="B163" s="53"/>
      <c r="C163" s="60" t="s">
        <v>657</v>
      </c>
      <c r="D163" s="61"/>
      <c r="E163" s="3153">
        <f>'Estados Financieros'!E163</f>
        <v>210</v>
      </c>
      <c r="F163" s="3153">
        <f>'Estados Financieros'!F163</f>
        <v>210</v>
      </c>
      <c r="G163" s="3153">
        <f>'Estados Financieros'!G163</f>
        <v>210</v>
      </c>
      <c r="H163" s="3153">
        <f>'Estados Financieros'!H163</f>
        <v>210</v>
      </c>
      <c r="I163" s="3152">
        <f>'Estados Financieros'!I163</f>
        <v>210</v>
      </c>
    </row>
    <row r="164" spans="1:9" s="58" customFormat="1" ht="19.5" x14ac:dyDescent="0.2">
      <c r="A164" s="52"/>
      <c r="B164" s="47"/>
      <c r="C164" s="48" t="s">
        <v>658</v>
      </c>
      <c r="D164" s="65"/>
      <c r="E164" s="3151"/>
      <c r="F164" s="3151"/>
      <c r="G164" s="3151"/>
      <c r="H164" s="3151"/>
      <c r="I164" s="3150"/>
    </row>
    <row r="165" spans="1:9" s="58" customFormat="1" ht="19.5" x14ac:dyDescent="0.2">
      <c r="A165" s="52"/>
      <c r="B165" s="53"/>
      <c r="C165" s="42"/>
      <c r="D165" s="68" t="s">
        <v>659</v>
      </c>
      <c r="E165" s="3149">
        <f>'Estados Financieros'!E165</f>
        <v>30</v>
      </c>
      <c r="F165" s="3149">
        <f>'Estados Financieros'!F165</f>
        <v>30</v>
      </c>
      <c r="G165" s="3149">
        <f>'Estados Financieros'!G165</f>
        <v>30</v>
      </c>
      <c r="H165" s="3149">
        <f>'Estados Financieros'!H165</f>
        <v>30</v>
      </c>
      <c r="I165" s="3148">
        <f>'Estados Financieros'!I165</f>
        <v>30</v>
      </c>
    </row>
    <row r="166" spans="1:9" s="58" customFormat="1" ht="19.5" x14ac:dyDescent="0.2">
      <c r="A166" s="52"/>
      <c r="B166" s="53"/>
      <c r="C166" s="42"/>
      <c r="D166" s="68" t="s">
        <v>660</v>
      </c>
      <c r="E166" s="3147">
        <f>'Estados Financieros'!E166</f>
        <v>30</v>
      </c>
      <c r="F166" s="3147">
        <f>'Estados Financieros'!F166</f>
        <v>30</v>
      </c>
      <c r="G166" s="3147">
        <f>'Estados Financieros'!G166</f>
        <v>30</v>
      </c>
      <c r="H166" s="3147">
        <f>'Estados Financieros'!H166</f>
        <v>30</v>
      </c>
      <c r="I166" s="3146">
        <f>'Estados Financieros'!I166</f>
        <v>30</v>
      </c>
    </row>
    <row r="167" spans="1:9" s="58" customFormat="1" ht="19.5" x14ac:dyDescent="0.2">
      <c r="A167" s="52"/>
      <c r="B167" s="53"/>
      <c r="C167" s="42"/>
      <c r="D167" s="68" t="s">
        <v>661</v>
      </c>
      <c r="E167" s="3147">
        <f>'Estados Financieros'!E167</f>
        <v>30</v>
      </c>
      <c r="F167" s="3147">
        <f>'Estados Financieros'!F167</f>
        <v>30</v>
      </c>
      <c r="G167" s="3147">
        <f>'Estados Financieros'!G167</f>
        <v>30</v>
      </c>
      <c r="H167" s="3147">
        <f>'Estados Financieros'!H167</f>
        <v>30</v>
      </c>
      <c r="I167" s="3146">
        <f>'Estados Financieros'!I167</f>
        <v>30</v>
      </c>
    </row>
    <row r="168" spans="1:9" s="58" customFormat="1" ht="19.5" x14ac:dyDescent="0.2">
      <c r="A168" s="52"/>
      <c r="B168" s="53"/>
      <c r="C168" s="42"/>
      <c r="D168" s="68" t="s">
        <v>662</v>
      </c>
      <c r="E168" s="3147">
        <f>'Estados Financieros'!E168</f>
        <v>30</v>
      </c>
      <c r="F168" s="3147">
        <f>'Estados Financieros'!F168</f>
        <v>30</v>
      </c>
      <c r="G168" s="3147">
        <f>'Estados Financieros'!G168</f>
        <v>30</v>
      </c>
      <c r="H168" s="3147">
        <f>'Estados Financieros'!H168</f>
        <v>30</v>
      </c>
      <c r="I168" s="3146">
        <f>'Estados Financieros'!I168</f>
        <v>30</v>
      </c>
    </row>
    <row r="169" spans="1:9" s="58" customFormat="1" ht="19.5" x14ac:dyDescent="0.2">
      <c r="A169" s="52"/>
      <c r="B169" s="53"/>
      <c r="C169" s="42"/>
      <c r="D169" s="68" t="s">
        <v>663</v>
      </c>
      <c r="E169" s="3147">
        <f>'Estados Financieros'!E169</f>
        <v>30</v>
      </c>
      <c r="F169" s="3147">
        <f>'Estados Financieros'!F169</f>
        <v>30</v>
      </c>
      <c r="G169" s="3147">
        <f>'Estados Financieros'!G169</f>
        <v>30</v>
      </c>
      <c r="H169" s="3147">
        <f>'Estados Financieros'!H169</f>
        <v>30</v>
      </c>
      <c r="I169" s="3146">
        <f>'Estados Financieros'!I169</f>
        <v>30</v>
      </c>
    </row>
    <row r="170" spans="1:9" s="58" customFormat="1" ht="19.5" x14ac:dyDescent="0.2">
      <c r="A170" s="52"/>
      <c r="B170" s="53"/>
      <c r="C170" s="60" t="s">
        <v>664</v>
      </c>
      <c r="D170" s="61"/>
      <c r="E170" s="3153">
        <f>'Estados Financieros'!E170</f>
        <v>150</v>
      </c>
      <c r="F170" s="3153">
        <f>'Estados Financieros'!F170</f>
        <v>150</v>
      </c>
      <c r="G170" s="3153">
        <f>'Estados Financieros'!G170</f>
        <v>150</v>
      </c>
      <c r="H170" s="3153">
        <f>'Estados Financieros'!H170</f>
        <v>150</v>
      </c>
      <c r="I170" s="3152">
        <f>'Estados Financieros'!I170</f>
        <v>150</v>
      </c>
    </row>
    <row r="171" spans="1:9" s="58" customFormat="1" ht="19.5" x14ac:dyDescent="0.2">
      <c r="A171" s="52"/>
      <c r="B171" s="47"/>
      <c r="C171" s="48" t="s">
        <v>665</v>
      </c>
      <c r="D171" s="65"/>
      <c r="E171" s="3151"/>
      <c r="F171" s="3151"/>
      <c r="G171" s="3151"/>
      <c r="H171" s="3151"/>
      <c r="I171" s="3150"/>
    </row>
    <row r="172" spans="1:9" s="58" customFormat="1" ht="19.5" x14ac:dyDescent="0.2">
      <c r="A172" s="52"/>
      <c r="B172" s="53"/>
      <c r="C172" s="42"/>
      <c r="D172" s="54" t="s">
        <v>666</v>
      </c>
      <c r="E172" s="3149">
        <f>'Estados Financieros'!E172</f>
        <v>30</v>
      </c>
      <c r="F172" s="3149">
        <f>'Estados Financieros'!F172</f>
        <v>30</v>
      </c>
      <c r="G172" s="3149">
        <f>'Estados Financieros'!G172</f>
        <v>30</v>
      </c>
      <c r="H172" s="3149">
        <f>'Estados Financieros'!H172</f>
        <v>30</v>
      </c>
      <c r="I172" s="3148">
        <f>'Estados Financieros'!I172</f>
        <v>30</v>
      </c>
    </row>
    <row r="173" spans="1:9" s="58" customFormat="1" ht="19.5" x14ac:dyDescent="0.2">
      <c r="A173" s="52"/>
      <c r="B173" s="53"/>
      <c r="C173" s="42"/>
      <c r="D173" s="59" t="s">
        <v>667</v>
      </c>
      <c r="E173" s="3147">
        <f>'Estados Financieros'!E173</f>
        <v>30</v>
      </c>
      <c r="F173" s="3147">
        <f>'Estados Financieros'!F173</f>
        <v>30</v>
      </c>
      <c r="G173" s="3147">
        <f>'Estados Financieros'!G173</f>
        <v>30</v>
      </c>
      <c r="H173" s="3147">
        <f>'Estados Financieros'!H173</f>
        <v>30</v>
      </c>
      <c r="I173" s="3146">
        <f>'Estados Financieros'!I173</f>
        <v>30</v>
      </c>
    </row>
    <row r="174" spans="1:9" s="58" customFormat="1" ht="19.5" x14ac:dyDescent="0.2">
      <c r="A174" s="52"/>
      <c r="B174" s="53"/>
      <c r="C174" s="42"/>
      <c r="D174" s="59" t="s">
        <v>668</v>
      </c>
      <c r="E174" s="3147">
        <f>'Estados Financieros'!E174</f>
        <v>30</v>
      </c>
      <c r="F174" s="3147">
        <f>'Estados Financieros'!F174</f>
        <v>30</v>
      </c>
      <c r="G174" s="3147">
        <f>'Estados Financieros'!G174</f>
        <v>30</v>
      </c>
      <c r="H174" s="3147">
        <f>'Estados Financieros'!H174</f>
        <v>30</v>
      </c>
      <c r="I174" s="3146">
        <f>'Estados Financieros'!I174</f>
        <v>30</v>
      </c>
    </row>
    <row r="175" spans="1:9" s="58" customFormat="1" ht="18.95" customHeight="1" x14ac:dyDescent="0.2">
      <c r="A175" s="52"/>
      <c r="B175" s="53"/>
      <c r="C175" s="42"/>
      <c r="D175" s="59"/>
      <c r="E175" s="3147"/>
      <c r="F175" s="3147"/>
      <c r="G175" s="3168"/>
      <c r="H175" s="3168"/>
      <c r="I175" s="3166"/>
    </row>
    <row r="176" spans="1:9" s="58" customFormat="1" ht="19.5" x14ac:dyDescent="0.2">
      <c r="A176" s="52"/>
      <c r="B176" s="53"/>
      <c r="C176" s="60" t="s">
        <v>669</v>
      </c>
      <c r="D176" s="61"/>
      <c r="E176" s="3172">
        <f>'Estados Financieros'!E176</f>
        <v>90</v>
      </c>
      <c r="F176" s="3172">
        <f>'Estados Financieros'!F176</f>
        <v>90</v>
      </c>
      <c r="G176" s="3172">
        <f>'Estados Financieros'!G176</f>
        <v>90</v>
      </c>
      <c r="H176" s="3172">
        <f>'Estados Financieros'!H176</f>
        <v>90</v>
      </c>
      <c r="I176" s="3171">
        <f>'Estados Financieros'!I176</f>
        <v>90</v>
      </c>
    </row>
    <row r="177" spans="1:9" s="58" customFormat="1" ht="19.5" x14ac:dyDescent="0.2">
      <c r="A177" s="52"/>
      <c r="B177" s="77"/>
      <c r="C177" s="86" t="s">
        <v>670</v>
      </c>
      <c r="D177" s="87"/>
      <c r="E177" s="3162">
        <f>'Estados Financieros'!E177</f>
        <v>2100</v>
      </c>
      <c r="F177" s="3162">
        <f>'Estados Financieros'!F177</f>
        <v>2100</v>
      </c>
      <c r="G177" s="3162">
        <f>'Estados Financieros'!G177</f>
        <v>2100</v>
      </c>
      <c r="H177" s="3162">
        <f>'Estados Financieros'!H177</f>
        <v>2100</v>
      </c>
      <c r="I177" s="3161">
        <f>'Estados Financieros'!I177</f>
        <v>2100</v>
      </c>
    </row>
    <row r="178" spans="1:9" s="58" customFormat="1" ht="19.5" x14ac:dyDescent="0.2">
      <c r="A178" s="52"/>
      <c r="B178" s="86" t="s">
        <v>671</v>
      </c>
      <c r="C178" s="88"/>
      <c r="D178" s="87"/>
      <c r="E178" s="3162">
        <f>'Estados Financieros'!E178</f>
        <v>3960</v>
      </c>
      <c r="F178" s="3162">
        <f>'Estados Financieros'!F178</f>
        <v>3960</v>
      </c>
      <c r="G178" s="3162">
        <f>'Estados Financieros'!G178</f>
        <v>3960</v>
      </c>
      <c r="H178" s="3162">
        <f>'Estados Financieros'!H178</f>
        <v>3960</v>
      </c>
      <c r="I178" s="3161">
        <f>'Estados Financieros'!I178</f>
        <v>3960</v>
      </c>
    </row>
    <row r="179" spans="1:9" s="58" customFormat="1" ht="19.5" x14ac:dyDescent="0.2">
      <c r="A179" s="52"/>
      <c r="B179" s="47"/>
      <c r="C179" s="48" t="s">
        <v>672</v>
      </c>
      <c r="D179" s="65"/>
      <c r="E179" s="3151"/>
      <c r="F179" s="3151"/>
      <c r="G179" s="3151"/>
      <c r="H179" s="3151"/>
      <c r="I179" s="3150"/>
    </row>
    <row r="180" spans="1:9" s="58" customFormat="1" ht="19.5" x14ac:dyDescent="0.2">
      <c r="A180" s="52"/>
      <c r="B180" s="53"/>
      <c r="C180" s="42"/>
      <c r="D180" s="54" t="s">
        <v>673</v>
      </c>
      <c r="E180" s="3149">
        <f>'Estados Financieros'!E180</f>
        <v>0</v>
      </c>
      <c r="F180" s="3149">
        <f>'Estados Financieros'!F180</f>
        <v>0</v>
      </c>
      <c r="G180" s="3149">
        <f>'Estados Financieros'!G180</f>
        <v>0</v>
      </c>
      <c r="H180" s="3149">
        <f>'Estados Financieros'!H180</f>
        <v>0</v>
      </c>
      <c r="I180" s="3148">
        <f>'Estados Financieros'!I180</f>
        <v>0</v>
      </c>
    </row>
    <row r="181" spans="1:9" s="58" customFormat="1" ht="19.5" x14ac:dyDescent="0.2">
      <c r="A181" s="52"/>
      <c r="B181" s="53"/>
      <c r="C181" s="42"/>
      <c r="D181" s="59" t="s">
        <v>674</v>
      </c>
      <c r="E181" s="3147">
        <f>'Estados Financieros'!E181</f>
        <v>0</v>
      </c>
      <c r="F181" s="3147">
        <f>'Estados Financieros'!F181</f>
        <v>0</v>
      </c>
      <c r="G181" s="3147">
        <f>'Estados Financieros'!G181</f>
        <v>0</v>
      </c>
      <c r="H181" s="3147">
        <f>'Estados Financieros'!H181</f>
        <v>0</v>
      </c>
      <c r="I181" s="3146">
        <f>'Estados Financieros'!I181</f>
        <v>0</v>
      </c>
    </row>
    <row r="182" spans="1:9" s="58" customFormat="1" ht="19.5" x14ac:dyDescent="0.2">
      <c r="A182" s="52"/>
      <c r="B182" s="53"/>
      <c r="C182" s="42"/>
      <c r="D182" s="59" t="s">
        <v>675</v>
      </c>
      <c r="E182" s="3147">
        <f>'Estados Financieros'!E182</f>
        <v>0</v>
      </c>
      <c r="F182" s="3147">
        <f>'Estados Financieros'!F182</f>
        <v>0</v>
      </c>
      <c r="G182" s="3147">
        <f>'Estados Financieros'!G182</f>
        <v>0</v>
      </c>
      <c r="H182" s="3147">
        <f>'Estados Financieros'!H182</f>
        <v>0</v>
      </c>
      <c r="I182" s="3146">
        <f>'Estados Financieros'!I182</f>
        <v>0</v>
      </c>
    </row>
    <row r="183" spans="1:9" s="58" customFormat="1" ht="19.5" x14ac:dyDescent="0.2">
      <c r="A183" s="52"/>
      <c r="B183" s="53"/>
      <c r="C183" s="42"/>
      <c r="D183" s="89" t="s">
        <v>676</v>
      </c>
      <c r="E183" s="3143">
        <f>'Estados Financieros'!E183</f>
        <v>0</v>
      </c>
      <c r="F183" s="3143">
        <f>'Estados Financieros'!F183</f>
        <v>0</v>
      </c>
      <c r="G183" s="3143">
        <f>'Estados Financieros'!G183</f>
        <v>0</v>
      </c>
      <c r="H183" s="3143">
        <f>'Estados Financieros'!H183</f>
        <v>0</v>
      </c>
      <c r="I183" s="3141">
        <f>'Estados Financieros'!I183</f>
        <v>0</v>
      </c>
    </row>
    <row r="184" spans="1:9" s="58" customFormat="1" ht="19.5" x14ac:dyDescent="0.2">
      <c r="A184" s="52"/>
      <c r="B184" s="53"/>
      <c r="C184" s="86" t="s">
        <v>677</v>
      </c>
      <c r="D184" s="87"/>
      <c r="E184" s="3140">
        <f>'Estados Financieros'!E184</f>
        <v>0</v>
      </c>
      <c r="F184" s="3140">
        <f>'Estados Financieros'!F184</f>
        <v>0</v>
      </c>
      <c r="G184" s="3140">
        <f>'Estados Financieros'!G184</f>
        <v>0</v>
      </c>
      <c r="H184" s="3140">
        <f>'Estados Financieros'!H184</f>
        <v>0</v>
      </c>
      <c r="I184" s="3139">
        <f>'Estados Financieros'!I184</f>
        <v>0</v>
      </c>
    </row>
    <row r="185" spans="1:9" s="58" customFormat="1" ht="19.5" x14ac:dyDescent="0.2">
      <c r="A185" s="52"/>
      <c r="B185" s="77"/>
      <c r="C185" s="42"/>
      <c r="D185" s="92"/>
      <c r="E185" s="3159"/>
      <c r="F185" s="3159"/>
      <c r="G185" s="3159"/>
      <c r="H185" s="3159"/>
      <c r="I185" s="3160"/>
    </row>
    <row r="186" spans="1:9" s="58" customFormat="1" ht="21" x14ac:dyDescent="0.2">
      <c r="A186" s="52"/>
      <c r="B186" s="41" t="s">
        <v>678</v>
      </c>
      <c r="C186" s="41"/>
      <c r="D186" s="93"/>
      <c r="E186" s="3159"/>
      <c r="F186" s="3159"/>
      <c r="G186" s="3159"/>
      <c r="H186" s="3159"/>
      <c r="I186" s="3160"/>
    </row>
    <row r="187" spans="1:9" s="58" customFormat="1" ht="21" x14ac:dyDescent="0.2">
      <c r="A187" s="52"/>
      <c r="B187" s="77"/>
      <c r="C187" s="41" t="s">
        <v>679</v>
      </c>
      <c r="D187" s="93"/>
      <c r="E187" s="3159"/>
      <c r="F187" s="3159"/>
      <c r="G187" s="3159"/>
      <c r="H187" s="3159"/>
      <c r="I187" s="3160"/>
    </row>
    <row r="188" spans="1:9" s="58" customFormat="1" ht="19.5" x14ac:dyDescent="0.2">
      <c r="A188" s="52"/>
      <c r="B188" s="47"/>
      <c r="C188" s="48" t="s">
        <v>680</v>
      </c>
      <c r="D188" s="82"/>
      <c r="E188" s="3157"/>
      <c r="F188" s="3157"/>
      <c r="G188" s="3157"/>
      <c r="H188" s="3157"/>
      <c r="I188" s="3163"/>
    </row>
    <row r="189" spans="1:9" s="58" customFormat="1" ht="19.5" x14ac:dyDescent="0.2">
      <c r="A189" s="52"/>
      <c r="B189" s="53"/>
      <c r="C189" s="42"/>
      <c r="D189" s="54" t="s">
        <v>681</v>
      </c>
      <c r="E189" s="3149">
        <f>'Estados Financieros'!E189</f>
        <v>10</v>
      </c>
      <c r="F189" s="3149">
        <f>'Estados Financieros'!F189</f>
        <v>10</v>
      </c>
      <c r="G189" s="3149">
        <f>'Estados Financieros'!G189</f>
        <v>10</v>
      </c>
      <c r="H189" s="3149">
        <f>'Estados Financieros'!H189</f>
        <v>10</v>
      </c>
      <c r="I189" s="3148">
        <f>'Estados Financieros'!I189</f>
        <v>10</v>
      </c>
    </row>
    <row r="190" spans="1:9" s="58" customFormat="1" ht="19.5" x14ac:dyDescent="0.2">
      <c r="A190" s="52"/>
      <c r="B190" s="53"/>
      <c r="C190" s="42"/>
      <c r="D190" s="59" t="s">
        <v>682</v>
      </c>
      <c r="E190" s="3147">
        <f>'Estados Financieros'!E190</f>
        <v>10</v>
      </c>
      <c r="F190" s="3147">
        <f>'Estados Financieros'!F190</f>
        <v>10</v>
      </c>
      <c r="G190" s="3147">
        <f>'Estados Financieros'!G190</f>
        <v>10</v>
      </c>
      <c r="H190" s="3147">
        <f>'Estados Financieros'!H190</f>
        <v>10</v>
      </c>
      <c r="I190" s="3146">
        <f>'Estados Financieros'!I190</f>
        <v>10</v>
      </c>
    </row>
    <row r="191" spans="1:9" s="58" customFormat="1" ht="19.5" x14ac:dyDescent="0.2">
      <c r="A191" s="52"/>
      <c r="B191" s="53"/>
      <c r="C191" s="42"/>
      <c r="D191" s="59" t="s">
        <v>683</v>
      </c>
      <c r="E191" s="3147">
        <f>'Estados Financieros'!E191</f>
        <v>10</v>
      </c>
      <c r="F191" s="3147">
        <f>'Estados Financieros'!F191</f>
        <v>10</v>
      </c>
      <c r="G191" s="3147">
        <f>'Estados Financieros'!G191</f>
        <v>10</v>
      </c>
      <c r="H191" s="3147">
        <f>'Estados Financieros'!H191</f>
        <v>10</v>
      </c>
      <c r="I191" s="3146">
        <f>'Estados Financieros'!I191</f>
        <v>10</v>
      </c>
    </row>
    <row r="192" spans="1:9" s="58" customFormat="1" ht="19.5" x14ac:dyDescent="0.2">
      <c r="A192" s="52"/>
      <c r="B192" s="53"/>
      <c r="C192" s="60" t="s">
        <v>684</v>
      </c>
      <c r="D192" s="61"/>
      <c r="E192" s="3153">
        <f>'Estados Financieros'!E192</f>
        <v>30</v>
      </c>
      <c r="F192" s="3153">
        <f>'Estados Financieros'!F192</f>
        <v>30</v>
      </c>
      <c r="G192" s="3153">
        <f>'Estados Financieros'!G192</f>
        <v>30</v>
      </c>
      <c r="H192" s="3153">
        <f>'Estados Financieros'!H192</f>
        <v>30</v>
      </c>
      <c r="I192" s="3152">
        <f>'Estados Financieros'!I192</f>
        <v>30</v>
      </c>
    </row>
    <row r="193" spans="1:9" s="58" customFormat="1" ht="19.5" x14ac:dyDescent="0.2">
      <c r="A193" s="52"/>
      <c r="B193" s="47"/>
      <c r="C193" s="48" t="s">
        <v>685</v>
      </c>
      <c r="D193" s="65"/>
      <c r="E193" s="3151"/>
      <c r="F193" s="3151"/>
      <c r="G193" s="3151"/>
      <c r="H193" s="3151"/>
      <c r="I193" s="3150"/>
    </row>
    <row r="194" spans="1:9" s="58" customFormat="1" ht="19.5" x14ac:dyDescent="0.2">
      <c r="A194" s="52"/>
      <c r="B194" s="53"/>
      <c r="C194" s="42"/>
      <c r="D194" s="54" t="s">
        <v>686</v>
      </c>
      <c r="E194" s="3149">
        <f>'Estados Financieros'!E194</f>
        <v>10</v>
      </c>
      <c r="F194" s="3149">
        <f>'Estados Financieros'!F194</f>
        <v>10</v>
      </c>
      <c r="G194" s="3149">
        <f>'Estados Financieros'!G194</f>
        <v>10</v>
      </c>
      <c r="H194" s="3149">
        <f>'Estados Financieros'!H194</f>
        <v>10</v>
      </c>
      <c r="I194" s="3148">
        <f>'Estados Financieros'!I194</f>
        <v>10</v>
      </c>
    </row>
    <row r="195" spans="1:9" s="58" customFormat="1" ht="19.5" x14ac:dyDescent="0.2">
      <c r="A195" s="52"/>
      <c r="B195" s="53"/>
      <c r="C195" s="42"/>
      <c r="D195" s="59" t="s">
        <v>687</v>
      </c>
      <c r="E195" s="3147">
        <f>'Estados Financieros'!E195</f>
        <v>10</v>
      </c>
      <c r="F195" s="3147">
        <f>'Estados Financieros'!F195</f>
        <v>10</v>
      </c>
      <c r="G195" s="3147">
        <f>'Estados Financieros'!G195</f>
        <v>10</v>
      </c>
      <c r="H195" s="3147">
        <f>'Estados Financieros'!H195</f>
        <v>10</v>
      </c>
      <c r="I195" s="3146">
        <f>'Estados Financieros'!I195</f>
        <v>10</v>
      </c>
    </row>
    <row r="196" spans="1:9" s="58" customFormat="1" ht="19.5" x14ac:dyDescent="0.2">
      <c r="A196" s="52"/>
      <c r="B196" s="53"/>
      <c r="C196" s="42"/>
      <c r="D196" s="89" t="s">
        <v>571</v>
      </c>
      <c r="E196" s="3143">
        <f>'Estados Financieros'!E196</f>
        <v>10</v>
      </c>
      <c r="F196" s="3143">
        <f>'Estados Financieros'!F196</f>
        <v>10</v>
      </c>
      <c r="G196" s="3143">
        <f>'Estados Financieros'!G196</f>
        <v>10</v>
      </c>
      <c r="H196" s="3143">
        <f>'Estados Financieros'!H196</f>
        <v>10</v>
      </c>
      <c r="I196" s="3141">
        <f>'Estados Financieros'!I196</f>
        <v>10</v>
      </c>
    </row>
    <row r="197" spans="1:9" s="58" customFormat="1" ht="19.5" x14ac:dyDescent="0.2">
      <c r="A197" s="52"/>
      <c r="B197" s="53"/>
      <c r="C197" s="60" t="s">
        <v>688</v>
      </c>
      <c r="D197" s="61"/>
      <c r="E197" s="3153">
        <f>'Estados Financieros'!E197</f>
        <v>30</v>
      </c>
      <c r="F197" s="3153">
        <f>'Estados Financieros'!F197</f>
        <v>30</v>
      </c>
      <c r="G197" s="3153">
        <f>'Estados Financieros'!G197</f>
        <v>30</v>
      </c>
      <c r="H197" s="3153">
        <f>'Estados Financieros'!H197</f>
        <v>30</v>
      </c>
      <c r="I197" s="3152">
        <f>'Estados Financieros'!I197</f>
        <v>30</v>
      </c>
    </row>
    <row r="198" spans="1:9" s="58" customFormat="1" ht="19.5" x14ac:dyDescent="0.2">
      <c r="A198" s="52"/>
      <c r="B198" s="47"/>
      <c r="C198" s="48" t="s">
        <v>689</v>
      </c>
      <c r="D198" s="65"/>
      <c r="E198" s="3151"/>
      <c r="F198" s="3151"/>
      <c r="G198" s="3151"/>
      <c r="H198" s="3151"/>
      <c r="I198" s="3150"/>
    </row>
    <row r="199" spans="1:9" s="58" customFormat="1" ht="19.5" x14ac:dyDescent="0.2">
      <c r="A199" s="52"/>
      <c r="B199" s="53"/>
      <c r="C199" s="42"/>
      <c r="D199" s="54" t="s">
        <v>571</v>
      </c>
      <c r="E199" s="3149">
        <f>'Estados Financieros'!E199</f>
        <v>10</v>
      </c>
      <c r="F199" s="3149">
        <f>'Estados Financieros'!F199</f>
        <v>10</v>
      </c>
      <c r="G199" s="3149">
        <f>'Estados Financieros'!G199</f>
        <v>10</v>
      </c>
      <c r="H199" s="3149">
        <f>'Estados Financieros'!H199</f>
        <v>10</v>
      </c>
      <c r="I199" s="3148">
        <f>'Estados Financieros'!I199</f>
        <v>10</v>
      </c>
    </row>
    <row r="200" spans="1:9" s="58" customFormat="1" ht="19.5" x14ac:dyDescent="0.2">
      <c r="A200" s="52"/>
      <c r="B200" s="53"/>
      <c r="C200" s="42"/>
      <c r="D200" s="59" t="s">
        <v>690</v>
      </c>
      <c r="E200" s="3147">
        <f>'Estados Financieros'!E200</f>
        <v>10</v>
      </c>
      <c r="F200" s="3147">
        <f>'Estados Financieros'!F200</f>
        <v>10</v>
      </c>
      <c r="G200" s="3147">
        <f>'Estados Financieros'!G200</f>
        <v>10</v>
      </c>
      <c r="H200" s="3147">
        <f>'Estados Financieros'!H200</f>
        <v>10</v>
      </c>
      <c r="I200" s="3146">
        <f>'Estados Financieros'!I200</f>
        <v>10</v>
      </c>
    </row>
    <row r="201" spans="1:9" s="58" customFormat="1" ht="19.5" x14ac:dyDescent="0.2">
      <c r="A201" s="52"/>
      <c r="B201" s="53"/>
      <c r="C201" s="42"/>
      <c r="D201" s="59" t="s">
        <v>691</v>
      </c>
      <c r="E201" s="3147">
        <f>'Estados Financieros'!E201</f>
        <v>10</v>
      </c>
      <c r="F201" s="3147">
        <f>'Estados Financieros'!F201</f>
        <v>10</v>
      </c>
      <c r="G201" s="3147">
        <f>'Estados Financieros'!G201</f>
        <v>10</v>
      </c>
      <c r="H201" s="3147">
        <f>'Estados Financieros'!H201</f>
        <v>10</v>
      </c>
      <c r="I201" s="3146">
        <f>'Estados Financieros'!I201</f>
        <v>10</v>
      </c>
    </row>
    <row r="202" spans="1:9" s="58" customFormat="1" ht="19.5" x14ac:dyDescent="0.2">
      <c r="A202" s="52"/>
      <c r="B202" s="53"/>
      <c r="C202" s="42"/>
      <c r="D202" s="59" t="s">
        <v>692</v>
      </c>
      <c r="E202" s="3147">
        <f>'Estados Financieros'!E202</f>
        <v>10</v>
      </c>
      <c r="F202" s="3147">
        <f>'Estados Financieros'!F202</f>
        <v>10</v>
      </c>
      <c r="G202" s="3147">
        <f>'Estados Financieros'!G202</f>
        <v>10</v>
      </c>
      <c r="H202" s="3147">
        <f>'Estados Financieros'!H202</f>
        <v>10</v>
      </c>
      <c r="I202" s="3146">
        <f>'Estados Financieros'!I202</f>
        <v>10</v>
      </c>
    </row>
    <row r="203" spans="1:9" s="58" customFormat="1" ht="19.5" x14ac:dyDescent="0.2">
      <c r="A203" s="52"/>
      <c r="B203" s="53"/>
      <c r="C203" s="42"/>
      <c r="D203" s="59" t="s">
        <v>693</v>
      </c>
      <c r="E203" s="3147">
        <f>'Estados Financieros'!E203</f>
        <v>10</v>
      </c>
      <c r="F203" s="3147">
        <f>'Estados Financieros'!F203</f>
        <v>10</v>
      </c>
      <c r="G203" s="3147">
        <f>'Estados Financieros'!G203</f>
        <v>10</v>
      </c>
      <c r="H203" s="3147">
        <f>'Estados Financieros'!H203</f>
        <v>10</v>
      </c>
      <c r="I203" s="3146">
        <f>'Estados Financieros'!I203</f>
        <v>10</v>
      </c>
    </row>
    <row r="204" spans="1:9" s="58" customFormat="1" ht="19.5" x14ac:dyDescent="0.2">
      <c r="A204" s="52"/>
      <c r="B204" s="53"/>
      <c r="C204" s="42"/>
      <c r="D204" s="59" t="s">
        <v>694</v>
      </c>
      <c r="E204" s="3147">
        <f>'Estados Financieros'!E204</f>
        <v>10</v>
      </c>
      <c r="F204" s="3147">
        <f>'Estados Financieros'!F204</f>
        <v>10</v>
      </c>
      <c r="G204" s="3147">
        <f>'Estados Financieros'!G204</f>
        <v>10</v>
      </c>
      <c r="H204" s="3147">
        <f>'Estados Financieros'!H204</f>
        <v>10</v>
      </c>
      <c r="I204" s="3146">
        <f>'Estados Financieros'!I204</f>
        <v>10</v>
      </c>
    </row>
    <row r="205" spans="1:9" s="58" customFormat="1" ht="19.5" x14ac:dyDescent="0.2">
      <c r="A205" s="52"/>
      <c r="B205" s="53"/>
      <c r="C205" s="42"/>
      <c r="D205" s="59" t="s">
        <v>695</v>
      </c>
      <c r="E205" s="3147">
        <f>'Estados Financieros'!E205</f>
        <v>10</v>
      </c>
      <c r="F205" s="3147">
        <f>'Estados Financieros'!F205</f>
        <v>10</v>
      </c>
      <c r="G205" s="3147">
        <f>'Estados Financieros'!G205</f>
        <v>10</v>
      </c>
      <c r="H205" s="3147">
        <f>'Estados Financieros'!H205</f>
        <v>10</v>
      </c>
      <c r="I205" s="3146">
        <f>'Estados Financieros'!I205</f>
        <v>10</v>
      </c>
    </row>
    <row r="206" spans="1:9" s="58" customFormat="1" ht="19.5" x14ac:dyDescent="0.2">
      <c r="A206" s="52"/>
      <c r="B206" s="53"/>
      <c r="C206" s="42"/>
      <c r="D206" s="59" t="s">
        <v>696</v>
      </c>
      <c r="E206" s="3147">
        <f>'Estados Financieros'!E206</f>
        <v>10</v>
      </c>
      <c r="F206" s="3147">
        <f>'Estados Financieros'!F206</f>
        <v>10</v>
      </c>
      <c r="G206" s="3147">
        <f>'Estados Financieros'!G206</f>
        <v>10</v>
      </c>
      <c r="H206" s="3147">
        <f>'Estados Financieros'!H206</f>
        <v>10</v>
      </c>
      <c r="I206" s="3146">
        <f>'Estados Financieros'!I206</f>
        <v>10</v>
      </c>
    </row>
    <row r="207" spans="1:9" s="58" customFormat="1" ht="19.5" x14ac:dyDescent="0.2">
      <c r="A207" s="52"/>
      <c r="B207" s="53"/>
      <c r="C207" s="42"/>
      <c r="D207" s="59" t="s">
        <v>697</v>
      </c>
      <c r="E207" s="3147">
        <f>'Estados Financieros'!E207</f>
        <v>10</v>
      </c>
      <c r="F207" s="3147">
        <f>'Estados Financieros'!F207</f>
        <v>10</v>
      </c>
      <c r="G207" s="3147">
        <f>'Estados Financieros'!G207</f>
        <v>10</v>
      </c>
      <c r="H207" s="3147">
        <f>'Estados Financieros'!H207</f>
        <v>10</v>
      </c>
      <c r="I207" s="3146">
        <f>'Estados Financieros'!I207</f>
        <v>10</v>
      </c>
    </row>
    <row r="208" spans="1:9" s="58" customFormat="1" ht="19.5" x14ac:dyDescent="0.2">
      <c r="A208" s="52"/>
      <c r="B208" s="53"/>
      <c r="C208" s="42"/>
      <c r="D208" s="59" t="s">
        <v>698</v>
      </c>
      <c r="E208" s="3147">
        <f>'Estados Financieros'!E208</f>
        <v>10</v>
      </c>
      <c r="F208" s="3147">
        <f>'Estados Financieros'!F208</f>
        <v>10</v>
      </c>
      <c r="G208" s="3147">
        <f>'Estados Financieros'!G208</f>
        <v>10</v>
      </c>
      <c r="H208" s="3147">
        <f>'Estados Financieros'!H208</f>
        <v>10</v>
      </c>
      <c r="I208" s="3146">
        <f>'Estados Financieros'!I208</f>
        <v>10</v>
      </c>
    </row>
    <row r="209" spans="1:9" s="58" customFormat="1" ht="19.5" x14ac:dyDescent="0.2">
      <c r="A209" s="52"/>
      <c r="B209" s="53"/>
      <c r="C209" s="42"/>
      <c r="D209" s="59" t="s">
        <v>699</v>
      </c>
      <c r="E209" s="3147">
        <f>'Estados Financieros'!E209</f>
        <v>10</v>
      </c>
      <c r="F209" s="3147">
        <f>'Estados Financieros'!F209</f>
        <v>10</v>
      </c>
      <c r="G209" s="3147">
        <f>'Estados Financieros'!G209</f>
        <v>10</v>
      </c>
      <c r="H209" s="3147">
        <f>'Estados Financieros'!H209</f>
        <v>10</v>
      </c>
      <c r="I209" s="3146">
        <f>'Estados Financieros'!I209</f>
        <v>10</v>
      </c>
    </row>
    <row r="210" spans="1:9" s="58" customFormat="1" ht="19.5" x14ac:dyDescent="0.2">
      <c r="A210" s="52"/>
      <c r="B210" s="53"/>
      <c r="C210" s="42"/>
      <c r="D210" s="59" t="s">
        <v>700</v>
      </c>
      <c r="E210" s="3147">
        <f>'Estados Financieros'!E210</f>
        <v>10</v>
      </c>
      <c r="F210" s="3147">
        <f>'Estados Financieros'!F210</f>
        <v>10</v>
      </c>
      <c r="G210" s="3147">
        <f>'Estados Financieros'!G210</f>
        <v>10</v>
      </c>
      <c r="H210" s="3147">
        <f>'Estados Financieros'!H210</f>
        <v>10</v>
      </c>
      <c r="I210" s="3146">
        <f>'Estados Financieros'!I210</f>
        <v>10</v>
      </c>
    </row>
    <row r="211" spans="1:9" s="58" customFormat="1" ht="19.5" x14ac:dyDescent="0.2">
      <c r="A211" s="52"/>
      <c r="B211" s="53"/>
      <c r="C211" s="42"/>
      <c r="D211" s="59" t="s">
        <v>701</v>
      </c>
      <c r="E211" s="3147">
        <f>'Estados Financieros'!E211</f>
        <v>10</v>
      </c>
      <c r="F211" s="3147">
        <f>'Estados Financieros'!F211</f>
        <v>10</v>
      </c>
      <c r="G211" s="3147">
        <f>'Estados Financieros'!G211</f>
        <v>10</v>
      </c>
      <c r="H211" s="3147">
        <f>'Estados Financieros'!H211</f>
        <v>10</v>
      </c>
      <c r="I211" s="3146">
        <f>'Estados Financieros'!I211</f>
        <v>10</v>
      </c>
    </row>
    <row r="212" spans="1:9" s="58" customFormat="1" ht="19.5" x14ac:dyDescent="0.2">
      <c r="A212" s="52"/>
      <c r="B212" s="53"/>
      <c r="C212" s="42"/>
      <c r="D212" s="59" t="s">
        <v>702</v>
      </c>
      <c r="E212" s="3147">
        <f>'Estados Financieros'!E212</f>
        <v>10</v>
      </c>
      <c r="F212" s="3147">
        <f>'Estados Financieros'!F212</f>
        <v>10</v>
      </c>
      <c r="G212" s="3147">
        <f>'Estados Financieros'!G212</f>
        <v>10</v>
      </c>
      <c r="H212" s="3147">
        <f>'Estados Financieros'!H212</f>
        <v>10</v>
      </c>
      <c r="I212" s="3146">
        <f>'Estados Financieros'!I212</f>
        <v>10</v>
      </c>
    </row>
    <row r="213" spans="1:9" s="58" customFormat="1" ht="18.95" customHeight="1" x14ac:dyDescent="0.2">
      <c r="A213" s="52"/>
      <c r="B213" s="53"/>
      <c r="C213" s="42"/>
      <c r="D213" s="59"/>
      <c r="E213" s="3147"/>
      <c r="F213" s="3147"/>
      <c r="G213" s="3168"/>
      <c r="H213" s="3168"/>
      <c r="I213" s="3166"/>
    </row>
    <row r="214" spans="1:9" s="58" customFormat="1" ht="19.5" x14ac:dyDescent="0.2">
      <c r="A214" s="52"/>
      <c r="B214" s="53"/>
      <c r="C214" s="60" t="s">
        <v>703</v>
      </c>
      <c r="D214" s="61"/>
      <c r="E214" s="3153">
        <f>'Estados Financieros'!E214</f>
        <v>140</v>
      </c>
      <c r="F214" s="3153">
        <f>'Estados Financieros'!F214</f>
        <v>140</v>
      </c>
      <c r="G214" s="3153">
        <f>'Estados Financieros'!G214</f>
        <v>140</v>
      </c>
      <c r="H214" s="3153">
        <f>'Estados Financieros'!H214</f>
        <v>140</v>
      </c>
      <c r="I214" s="3152">
        <f>'Estados Financieros'!I214</f>
        <v>140</v>
      </c>
    </row>
    <row r="215" spans="1:9" s="58" customFormat="1" ht="19.5" x14ac:dyDescent="0.2">
      <c r="A215" s="52"/>
      <c r="B215" s="47"/>
      <c r="C215" s="48" t="s">
        <v>704</v>
      </c>
      <c r="D215" s="65"/>
      <c r="E215" s="3151"/>
      <c r="F215" s="3151"/>
      <c r="G215" s="3151"/>
      <c r="H215" s="3151"/>
      <c r="I215" s="3150"/>
    </row>
    <row r="216" spans="1:9" s="58" customFormat="1" ht="19.5" x14ac:dyDescent="0.2">
      <c r="A216" s="52"/>
      <c r="B216" s="53"/>
      <c r="C216" s="42"/>
      <c r="D216" s="54" t="s">
        <v>705</v>
      </c>
      <c r="E216" s="3149">
        <f>'Estados Financieros'!E216</f>
        <v>10</v>
      </c>
      <c r="F216" s="3149">
        <f>'Estados Financieros'!F216</f>
        <v>10</v>
      </c>
      <c r="G216" s="3149">
        <f>'Estados Financieros'!G216</f>
        <v>10</v>
      </c>
      <c r="H216" s="3149">
        <f>'Estados Financieros'!H216</f>
        <v>10</v>
      </c>
      <c r="I216" s="3148">
        <f>'Estados Financieros'!I216</f>
        <v>10</v>
      </c>
    </row>
    <row r="217" spans="1:9" s="58" customFormat="1" ht="19.5" x14ac:dyDescent="0.2">
      <c r="A217" s="52"/>
      <c r="B217" s="53"/>
      <c r="C217" s="42"/>
      <c r="D217" s="59" t="s">
        <v>706</v>
      </c>
      <c r="E217" s="3147">
        <f>'Estados Financieros'!E217</f>
        <v>10</v>
      </c>
      <c r="F217" s="3147">
        <f>'Estados Financieros'!F217</f>
        <v>10</v>
      </c>
      <c r="G217" s="3147">
        <f>'Estados Financieros'!G217</f>
        <v>10</v>
      </c>
      <c r="H217" s="3147">
        <f>'Estados Financieros'!H217</f>
        <v>10</v>
      </c>
      <c r="I217" s="3146">
        <f>'Estados Financieros'!I217</f>
        <v>10</v>
      </c>
    </row>
    <row r="218" spans="1:9" s="58" customFormat="1" ht="19.5" x14ac:dyDescent="0.2">
      <c r="A218" s="52"/>
      <c r="B218" s="53"/>
      <c r="C218" s="42"/>
      <c r="D218" s="59" t="s">
        <v>707</v>
      </c>
      <c r="E218" s="3147">
        <f>'Estados Financieros'!E218</f>
        <v>10</v>
      </c>
      <c r="F218" s="3147">
        <f>'Estados Financieros'!F218</f>
        <v>10</v>
      </c>
      <c r="G218" s="3147">
        <f>'Estados Financieros'!G218</f>
        <v>10</v>
      </c>
      <c r="H218" s="3147">
        <f>'Estados Financieros'!H218</f>
        <v>10</v>
      </c>
      <c r="I218" s="3146">
        <f>'Estados Financieros'!I218</f>
        <v>10</v>
      </c>
    </row>
    <row r="219" spans="1:9" s="58" customFormat="1" ht="19.5" x14ac:dyDescent="0.2">
      <c r="A219" s="52"/>
      <c r="B219" s="53"/>
      <c r="C219" s="42"/>
      <c r="D219" s="59" t="s">
        <v>453</v>
      </c>
      <c r="E219" s="3147">
        <f>'Estados Financieros'!E219</f>
        <v>10</v>
      </c>
      <c r="F219" s="3147">
        <f>'Estados Financieros'!F219</f>
        <v>10</v>
      </c>
      <c r="G219" s="3147">
        <f>'Estados Financieros'!G219</f>
        <v>10</v>
      </c>
      <c r="H219" s="3147">
        <f>'Estados Financieros'!H219</f>
        <v>10</v>
      </c>
      <c r="I219" s="3146">
        <f>'Estados Financieros'!I219</f>
        <v>10</v>
      </c>
    </row>
    <row r="220" spans="1:9" s="58" customFormat="1" ht="18.95" customHeight="1" x14ac:dyDescent="0.2">
      <c r="A220" s="52"/>
      <c r="B220" s="53"/>
      <c r="C220" s="42"/>
      <c r="D220" s="59"/>
      <c r="E220" s="3147"/>
      <c r="F220" s="3147"/>
      <c r="G220" s="3168"/>
      <c r="H220" s="3168"/>
      <c r="I220" s="3166"/>
    </row>
    <row r="221" spans="1:9" s="58" customFormat="1" ht="18.95" customHeight="1" x14ac:dyDescent="0.2">
      <c r="A221" s="52"/>
      <c r="B221" s="53"/>
      <c r="C221" s="42"/>
      <c r="D221" s="59"/>
      <c r="E221" s="3147"/>
      <c r="F221" s="3147"/>
      <c r="G221" s="3168"/>
      <c r="H221" s="3168"/>
      <c r="I221" s="3166"/>
    </row>
    <row r="222" spans="1:9" s="58" customFormat="1" ht="18.95" customHeight="1" x14ac:dyDescent="0.2">
      <c r="A222" s="52"/>
      <c r="B222" s="53"/>
      <c r="C222" s="42"/>
      <c r="D222" s="59"/>
      <c r="E222" s="3147"/>
      <c r="F222" s="3147"/>
      <c r="G222" s="3168"/>
      <c r="H222" s="3168"/>
      <c r="I222" s="3166"/>
    </row>
    <row r="223" spans="1:9" s="58" customFormat="1" ht="18.95" customHeight="1" x14ac:dyDescent="0.2">
      <c r="A223" s="52"/>
      <c r="B223" s="53"/>
      <c r="C223" s="42"/>
      <c r="D223" s="59"/>
      <c r="E223" s="3147"/>
      <c r="F223" s="3147"/>
      <c r="G223" s="3168"/>
      <c r="H223" s="3168"/>
      <c r="I223" s="3166"/>
    </row>
    <row r="224" spans="1:9" s="58" customFormat="1" ht="18.95" customHeight="1" x14ac:dyDescent="0.2">
      <c r="A224" s="52"/>
      <c r="B224" s="53"/>
      <c r="C224" s="42"/>
      <c r="D224" s="59"/>
      <c r="E224" s="3147"/>
      <c r="F224" s="3147"/>
      <c r="G224" s="3168"/>
      <c r="H224" s="3168"/>
      <c r="I224" s="3166"/>
    </row>
    <row r="225" spans="1:9" s="58" customFormat="1" ht="18.95" customHeight="1" x14ac:dyDescent="0.2">
      <c r="A225" s="52"/>
      <c r="B225" s="53"/>
      <c r="C225" s="42"/>
      <c r="D225" s="59"/>
      <c r="E225" s="3147"/>
      <c r="F225" s="3147"/>
      <c r="G225" s="3168"/>
      <c r="H225" s="3168"/>
      <c r="I225" s="3166"/>
    </row>
    <row r="226" spans="1:9" s="58" customFormat="1" ht="19.5" x14ac:dyDescent="0.2">
      <c r="A226" s="52"/>
      <c r="B226" s="53"/>
      <c r="C226" s="60" t="s">
        <v>708</v>
      </c>
      <c r="D226" s="61"/>
      <c r="E226" s="3153">
        <f>'Estados Financieros'!E226</f>
        <v>40</v>
      </c>
      <c r="F226" s="3153">
        <f>'Estados Financieros'!F226</f>
        <v>40</v>
      </c>
      <c r="G226" s="3153">
        <f>'Estados Financieros'!G226</f>
        <v>40</v>
      </c>
      <c r="H226" s="3153">
        <f>'Estados Financieros'!H226</f>
        <v>40</v>
      </c>
      <c r="I226" s="3152">
        <f>'Estados Financieros'!I226</f>
        <v>40</v>
      </c>
    </row>
    <row r="227" spans="1:9" s="58" customFormat="1" ht="19.5" x14ac:dyDescent="0.2">
      <c r="A227" s="52"/>
      <c r="B227" s="47"/>
      <c r="C227" s="48" t="s">
        <v>709</v>
      </c>
      <c r="D227" s="65"/>
      <c r="E227" s="3151"/>
      <c r="F227" s="3151"/>
      <c r="G227" s="3151"/>
      <c r="H227" s="3151"/>
      <c r="I227" s="3150"/>
    </row>
    <row r="228" spans="1:9" s="58" customFormat="1" ht="19.5" x14ac:dyDescent="0.2">
      <c r="A228" s="52"/>
      <c r="B228" s="53"/>
      <c r="C228" s="42"/>
      <c r="D228" s="54" t="s">
        <v>710</v>
      </c>
      <c r="E228" s="3149">
        <f>'Estados Financieros'!E228</f>
        <v>10</v>
      </c>
      <c r="F228" s="3149">
        <f>'Estados Financieros'!F228</f>
        <v>10</v>
      </c>
      <c r="G228" s="3149">
        <f>'Estados Financieros'!G228</f>
        <v>10</v>
      </c>
      <c r="H228" s="3149">
        <f>'Estados Financieros'!H228</f>
        <v>10</v>
      </c>
      <c r="I228" s="3148">
        <f>'Estados Financieros'!I228</f>
        <v>10</v>
      </c>
    </row>
    <row r="229" spans="1:9" s="58" customFormat="1" ht="19.5" x14ac:dyDescent="0.2">
      <c r="A229" s="52"/>
      <c r="B229" s="53"/>
      <c r="C229" s="42"/>
      <c r="D229" s="59" t="s">
        <v>711</v>
      </c>
      <c r="E229" s="3147">
        <f>'Estados Financieros'!E229</f>
        <v>10</v>
      </c>
      <c r="F229" s="3147">
        <f>'Estados Financieros'!F229</f>
        <v>10</v>
      </c>
      <c r="G229" s="3147">
        <f>'Estados Financieros'!G229</f>
        <v>10</v>
      </c>
      <c r="H229" s="3147">
        <f>'Estados Financieros'!H229</f>
        <v>10</v>
      </c>
      <c r="I229" s="3146">
        <f>'Estados Financieros'!I229</f>
        <v>10</v>
      </c>
    </row>
    <row r="230" spans="1:9" s="58" customFormat="1" ht="19.5" x14ac:dyDescent="0.2">
      <c r="A230" s="52"/>
      <c r="B230" s="53"/>
      <c r="C230" s="42"/>
      <c r="D230" s="59" t="s">
        <v>712</v>
      </c>
      <c r="E230" s="3147">
        <f>'Estados Financieros'!E230</f>
        <v>10</v>
      </c>
      <c r="F230" s="3147">
        <f>'Estados Financieros'!F230</f>
        <v>10</v>
      </c>
      <c r="G230" s="3147">
        <f>'Estados Financieros'!G230</f>
        <v>10</v>
      </c>
      <c r="H230" s="3147">
        <f>'Estados Financieros'!H230</f>
        <v>10</v>
      </c>
      <c r="I230" s="3146">
        <f>'Estados Financieros'!I230</f>
        <v>10</v>
      </c>
    </row>
    <row r="231" spans="1:9" s="58" customFormat="1" ht="19.5" x14ac:dyDescent="0.2">
      <c r="A231" s="52"/>
      <c r="B231" s="53"/>
      <c r="C231" s="42"/>
      <c r="D231" s="59" t="s">
        <v>713</v>
      </c>
      <c r="E231" s="3147">
        <f>'Estados Financieros'!E231</f>
        <v>10</v>
      </c>
      <c r="F231" s="3147">
        <f>'Estados Financieros'!F231</f>
        <v>10</v>
      </c>
      <c r="G231" s="3147">
        <f>'Estados Financieros'!G231</f>
        <v>10</v>
      </c>
      <c r="H231" s="3147">
        <f>'Estados Financieros'!H231</f>
        <v>10</v>
      </c>
      <c r="I231" s="3146">
        <f>'Estados Financieros'!I231</f>
        <v>10</v>
      </c>
    </row>
    <row r="232" spans="1:9" s="58" customFormat="1" ht="19.5" x14ac:dyDescent="0.2">
      <c r="A232" s="52"/>
      <c r="B232" s="53"/>
      <c r="C232" s="42"/>
      <c r="D232" s="59" t="s">
        <v>714</v>
      </c>
      <c r="E232" s="3147">
        <f>'Estados Financieros'!E232</f>
        <v>10</v>
      </c>
      <c r="F232" s="3147">
        <f>'Estados Financieros'!F232</f>
        <v>10</v>
      </c>
      <c r="G232" s="3147">
        <f>'Estados Financieros'!G232</f>
        <v>10</v>
      </c>
      <c r="H232" s="3147">
        <f>'Estados Financieros'!H232</f>
        <v>10</v>
      </c>
      <c r="I232" s="3146">
        <f>'Estados Financieros'!I232</f>
        <v>10</v>
      </c>
    </row>
    <row r="233" spans="1:9" s="58" customFormat="1" ht="19.5" x14ac:dyDescent="0.2">
      <c r="A233" s="52"/>
      <c r="B233" s="53"/>
      <c r="C233" s="42"/>
      <c r="D233" s="59" t="s">
        <v>715</v>
      </c>
      <c r="E233" s="3147">
        <f>'Estados Financieros'!E233</f>
        <v>10</v>
      </c>
      <c r="F233" s="3147">
        <f>'Estados Financieros'!F233</f>
        <v>10</v>
      </c>
      <c r="G233" s="3147">
        <f>'Estados Financieros'!G233</f>
        <v>10</v>
      </c>
      <c r="H233" s="3147">
        <f>'Estados Financieros'!H233</f>
        <v>10</v>
      </c>
      <c r="I233" s="3146">
        <f>'Estados Financieros'!I233</f>
        <v>10</v>
      </c>
    </row>
    <row r="234" spans="1:9" s="58" customFormat="1" ht="19.5" x14ac:dyDescent="0.2">
      <c r="A234" s="52"/>
      <c r="B234" s="53"/>
      <c r="C234" s="60" t="s">
        <v>716</v>
      </c>
      <c r="D234" s="61"/>
      <c r="E234" s="3153">
        <f>'Estados Financieros'!E234</f>
        <v>60</v>
      </c>
      <c r="F234" s="3153">
        <f>'Estados Financieros'!F234</f>
        <v>60</v>
      </c>
      <c r="G234" s="3153">
        <f>'Estados Financieros'!G234</f>
        <v>60</v>
      </c>
      <c r="H234" s="3153">
        <f>'Estados Financieros'!H234</f>
        <v>60</v>
      </c>
      <c r="I234" s="3152">
        <f>'Estados Financieros'!I234</f>
        <v>60</v>
      </c>
    </row>
    <row r="235" spans="1:9" s="58" customFormat="1" ht="19.5" x14ac:dyDescent="0.2">
      <c r="A235" s="52"/>
      <c r="B235" s="47"/>
      <c r="C235" s="48" t="s">
        <v>717</v>
      </c>
      <c r="D235" s="65"/>
      <c r="E235" s="3151"/>
      <c r="F235" s="3151"/>
      <c r="G235" s="3151"/>
      <c r="H235" s="3151"/>
      <c r="I235" s="3150"/>
    </row>
    <row r="236" spans="1:9" s="58" customFormat="1" ht="19.5" x14ac:dyDescent="0.2">
      <c r="A236" s="52"/>
      <c r="B236" s="53"/>
      <c r="C236" s="42"/>
      <c r="D236" s="54" t="s">
        <v>718</v>
      </c>
      <c r="E236" s="3149">
        <f>'Estados Financieros'!E236</f>
        <v>10</v>
      </c>
      <c r="F236" s="3149">
        <f>'Estados Financieros'!F236</f>
        <v>10</v>
      </c>
      <c r="G236" s="3149">
        <f>'Estados Financieros'!G236</f>
        <v>10</v>
      </c>
      <c r="H236" s="3149">
        <f>'Estados Financieros'!H236</f>
        <v>10</v>
      </c>
      <c r="I236" s="3148">
        <f>'Estados Financieros'!I236</f>
        <v>10</v>
      </c>
    </row>
    <row r="237" spans="1:9" s="58" customFormat="1" ht="19.5" x14ac:dyDescent="0.2">
      <c r="A237" s="52"/>
      <c r="B237" s="53"/>
      <c r="C237" s="42"/>
      <c r="D237" s="59" t="s">
        <v>719</v>
      </c>
      <c r="E237" s="3147">
        <f>'Estados Financieros'!E237</f>
        <v>10</v>
      </c>
      <c r="F237" s="3147">
        <f>'Estados Financieros'!F237</f>
        <v>10</v>
      </c>
      <c r="G237" s="3147">
        <f>'Estados Financieros'!G237</f>
        <v>10</v>
      </c>
      <c r="H237" s="3147">
        <f>'Estados Financieros'!H237</f>
        <v>10</v>
      </c>
      <c r="I237" s="3146">
        <f>'Estados Financieros'!I237</f>
        <v>10</v>
      </c>
    </row>
    <row r="238" spans="1:9" s="58" customFormat="1" ht="19.5" x14ac:dyDescent="0.2">
      <c r="A238" s="52"/>
      <c r="B238" s="53"/>
      <c r="C238" s="42"/>
      <c r="D238" s="59" t="s">
        <v>720</v>
      </c>
      <c r="E238" s="3147">
        <f>'Estados Financieros'!E238</f>
        <v>10</v>
      </c>
      <c r="F238" s="3147">
        <f>'Estados Financieros'!F238</f>
        <v>10</v>
      </c>
      <c r="G238" s="3147">
        <f>'Estados Financieros'!G238</f>
        <v>10</v>
      </c>
      <c r="H238" s="3147">
        <f>'Estados Financieros'!H238</f>
        <v>10</v>
      </c>
      <c r="I238" s="3146">
        <f>'Estados Financieros'!I238</f>
        <v>10</v>
      </c>
    </row>
    <row r="239" spans="1:9" s="58" customFormat="1" ht="19.5" x14ac:dyDescent="0.2">
      <c r="A239" s="52"/>
      <c r="B239" s="53"/>
      <c r="C239" s="42"/>
      <c r="D239" s="59" t="s">
        <v>721</v>
      </c>
      <c r="E239" s="3147">
        <f>'Estados Financieros'!E239</f>
        <v>10</v>
      </c>
      <c r="F239" s="3147">
        <f>'Estados Financieros'!F239</f>
        <v>10</v>
      </c>
      <c r="G239" s="3147">
        <f>'Estados Financieros'!G239</f>
        <v>10</v>
      </c>
      <c r="H239" s="3147">
        <f>'Estados Financieros'!H239</f>
        <v>10</v>
      </c>
      <c r="I239" s="3146">
        <f>'Estados Financieros'!I239</f>
        <v>10</v>
      </c>
    </row>
    <row r="240" spans="1:9" s="58" customFormat="1" ht="19.5" x14ac:dyDescent="0.2">
      <c r="A240" s="52"/>
      <c r="B240" s="53"/>
      <c r="C240" s="42"/>
      <c r="D240" s="59" t="s">
        <v>722</v>
      </c>
      <c r="E240" s="3147">
        <f>'Estados Financieros'!E240</f>
        <v>10</v>
      </c>
      <c r="F240" s="3147">
        <f>'Estados Financieros'!F240</f>
        <v>10</v>
      </c>
      <c r="G240" s="3147">
        <f>'Estados Financieros'!G240</f>
        <v>10</v>
      </c>
      <c r="H240" s="3147">
        <f>'Estados Financieros'!H240</f>
        <v>10</v>
      </c>
      <c r="I240" s="3146">
        <f>'Estados Financieros'!I240</f>
        <v>10</v>
      </c>
    </row>
    <row r="241" spans="1:9" s="58" customFormat="1" ht="19.5" x14ac:dyDescent="0.2">
      <c r="A241" s="52"/>
      <c r="B241" s="53"/>
      <c r="C241" s="42"/>
      <c r="D241" s="59" t="s">
        <v>723</v>
      </c>
      <c r="E241" s="3147">
        <f>'Estados Financieros'!E241</f>
        <v>10</v>
      </c>
      <c r="F241" s="3147">
        <f>'Estados Financieros'!F241</f>
        <v>10</v>
      </c>
      <c r="G241" s="3147">
        <f>'Estados Financieros'!G241</f>
        <v>10</v>
      </c>
      <c r="H241" s="3147">
        <f>'Estados Financieros'!H241</f>
        <v>10</v>
      </c>
      <c r="I241" s="3146">
        <f>'Estados Financieros'!I241</f>
        <v>10</v>
      </c>
    </row>
    <row r="242" spans="1:9" s="58" customFormat="1" ht="19.5" x14ac:dyDescent="0.2">
      <c r="A242" s="52"/>
      <c r="B242" s="53"/>
      <c r="C242" s="42"/>
      <c r="D242" s="59" t="s">
        <v>724</v>
      </c>
      <c r="E242" s="3147">
        <f>'Estados Financieros'!E242</f>
        <v>10</v>
      </c>
      <c r="F242" s="3147">
        <f>'Estados Financieros'!F242</f>
        <v>10</v>
      </c>
      <c r="G242" s="3147">
        <f>'Estados Financieros'!G242</f>
        <v>10</v>
      </c>
      <c r="H242" s="3147">
        <f>'Estados Financieros'!H242</f>
        <v>10</v>
      </c>
      <c r="I242" s="3146">
        <f>'Estados Financieros'!I242</f>
        <v>10</v>
      </c>
    </row>
    <row r="243" spans="1:9" s="58" customFormat="1" ht="19.5" x14ac:dyDescent="0.2">
      <c r="A243" s="52"/>
      <c r="B243" s="53"/>
      <c r="C243" s="42"/>
      <c r="D243" s="59" t="s">
        <v>725</v>
      </c>
      <c r="E243" s="3147">
        <f>'Estados Financieros'!E243</f>
        <v>10</v>
      </c>
      <c r="F243" s="3147">
        <f>'Estados Financieros'!F243</f>
        <v>10</v>
      </c>
      <c r="G243" s="3147">
        <f>'Estados Financieros'!G243</f>
        <v>10</v>
      </c>
      <c r="H243" s="3147">
        <f>'Estados Financieros'!H243</f>
        <v>10</v>
      </c>
      <c r="I243" s="3146">
        <f>'Estados Financieros'!I243</f>
        <v>10</v>
      </c>
    </row>
    <row r="244" spans="1:9" s="58" customFormat="1" ht="19.5" x14ac:dyDescent="0.2">
      <c r="A244" s="52"/>
      <c r="B244" s="53"/>
      <c r="C244" s="42"/>
      <c r="D244" s="59" t="s">
        <v>726</v>
      </c>
      <c r="E244" s="3147">
        <f>'Estados Financieros'!E244</f>
        <v>10</v>
      </c>
      <c r="F244" s="3147">
        <f>'Estados Financieros'!F244</f>
        <v>10</v>
      </c>
      <c r="G244" s="3147">
        <f>'Estados Financieros'!G244</f>
        <v>10</v>
      </c>
      <c r="H244" s="3147">
        <f>'Estados Financieros'!H244</f>
        <v>10</v>
      </c>
      <c r="I244" s="3146">
        <f>'Estados Financieros'!I244</f>
        <v>10</v>
      </c>
    </row>
    <row r="245" spans="1:9" s="58" customFormat="1" ht="19.5" x14ac:dyDescent="0.2">
      <c r="A245" s="52"/>
      <c r="B245" s="53"/>
      <c r="C245" s="60" t="s">
        <v>727</v>
      </c>
      <c r="D245" s="61"/>
      <c r="E245" s="3153">
        <f>'Estados Financieros'!E245</f>
        <v>90</v>
      </c>
      <c r="F245" s="3153">
        <f>'Estados Financieros'!F245</f>
        <v>90</v>
      </c>
      <c r="G245" s="3153">
        <f>'Estados Financieros'!G245</f>
        <v>90</v>
      </c>
      <c r="H245" s="3153">
        <f>'Estados Financieros'!H245</f>
        <v>90</v>
      </c>
      <c r="I245" s="3152">
        <f>'Estados Financieros'!I245</f>
        <v>90</v>
      </c>
    </row>
    <row r="246" spans="1:9" s="58" customFormat="1" ht="19.5" x14ac:dyDescent="0.2">
      <c r="A246" s="52"/>
      <c r="B246" s="47"/>
      <c r="C246" s="48" t="s">
        <v>728</v>
      </c>
      <c r="D246" s="65"/>
      <c r="E246" s="3151"/>
      <c r="F246" s="3151"/>
      <c r="G246" s="3151"/>
      <c r="H246" s="3151"/>
      <c r="I246" s="3150"/>
    </row>
    <row r="247" spans="1:9" s="58" customFormat="1" ht="19.5" x14ac:dyDescent="0.2">
      <c r="A247" s="52"/>
      <c r="B247" s="53"/>
      <c r="C247" s="42"/>
      <c r="D247" s="54" t="s">
        <v>729</v>
      </c>
      <c r="E247" s="3149">
        <f>'Estados Financieros'!E247</f>
        <v>10</v>
      </c>
      <c r="F247" s="3149">
        <f>'Estados Financieros'!F247</f>
        <v>10</v>
      </c>
      <c r="G247" s="3149">
        <f>'Estados Financieros'!G247</f>
        <v>10</v>
      </c>
      <c r="H247" s="3149">
        <f>'Estados Financieros'!H247</f>
        <v>10</v>
      </c>
      <c r="I247" s="3148">
        <f>'Estados Financieros'!I247</f>
        <v>10</v>
      </c>
    </row>
    <row r="248" spans="1:9" s="58" customFormat="1" ht="19.5" x14ac:dyDescent="0.2">
      <c r="A248" s="52"/>
      <c r="B248" s="53"/>
      <c r="C248" s="42"/>
      <c r="D248" s="59" t="s">
        <v>730</v>
      </c>
      <c r="E248" s="3147">
        <f>'Estados Financieros'!E248</f>
        <v>10</v>
      </c>
      <c r="F248" s="3147">
        <f>'Estados Financieros'!F248</f>
        <v>10</v>
      </c>
      <c r="G248" s="3147">
        <f>'Estados Financieros'!G248</f>
        <v>10</v>
      </c>
      <c r="H248" s="3147">
        <f>'Estados Financieros'!H248</f>
        <v>10</v>
      </c>
      <c r="I248" s="3146">
        <f>'Estados Financieros'!I248</f>
        <v>10</v>
      </c>
    </row>
    <row r="249" spans="1:9" s="58" customFormat="1" ht="19.5" x14ac:dyDescent="0.2">
      <c r="A249" s="52"/>
      <c r="B249" s="53"/>
      <c r="C249" s="42"/>
      <c r="D249" s="59" t="s">
        <v>731</v>
      </c>
      <c r="E249" s="3147">
        <f>'Estados Financieros'!E249</f>
        <v>10</v>
      </c>
      <c r="F249" s="3147">
        <f>'Estados Financieros'!F249</f>
        <v>10</v>
      </c>
      <c r="G249" s="3147">
        <f>'Estados Financieros'!G249</f>
        <v>10</v>
      </c>
      <c r="H249" s="3147">
        <f>'Estados Financieros'!H249</f>
        <v>10</v>
      </c>
      <c r="I249" s="3146">
        <f>'Estados Financieros'!I249</f>
        <v>10</v>
      </c>
    </row>
    <row r="250" spans="1:9" s="58" customFormat="1" ht="19.5" x14ac:dyDescent="0.2">
      <c r="A250" s="52"/>
      <c r="B250" s="53"/>
      <c r="C250" s="42"/>
      <c r="D250" s="59" t="s">
        <v>453</v>
      </c>
      <c r="E250" s="3147">
        <f>'Estados Financieros'!E250</f>
        <v>10</v>
      </c>
      <c r="F250" s="3147">
        <f>'Estados Financieros'!F250</f>
        <v>10</v>
      </c>
      <c r="G250" s="3147">
        <f>'Estados Financieros'!G250</f>
        <v>10</v>
      </c>
      <c r="H250" s="3147">
        <f>'Estados Financieros'!H250</f>
        <v>10</v>
      </c>
      <c r="I250" s="3146">
        <f>'Estados Financieros'!I250</f>
        <v>10</v>
      </c>
    </row>
    <row r="251" spans="1:9" s="58" customFormat="1" ht="18.95" customHeight="1" x14ac:dyDescent="0.2">
      <c r="A251" s="52"/>
      <c r="B251" s="53"/>
      <c r="C251" s="42"/>
      <c r="D251" s="59"/>
      <c r="E251" s="3147"/>
      <c r="F251" s="3147"/>
      <c r="G251" s="3168"/>
      <c r="H251" s="3168"/>
      <c r="I251" s="3166"/>
    </row>
    <row r="252" spans="1:9" s="58" customFormat="1" ht="18.95" customHeight="1" x14ac:dyDescent="0.2">
      <c r="A252" s="52"/>
      <c r="B252" s="53"/>
      <c r="C252" s="42"/>
      <c r="D252" s="59"/>
      <c r="E252" s="3147"/>
      <c r="F252" s="3147"/>
      <c r="G252" s="3168"/>
      <c r="H252" s="3168"/>
      <c r="I252" s="3166"/>
    </row>
    <row r="253" spans="1:9" s="58" customFormat="1" ht="19.5" x14ac:dyDescent="0.2">
      <c r="A253" s="52"/>
      <c r="B253" s="53"/>
      <c r="C253" s="60" t="s">
        <v>732</v>
      </c>
      <c r="D253" s="61"/>
      <c r="E253" s="3153">
        <f>'Estados Financieros'!E253</f>
        <v>40</v>
      </c>
      <c r="F253" s="3153">
        <f>'Estados Financieros'!F253</f>
        <v>40</v>
      </c>
      <c r="G253" s="3153">
        <f>'Estados Financieros'!G253</f>
        <v>40</v>
      </c>
      <c r="H253" s="3153">
        <f>'Estados Financieros'!H253</f>
        <v>40</v>
      </c>
      <c r="I253" s="3152">
        <f>'Estados Financieros'!I253</f>
        <v>40</v>
      </c>
    </row>
    <row r="254" spans="1:9" s="58" customFormat="1" ht="19.5" x14ac:dyDescent="0.2">
      <c r="A254" s="52"/>
      <c r="B254" s="47"/>
      <c r="C254" s="48" t="s">
        <v>733</v>
      </c>
      <c r="D254" s="65"/>
      <c r="E254" s="3151"/>
      <c r="F254" s="3151"/>
      <c r="G254" s="3151"/>
      <c r="H254" s="3151"/>
      <c r="I254" s="3150"/>
    </row>
    <row r="255" spans="1:9" s="58" customFormat="1" ht="19.5" x14ac:dyDescent="0.2">
      <c r="A255" s="52"/>
      <c r="B255" s="53"/>
      <c r="C255" s="42"/>
      <c r="D255" s="94" t="s">
        <v>734</v>
      </c>
      <c r="E255" s="3149">
        <f>'Estados Financieros'!E255</f>
        <v>10</v>
      </c>
      <c r="F255" s="3149">
        <f>'Estados Financieros'!F255</f>
        <v>10</v>
      </c>
      <c r="G255" s="3149">
        <f>'Estados Financieros'!G255</f>
        <v>10</v>
      </c>
      <c r="H255" s="3149">
        <f>'Estados Financieros'!H255</f>
        <v>10</v>
      </c>
      <c r="I255" s="3148">
        <f>'Estados Financieros'!I255</f>
        <v>10</v>
      </c>
    </row>
    <row r="256" spans="1:9" s="58" customFormat="1" ht="19.5" x14ac:dyDescent="0.2">
      <c r="A256" s="52"/>
      <c r="B256" s="53"/>
      <c r="C256" s="42"/>
      <c r="D256" s="68" t="s">
        <v>735</v>
      </c>
      <c r="E256" s="3147">
        <f>'Estados Financieros'!E256</f>
        <v>10</v>
      </c>
      <c r="F256" s="3147">
        <f>'Estados Financieros'!F256</f>
        <v>10</v>
      </c>
      <c r="G256" s="3147">
        <f>'Estados Financieros'!G256</f>
        <v>10</v>
      </c>
      <c r="H256" s="3147">
        <f>'Estados Financieros'!H256</f>
        <v>10</v>
      </c>
      <c r="I256" s="3146">
        <f>'Estados Financieros'!I256</f>
        <v>10</v>
      </c>
    </row>
    <row r="257" spans="1:9" s="58" customFormat="1" ht="19.5" x14ac:dyDescent="0.2">
      <c r="A257" s="52"/>
      <c r="B257" s="53"/>
      <c r="C257" s="42"/>
      <c r="D257" s="68" t="s">
        <v>736</v>
      </c>
      <c r="E257" s="3147">
        <f>'Estados Financieros'!E257</f>
        <v>10</v>
      </c>
      <c r="F257" s="3147">
        <f>'Estados Financieros'!F257</f>
        <v>10</v>
      </c>
      <c r="G257" s="3147">
        <f>'Estados Financieros'!G257</f>
        <v>10</v>
      </c>
      <c r="H257" s="3147">
        <f>'Estados Financieros'!H257</f>
        <v>10</v>
      </c>
      <c r="I257" s="3146">
        <f>'Estados Financieros'!I257</f>
        <v>10</v>
      </c>
    </row>
    <row r="258" spans="1:9" s="58" customFormat="1" ht="19.5" x14ac:dyDescent="0.2">
      <c r="A258" s="52"/>
      <c r="B258" s="53"/>
      <c r="C258" s="42"/>
      <c r="D258" s="68" t="s">
        <v>737</v>
      </c>
      <c r="E258" s="3147">
        <f>'Estados Financieros'!E258</f>
        <v>10</v>
      </c>
      <c r="F258" s="3147">
        <f>'Estados Financieros'!F258</f>
        <v>10</v>
      </c>
      <c r="G258" s="3147">
        <f>'Estados Financieros'!G258</f>
        <v>10</v>
      </c>
      <c r="H258" s="3147">
        <f>'Estados Financieros'!H258</f>
        <v>10</v>
      </c>
      <c r="I258" s="3146">
        <f>'Estados Financieros'!I258</f>
        <v>10</v>
      </c>
    </row>
    <row r="259" spans="1:9" s="58" customFormat="1" ht="19.5" x14ac:dyDescent="0.2">
      <c r="A259" s="52"/>
      <c r="B259" s="53"/>
      <c r="C259" s="42"/>
      <c r="D259" s="68" t="s">
        <v>453</v>
      </c>
      <c r="E259" s="3147">
        <f>'Estados Financieros'!E259</f>
        <v>10</v>
      </c>
      <c r="F259" s="3147">
        <f>'Estados Financieros'!F259</f>
        <v>10</v>
      </c>
      <c r="G259" s="3147">
        <f>'Estados Financieros'!G259</f>
        <v>10</v>
      </c>
      <c r="H259" s="3147">
        <f>'Estados Financieros'!H259</f>
        <v>10</v>
      </c>
      <c r="I259" s="3146">
        <f>'Estados Financieros'!I259</f>
        <v>10</v>
      </c>
    </row>
    <row r="260" spans="1:9" s="58" customFormat="1" ht="19.5" x14ac:dyDescent="0.2">
      <c r="A260" s="52"/>
      <c r="B260" s="53"/>
      <c r="C260" s="73" t="s">
        <v>738</v>
      </c>
      <c r="D260" s="74"/>
      <c r="E260" s="3155">
        <f>'Estados Financieros'!E260</f>
        <v>50</v>
      </c>
      <c r="F260" s="3155">
        <f>'Estados Financieros'!F260</f>
        <v>50</v>
      </c>
      <c r="G260" s="3155">
        <f>'Estados Financieros'!G260</f>
        <v>50</v>
      </c>
      <c r="H260" s="3155">
        <f>'Estados Financieros'!H260</f>
        <v>50</v>
      </c>
      <c r="I260" s="3154">
        <f>'Estados Financieros'!I260</f>
        <v>50</v>
      </c>
    </row>
    <row r="261" spans="1:9" s="58" customFormat="1" ht="19.5" x14ac:dyDescent="0.2">
      <c r="A261" s="52"/>
      <c r="B261" s="77"/>
      <c r="C261" s="86" t="s">
        <v>739</v>
      </c>
      <c r="D261" s="87"/>
      <c r="E261" s="3140">
        <f>'Estados Financieros'!E261</f>
        <v>480</v>
      </c>
      <c r="F261" s="3140">
        <f>'Estados Financieros'!F261</f>
        <v>480</v>
      </c>
      <c r="G261" s="3140">
        <f>'Estados Financieros'!G261</f>
        <v>480</v>
      </c>
      <c r="H261" s="3140">
        <f>'Estados Financieros'!H261</f>
        <v>480</v>
      </c>
      <c r="I261" s="3139">
        <f>'Estados Financieros'!I261</f>
        <v>480</v>
      </c>
    </row>
    <row r="262" spans="1:9" s="58" customFormat="1" ht="21" x14ac:dyDescent="0.2">
      <c r="A262" s="52"/>
      <c r="B262" s="77"/>
      <c r="C262" s="41" t="s">
        <v>740</v>
      </c>
      <c r="D262" s="93"/>
      <c r="E262" s="3159"/>
      <c r="F262" s="3159"/>
      <c r="G262" s="3159"/>
      <c r="H262" s="3159"/>
      <c r="I262" s="3160"/>
    </row>
    <row r="263" spans="1:9" s="58" customFormat="1" ht="19.5" x14ac:dyDescent="0.2">
      <c r="A263" s="52"/>
      <c r="B263" s="47"/>
      <c r="C263" s="48" t="s">
        <v>741</v>
      </c>
      <c r="D263" s="82"/>
      <c r="E263" s="3157"/>
      <c r="F263" s="3157"/>
      <c r="G263" s="3157"/>
      <c r="H263" s="3157"/>
      <c r="I263" s="3163"/>
    </row>
    <row r="264" spans="1:9" s="58" customFormat="1" ht="19.5" x14ac:dyDescent="0.2">
      <c r="A264" s="52"/>
      <c r="B264" s="53"/>
      <c r="C264" s="42"/>
      <c r="D264" s="54" t="s">
        <v>742</v>
      </c>
      <c r="E264" s="3149">
        <f>'Estados Financieros'!E264</f>
        <v>10</v>
      </c>
      <c r="F264" s="3149">
        <f>'Estados Financieros'!F264</f>
        <v>10</v>
      </c>
      <c r="G264" s="3149">
        <f>'Estados Financieros'!G264</f>
        <v>10</v>
      </c>
      <c r="H264" s="3149">
        <f>'Estados Financieros'!H264</f>
        <v>10</v>
      </c>
      <c r="I264" s="3148">
        <f>'Estados Financieros'!I264</f>
        <v>10</v>
      </c>
    </row>
    <row r="265" spans="1:9" s="58" customFormat="1" ht="19.5" x14ac:dyDescent="0.2">
      <c r="A265" s="52"/>
      <c r="B265" s="53"/>
      <c r="C265" s="42"/>
      <c r="D265" s="59" t="s">
        <v>554</v>
      </c>
      <c r="E265" s="3147">
        <f>'Estados Financieros'!E265</f>
        <v>10</v>
      </c>
      <c r="F265" s="3147">
        <f>'Estados Financieros'!F265</f>
        <v>10</v>
      </c>
      <c r="G265" s="3147">
        <f>'Estados Financieros'!G265</f>
        <v>10</v>
      </c>
      <c r="H265" s="3147">
        <f>'Estados Financieros'!H265</f>
        <v>10</v>
      </c>
      <c r="I265" s="3146">
        <f>'Estados Financieros'!I265</f>
        <v>10</v>
      </c>
    </row>
    <row r="266" spans="1:9" s="58" customFormat="1" ht="19.5" x14ac:dyDescent="0.2">
      <c r="A266" s="52"/>
      <c r="B266" s="53"/>
      <c r="C266" s="60" t="s">
        <v>743</v>
      </c>
      <c r="D266" s="61"/>
      <c r="E266" s="3153">
        <f>'Estados Financieros'!E266</f>
        <v>20</v>
      </c>
      <c r="F266" s="3153">
        <f>'Estados Financieros'!F266</f>
        <v>20</v>
      </c>
      <c r="G266" s="3153">
        <f>'Estados Financieros'!G266</f>
        <v>20</v>
      </c>
      <c r="H266" s="3153">
        <f>'Estados Financieros'!H266</f>
        <v>20</v>
      </c>
      <c r="I266" s="3152">
        <f>'Estados Financieros'!I266</f>
        <v>20</v>
      </c>
    </row>
    <row r="267" spans="1:9" s="58" customFormat="1" ht="19.5" x14ac:dyDescent="0.2">
      <c r="A267" s="52"/>
      <c r="B267" s="47"/>
      <c r="C267" s="48" t="s">
        <v>744</v>
      </c>
      <c r="D267" s="65"/>
      <c r="E267" s="3151"/>
      <c r="F267" s="3151"/>
      <c r="G267" s="3151"/>
      <c r="H267" s="3151"/>
      <c r="I267" s="3150"/>
    </row>
    <row r="268" spans="1:9" s="58" customFormat="1" ht="19.5" x14ac:dyDescent="0.2">
      <c r="A268" s="52"/>
      <c r="B268" s="53"/>
      <c r="C268" s="42"/>
      <c r="D268" s="54" t="s">
        <v>686</v>
      </c>
      <c r="E268" s="3149">
        <f>'Estados Financieros'!E268</f>
        <v>10</v>
      </c>
      <c r="F268" s="3149">
        <f>'Estados Financieros'!F268</f>
        <v>10</v>
      </c>
      <c r="G268" s="3149">
        <f>'Estados Financieros'!G268</f>
        <v>10</v>
      </c>
      <c r="H268" s="3149">
        <f>'Estados Financieros'!H268</f>
        <v>10</v>
      </c>
      <c r="I268" s="3148">
        <f>'Estados Financieros'!I268</f>
        <v>10</v>
      </c>
    </row>
    <row r="269" spans="1:9" s="58" customFormat="1" ht="19.5" x14ac:dyDescent="0.2">
      <c r="A269" s="52"/>
      <c r="B269" s="53"/>
      <c r="C269" s="42"/>
      <c r="D269" s="59" t="s">
        <v>687</v>
      </c>
      <c r="E269" s="3147">
        <f>'Estados Financieros'!E269</f>
        <v>10</v>
      </c>
      <c r="F269" s="3147">
        <f>'Estados Financieros'!F269</f>
        <v>10</v>
      </c>
      <c r="G269" s="3147">
        <f>'Estados Financieros'!G269</f>
        <v>10</v>
      </c>
      <c r="H269" s="3147">
        <f>'Estados Financieros'!H269</f>
        <v>10</v>
      </c>
      <c r="I269" s="3146">
        <f>'Estados Financieros'!I269</f>
        <v>10</v>
      </c>
    </row>
    <row r="270" spans="1:9" s="58" customFormat="1" ht="19.5" x14ac:dyDescent="0.2">
      <c r="A270" s="52"/>
      <c r="B270" s="53"/>
      <c r="C270" s="42"/>
      <c r="D270" s="59" t="s">
        <v>571</v>
      </c>
      <c r="E270" s="3147">
        <f>'Estados Financieros'!E270</f>
        <v>10</v>
      </c>
      <c r="F270" s="3147">
        <f>'Estados Financieros'!F270</f>
        <v>10</v>
      </c>
      <c r="G270" s="3147">
        <f>'Estados Financieros'!G270</f>
        <v>10</v>
      </c>
      <c r="H270" s="3147">
        <f>'Estados Financieros'!H270</f>
        <v>10</v>
      </c>
      <c r="I270" s="3146">
        <f>'Estados Financieros'!I270</f>
        <v>10</v>
      </c>
    </row>
    <row r="271" spans="1:9" s="58" customFormat="1" ht="19.5" x14ac:dyDescent="0.2">
      <c r="A271" s="52"/>
      <c r="B271" s="53"/>
      <c r="C271" s="42"/>
      <c r="D271" s="59" t="s">
        <v>690</v>
      </c>
      <c r="E271" s="3147">
        <f>'Estados Financieros'!E271</f>
        <v>10</v>
      </c>
      <c r="F271" s="3147">
        <f>'Estados Financieros'!F271</f>
        <v>10</v>
      </c>
      <c r="G271" s="3147">
        <f>'Estados Financieros'!G271</f>
        <v>10</v>
      </c>
      <c r="H271" s="3147">
        <f>'Estados Financieros'!H271</f>
        <v>10</v>
      </c>
      <c r="I271" s="3146">
        <f>'Estados Financieros'!I271</f>
        <v>10</v>
      </c>
    </row>
    <row r="272" spans="1:9" s="58" customFormat="1" ht="19.5" x14ac:dyDescent="0.2">
      <c r="A272" s="52"/>
      <c r="B272" s="53"/>
      <c r="C272" s="42"/>
      <c r="D272" s="59" t="s">
        <v>691</v>
      </c>
      <c r="E272" s="3147">
        <f>'Estados Financieros'!E272</f>
        <v>10</v>
      </c>
      <c r="F272" s="3147">
        <f>'Estados Financieros'!F272</f>
        <v>10</v>
      </c>
      <c r="G272" s="3147">
        <f>'Estados Financieros'!G272</f>
        <v>10</v>
      </c>
      <c r="H272" s="3147">
        <f>'Estados Financieros'!H272</f>
        <v>10</v>
      </c>
      <c r="I272" s="3146">
        <f>'Estados Financieros'!I272</f>
        <v>10</v>
      </c>
    </row>
    <row r="273" spans="1:9" s="58" customFormat="1" ht="19.5" x14ac:dyDescent="0.2">
      <c r="A273" s="52"/>
      <c r="B273" s="53"/>
      <c r="C273" s="42"/>
      <c r="D273" s="59" t="s">
        <v>692</v>
      </c>
      <c r="E273" s="3147">
        <f>'Estados Financieros'!E273</f>
        <v>10</v>
      </c>
      <c r="F273" s="3147">
        <f>'Estados Financieros'!F273</f>
        <v>10</v>
      </c>
      <c r="G273" s="3147">
        <f>'Estados Financieros'!G273</f>
        <v>10</v>
      </c>
      <c r="H273" s="3147">
        <f>'Estados Financieros'!H273</f>
        <v>10</v>
      </c>
      <c r="I273" s="3146">
        <f>'Estados Financieros'!I273</f>
        <v>10</v>
      </c>
    </row>
    <row r="274" spans="1:9" s="58" customFormat="1" ht="19.5" x14ac:dyDescent="0.2">
      <c r="A274" s="52"/>
      <c r="B274" s="53"/>
      <c r="C274" s="42"/>
      <c r="D274" s="59" t="s">
        <v>693</v>
      </c>
      <c r="E274" s="3147">
        <f>'Estados Financieros'!E274</f>
        <v>10</v>
      </c>
      <c r="F274" s="3147">
        <f>'Estados Financieros'!F274</f>
        <v>10</v>
      </c>
      <c r="G274" s="3147">
        <f>'Estados Financieros'!G274</f>
        <v>10</v>
      </c>
      <c r="H274" s="3147">
        <f>'Estados Financieros'!H274</f>
        <v>10</v>
      </c>
      <c r="I274" s="3146">
        <f>'Estados Financieros'!I274</f>
        <v>10</v>
      </c>
    </row>
    <row r="275" spans="1:9" s="58" customFormat="1" ht="19.5" x14ac:dyDescent="0.2">
      <c r="A275" s="52"/>
      <c r="B275" s="53"/>
      <c r="C275" s="42"/>
      <c r="D275" s="59" t="s">
        <v>694</v>
      </c>
      <c r="E275" s="3147">
        <f>'Estados Financieros'!E275</f>
        <v>10</v>
      </c>
      <c r="F275" s="3147">
        <f>'Estados Financieros'!F275</f>
        <v>10</v>
      </c>
      <c r="G275" s="3147">
        <f>'Estados Financieros'!G275</f>
        <v>10</v>
      </c>
      <c r="H275" s="3147">
        <f>'Estados Financieros'!H275</f>
        <v>10</v>
      </c>
      <c r="I275" s="3146">
        <f>'Estados Financieros'!I275</f>
        <v>10</v>
      </c>
    </row>
    <row r="276" spans="1:9" s="58" customFormat="1" ht="19.5" x14ac:dyDescent="0.2">
      <c r="A276" s="52"/>
      <c r="B276" s="53"/>
      <c r="C276" s="42"/>
      <c r="D276" s="59" t="s">
        <v>695</v>
      </c>
      <c r="E276" s="3147">
        <f>'Estados Financieros'!E276</f>
        <v>10</v>
      </c>
      <c r="F276" s="3147">
        <f>'Estados Financieros'!F276</f>
        <v>10</v>
      </c>
      <c r="G276" s="3147">
        <f>'Estados Financieros'!G276</f>
        <v>10</v>
      </c>
      <c r="H276" s="3147">
        <f>'Estados Financieros'!H276</f>
        <v>10</v>
      </c>
      <c r="I276" s="3146">
        <f>'Estados Financieros'!I276</f>
        <v>10</v>
      </c>
    </row>
    <row r="277" spans="1:9" s="58" customFormat="1" ht="19.5" x14ac:dyDescent="0.2">
      <c r="A277" s="52"/>
      <c r="B277" s="53"/>
      <c r="C277" s="42"/>
      <c r="D277" s="59" t="s">
        <v>696</v>
      </c>
      <c r="E277" s="3147">
        <f>'Estados Financieros'!E277</f>
        <v>10</v>
      </c>
      <c r="F277" s="3147">
        <f>'Estados Financieros'!F277</f>
        <v>10</v>
      </c>
      <c r="G277" s="3147">
        <f>'Estados Financieros'!G277</f>
        <v>10</v>
      </c>
      <c r="H277" s="3147">
        <f>'Estados Financieros'!H277</f>
        <v>10</v>
      </c>
      <c r="I277" s="3146">
        <f>'Estados Financieros'!I277</f>
        <v>10</v>
      </c>
    </row>
    <row r="278" spans="1:9" s="58" customFormat="1" ht="19.5" x14ac:dyDescent="0.2">
      <c r="A278" s="52"/>
      <c r="B278" s="53"/>
      <c r="C278" s="42"/>
      <c r="D278" s="59" t="s">
        <v>697</v>
      </c>
      <c r="E278" s="3147">
        <f>'Estados Financieros'!E278</f>
        <v>10</v>
      </c>
      <c r="F278" s="3147">
        <f>'Estados Financieros'!F278</f>
        <v>10</v>
      </c>
      <c r="G278" s="3147">
        <f>'Estados Financieros'!G278</f>
        <v>10</v>
      </c>
      <c r="H278" s="3147">
        <f>'Estados Financieros'!H278</f>
        <v>10</v>
      </c>
      <c r="I278" s="3146">
        <f>'Estados Financieros'!I278</f>
        <v>10</v>
      </c>
    </row>
    <row r="279" spans="1:9" s="58" customFormat="1" ht="19.5" x14ac:dyDescent="0.2">
      <c r="A279" s="52"/>
      <c r="B279" s="53"/>
      <c r="C279" s="42"/>
      <c r="D279" s="59" t="s">
        <v>698</v>
      </c>
      <c r="E279" s="3147">
        <f>'Estados Financieros'!E279</f>
        <v>10</v>
      </c>
      <c r="F279" s="3147">
        <f>'Estados Financieros'!F279</f>
        <v>10</v>
      </c>
      <c r="G279" s="3147">
        <f>'Estados Financieros'!G279</f>
        <v>10</v>
      </c>
      <c r="H279" s="3147">
        <f>'Estados Financieros'!H279</f>
        <v>10</v>
      </c>
      <c r="I279" s="3146">
        <f>'Estados Financieros'!I279</f>
        <v>10</v>
      </c>
    </row>
    <row r="280" spans="1:9" s="58" customFormat="1" ht="19.5" x14ac:dyDescent="0.2">
      <c r="A280" s="52"/>
      <c r="B280" s="53"/>
      <c r="C280" s="42"/>
      <c r="D280" s="59" t="s">
        <v>745</v>
      </c>
      <c r="E280" s="3147">
        <f>'Estados Financieros'!E280</f>
        <v>10</v>
      </c>
      <c r="F280" s="3147">
        <f>'Estados Financieros'!F280</f>
        <v>10</v>
      </c>
      <c r="G280" s="3147">
        <f>'Estados Financieros'!G280</f>
        <v>10</v>
      </c>
      <c r="H280" s="3147">
        <f>'Estados Financieros'!H280</f>
        <v>10</v>
      </c>
      <c r="I280" s="3146">
        <f>'Estados Financieros'!I280</f>
        <v>10</v>
      </c>
    </row>
    <row r="281" spans="1:9" s="58" customFormat="1" ht="19.5" x14ac:dyDescent="0.2">
      <c r="A281" s="52"/>
      <c r="B281" s="53"/>
      <c r="C281" s="42"/>
      <c r="D281" s="59" t="s">
        <v>701</v>
      </c>
      <c r="E281" s="3147">
        <f>'Estados Financieros'!E281</f>
        <v>10</v>
      </c>
      <c r="F281" s="3147">
        <f>'Estados Financieros'!F281</f>
        <v>10</v>
      </c>
      <c r="G281" s="3147">
        <f>'Estados Financieros'!G281</f>
        <v>10</v>
      </c>
      <c r="H281" s="3147">
        <f>'Estados Financieros'!H281</f>
        <v>10</v>
      </c>
      <c r="I281" s="3146">
        <f>'Estados Financieros'!I281</f>
        <v>10</v>
      </c>
    </row>
    <row r="282" spans="1:9" s="58" customFormat="1" ht="19.5" x14ac:dyDescent="0.2">
      <c r="A282" s="52"/>
      <c r="B282" s="53"/>
      <c r="C282" s="42"/>
      <c r="D282" s="59" t="s">
        <v>702</v>
      </c>
      <c r="E282" s="3147">
        <f>'Estados Financieros'!E282</f>
        <v>10</v>
      </c>
      <c r="F282" s="3147">
        <f>'Estados Financieros'!F282</f>
        <v>10</v>
      </c>
      <c r="G282" s="3147">
        <f>'Estados Financieros'!G282</f>
        <v>10</v>
      </c>
      <c r="H282" s="3147">
        <f>'Estados Financieros'!H282</f>
        <v>10</v>
      </c>
      <c r="I282" s="3146">
        <f>'Estados Financieros'!I282</f>
        <v>10</v>
      </c>
    </row>
    <row r="283" spans="1:9" s="58" customFormat="1" ht="19.5" x14ac:dyDescent="0.2">
      <c r="A283" s="52"/>
      <c r="B283" s="53"/>
      <c r="C283" s="60" t="s">
        <v>746</v>
      </c>
      <c r="D283" s="61"/>
      <c r="E283" s="3153">
        <f>'Estados Financieros'!E283</f>
        <v>150</v>
      </c>
      <c r="F283" s="3153">
        <f>'Estados Financieros'!F283</f>
        <v>150</v>
      </c>
      <c r="G283" s="3153">
        <f>'Estados Financieros'!G283</f>
        <v>150</v>
      </c>
      <c r="H283" s="3153">
        <f>'Estados Financieros'!H283</f>
        <v>150</v>
      </c>
      <c r="I283" s="3152">
        <f>'Estados Financieros'!I283</f>
        <v>150</v>
      </c>
    </row>
    <row r="284" spans="1:9" s="58" customFormat="1" ht="19.5" x14ac:dyDescent="0.2">
      <c r="A284" s="52"/>
      <c r="B284" s="47"/>
      <c r="C284" s="48" t="s">
        <v>747</v>
      </c>
      <c r="D284" s="65"/>
      <c r="E284" s="3151"/>
      <c r="F284" s="3151"/>
      <c r="G284" s="3151"/>
      <c r="H284" s="3151"/>
      <c r="I284" s="3150"/>
    </row>
    <row r="285" spans="1:9" s="58" customFormat="1" ht="19.5" x14ac:dyDescent="0.2">
      <c r="A285" s="52"/>
      <c r="B285" s="53"/>
      <c r="C285" s="42"/>
      <c r="D285" s="54" t="s">
        <v>748</v>
      </c>
      <c r="E285" s="3149">
        <f>'Estados Financieros'!E285</f>
        <v>10</v>
      </c>
      <c r="F285" s="3149">
        <f>'Estados Financieros'!F285</f>
        <v>10</v>
      </c>
      <c r="G285" s="3149">
        <f>'Estados Financieros'!G285</f>
        <v>10</v>
      </c>
      <c r="H285" s="3149">
        <f>'Estados Financieros'!H285</f>
        <v>10</v>
      </c>
      <c r="I285" s="3148">
        <f>'Estados Financieros'!I285</f>
        <v>10</v>
      </c>
    </row>
    <row r="286" spans="1:9" s="58" customFormat="1" ht="19.5" x14ac:dyDescent="0.2">
      <c r="A286" s="52"/>
      <c r="B286" s="53"/>
      <c r="C286" s="42"/>
      <c r="D286" s="59" t="s">
        <v>706</v>
      </c>
      <c r="E286" s="3147">
        <f>'Estados Financieros'!E286</f>
        <v>10</v>
      </c>
      <c r="F286" s="3147">
        <f>'Estados Financieros'!F286</f>
        <v>10</v>
      </c>
      <c r="G286" s="3147">
        <f>'Estados Financieros'!G286</f>
        <v>10</v>
      </c>
      <c r="H286" s="3147">
        <f>'Estados Financieros'!H286</f>
        <v>10</v>
      </c>
      <c r="I286" s="3146">
        <f>'Estados Financieros'!I286</f>
        <v>10</v>
      </c>
    </row>
    <row r="287" spans="1:9" s="58" customFormat="1" ht="19.5" x14ac:dyDescent="0.2">
      <c r="A287" s="52"/>
      <c r="B287" s="53"/>
      <c r="C287" s="42"/>
      <c r="D287" s="59" t="s">
        <v>707</v>
      </c>
      <c r="E287" s="3147">
        <f>'Estados Financieros'!E287</f>
        <v>10</v>
      </c>
      <c r="F287" s="3147">
        <f>'Estados Financieros'!F287</f>
        <v>10</v>
      </c>
      <c r="G287" s="3147">
        <f>'Estados Financieros'!G287</f>
        <v>10</v>
      </c>
      <c r="H287" s="3147">
        <f>'Estados Financieros'!H287</f>
        <v>10</v>
      </c>
      <c r="I287" s="3146">
        <f>'Estados Financieros'!I287</f>
        <v>10</v>
      </c>
    </row>
    <row r="288" spans="1:9" s="58" customFormat="1" ht="19.5" x14ac:dyDescent="0.2">
      <c r="A288" s="52"/>
      <c r="B288" s="53"/>
      <c r="C288" s="42"/>
      <c r="D288" s="59" t="s">
        <v>453</v>
      </c>
      <c r="E288" s="3147">
        <f>'Estados Financieros'!E288</f>
        <v>10</v>
      </c>
      <c r="F288" s="3147">
        <f>'Estados Financieros'!F288</f>
        <v>10</v>
      </c>
      <c r="G288" s="3147">
        <f>'Estados Financieros'!G288</f>
        <v>10</v>
      </c>
      <c r="H288" s="3147">
        <f>'Estados Financieros'!H288</f>
        <v>10</v>
      </c>
      <c r="I288" s="3146">
        <f>'Estados Financieros'!I288</f>
        <v>10</v>
      </c>
    </row>
    <row r="289" spans="1:9" s="58" customFormat="1" ht="18.95" customHeight="1" x14ac:dyDescent="0.2">
      <c r="A289" s="52"/>
      <c r="B289" s="53"/>
      <c r="C289" s="42"/>
      <c r="D289" s="59"/>
      <c r="E289" s="3147"/>
      <c r="F289" s="3147"/>
      <c r="G289" s="3168"/>
      <c r="H289" s="3168"/>
      <c r="I289" s="3166"/>
    </row>
    <row r="290" spans="1:9" s="58" customFormat="1" ht="18.95" customHeight="1" x14ac:dyDescent="0.2">
      <c r="A290" s="52"/>
      <c r="B290" s="53"/>
      <c r="C290" s="42"/>
      <c r="D290" s="59"/>
      <c r="E290" s="3147"/>
      <c r="F290" s="3147"/>
      <c r="G290" s="3168"/>
      <c r="H290" s="3168"/>
      <c r="I290" s="3166"/>
    </row>
    <row r="291" spans="1:9" s="58" customFormat="1" ht="18.95" customHeight="1" x14ac:dyDescent="0.2">
      <c r="A291" s="52"/>
      <c r="B291" s="53"/>
      <c r="C291" s="42"/>
      <c r="D291" s="59"/>
      <c r="E291" s="3147"/>
      <c r="F291" s="3147"/>
      <c r="G291" s="3168"/>
      <c r="H291" s="3168"/>
      <c r="I291" s="3166"/>
    </row>
    <row r="292" spans="1:9" s="58" customFormat="1" ht="18.95" customHeight="1" x14ac:dyDescent="0.2">
      <c r="A292" s="52"/>
      <c r="B292" s="53"/>
      <c r="C292" s="42"/>
      <c r="D292" s="59"/>
      <c r="E292" s="3147"/>
      <c r="F292" s="3147"/>
      <c r="G292" s="3168"/>
      <c r="H292" s="3168"/>
      <c r="I292" s="3166"/>
    </row>
    <row r="293" spans="1:9" s="58" customFormat="1" ht="18.95" customHeight="1" x14ac:dyDescent="0.2">
      <c r="A293" s="52"/>
      <c r="B293" s="53"/>
      <c r="C293" s="42"/>
      <c r="D293" s="59"/>
      <c r="E293" s="3147"/>
      <c r="F293" s="3147"/>
      <c r="G293" s="3168"/>
      <c r="H293" s="3168"/>
      <c r="I293" s="3166"/>
    </row>
    <row r="294" spans="1:9" s="58" customFormat="1" ht="18.95" customHeight="1" x14ac:dyDescent="0.2">
      <c r="A294" s="52"/>
      <c r="B294" s="53"/>
      <c r="C294" s="42"/>
      <c r="D294" s="59"/>
      <c r="E294" s="3147"/>
      <c r="F294" s="3147"/>
      <c r="G294" s="3168"/>
      <c r="H294" s="3168"/>
      <c r="I294" s="3166"/>
    </row>
    <row r="295" spans="1:9" s="58" customFormat="1" ht="19.5" x14ac:dyDescent="0.2">
      <c r="A295" s="52"/>
      <c r="B295" s="53"/>
      <c r="C295" s="60" t="s">
        <v>749</v>
      </c>
      <c r="D295" s="61"/>
      <c r="E295" s="3153">
        <f>'Estados Financieros'!E295</f>
        <v>40</v>
      </c>
      <c r="F295" s="3153">
        <f>'Estados Financieros'!F295</f>
        <v>40</v>
      </c>
      <c r="G295" s="3153">
        <f>'Estados Financieros'!G295</f>
        <v>40</v>
      </c>
      <c r="H295" s="3153">
        <f>'Estados Financieros'!H295</f>
        <v>40</v>
      </c>
      <c r="I295" s="3152">
        <f>'Estados Financieros'!I295</f>
        <v>40</v>
      </c>
    </row>
    <row r="296" spans="1:9" s="58" customFormat="1" ht="19.5" x14ac:dyDescent="0.2">
      <c r="A296" s="52"/>
      <c r="B296" s="47"/>
      <c r="C296" s="48" t="s">
        <v>750</v>
      </c>
      <c r="D296" s="65"/>
      <c r="E296" s="3151"/>
      <c r="F296" s="3151"/>
      <c r="G296" s="3151"/>
      <c r="H296" s="3151"/>
      <c r="I296" s="3150"/>
    </row>
    <row r="297" spans="1:9" s="58" customFormat="1" ht="19.5" x14ac:dyDescent="0.2">
      <c r="A297" s="52"/>
      <c r="B297" s="53"/>
      <c r="C297" s="42"/>
      <c r="D297" s="54" t="s">
        <v>710</v>
      </c>
      <c r="E297" s="3149">
        <f>'Estados Financieros'!E297</f>
        <v>10</v>
      </c>
      <c r="F297" s="3149">
        <f>'Estados Financieros'!F297</f>
        <v>10</v>
      </c>
      <c r="G297" s="3149">
        <f>'Estados Financieros'!G297</f>
        <v>10</v>
      </c>
      <c r="H297" s="3149">
        <f>'Estados Financieros'!H297</f>
        <v>10</v>
      </c>
      <c r="I297" s="3148">
        <f>'Estados Financieros'!I297</f>
        <v>10</v>
      </c>
    </row>
    <row r="298" spans="1:9" s="58" customFormat="1" ht="19.5" x14ac:dyDescent="0.2">
      <c r="A298" s="52"/>
      <c r="B298" s="53"/>
      <c r="C298" s="42"/>
      <c r="D298" s="59" t="s">
        <v>711</v>
      </c>
      <c r="E298" s="3147">
        <f>'Estados Financieros'!E298</f>
        <v>10</v>
      </c>
      <c r="F298" s="3147">
        <f>'Estados Financieros'!F298</f>
        <v>10</v>
      </c>
      <c r="G298" s="3147">
        <f>'Estados Financieros'!G298</f>
        <v>10</v>
      </c>
      <c r="H298" s="3147">
        <f>'Estados Financieros'!H298</f>
        <v>10</v>
      </c>
      <c r="I298" s="3146">
        <f>'Estados Financieros'!I298</f>
        <v>10</v>
      </c>
    </row>
    <row r="299" spans="1:9" s="58" customFormat="1" ht="19.5" x14ac:dyDescent="0.2">
      <c r="A299" s="52"/>
      <c r="B299" s="53"/>
      <c r="C299" s="42"/>
      <c r="D299" s="59" t="s">
        <v>712</v>
      </c>
      <c r="E299" s="3147">
        <f>'Estados Financieros'!E299</f>
        <v>10</v>
      </c>
      <c r="F299" s="3147">
        <f>'Estados Financieros'!F299</f>
        <v>10</v>
      </c>
      <c r="G299" s="3147">
        <f>'Estados Financieros'!G299</f>
        <v>10</v>
      </c>
      <c r="H299" s="3147">
        <f>'Estados Financieros'!H299</f>
        <v>10</v>
      </c>
      <c r="I299" s="3146">
        <f>'Estados Financieros'!I299</f>
        <v>10</v>
      </c>
    </row>
    <row r="300" spans="1:9" s="58" customFormat="1" ht="19.5" x14ac:dyDescent="0.2">
      <c r="A300" s="52"/>
      <c r="B300" s="53"/>
      <c r="C300" s="42"/>
      <c r="D300" s="59" t="s">
        <v>713</v>
      </c>
      <c r="E300" s="3147">
        <f>'Estados Financieros'!E300</f>
        <v>10</v>
      </c>
      <c r="F300" s="3147">
        <f>'Estados Financieros'!F300</f>
        <v>10</v>
      </c>
      <c r="G300" s="3147">
        <f>'Estados Financieros'!G300</f>
        <v>10</v>
      </c>
      <c r="H300" s="3147">
        <f>'Estados Financieros'!H300</f>
        <v>10</v>
      </c>
      <c r="I300" s="3146">
        <f>'Estados Financieros'!I300</f>
        <v>10</v>
      </c>
    </row>
    <row r="301" spans="1:9" s="58" customFormat="1" ht="19.5" x14ac:dyDescent="0.2">
      <c r="A301" s="52"/>
      <c r="B301" s="53"/>
      <c r="C301" s="42"/>
      <c r="D301" s="59" t="s">
        <v>714</v>
      </c>
      <c r="E301" s="3147">
        <f>'Estados Financieros'!E301</f>
        <v>10</v>
      </c>
      <c r="F301" s="3147">
        <f>'Estados Financieros'!F301</f>
        <v>10</v>
      </c>
      <c r="G301" s="3147">
        <f>'Estados Financieros'!G301</f>
        <v>10</v>
      </c>
      <c r="H301" s="3147">
        <f>'Estados Financieros'!H301</f>
        <v>10</v>
      </c>
      <c r="I301" s="3146">
        <f>'Estados Financieros'!I301</f>
        <v>10</v>
      </c>
    </row>
    <row r="302" spans="1:9" s="58" customFormat="1" ht="19.5" x14ac:dyDescent="0.2">
      <c r="A302" s="52"/>
      <c r="B302" s="53"/>
      <c r="C302" s="42"/>
      <c r="D302" s="59" t="s">
        <v>715</v>
      </c>
      <c r="E302" s="3147">
        <f>'Estados Financieros'!E302</f>
        <v>10</v>
      </c>
      <c r="F302" s="3147">
        <f>'Estados Financieros'!F302</f>
        <v>10</v>
      </c>
      <c r="G302" s="3147">
        <f>'Estados Financieros'!G302</f>
        <v>10</v>
      </c>
      <c r="H302" s="3147">
        <f>'Estados Financieros'!H302</f>
        <v>10</v>
      </c>
      <c r="I302" s="3146">
        <f>'Estados Financieros'!I302</f>
        <v>10</v>
      </c>
    </row>
    <row r="303" spans="1:9" s="58" customFormat="1" ht="19.5" x14ac:dyDescent="0.2">
      <c r="A303" s="52"/>
      <c r="B303" s="53"/>
      <c r="C303" s="60" t="s">
        <v>751</v>
      </c>
      <c r="D303" s="61"/>
      <c r="E303" s="3153">
        <f>'Estados Financieros'!E303</f>
        <v>60</v>
      </c>
      <c r="F303" s="3153">
        <f>'Estados Financieros'!F303</f>
        <v>60</v>
      </c>
      <c r="G303" s="3153">
        <f>'Estados Financieros'!G303</f>
        <v>60</v>
      </c>
      <c r="H303" s="3153">
        <f>'Estados Financieros'!H303</f>
        <v>60</v>
      </c>
      <c r="I303" s="3152">
        <f>'Estados Financieros'!I303</f>
        <v>60</v>
      </c>
    </row>
    <row r="304" spans="1:9" s="58" customFormat="1" ht="19.5" x14ac:dyDescent="0.2">
      <c r="A304" s="52"/>
      <c r="B304" s="47"/>
      <c r="C304" s="48" t="s">
        <v>752</v>
      </c>
      <c r="D304" s="65"/>
      <c r="E304" s="3151"/>
      <c r="F304" s="3151"/>
      <c r="G304" s="3151"/>
      <c r="H304" s="3151"/>
      <c r="I304" s="3150"/>
    </row>
    <row r="305" spans="1:9" s="58" customFormat="1" ht="19.5" x14ac:dyDescent="0.2">
      <c r="A305" s="52"/>
      <c r="B305" s="53"/>
      <c r="C305" s="42"/>
      <c r="D305" s="54" t="s">
        <v>718</v>
      </c>
      <c r="E305" s="3149">
        <f>'Estados Financieros'!E305</f>
        <v>10</v>
      </c>
      <c r="F305" s="3149">
        <f>'Estados Financieros'!F305</f>
        <v>10</v>
      </c>
      <c r="G305" s="3149">
        <f>'Estados Financieros'!G305</f>
        <v>10</v>
      </c>
      <c r="H305" s="3149">
        <f>'Estados Financieros'!H305</f>
        <v>10</v>
      </c>
      <c r="I305" s="3148">
        <f>'Estados Financieros'!I305</f>
        <v>10</v>
      </c>
    </row>
    <row r="306" spans="1:9" s="58" customFormat="1" ht="19.5" x14ac:dyDescent="0.2">
      <c r="A306" s="52"/>
      <c r="B306" s="53"/>
      <c r="C306" s="42"/>
      <c r="D306" s="59" t="s">
        <v>719</v>
      </c>
      <c r="E306" s="3147">
        <f>'Estados Financieros'!E306</f>
        <v>10</v>
      </c>
      <c r="F306" s="3147">
        <f>'Estados Financieros'!F306</f>
        <v>10</v>
      </c>
      <c r="G306" s="3147">
        <f>'Estados Financieros'!G306</f>
        <v>10</v>
      </c>
      <c r="H306" s="3147">
        <f>'Estados Financieros'!H306</f>
        <v>10</v>
      </c>
      <c r="I306" s="3146">
        <f>'Estados Financieros'!I306</f>
        <v>10</v>
      </c>
    </row>
    <row r="307" spans="1:9" s="58" customFormat="1" ht="19.5" x14ac:dyDescent="0.2">
      <c r="A307" s="52"/>
      <c r="B307" s="53"/>
      <c r="C307" s="42"/>
      <c r="D307" s="59" t="s">
        <v>720</v>
      </c>
      <c r="E307" s="3147">
        <f>'Estados Financieros'!E307</f>
        <v>10</v>
      </c>
      <c r="F307" s="3147">
        <f>'Estados Financieros'!F307</f>
        <v>10</v>
      </c>
      <c r="G307" s="3147">
        <f>'Estados Financieros'!G307</f>
        <v>10</v>
      </c>
      <c r="H307" s="3147">
        <f>'Estados Financieros'!H307</f>
        <v>10</v>
      </c>
      <c r="I307" s="3146">
        <f>'Estados Financieros'!I307</f>
        <v>10</v>
      </c>
    </row>
    <row r="308" spans="1:9" s="58" customFormat="1" ht="19.5" x14ac:dyDescent="0.2">
      <c r="A308" s="52"/>
      <c r="B308" s="53"/>
      <c r="C308" s="42"/>
      <c r="D308" s="59" t="s">
        <v>721</v>
      </c>
      <c r="E308" s="3147">
        <f>'Estados Financieros'!E308</f>
        <v>10</v>
      </c>
      <c r="F308" s="3147">
        <f>'Estados Financieros'!F308</f>
        <v>10</v>
      </c>
      <c r="G308" s="3147">
        <f>'Estados Financieros'!G308</f>
        <v>10</v>
      </c>
      <c r="H308" s="3147">
        <f>'Estados Financieros'!H308</f>
        <v>10</v>
      </c>
      <c r="I308" s="3146">
        <f>'Estados Financieros'!I308</f>
        <v>10</v>
      </c>
    </row>
    <row r="309" spans="1:9" s="58" customFormat="1" ht="19.5" x14ac:dyDescent="0.2">
      <c r="A309" s="52"/>
      <c r="B309" s="53"/>
      <c r="C309" s="42"/>
      <c r="D309" s="59" t="s">
        <v>722</v>
      </c>
      <c r="E309" s="3147">
        <f>'Estados Financieros'!E309</f>
        <v>10</v>
      </c>
      <c r="F309" s="3147">
        <f>'Estados Financieros'!F309</f>
        <v>10</v>
      </c>
      <c r="G309" s="3147">
        <f>'Estados Financieros'!G309</f>
        <v>10</v>
      </c>
      <c r="H309" s="3147">
        <f>'Estados Financieros'!H309</f>
        <v>10</v>
      </c>
      <c r="I309" s="3146">
        <f>'Estados Financieros'!I309</f>
        <v>10</v>
      </c>
    </row>
    <row r="310" spans="1:9" s="58" customFormat="1" ht="19.5" x14ac:dyDescent="0.2">
      <c r="A310" s="52"/>
      <c r="B310" s="53"/>
      <c r="C310" s="42"/>
      <c r="D310" s="59" t="s">
        <v>723</v>
      </c>
      <c r="E310" s="3147">
        <f>'Estados Financieros'!E310</f>
        <v>10</v>
      </c>
      <c r="F310" s="3147">
        <f>'Estados Financieros'!F310</f>
        <v>10</v>
      </c>
      <c r="G310" s="3147">
        <f>'Estados Financieros'!G310</f>
        <v>10</v>
      </c>
      <c r="H310" s="3147">
        <f>'Estados Financieros'!H310</f>
        <v>10</v>
      </c>
      <c r="I310" s="3146">
        <f>'Estados Financieros'!I310</f>
        <v>10</v>
      </c>
    </row>
    <row r="311" spans="1:9" s="58" customFormat="1" ht="19.5" x14ac:dyDescent="0.2">
      <c r="A311" s="52"/>
      <c r="B311" s="53"/>
      <c r="C311" s="42"/>
      <c r="D311" s="59" t="s">
        <v>724</v>
      </c>
      <c r="E311" s="3147">
        <f>'Estados Financieros'!E311</f>
        <v>10</v>
      </c>
      <c r="F311" s="3147">
        <f>'Estados Financieros'!F311</f>
        <v>10</v>
      </c>
      <c r="G311" s="3147">
        <f>'Estados Financieros'!G311</f>
        <v>10</v>
      </c>
      <c r="H311" s="3147">
        <f>'Estados Financieros'!H311</f>
        <v>10</v>
      </c>
      <c r="I311" s="3146">
        <f>'Estados Financieros'!I311</f>
        <v>10</v>
      </c>
    </row>
    <row r="312" spans="1:9" s="58" customFormat="1" ht="19.5" x14ac:dyDescent="0.2">
      <c r="A312" s="52"/>
      <c r="B312" s="53"/>
      <c r="C312" s="42"/>
      <c r="D312" s="59" t="s">
        <v>725</v>
      </c>
      <c r="E312" s="3147">
        <f>'Estados Financieros'!E312</f>
        <v>10</v>
      </c>
      <c r="F312" s="3147">
        <f>'Estados Financieros'!F312</f>
        <v>10</v>
      </c>
      <c r="G312" s="3147">
        <f>'Estados Financieros'!G312</f>
        <v>10</v>
      </c>
      <c r="H312" s="3147">
        <f>'Estados Financieros'!H312</f>
        <v>10</v>
      </c>
      <c r="I312" s="3146">
        <f>'Estados Financieros'!I312</f>
        <v>10</v>
      </c>
    </row>
    <row r="313" spans="1:9" s="58" customFormat="1" ht="19.5" x14ac:dyDescent="0.2">
      <c r="A313" s="52"/>
      <c r="B313" s="53"/>
      <c r="C313" s="42"/>
      <c r="D313" s="59" t="s">
        <v>726</v>
      </c>
      <c r="E313" s="3147">
        <f>'Estados Financieros'!E313</f>
        <v>10</v>
      </c>
      <c r="F313" s="3147">
        <f>'Estados Financieros'!F313</f>
        <v>10</v>
      </c>
      <c r="G313" s="3147">
        <f>'Estados Financieros'!G313</f>
        <v>10</v>
      </c>
      <c r="H313" s="3147">
        <f>'Estados Financieros'!H313</f>
        <v>10</v>
      </c>
      <c r="I313" s="3146">
        <f>'Estados Financieros'!I313</f>
        <v>10</v>
      </c>
    </row>
    <row r="314" spans="1:9" s="58" customFormat="1" ht="19.5" x14ac:dyDescent="0.2">
      <c r="A314" s="52"/>
      <c r="B314" s="53"/>
      <c r="C314" s="60" t="s">
        <v>753</v>
      </c>
      <c r="D314" s="61"/>
      <c r="E314" s="3153">
        <f>'Estados Financieros'!E314</f>
        <v>90</v>
      </c>
      <c r="F314" s="3153">
        <f>'Estados Financieros'!F314</f>
        <v>90</v>
      </c>
      <c r="G314" s="3153">
        <f>'Estados Financieros'!G314</f>
        <v>90</v>
      </c>
      <c r="H314" s="3153">
        <f>'Estados Financieros'!H314</f>
        <v>90</v>
      </c>
      <c r="I314" s="3152">
        <f>'Estados Financieros'!I314</f>
        <v>90</v>
      </c>
    </row>
    <row r="315" spans="1:9" s="58" customFormat="1" ht="19.5" x14ac:dyDescent="0.2">
      <c r="A315" s="52"/>
      <c r="B315" s="47"/>
      <c r="C315" s="48" t="s">
        <v>754</v>
      </c>
      <c r="D315" s="65"/>
      <c r="E315" s="3151"/>
      <c r="F315" s="3151"/>
      <c r="G315" s="3151"/>
      <c r="H315" s="3151"/>
      <c r="I315" s="3150"/>
    </row>
    <row r="316" spans="1:9" s="58" customFormat="1" ht="19.5" x14ac:dyDescent="0.2">
      <c r="A316" s="52"/>
      <c r="B316" s="53"/>
      <c r="C316" s="42"/>
      <c r="D316" s="54" t="s">
        <v>729</v>
      </c>
      <c r="E316" s="3149">
        <f>'Estados Financieros'!E316</f>
        <v>10</v>
      </c>
      <c r="F316" s="3149">
        <f>'Estados Financieros'!F316</f>
        <v>10</v>
      </c>
      <c r="G316" s="3149">
        <f>'Estados Financieros'!G316</f>
        <v>10</v>
      </c>
      <c r="H316" s="3149">
        <f>'Estados Financieros'!H316</f>
        <v>10</v>
      </c>
      <c r="I316" s="3148">
        <f>'Estados Financieros'!I316</f>
        <v>10</v>
      </c>
    </row>
    <row r="317" spans="1:9" s="58" customFormat="1" ht="19.5" x14ac:dyDescent="0.2">
      <c r="A317" s="52"/>
      <c r="B317" s="53"/>
      <c r="C317" s="42"/>
      <c r="D317" s="59" t="s">
        <v>730</v>
      </c>
      <c r="E317" s="3147">
        <f>'Estados Financieros'!E317</f>
        <v>10</v>
      </c>
      <c r="F317" s="3147">
        <f>'Estados Financieros'!F317</f>
        <v>10</v>
      </c>
      <c r="G317" s="3147">
        <f>'Estados Financieros'!G317</f>
        <v>10</v>
      </c>
      <c r="H317" s="3147">
        <f>'Estados Financieros'!H317</f>
        <v>10</v>
      </c>
      <c r="I317" s="3146">
        <f>'Estados Financieros'!I317</f>
        <v>10</v>
      </c>
    </row>
    <row r="318" spans="1:9" s="58" customFormat="1" ht="19.5" x14ac:dyDescent="0.2">
      <c r="A318" s="52"/>
      <c r="B318" s="53"/>
      <c r="C318" s="42"/>
      <c r="D318" s="59" t="s">
        <v>755</v>
      </c>
      <c r="E318" s="3147">
        <f>'Estados Financieros'!E318</f>
        <v>10</v>
      </c>
      <c r="F318" s="3147">
        <f>'Estados Financieros'!F318</f>
        <v>10</v>
      </c>
      <c r="G318" s="3147">
        <f>'Estados Financieros'!G318</f>
        <v>10</v>
      </c>
      <c r="H318" s="3147">
        <f>'Estados Financieros'!H318</f>
        <v>10</v>
      </c>
      <c r="I318" s="3146">
        <f>'Estados Financieros'!I318</f>
        <v>10</v>
      </c>
    </row>
    <row r="319" spans="1:9" s="58" customFormat="1" ht="19.5" x14ac:dyDescent="0.2">
      <c r="A319" s="52"/>
      <c r="B319" s="53"/>
      <c r="C319" s="42"/>
      <c r="D319" s="68" t="s">
        <v>650</v>
      </c>
      <c r="E319" s="3147">
        <f>'Estados Financieros'!E319</f>
        <v>10</v>
      </c>
      <c r="F319" s="3147">
        <f>'Estados Financieros'!F319</f>
        <v>10</v>
      </c>
      <c r="G319" s="3147">
        <f>'Estados Financieros'!G319</f>
        <v>10</v>
      </c>
      <c r="H319" s="3147">
        <f>'Estados Financieros'!H319</f>
        <v>10</v>
      </c>
      <c r="I319" s="3146">
        <f>'Estados Financieros'!I319</f>
        <v>10</v>
      </c>
    </row>
    <row r="320" spans="1:9" s="58" customFormat="1" ht="19.5" x14ac:dyDescent="0.2">
      <c r="A320" s="52"/>
      <c r="B320" s="53"/>
      <c r="C320" s="42"/>
      <c r="D320" s="59" t="s">
        <v>453</v>
      </c>
      <c r="E320" s="3147">
        <f>'Estados Financieros'!E320</f>
        <v>10</v>
      </c>
      <c r="F320" s="3147">
        <f>'Estados Financieros'!F320</f>
        <v>10</v>
      </c>
      <c r="G320" s="3147">
        <f>'Estados Financieros'!G320</f>
        <v>10</v>
      </c>
      <c r="H320" s="3147">
        <f>'Estados Financieros'!H320</f>
        <v>10</v>
      </c>
      <c r="I320" s="3146">
        <f>'Estados Financieros'!I320</f>
        <v>10</v>
      </c>
    </row>
    <row r="321" spans="1:9" s="58" customFormat="1" ht="18.95" customHeight="1" x14ac:dyDescent="0.2">
      <c r="A321" s="52"/>
      <c r="B321" s="53"/>
      <c r="C321" s="42"/>
      <c r="D321" s="59"/>
      <c r="E321" s="3147"/>
      <c r="F321" s="3147"/>
      <c r="G321" s="3168"/>
      <c r="H321" s="3168"/>
      <c r="I321" s="3166"/>
    </row>
    <row r="322" spans="1:9" s="58" customFormat="1" ht="19.5" x14ac:dyDescent="0.2">
      <c r="A322" s="52"/>
      <c r="B322" s="53"/>
      <c r="C322" s="60" t="s">
        <v>756</v>
      </c>
      <c r="D322" s="61"/>
      <c r="E322" s="3153">
        <f>'Estados Financieros'!E322</f>
        <v>50</v>
      </c>
      <c r="F322" s="3153">
        <f>'Estados Financieros'!F322</f>
        <v>50</v>
      </c>
      <c r="G322" s="3153">
        <f>'Estados Financieros'!G322</f>
        <v>50</v>
      </c>
      <c r="H322" s="3153">
        <f>'Estados Financieros'!H322</f>
        <v>50</v>
      </c>
      <c r="I322" s="3152">
        <f>'Estados Financieros'!I322</f>
        <v>50</v>
      </c>
    </row>
    <row r="323" spans="1:9" s="58" customFormat="1" ht="19.5" x14ac:dyDescent="0.2">
      <c r="A323" s="52"/>
      <c r="B323" s="47"/>
      <c r="C323" s="48" t="s">
        <v>757</v>
      </c>
      <c r="D323" s="65"/>
      <c r="E323" s="3151"/>
      <c r="F323" s="3151"/>
      <c r="G323" s="3151"/>
      <c r="H323" s="3151"/>
      <c r="I323" s="3150"/>
    </row>
    <row r="324" spans="1:9" s="58" customFormat="1" ht="18.95" customHeight="1" x14ac:dyDescent="0.2">
      <c r="A324" s="52"/>
      <c r="B324" s="53"/>
      <c r="C324" s="42"/>
      <c r="D324" s="54"/>
      <c r="E324" s="3149"/>
      <c r="F324" s="3149"/>
      <c r="G324" s="3170"/>
      <c r="H324" s="3170"/>
      <c r="I324" s="3169"/>
    </row>
    <row r="325" spans="1:9" s="58" customFormat="1" ht="19.5" x14ac:dyDescent="0.2">
      <c r="A325" s="52"/>
      <c r="B325" s="53"/>
      <c r="C325" s="42"/>
      <c r="D325" s="59" t="s">
        <v>758</v>
      </c>
      <c r="E325" s="3147">
        <f>'Estados Financieros'!E325</f>
        <v>10</v>
      </c>
      <c r="F325" s="3147">
        <f>'Estados Financieros'!F325</f>
        <v>10</v>
      </c>
      <c r="G325" s="3147">
        <f>'Estados Financieros'!G325</f>
        <v>10</v>
      </c>
      <c r="H325" s="3147">
        <f>'Estados Financieros'!H325</f>
        <v>10</v>
      </c>
      <c r="I325" s="3146">
        <f>'Estados Financieros'!I325</f>
        <v>10</v>
      </c>
    </row>
    <row r="326" spans="1:9" s="58" customFormat="1" ht="18.95" customHeight="1" x14ac:dyDescent="0.2">
      <c r="A326" s="52"/>
      <c r="B326" s="53"/>
      <c r="C326" s="42"/>
      <c r="D326" s="59"/>
      <c r="E326" s="3147"/>
      <c r="F326" s="3147"/>
      <c r="G326" s="3147"/>
      <c r="H326" s="3147"/>
      <c r="I326" s="3146"/>
    </row>
    <row r="327" spans="1:9" s="58" customFormat="1" ht="19.5" x14ac:dyDescent="0.2">
      <c r="A327" s="52"/>
      <c r="B327" s="53"/>
      <c r="C327" s="42"/>
      <c r="D327" s="59" t="s">
        <v>759</v>
      </c>
      <c r="E327" s="3147">
        <f>'Estados Financieros'!E327</f>
        <v>10</v>
      </c>
      <c r="F327" s="3147">
        <f>'Estados Financieros'!F327</f>
        <v>10</v>
      </c>
      <c r="G327" s="3147">
        <f>'Estados Financieros'!G327</f>
        <v>10</v>
      </c>
      <c r="H327" s="3147">
        <f>'Estados Financieros'!H327</f>
        <v>10</v>
      </c>
      <c r="I327" s="3146">
        <f>'Estados Financieros'!I327</f>
        <v>10</v>
      </c>
    </row>
    <row r="328" spans="1:9" s="58" customFormat="1" ht="19.5" x14ac:dyDescent="0.2">
      <c r="A328" s="52"/>
      <c r="B328" s="53"/>
      <c r="C328" s="42"/>
      <c r="D328" s="68" t="s">
        <v>760</v>
      </c>
      <c r="E328" s="3147">
        <f>'Estados Financieros'!E328</f>
        <v>10</v>
      </c>
      <c r="F328" s="3147">
        <f>'Estados Financieros'!F328</f>
        <v>10</v>
      </c>
      <c r="G328" s="3147">
        <f>'Estados Financieros'!G328</f>
        <v>10</v>
      </c>
      <c r="H328" s="3147">
        <f>'Estados Financieros'!H328</f>
        <v>10</v>
      </c>
      <c r="I328" s="3146">
        <f>'Estados Financieros'!I328</f>
        <v>10</v>
      </c>
    </row>
    <row r="329" spans="1:9" s="58" customFormat="1" ht="19.5" x14ac:dyDescent="0.2">
      <c r="A329" s="52"/>
      <c r="B329" s="53"/>
      <c r="C329" s="73" t="s">
        <v>761</v>
      </c>
      <c r="D329" s="74"/>
      <c r="E329" s="3155">
        <f>'Estados Financieros'!E329</f>
        <v>40</v>
      </c>
      <c r="F329" s="3155">
        <f>'Estados Financieros'!F329</f>
        <v>40</v>
      </c>
      <c r="G329" s="3155">
        <f>'Estados Financieros'!G329</f>
        <v>40</v>
      </c>
      <c r="H329" s="3155">
        <f>'Estados Financieros'!H329</f>
        <v>40</v>
      </c>
      <c r="I329" s="3154">
        <f>'Estados Financieros'!I329</f>
        <v>40</v>
      </c>
    </row>
    <row r="330" spans="1:9" s="58" customFormat="1" ht="19.5" x14ac:dyDescent="0.2">
      <c r="A330" s="52"/>
      <c r="B330" s="77"/>
      <c r="C330" s="86" t="s">
        <v>762</v>
      </c>
      <c r="D330" s="87"/>
      <c r="E330" s="3140">
        <f>'Estados Financieros'!E330</f>
        <v>450</v>
      </c>
      <c r="F330" s="3140">
        <f>'Estados Financieros'!F330</f>
        <v>450</v>
      </c>
      <c r="G330" s="3140">
        <f>'Estados Financieros'!G330</f>
        <v>450</v>
      </c>
      <c r="H330" s="3140">
        <f>'Estados Financieros'!H330</f>
        <v>450</v>
      </c>
      <c r="I330" s="3139">
        <f>'Estados Financieros'!I330</f>
        <v>450</v>
      </c>
    </row>
    <row r="331" spans="1:9" s="58" customFormat="1" ht="19.5" x14ac:dyDescent="0.2">
      <c r="A331" s="52"/>
      <c r="B331" s="86" t="s">
        <v>763</v>
      </c>
      <c r="C331" s="88"/>
      <c r="D331" s="87"/>
      <c r="E331" s="3140">
        <f>'Estados Financieros'!E331</f>
        <v>930</v>
      </c>
      <c r="F331" s="3140">
        <f>'Estados Financieros'!F331</f>
        <v>930</v>
      </c>
      <c r="G331" s="3140">
        <f>'Estados Financieros'!G331</f>
        <v>930</v>
      </c>
      <c r="H331" s="3140">
        <f>'Estados Financieros'!H331</f>
        <v>930</v>
      </c>
      <c r="I331" s="3139">
        <f>'Estados Financieros'!I331</f>
        <v>930</v>
      </c>
    </row>
    <row r="332" spans="1:9" s="58" customFormat="1" ht="19.5" x14ac:dyDescent="0.2">
      <c r="A332" s="52"/>
      <c r="B332" s="77"/>
      <c r="C332" s="42"/>
      <c r="D332" s="92"/>
      <c r="E332" s="3159"/>
      <c r="F332" s="3159"/>
      <c r="G332" s="3159"/>
      <c r="H332" s="3159"/>
      <c r="I332" s="3160"/>
    </row>
    <row r="333" spans="1:9" s="58" customFormat="1" ht="21" x14ac:dyDescent="0.2">
      <c r="A333" s="52"/>
      <c r="B333" s="41" t="s">
        <v>764</v>
      </c>
      <c r="C333" s="41"/>
      <c r="D333" s="93"/>
      <c r="E333" s="3159"/>
      <c r="F333" s="3159"/>
      <c r="G333" s="3159"/>
      <c r="H333" s="3159"/>
      <c r="I333" s="3160"/>
    </row>
    <row r="334" spans="1:9" s="58" customFormat="1" ht="19.5" x14ac:dyDescent="0.2">
      <c r="A334" s="52"/>
      <c r="B334" s="47"/>
      <c r="C334" s="48" t="s">
        <v>765</v>
      </c>
      <c r="D334" s="82"/>
      <c r="E334" s="3157"/>
      <c r="F334" s="3157"/>
      <c r="G334" s="3157"/>
      <c r="H334" s="3157"/>
      <c r="I334" s="3163"/>
    </row>
    <row r="335" spans="1:9" s="58" customFormat="1" ht="19.5" x14ac:dyDescent="0.2">
      <c r="A335" s="52"/>
      <c r="B335" s="53"/>
      <c r="C335" s="42"/>
      <c r="D335" s="54" t="s">
        <v>766</v>
      </c>
      <c r="E335" s="3149">
        <f>'Estados Financieros'!E335</f>
        <v>10</v>
      </c>
      <c r="F335" s="3149">
        <f>'Estados Financieros'!F335</f>
        <v>10</v>
      </c>
      <c r="G335" s="3149">
        <f>'Estados Financieros'!G335</f>
        <v>10</v>
      </c>
      <c r="H335" s="3149">
        <f>'Estados Financieros'!H335</f>
        <v>10</v>
      </c>
      <c r="I335" s="3148">
        <f>'Estados Financieros'!I335</f>
        <v>10</v>
      </c>
    </row>
    <row r="336" spans="1:9" s="58" customFormat="1" ht="19.5" x14ac:dyDescent="0.2">
      <c r="A336" s="52"/>
      <c r="B336" s="53"/>
      <c r="C336" s="42"/>
      <c r="D336" s="59" t="s">
        <v>767</v>
      </c>
      <c r="E336" s="3147">
        <f>'Estados Financieros'!E336</f>
        <v>10</v>
      </c>
      <c r="F336" s="3147">
        <f>'Estados Financieros'!F336</f>
        <v>10</v>
      </c>
      <c r="G336" s="3147">
        <f>'Estados Financieros'!G336</f>
        <v>10</v>
      </c>
      <c r="H336" s="3147">
        <f>'Estados Financieros'!H336</f>
        <v>10</v>
      </c>
      <c r="I336" s="3146">
        <f>'Estados Financieros'!I336</f>
        <v>10</v>
      </c>
    </row>
    <row r="337" spans="1:9" s="58" customFormat="1" ht="19.5" x14ac:dyDescent="0.2">
      <c r="A337" s="52"/>
      <c r="B337" s="53"/>
      <c r="C337" s="42"/>
      <c r="D337" s="59" t="s">
        <v>768</v>
      </c>
      <c r="E337" s="3147">
        <f>'Estados Financieros'!E337</f>
        <v>10</v>
      </c>
      <c r="F337" s="3147">
        <f>'Estados Financieros'!F337</f>
        <v>10</v>
      </c>
      <c r="G337" s="3147">
        <f>'Estados Financieros'!G337</f>
        <v>10</v>
      </c>
      <c r="H337" s="3147">
        <f>'Estados Financieros'!H337</f>
        <v>10</v>
      </c>
      <c r="I337" s="3146">
        <f>'Estados Financieros'!I337</f>
        <v>10</v>
      </c>
    </row>
    <row r="338" spans="1:9" s="58" customFormat="1" ht="19.5" x14ac:dyDescent="0.2">
      <c r="A338" s="52"/>
      <c r="B338" s="53"/>
      <c r="C338" s="42"/>
      <c r="D338" s="59" t="s">
        <v>769</v>
      </c>
      <c r="E338" s="3147">
        <f>'Estados Financieros'!E338</f>
        <v>10</v>
      </c>
      <c r="F338" s="3147">
        <f>'Estados Financieros'!F338</f>
        <v>10</v>
      </c>
      <c r="G338" s="3147">
        <f>'Estados Financieros'!G338</f>
        <v>10</v>
      </c>
      <c r="H338" s="3147">
        <f>'Estados Financieros'!H338</f>
        <v>10</v>
      </c>
      <c r="I338" s="3146">
        <f>'Estados Financieros'!I338</f>
        <v>10</v>
      </c>
    </row>
    <row r="339" spans="1:9" s="58" customFormat="1" ht="19.5" x14ac:dyDescent="0.2">
      <c r="A339" s="52"/>
      <c r="B339" s="53"/>
      <c r="C339" s="42"/>
      <c r="D339" s="59" t="s">
        <v>770</v>
      </c>
      <c r="E339" s="3147">
        <f>'Estados Financieros'!E339</f>
        <v>10</v>
      </c>
      <c r="F339" s="3147">
        <f>'Estados Financieros'!F339</f>
        <v>10</v>
      </c>
      <c r="G339" s="3147">
        <f>'Estados Financieros'!G339</f>
        <v>10</v>
      </c>
      <c r="H339" s="3147">
        <f>'Estados Financieros'!H339</f>
        <v>10</v>
      </c>
      <c r="I339" s="3146">
        <f>'Estados Financieros'!I339</f>
        <v>10</v>
      </c>
    </row>
    <row r="340" spans="1:9" s="58" customFormat="1" ht="19.5" x14ac:dyDescent="0.2">
      <c r="A340" s="52"/>
      <c r="B340" s="53"/>
      <c r="C340" s="42"/>
      <c r="D340" s="59" t="s">
        <v>771</v>
      </c>
      <c r="E340" s="3147">
        <f>'Estados Financieros'!E340</f>
        <v>10</v>
      </c>
      <c r="F340" s="3147">
        <f>'Estados Financieros'!F340</f>
        <v>10</v>
      </c>
      <c r="G340" s="3147">
        <f>'Estados Financieros'!G340</f>
        <v>10</v>
      </c>
      <c r="H340" s="3147">
        <f>'Estados Financieros'!H340</f>
        <v>10</v>
      </c>
      <c r="I340" s="3146">
        <f>'Estados Financieros'!I340</f>
        <v>10</v>
      </c>
    </row>
    <row r="341" spans="1:9" s="58" customFormat="1" ht="19.5" x14ac:dyDescent="0.2">
      <c r="A341" s="52"/>
      <c r="B341" s="53"/>
      <c r="C341" s="42"/>
      <c r="D341" s="59" t="s">
        <v>772</v>
      </c>
      <c r="E341" s="3147">
        <f>'Estados Financieros'!E341</f>
        <v>10</v>
      </c>
      <c r="F341" s="3147">
        <f>'Estados Financieros'!F341</f>
        <v>10</v>
      </c>
      <c r="G341" s="3147">
        <f>'Estados Financieros'!G341</f>
        <v>10</v>
      </c>
      <c r="H341" s="3147">
        <f>'Estados Financieros'!H341</f>
        <v>10</v>
      </c>
      <c r="I341" s="3146">
        <f>'Estados Financieros'!I341</f>
        <v>10</v>
      </c>
    </row>
    <row r="342" spans="1:9" s="58" customFormat="1" ht="19.5" x14ac:dyDescent="0.2">
      <c r="A342" s="52"/>
      <c r="B342" s="53"/>
      <c r="C342" s="60" t="s">
        <v>773</v>
      </c>
      <c r="D342" s="61"/>
      <c r="E342" s="3153">
        <f>'Estados Financieros'!E342</f>
        <v>70</v>
      </c>
      <c r="F342" s="3153">
        <f>'Estados Financieros'!F342</f>
        <v>70</v>
      </c>
      <c r="G342" s="3153">
        <f>'Estados Financieros'!G342</f>
        <v>70</v>
      </c>
      <c r="H342" s="3153">
        <f>'Estados Financieros'!H342</f>
        <v>70</v>
      </c>
      <c r="I342" s="3152">
        <f>'Estados Financieros'!I342</f>
        <v>70</v>
      </c>
    </row>
    <row r="343" spans="1:9" s="58" customFormat="1" ht="19.5" x14ac:dyDescent="0.2">
      <c r="A343" s="52"/>
      <c r="B343" s="47"/>
      <c r="C343" s="48" t="s">
        <v>774</v>
      </c>
      <c r="D343" s="65"/>
      <c r="E343" s="3151"/>
      <c r="F343" s="3151"/>
      <c r="G343" s="3151"/>
      <c r="H343" s="3151"/>
      <c r="I343" s="3150"/>
    </row>
    <row r="344" spans="1:9" s="58" customFormat="1" ht="19.5" x14ac:dyDescent="0.2">
      <c r="A344" s="52"/>
      <c r="B344" s="53"/>
      <c r="C344" s="42"/>
      <c r="D344" s="54" t="s">
        <v>775</v>
      </c>
      <c r="E344" s="3149">
        <f>'Estados Financieros'!E344</f>
        <v>10</v>
      </c>
      <c r="F344" s="3149">
        <f>'Estados Financieros'!F344</f>
        <v>10</v>
      </c>
      <c r="G344" s="3149">
        <f>'Estados Financieros'!G344</f>
        <v>10</v>
      </c>
      <c r="H344" s="3149">
        <f>'Estados Financieros'!H344</f>
        <v>10</v>
      </c>
      <c r="I344" s="3148">
        <f>'Estados Financieros'!I344</f>
        <v>10</v>
      </c>
    </row>
    <row r="345" spans="1:9" s="58" customFormat="1" ht="19.5" x14ac:dyDescent="0.2">
      <c r="A345" s="52"/>
      <c r="B345" s="53"/>
      <c r="C345" s="42"/>
      <c r="D345" s="59" t="s">
        <v>776</v>
      </c>
      <c r="E345" s="3147">
        <f>'Estados Financieros'!E345</f>
        <v>10</v>
      </c>
      <c r="F345" s="3147">
        <f>'Estados Financieros'!F345</f>
        <v>10</v>
      </c>
      <c r="G345" s="3147">
        <f>'Estados Financieros'!G345</f>
        <v>10</v>
      </c>
      <c r="H345" s="3147">
        <f>'Estados Financieros'!H345</f>
        <v>10</v>
      </c>
      <c r="I345" s="3146">
        <f>'Estados Financieros'!I345</f>
        <v>10</v>
      </c>
    </row>
    <row r="346" spans="1:9" s="58" customFormat="1" ht="19.5" x14ac:dyDescent="0.2">
      <c r="A346" s="52"/>
      <c r="B346" s="53"/>
      <c r="C346" s="42"/>
      <c r="D346" s="59" t="s">
        <v>653</v>
      </c>
      <c r="E346" s="3147">
        <f>'Estados Financieros'!E346</f>
        <v>10</v>
      </c>
      <c r="F346" s="3147">
        <f>'Estados Financieros'!F346</f>
        <v>10</v>
      </c>
      <c r="G346" s="3147">
        <f>'Estados Financieros'!G346</f>
        <v>10</v>
      </c>
      <c r="H346" s="3147">
        <f>'Estados Financieros'!H346</f>
        <v>10</v>
      </c>
      <c r="I346" s="3146">
        <f>'Estados Financieros'!I346</f>
        <v>10</v>
      </c>
    </row>
    <row r="347" spans="1:9" s="58" customFormat="1" ht="19.5" x14ac:dyDescent="0.2">
      <c r="A347" s="52"/>
      <c r="B347" s="53"/>
      <c r="C347" s="42"/>
      <c r="D347" s="59" t="s">
        <v>655</v>
      </c>
      <c r="E347" s="3147">
        <f>'Estados Financieros'!E347</f>
        <v>10</v>
      </c>
      <c r="F347" s="3147">
        <f>'Estados Financieros'!F347</f>
        <v>10</v>
      </c>
      <c r="G347" s="3147">
        <f>'Estados Financieros'!G347</f>
        <v>10</v>
      </c>
      <c r="H347" s="3147">
        <f>'Estados Financieros'!H347</f>
        <v>10</v>
      </c>
      <c r="I347" s="3146">
        <f>'Estados Financieros'!I347</f>
        <v>10</v>
      </c>
    </row>
    <row r="348" spans="1:9" s="58" customFormat="1" ht="19.5" x14ac:dyDescent="0.2">
      <c r="A348" s="52"/>
      <c r="B348" s="53"/>
      <c r="C348" s="42"/>
      <c r="D348" s="59" t="s">
        <v>777</v>
      </c>
      <c r="E348" s="3147">
        <f>'Estados Financieros'!E348</f>
        <v>10</v>
      </c>
      <c r="F348" s="3147">
        <f>'Estados Financieros'!F348</f>
        <v>10</v>
      </c>
      <c r="G348" s="3147">
        <f>'Estados Financieros'!G348</f>
        <v>10</v>
      </c>
      <c r="H348" s="3147">
        <f>'Estados Financieros'!H348</f>
        <v>10</v>
      </c>
      <c r="I348" s="3146">
        <f>'Estados Financieros'!I348</f>
        <v>10</v>
      </c>
    </row>
    <row r="349" spans="1:9" s="58" customFormat="1" ht="18.95" customHeight="1" x14ac:dyDescent="0.2">
      <c r="A349" s="52"/>
      <c r="B349" s="53"/>
      <c r="C349" s="42"/>
      <c r="D349" s="59"/>
      <c r="E349" s="3147"/>
      <c r="F349" s="3147"/>
      <c r="G349" s="3168"/>
      <c r="H349" s="3168"/>
      <c r="I349" s="3166"/>
    </row>
    <row r="350" spans="1:9" s="58" customFormat="1" ht="19.5" x14ac:dyDescent="0.2">
      <c r="A350" s="52"/>
      <c r="B350" s="53"/>
      <c r="C350" s="60" t="s">
        <v>778</v>
      </c>
      <c r="D350" s="61"/>
      <c r="E350" s="3153">
        <f>'Estados Financieros'!E350</f>
        <v>50</v>
      </c>
      <c r="F350" s="3153">
        <f>'Estados Financieros'!F350</f>
        <v>50</v>
      </c>
      <c r="G350" s="3153">
        <f>'Estados Financieros'!G350</f>
        <v>50</v>
      </c>
      <c r="H350" s="3153">
        <f>'Estados Financieros'!H350</f>
        <v>50</v>
      </c>
      <c r="I350" s="3152">
        <f>'Estados Financieros'!I350</f>
        <v>50</v>
      </c>
    </row>
    <row r="351" spans="1:9" s="58" customFormat="1" ht="19.5" x14ac:dyDescent="0.2">
      <c r="A351" s="52"/>
      <c r="B351" s="47"/>
      <c r="C351" s="48" t="s">
        <v>779</v>
      </c>
      <c r="D351" s="65"/>
      <c r="E351" s="3151"/>
      <c r="F351" s="3151"/>
      <c r="G351" s="3151"/>
      <c r="H351" s="3151"/>
      <c r="I351" s="3150"/>
    </row>
    <row r="352" spans="1:9" s="58" customFormat="1" ht="19.5" x14ac:dyDescent="0.2">
      <c r="A352" s="52"/>
      <c r="B352" s="53"/>
      <c r="C352" s="42"/>
      <c r="D352" s="54" t="s">
        <v>780</v>
      </c>
      <c r="E352" s="3149">
        <f>'Estados Financieros'!E352</f>
        <v>10</v>
      </c>
      <c r="F352" s="3149">
        <f>'Estados Financieros'!F352</f>
        <v>10</v>
      </c>
      <c r="G352" s="3149">
        <f>'Estados Financieros'!G352</f>
        <v>10</v>
      </c>
      <c r="H352" s="3149">
        <f>'Estados Financieros'!H352</f>
        <v>10</v>
      </c>
      <c r="I352" s="3148">
        <f>'Estados Financieros'!I352</f>
        <v>10</v>
      </c>
    </row>
    <row r="353" spans="1:9" s="58" customFormat="1" ht="19.5" x14ac:dyDescent="0.2">
      <c r="A353" s="52"/>
      <c r="B353" s="53"/>
      <c r="C353" s="42"/>
      <c r="D353" s="59" t="s">
        <v>781</v>
      </c>
      <c r="E353" s="3147">
        <f>'Estados Financieros'!E353</f>
        <v>10</v>
      </c>
      <c r="F353" s="3147">
        <f>'Estados Financieros'!F353</f>
        <v>10</v>
      </c>
      <c r="G353" s="3147">
        <f>'Estados Financieros'!G353</f>
        <v>10</v>
      </c>
      <c r="H353" s="3147">
        <f>'Estados Financieros'!H353</f>
        <v>10</v>
      </c>
      <c r="I353" s="3146">
        <f>'Estados Financieros'!I353</f>
        <v>10</v>
      </c>
    </row>
    <row r="354" spans="1:9" s="58" customFormat="1" ht="19.5" x14ac:dyDescent="0.2">
      <c r="A354" s="52"/>
      <c r="B354" s="53"/>
      <c r="C354" s="42"/>
      <c r="D354" s="59" t="s">
        <v>782</v>
      </c>
      <c r="E354" s="3147">
        <f>'Estados Financieros'!E354</f>
        <v>10</v>
      </c>
      <c r="F354" s="3147">
        <f>'Estados Financieros'!F354</f>
        <v>10</v>
      </c>
      <c r="G354" s="3147">
        <f>'Estados Financieros'!G354</f>
        <v>10</v>
      </c>
      <c r="H354" s="3147">
        <f>'Estados Financieros'!H354</f>
        <v>10</v>
      </c>
      <c r="I354" s="3146">
        <f>'Estados Financieros'!I354</f>
        <v>10</v>
      </c>
    </row>
    <row r="355" spans="1:9" s="58" customFormat="1" ht="19.5" x14ac:dyDescent="0.2">
      <c r="A355" s="52"/>
      <c r="B355" s="53"/>
      <c r="C355" s="60" t="s">
        <v>783</v>
      </c>
      <c r="D355" s="61"/>
      <c r="E355" s="3153">
        <f>'Estados Financieros'!E355</f>
        <v>30</v>
      </c>
      <c r="F355" s="3153">
        <f>'Estados Financieros'!F355</f>
        <v>30</v>
      </c>
      <c r="G355" s="3153">
        <f>'Estados Financieros'!G355</f>
        <v>30</v>
      </c>
      <c r="H355" s="3153">
        <f>'Estados Financieros'!H355</f>
        <v>30</v>
      </c>
      <c r="I355" s="3152">
        <f>'Estados Financieros'!I355</f>
        <v>30</v>
      </c>
    </row>
    <row r="356" spans="1:9" s="58" customFormat="1" ht="19.5" x14ac:dyDescent="0.2">
      <c r="A356" s="52"/>
      <c r="B356" s="47"/>
      <c r="C356" s="48" t="s">
        <v>784</v>
      </c>
      <c r="D356" s="65"/>
      <c r="E356" s="3151">
        <f>'Estados Financieros'!E356</f>
        <v>0</v>
      </c>
      <c r="F356" s="3151">
        <f>'Estados Financieros'!F356</f>
        <v>0</v>
      </c>
      <c r="G356" s="3151">
        <f>'Estados Financieros'!G356</f>
        <v>0</v>
      </c>
      <c r="H356" s="3151">
        <f>'Estados Financieros'!H356</f>
        <v>0</v>
      </c>
      <c r="I356" s="3150">
        <f>'Estados Financieros'!I356</f>
        <v>0</v>
      </c>
    </row>
    <row r="357" spans="1:9" s="58" customFormat="1" ht="19.5" x14ac:dyDescent="0.2">
      <c r="A357" s="52"/>
      <c r="B357" s="53"/>
      <c r="C357" s="42"/>
      <c r="D357" s="68" t="s">
        <v>785</v>
      </c>
      <c r="E357" s="3149">
        <f>'Estados Financieros'!E357</f>
        <v>10</v>
      </c>
      <c r="F357" s="3149">
        <f>'Estados Financieros'!F357</f>
        <v>10</v>
      </c>
      <c r="G357" s="3149">
        <f>'Estados Financieros'!G357</f>
        <v>10</v>
      </c>
      <c r="H357" s="3149">
        <f>'Estados Financieros'!H357</f>
        <v>10</v>
      </c>
      <c r="I357" s="3148">
        <f>'Estados Financieros'!I357</f>
        <v>10</v>
      </c>
    </row>
    <row r="358" spans="1:9" s="58" customFormat="1" ht="19.5" x14ac:dyDescent="0.2">
      <c r="A358" s="52"/>
      <c r="B358" s="53"/>
      <c r="C358" s="42"/>
      <c r="D358" s="68" t="s">
        <v>786</v>
      </c>
      <c r="E358" s="3147">
        <f>'Estados Financieros'!E358</f>
        <v>10</v>
      </c>
      <c r="F358" s="3147">
        <f>'Estados Financieros'!F358</f>
        <v>10</v>
      </c>
      <c r="G358" s="3147">
        <f>'Estados Financieros'!G358</f>
        <v>10</v>
      </c>
      <c r="H358" s="3147">
        <f>'Estados Financieros'!H358</f>
        <v>10</v>
      </c>
      <c r="I358" s="3146">
        <f>'Estados Financieros'!I358</f>
        <v>10</v>
      </c>
    </row>
    <row r="359" spans="1:9" s="58" customFormat="1" ht="18.95" customHeight="1" x14ac:dyDescent="0.2">
      <c r="A359" s="52"/>
      <c r="B359" s="53"/>
      <c r="C359" s="42"/>
      <c r="D359" s="68"/>
      <c r="E359" s="3147"/>
      <c r="F359" s="3147"/>
      <c r="G359" s="3147"/>
      <c r="H359" s="3147"/>
      <c r="I359" s="3146"/>
    </row>
    <row r="360" spans="1:9" s="58" customFormat="1" ht="19.5" x14ac:dyDescent="0.2">
      <c r="A360" s="52"/>
      <c r="B360" s="53"/>
      <c r="C360" s="42"/>
      <c r="D360" s="68" t="s">
        <v>787</v>
      </c>
      <c r="E360" s="3147">
        <f>'Estados Financieros'!E360</f>
        <v>10</v>
      </c>
      <c r="F360" s="3147">
        <f>'Estados Financieros'!F360</f>
        <v>10</v>
      </c>
      <c r="G360" s="3147">
        <f>'Estados Financieros'!G360</f>
        <v>10</v>
      </c>
      <c r="H360" s="3147">
        <f>'Estados Financieros'!H360</f>
        <v>10</v>
      </c>
      <c r="I360" s="3146">
        <f>'Estados Financieros'!I360</f>
        <v>10</v>
      </c>
    </row>
    <row r="361" spans="1:9" s="58" customFormat="1" ht="19.5" x14ac:dyDescent="0.2">
      <c r="A361" s="52"/>
      <c r="B361" s="53"/>
      <c r="C361" s="60" t="s">
        <v>788</v>
      </c>
      <c r="D361" s="96"/>
      <c r="E361" s="3145">
        <f>'Estados Financieros'!E361</f>
        <v>40</v>
      </c>
      <c r="F361" s="3145">
        <f>'Estados Financieros'!F361</f>
        <v>40</v>
      </c>
      <c r="G361" s="3145">
        <f>'Estados Financieros'!G361</f>
        <v>40</v>
      </c>
      <c r="H361" s="3145">
        <f>'Estados Financieros'!H361</f>
        <v>40</v>
      </c>
      <c r="I361" s="3144">
        <f>'Estados Financieros'!I361</f>
        <v>40</v>
      </c>
    </row>
    <row r="362" spans="1:9" s="58" customFormat="1" ht="19.5" x14ac:dyDescent="0.2">
      <c r="A362" s="52"/>
      <c r="B362" s="53"/>
      <c r="C362" s="42"/>
      <c r="D362" s="59" t="s">
        <v>789</v>
      </c>
      <c r="E362" s="3147">
        <f>'Estados Financieros'!E362</f>
        <v>10</v>
      </c>
      <c r="F362" s="3147">
        <f>'Estados Financieros'!F362</f>
        <v>10</v>
      </c>
      <c r="G362" s="3147">
        <f>'Estados Financieros'!G362</f>
        <v>10</v>
      </c>
      <c r="H362" s="3147">
        <f>'Estados Financieros'!H362</f>
        <v>10</v>
      </c>
      <c r="I362" s="3146">
        <f>'Estados Financieros'!I362</f>
        <v>10</v>
      </c>
    </row>
    <row r="363" spans="1:9" s="58" customFormat="1" ht="19.5" x14ac:dyDescent="0.2">
      <c r="A363" s="52"/>
      <c r="B363" s="53"/>
      <c r="C363" s="42"/>
      <c r="D363" s="59" t="s">
        <v>790</v>
      </c>
      <c r="E363" s="3167">
        <f>'Estados Financieros'!E363</f>
        <v>2810</v>
      </c>
      <c r="F363" s="3167">
        <f>'Estados Financieros'!F363</f>
        <v>2810</v>
      </c>
      <c r="G363" s="3167">
        <f>'Estados Financieros'!G363</f>
        <v>2810</v>
      </c>
      <c r="H363" s="3167">
        <f>'Estados Financieros'!H363</f>
        <v>2810</v>
      </c>
      <c r="I363" s="3166">
        <f>'Estados Financieros'!I363</f>
        <v>2810</v>
      </c>
    </row>
    <row r="364" spans="1:9" s="58" customFormat="1" ht="19.5" x14ac:dyDescent="0.2">
      <c r="A364" s="52"/>
      <c r="B364" s="53"/>
      <c r="C364" s="42"/>
      <c r="D364" s="59" t="s">
        <v>791</v>
      </c>
      <c r="E364" s="3147">
        <f>'Estados Financieros'!E364</f>
        <v>10</v>
      </c>
      <c r="F364" s="3147">
        <f>'Estados Financieros'!F364</f>
        <v>10</v>
      </c>
      <c r="G364" s="3147">
        <f>'Estados Financieros'!G364</f>
        <v>10</v>
      </c>
      <c r="H364" s="3147">
        <f>'Estados Financieros'!H364</f>
        <v>10</v>
      </c>
      <c r="I364" s="3146">
        <f>'Estados Financieros'!I364</f>
        <v>10</v>
      </c>
    </row>
    <row r="365" spans="1:9" s="58" customFormat="1" ht="19.5" x14ac:dyDescent="0.2">
      <c r="A365" s="52"/>
      <c r="B365" s="53"/>
      <c r="C365" s="42"/>
      <c r="D365" s="100" t="s">
        <v>792</v>
      </c>
      <c r="E365" s="3165">
        <f>'Estados Financieros'!E365</f>
        <v>10</v>
      </c>
      <c r="F365" s="3165">
        <f>'Estados Financieros'!F365</f>
        <v>10</v>
      </c>
      <c r="G365" s="3165">
        <f>'Estados Financieros'!G365</f>
        <v>10</v>
      </c>
      <c r="H365" s="3165">
        <f>'Estados Financieros'!H365</f>
        <v>10</v>
      </c>
      <c r="I365" s="3164">
        <f>'Estados Financieros'!I365</f>
        <v>10</v>
      </c>
    </row>
    <row r="366" spans="1:9" s="58" customFormat="1" ht="19.5" x14ac:dyDescent="0.2">
      <c r="A366" s="52"/>
      <c r="B366" s="86" t="s">
        <v>793</v>
      </c>
      <c r="C366" s="88"/>
      <c r="D366" s="87"/>
      <c r="E366" s="3162">
        <f>'Estados Financieros'!E366</f>
        <v>3030</v>
      </c>
      <c r="F366" s="3162">
        <f>'Estados Financieros'!F366</f>
        <v>3030</v>
      </c>
      <c r="G366" s="3140">
        <f>'Estados Financieros'!G366</f>
        <v>3030</v>
      </c>
      <c r="H366" s="3140">
        <f>'Estados Financieros'!H366</f>
        <v>3030</v>
      </c>
      <c r="I366" s="3161">
        <f>'Estados Financieros'!I366</f>
        <v>3030</v>
      </c>
    </row>
    <row r="367" spans="1:9" s="58" customFormat="1" ht="19.5" x14ac:dyDescent="0.2">
      <c r="A367" s="52"/>
      <c r="B367" s="86" t="s">
        <v>794</v>
      </c>
      <c r="C367" s="88"/>
      <c r="D367" s="87"/>
      <c r="E367" s="3162">
        <f>'Estados Financieros'!E367</f>
        <v>3960</v>
      </c>
      <c r="F367" s="3162">
        <f>'Estados Financieros'!F367</f>
        <v>3960</v>
      </c>
      <c r="G367" s="3140">
        <f>'Estados Financieros'!G367</f>
        <v>3960</v>
      </c>
      <c r="H367" s="3140">
        <f>'Estados Financieros'!H367</f>
        <v>3960</v>
      </c>
      <c r="I367" s="3161">
        <f>'Estados Financieros'!I367</f>
        <v>3960</v>
      </c>
    </row>
    <row r="368" spans="1:9" s="58" customFormat="1" ht="19.5" x14ac:dyDescent="0.2">
      <c r="A368" s="52"/>
      <c r="B368" s="47"/>
      <c r="C368" s="48" t="s">
        <v>672</v>
      </c>
      <c r="D368" s="82"/>
      <c r="E368" s="3157"/>
      <c r="F368" s="3157"/>
      <c r="G368" s="3157"/>
      <c r="H368" s="3157"/>
      <c r="I368" s="3163"/>
    </row>
    <row r="369" spans="1:9" s="58" customFormat="1" ht="19.5" x14ac:dyDescent="0.2">
      <c r="A369" s="52"/>
      <c r="B369" s="53"/>
      <c r="C369" s="42"/>
      <c r="D369" s="54" t="s">
        <v>795</v>
      </c>
      <c r="E369" s="3149">
        <f>'Estados Financieros'!E369</f>
        <v>0</v>
      </c>
      <c r="F369" s="3149">
        <f>'Estados Financieros'!F369</f>
        <v>0</v>
      </c>
      <c r="G369" s="3149">
        <f>'Estados Financieros'!G369</f>
        <v>0</v>
      </c>
      <c r="H369" s="3149">
        <f>'Estados Financieros'!H369</f>
        <v>0</v>
      </c>
      <c r="I369" s="3148">
        <f>'Estados Financieros'!I369</f>
        <v>0</v>
      </c>
    </row>
    <row r="370" spans="1:9" s="58" customFormat="1" ht="19.5" x14ac:dyDescent="0.2">
      <c r="A370" s="52"/>
      <c r="B370" s="53"/>
      <c r="C370" s="42"/>
      <c r="D370" s="59" t="s">
        <v>796</v>
      </c>
      <c r="E370" s="3147">
        <f>'Estados Financieros'!E370</f>
        <v>0</v>
      </c>
      <c r="F370" s="3147">
        <f>'Estados Financieros'!F370</f>
        <v>0</v>
      </c>
      <c r="G370" s="3147">
        <f>'Estados Financieros'!G370</f>
        <v>0</v>
      </c>
      <c r="H370" s="3147">
        <f>'Estados Financieros'!H370</f>
        <v>0</v>
      </c>
      <c r="I370" s="3146">
        <f>'Estados Financieros'!I370</f>
        <v>0</v>
      </c>
    </row>
    <row r="371" spans="1:9" s="58" customFormat="1" ht="19.5" x14ac:dyDescent="0.2">
      <c r="A371" s="52"/>
      <c r="B371" s="53"/>
      <c r="C371" s="42"/>
      <c r="D371" s="59" t="s">
        <v>797</v>
      </c>
      <c r="E371" s="3147">
        <f>'Estados Financieros'!E371</f>
        <v>0</v>
      </c>
      <c r="F371" s="3147">
        <f>'Estados Financieros'!F371</f>
        <v>0</v>
      </c>
      <c r="G371" s="3147">
        <f>'Estados Financieros'!G371</f>
        <v>0</v>
      </c>
      <c r="H371" s="3147">
        <f>'Estados Financieros'!H371</f>
        <v>0</v>
      </c>
      <c r="I371" s="3146">
        <f>'Estados Financieros'!I371</f>
        <v>0</v>
      </c>
    </row>
    <row r="372" spans="1:9" s="58" customFormat="1" ht="19.5" x14ac:dyDescent="0.2">
      <c r="A372" s="52"/>
      <c r="B372" s="53"/>
      <c r="C372" s="42"/>
      <c r="D372" s="89" t="s">
        <v>798</v>
      </c>
      <c r="E372" s="3143">
        <f>'Estados Financieros'!E372</f>
        <v>0</v>
      </c>
      <c r="F372" s="3143">
        <f>'Estados Financieros'!F372</f>
        <v>0</v>
      </c>
      <c r="G372" s="3143">
        <f>'Estados Financieros'!G372</f>
        <v>0</v>
      </c>
      <c r="H372" s="3143">
        <f>'Estados Financieros'!H372</f>
        <v>0</v>
      </c>
      <c r="I372" s="3141">
        <f>'Estados Financieros'!I372</f>
        <v>0</v>
      </c>
    </row>
    <row r="373" spans="1:9" s="58" customFormat="1" ht="19.5" x14ac:dyDescent="0.2">
      <c r="A373" s="52"/>
      <c r="B373" s="53"/>
      <c r="C373" s="86" t="s">
        <v>677</v>
      </c>
      <c r="D373" s="87"/>
      <c r="E373" s="3162">
        <f>'Estados Financieros'!E373</f>
        <v>0</v>
      </c>
      <c r="F373" s="3162">
        <f>'Estados Financieros'!F373</f>
        <v>0</v>
      </c>
      <c r="G373" s="3140">
        <f>'Estados Financieros'!G373</f>
        <v>0</v>
      </c>
      <c r="H373" s="3140">
        <f>'Estados Financieros'!H373</f>
        <v>0</v>
      </c>
      <c r="I373" s="3161">
        <f>'Estados Financieros'!I373</f>
        <v>0</v>
      </c>
    </row>
    <row r="374" spans="1:9" s="58" customFormat="1" ht="19.5" x14ac:dyDescent="0.2">
      <c r="A374" s="52"/>
      <c r="B374" s="77"/>
      <c r="C374" s="42"/>
      <c r="D374" s="92"/>
      <c r="E374" s="3159"/>
      <c r="F374" s="3159"/>
      <c r="G374" s="3159"/>
      <c r="H374" s="3159"/>
      <c r="I374" s="3160"/>
    </row>
    <row r="375" spans="1:9" s="58" customFormat="1" x14ac:dyDescent="0.25">
      <c r="A375" s="22"/>
      <c r="B375" s="22"/>
      <c r="C375" s="22"/>
      <c r="D375" s="103" t="s">
        <v>799</v>
      </c>
      <c r="E375" s="130" t="str">
        <f>'Estados Financieros'!E375</f>
        <v>OK</v>
      </c>
      <c r="F375" s="130" t="str">
        <f>'Estados Financieros'!F375</f>
        <v>OK</v>
      </c>
      <c r="G375" s="130" t="str">
        <f>'Estados Financieros'!G375</f>
        <v>OK</v>
      </c>
      <c r="H375" s="130" t="str">
        <f>'Estados Financieros'!H375</f>
        <v>OK</v>
      </c>
      <c r="I375" s="131" t="str">
        <f>'Estados Financieros'!I375</f>
        <v>OK</v>
      </c>
    </row>
    <row r="376" spans="1:9" s="58" customFormat="1" x14ac:dyDescent="0.25">
      <c r="A376" s="22"/>
      <c r="B376" s="22"/>
      <c r="C376" s="22"/>
      <c r="D376" s="106" t="s">
        <v>800</v>
      </c>
      <c r="E376" s="3129">
        <f>'Estados Financieros'!E376</f>
        <v>0</v>
      </c>
      <c r="F376" s="3129">
        <f>'Estados Financieros'!F376</f>
        <v>0</v>
      </c>
      <c r="G376" s="3129">
        <f>'Estados Financieros'!G376</f>
        <v>0</v>
      </c>
      <c r="H376" s="3129">
        <f>'Estados Financieros'!H376</f>
        <v>0</v>
      </c>
      <c r="I376" s="3128">
        <f>'Estados Financieros'!I376</f>
        <v>0</v>
      </c>
    </row>
    <row r="377" spans="1:9" s="58" customFormat="1" ht="19.5" x14ac:dyDescent="0.2">
      <c r="A377" s="52"/>
      <c r="B377" s="77"/>
      <c r="C377" s="42"/>
      <c r="D377" s="92"/>
      <c r="E377" s="3159"/>
      <c r="F377" s="3159"/>
      <c r="G377" s="3159"/>
      <c r="H377" s="3159"/>
      <c r="I377" s="3158"/>
    </row>
    <row r="378" spans="1:9" s="58" customFormat="1" ht="23.25" x14ac:dyDescent="0.2">
      <c r="A378" s="52"/>
      <c r="B378" s="110" t="s">
        <v>801</v>
      </c>
      <c r="C378" s="42"/>
      <c r="D378" s="111"/>
      <c r="E378" s="3159"/>
      <c r="F378" s="3159"/>
      <c r="G378" s="3159"/>
      <c r="H378" s="3159"/>
      <c r="I378" s="3158"/>
    </row>
    <row r="379" spans="1:9" s="58" customFormat="1" ht="19.5" x14ac:dyDescent="0.2">
      <c r="A379" s="52"/>
      <c r="B379" s="48" t="s">
        <v>802</v>
      </c>
      <c r="C379" s="42"/>
      <c r="D379" s="82"/>
      <c r="E379" s="3157"/>
      <c r="F379" s="3157"/>
      <c r="G379" s="3157"/>
      <c r="H379" s="3157"/>
      <c r="I379" s="3156"/>
    </row>
    <row r="380" spans="1:9" s="58" customFormat="1" ht="19.5" x14ac:dyDescent="0.2">
      <c r="A380" s="52"/>
      <c r="B380" s="53"/>
      <c r="C380" s="42"/>
      <c r="D380" s="54" t="s">
        <v>803</v>
      </c>
      <c r="E380" s="3149">
        <f>'Estados Financieros'!E380</f>
        <v>2610</v>
      </c>
      <c r="F380" s="3149">
        <f>'Estados Financieros'!F380</f>
        <v>2610</v>
      </c>
      <c r="G380" s="3149">
        <f>'Estados Financieros'!G380</f>
        <v>2610</v>
      </c>
      <c r="H380" s="3149">
        <f>'Estados Financieros'!H380</f>
        <v>2610</v>
      </c>
      <c r="I380" s="3148">
        <f>'Estados Financieros'!I380</f>
        <v>2610</v>
      </c>
    </row>
    <row r="381" spans="1:9" s="58" customFormat="1" ht="19.5" x14ac:dyDescent="0.2">
      <c r="A381" s="52"/>
      <c r="B381" s="53"/>
      <c r="C381" s="42"/>
      <c r="D381" s="59" t="s">
        <v>804</v>
      </c>
      <c r="E381" s="3147">
        <f>'Estados Financieros'!E381</f>
        <v>1000</v>
      </c>
      <c r="F381" s="3147">
        <f>'Estados Financieros'!F381</f>
        <v>1000</v>
      </c>
      <c r="G381" s="3147">
        <f>'Estados Financieros'!G381</f>
        <v>1000</v>
      </c>
      <c r="H381" s="3147">
        <f>'Estados Financieros'!H381</f>
        <v>1000</v>
      </c>
      <c r="I381" s="3146">
        <f>'Estados Financieros'!I381</f>
        <v>1000</v>
      </c>
    </row>
    <row r="382" spans="1:9" s="58" customFormat="1" ht="19.5" x14ac:dyDescent="0.2">
      <c r="A382" s="52"/>
      <c r="B382" s="53"/>
      <c r="C382" s="42"/>
      <c r="D382" s="59" t="s">
        <v>805</v>
      </c>
      <c r="E382" s="3147">
        <f>'Estados Financieros'!E382</f>
        <v>500</v>
      </c>
      <c r="F382" s="3147">
        <f>'Estados Financieros'!F382</f>
        <v>500</v>
      </c>
      <c r="G382" s="3147">
        <f>'Estados Financieros'!G382</f>
        <v>500</v>
      </c>
      <c r="H382" s="3147">
        <f>'Estados Financieros'!H382</f>
        <v>500</v>
      </c>
      <c r="I382" s="3146">
        <f>'Estados Financieros'!I382</f>
        <v>500</v>
      </c>
    </row>
    <row r="383" spans="1:9" s="58" customFormat="1" ht="18.95" customHeight="1" x14ac:dyDescent="0.2">
      <c r="A383" s="22"/>
      <c r="B383" s="53"/>
      <c r="C383" s="42"/>
      <c r="D383" s="89" t="s">
        <v>806</v>
      </c>
      <c r="E383" s="3143">
        <f>'Estados Financieros'!E383</f>
        <v>0</v>
      </c>
      <c r="F383" s="3143">
        <f>'Estados Financieros'!F383</f>
        <v>0</v>
      </c>
      <c r="G383" s="3143">
        <f>'Estados Financieros'!G383</f>
        <v>0</v>
      </c>
      <c r="H383" s="3143">
        <f>'Estados Financieros'!H383</f>
        <v>0</v>
      </c>
      <c r="I383" s="3141">
        <f>'Estados Financieros'!I383</f>
        <v>0</v>
      </c>
    </row>
    <row r="384" spans="1:9" s="58" customFormat="1" ht="19.5" x14ac:dyDescent="0.2">
      <c r="A384" s="52"/>
      <c r="B384" s="86" t="s">
        <v>807</v>
      </c>
      <c r="C384" s="112"/>
      <c r="D384" s="87"/>
      <c r="E384" s="3140">
        <f>'Estados Financieros'!E384</f>
        <v>3110</v>
      </c>
      <c r="F384" s="3140">
        <f>'Estados Financieros'!F384</f>
        <v>3110</v>
      </c>
      <c r="G384" s="3140">
        <f>'Estados Financieros'!G384</f>
        <v>3110</v>
      </c>
      <c r="H384" s="3140">
        <f>'Estados Financieros'!H384</f>
        <v>3110</v>
      </c>
      <c r="I384" s="3139">
        <f>'Estados Financieros'!I384</f>
        <v>3110</v>
      </c>
    </row>
    <row r="385" spans="1:9" s="58" customFormat="1" ht="19.5" x14ac:dyDescent="0.2">
      <c r="A385" s="52"/>
      <c r="B385" s="47"/>
      <c r="C385" s="113" t="s">
        <v>808</v>
      </c>
      <c r="D385" s="65"/>
      <c r="E385" s="3151"/>
      <c r="F385" s="3151"/>
      <c r="G385" s="3151"/>
      <c r="H385" s="3151"/>
      <c r="I385" s="3150"/>
    </row>
    <row r="386" spans="1:9" s="58" customFormat="1" ht="19.5" x14ac:dyDescent="0.2">
      <c r="A386" s="52"/>
      <c r="B386" s="53"/>
      <c r="C386" s="42"/>
      <c r="D386" s="54" t="s">
        <v>809</v>
      </c>
      <c r="E386" s="3149">
        <f>'Estados Financieros'!E386</f>
        <v>10</v>
      </c>
      <c r="F386" s="3149">
        <f>'Estados Financieros'!F386</f>
        <v>10</v>
      </c>
      <c r="G386" s="3149">
        <f>'Estados Financieros'!G386</f>
        <v>10</v>
      </c>
      <c r="H386" s="3149">
        <f>'Estados Financieros'!H386</f>
        <v>10</v>
      </c>
      <c r="I386" s="3148">
        <f>'Estados Financieros'!I386</f>
        <v>10</v>
      </c>
    </row>
    <row r="387" spans="1:9" s="58" customFormat="1" ht="19.5" x14ac:dyDescent="0.2">
      <c r="A387" s="52"/>
      <c r="B387" s="53"/>
      <c r="C387" s="42"/>
      <c r="D387" s="59" t="s">
        <v>810</v>
      </c>
      <c r="E387" s="3147">
        <f>'Estados Financieros'!E387</f>
        <v>10</v>
      </c>
      <c r="F387" s="3147">
        <f>'Estados Financieros'!F387</f>
        <v>10</v>
      </c>
      <c r="G387" s="3147">
        <f>'Estados Financieros'!G387</f>
        <v>10</v>
      </c>
      <c r="H387" s="3147">
        <f>'Estados Financieros'!H387</f>
        <v>10</v>
      </c>
      <c r="I387" s="3146">
        <f>'Estados Financieros'!I387</f>
        <v>10</v>
      </c>
    </row>
    <row r="388" spans="1:9" s="58" customFormat="1" ht="19.5" x14ac:dyDescent="0.2">
      <c r="A388" s="52"/>
      <c r="B388" s="53"/>
      <c r="C388" s="42"/>
      <c r="D388" s="59" t="s">
        <v>811</v>
      </c>
      <c r="E388" s="3147">
        <f>'Estados Financieros'!E388</f>
        <v>10</v>
      </c>
      <c r="F388" s="3147">
        <f>'Estados Financieros'!F388</f>
        <v>10</v>
      </c>
      <c r="G388" s="3147">
        <f>'Estados Financieros'!G388</f>
        <v>10</v>
      </c>
      <c r="H388" s="3147">
        <f>'Estados Financieros'!H388</f>
        <v>10</v>
      </c>
      <c r="I388" s="3146">
        <f>'Estados Financieros'!I388</f>
        <v>10</v>
      </c>
    </row>
    <row r="389" spans="1:9" s="58" customFormat="1" ht="19.5" x14ac:dyDescent="0.2">
      <c r="A389" s="52"/>
      <c r="B389" s="53"/>
      <c r="C389" s="42"/>
      <c r="D389" s="59" t="s">
        <v>812</v>
      </c>
      <c r="E389" s="3147">
        <f>'Estados Financieros'!E389</f>
        <v>10</v>
      </c>
      <c r="F389" s="3147">
        <f>'Estados Financieros'!F389</f>
        <v>10</v>
      </c>
      <c r="G389" s="3147">
        <f>'Estados Financieros'!G389</f>
        <v>10</v>
      </c>
      <c r="H389" s="3147">
        <f>'Estados Financieros'!H389</f>
        <v>10</v>
      </c>
      <c r="I389" s="3146">
        <f>'Estados Financieros'!I389</f>
        <v>10</v>
      </c>
    </row>
    <row r="390" spans="1:9" s="58" customFormat="1" ht="19.5" x14ac:dyDescent="0.2">
      <c r="A390" s="52"/>
      <c r="B390" s="53"/>
      <c r="C390" s="42"/>
      <c r="D390" s="59" t="s">
        <v>813</v>
      </c>
      <c r="E390" s="3147">
        <f>'Estados Financieros'!E390</f>
        <v>10</v>
      </c>
      <c r="F390" s="3147">
        <f>'Estados Financieros'!F390</f>
        <v>10</v>
      </c>
      <c r="G390" s="3147">
        <f>'Estados Financieros'!G390</f>
        <v>10</v>
      </c>
      <c r="H390" s="3147">
        <f>'Estados Financieros'!H390</f>
        <v>10</v>
      </c>
      <c r="I390" s="3146">
        <f>'Estados Financieros'!I390</f>
        <v>10</v>
      </c>
    </row>
    <row r="391" spans="1:9" s="58" customFormat="1" ht="19.5" x14ac:dyDescent="0.2">
      <c r="A391" s="52"/>
      <c r="B391" s="53"/>
      <c r="C391" s="42"/>
      <c r="D391" s="59" t="s">
        <v>814</v>
      </c>
      <c r="E391" s="3147">
        <f>'Estados Financieros'!E391</f>
        <v>10</v>
      </c>
      <c r="F391" s="3147">
        <f>'Estados Financieros'!F391</f>
        <v>10</v>
      </c>
      <c r="G391" s="3147">
        <f>'Estados Financieros'!G391</f>
        <v>10</v>
      </c>
      <c r="H391" s="3147">
        <f>'Estados Financieros'!H391</f>
        <v>10</v>
      </c>
      <c r="I391" s="3146">
        <f>'Estados Financieros'!I391</f>
        <v>10</v>
      </c>
    </row>
    <row r="392" spans="1:9" s="58" customFormat="1" ht="19.5" x14ac:dyDescent="0.2">
      <c r="A392" s="52"/>
      <c r="B392" s="53"/>
      <c r="C392" s="42"/>
      <c r="D392" s="59" t="s">
        <v>469</v>
      </c>
      <c r="E392" s="3147">
        <f>'Estados Financieros'!E392</f>
        <v>10</v>
      </c>
      <c r="F392" s="3147">
        <f>'Estados Financieros'!F392</f>
        <v>10</v>
      </c>
      <c r="G392" s="3147">
        <f>'Estados Financieros'!G392</f>
        <v>10</v>
      </c>
      <c r="H392" s="3147">
        <f>'Estados Financieros'!H392</f>
        <v>10</v>
      </c>
      <c r="I392" s="3146">
        <f>'Estados Financieros'!I392</f>
        <v>10</v>
      </c>
    </row>
    <row r="393" spans="1:9" s="58" customFormat="1" ht="19.5" x14ac:dyDescent="0.2">
      <c r="A393" s="52"/>
      <c r="B393" s="53"/>
      <c r="C393" s="42"/>
      <c r="D393" s="59" t="s">
        <v>815</v>
      </c>
      <c r="E393" s="3147">
        <f>'Estados Financieros'!E393</f>
        <v>10</v>
      </c>
      <c r="F393" s="3147">
        <f>'Estados Financieros'!F393</f>
        <v>10</v>
      </c>
      <c r="G393" s="3147">
        <f>'Estados Financieros'!G393</f>
        <v>10</v>
      </c>
      <c r="H393" s="3147">
        <f>'Estados Financieros'!H393</f>
        <v>10</v>
      </c>
      <c r="I393" s="3146">
        <f>'Estados Financieros'!I393</f>
        <v>10</v>
      </c>
    </row>
    <row r="394" spans="1:9" s="58" customFormat="1" ht="19.5" x14ac:dyDescent="0.2">
      <c r="A394" s="52"/>
      <c r="B394" s="53"/>
      <c r="C394" s="42"/>
      <c r="D394" s="59" t="s">
        <v>816</v>
      </c>
      <c r="E394" s="3147">
        <f>'Estados Financieros'!E394</f>
        <v>10</v>
      </c>
      <c r="F394" s="3147">
        <f>'Estados Financieros'!F394</f>
        <v>10</v>
      </c>
      <c r="G394" s="3147">
        <f>'Estados Financieros'!G394</f>
        <v>10</v>
      </c>
      <c r="H394" s="3147">
        <f>'Estados Financieros'!H394</f>
        <v>10</v>
      </c>
      <c r="I394" s="3146">
        <f>'Estados Financieros'!I394</f>
        <v>10</v>
      </c>
    </row>
    <row r="395" spans="1:9" s="58" customFormat="1" ht="19.5" x14ac:dyDescent="0.2">
      <c r="A395" s="52"/>
      <c r="B395" s="53"/>
      <c r="C395" s="42"/>
      <c r="D395" s="59" t="s">
        <v>817</v>
      </c>
      <c r="E395" s="3147">
        <f>'Estados Financieros'!E395</f>
        <v>10</v>
      </c>
      <c r="F395" s="3147">
        <f>'Estados Financieros'!F395</f>
        <v>10</v>
      </c>
      <c r="G395" s="3147">
        <f>'Estados Financieros'!G395</f>
        <v>10</v>
      </c>
      <c r="H395" s="3147">
        <f>'Estados Financieros'!H395</f>
        <v>10</v>
      </c>
      <c r="I395" s="3146">
        <f>'Estados Financieros'!I395</f>
        <v>10</v>
      </c>
    </row>
    <row r="396" spans="1:9" s="58" customFormat="1" ht="19.5" x14ac:dyDescent="0.2">
      <c r="A396" s="52"/>
      <c r="B396" s="53"/>
      <c r="C396" s="42"/>
      <c r="D396" s="59" t="s">
        <v>818</v>
      </c>
      <c r="E396" s="3147">
        <f>'Estados Financieros'!E396</f>
        <v>10</v>
      </c>
      <c r="F396" s="3147">
        <f>'Estados Financieros'!F396</f>
        <v>10</v>
      </c>
      <c r="G396" s="3147">
        <f>'Estados Financieros'!G396</f>
        <v>10</v>
      </c>
      <c r="H396" s="3147">
        <f>'Estados Financieros'!H396</f>
        <v>10</v>
      </c>
      <c r="I396" s="3146">
        <f>'Estados Financieros'!I396</f>
        <v>10</v>
      </c>
    </row>
    <row r="397" spans="1:9" s="58" customFormat="1" ht="19.5" x14ac:dyDescent="0.2">
      <c r="A397" s="52"/>
      <c r="B397" s="53"/>
      <c r="C397" s="42"/>
      <c r="D397" s="59" t="s">
        <v>819</v>
      </c>
      <c r="E397" s="3147">
        <f>'Estados Financieros'!E397</f>
        <v>10</v>
      </c>
      <c r="F397" s="3147">
        <f>'Estados Financieros'!F397</f>
        <v>10</v>
      </c>
      <c r="G397" s="3147">
        <f>'Estados Financieros'!G397</f>
        <v>10</v>
      </c>
      <c r="H397" s="3147">
        <f>'Estados Financieros'!H397</f>
        <v>10</v>
      </c>
      <c r="I397" s="3146">
        <f>'Estados Financieros'!I397</f>
        <v>10</v>
      </c>
    </row>
    <row r="398" spans="1:9" s="58" customFormat="1" ht="19.5" x14ac:dyDescent="0.2">
      <c r="A398" s="52"/>
      <c r="B398" s="53"/>
      <c r="C398" s="42"/>
      <c r="D398" s="59" t="s">
        <v>598</v>
      </c>
      <c r="E398" s="3147">
        <f>'Estados Financieros'!E398</f>
        <v>10</v>
      </c>
      <c r="F398" s="3147">
        <f>'Estados Financieros'!F398</f>
        <v>10</v>
      </c>
      <c r="G398" s="3147">
        <f>'Estados Financieros'!G398</f>
        <v>10</v>
      </c>
      <c r="H398" s="3147">
        <f>'Estados Financieros'!H398</f>
        <v>10</v>
      </c>
      <c r="I398" s="3146">
        <f>'Estados Financieros'!I398</f>
        <v>10</v>
      </c>
    </row>
    <row r="399" spans="1:9" s="58" customFormat="1" ht="19.5" x14ac:dyDescent="0.2">
      <c r="A399" s="22"/>
      <c r="B399" s="53"/>
      <c r="C399" s="42"/>
      <c r="D399" s="59" t="s">
        <v>820</v>
      </c>
      <c r="E399" s="3147">
        <f>'Estados Financieros'!E399</f>
        <v>10</v>
      </c>
      <c r="F399" s="3147">
        <f>'Estados Financieros'!F399</f>
        <v>10</v>
      </c>
      <c r="G399" s="3147">
        <f>'Estados Financieros'!G399</f>
        <v>10</v>
      </c>
      <c r="H399" s="3147">
        <f>'Estados Financieros'!H399</f>
        <v>10</v>
      </c>
      <c r="I399" s="3146">
        <f>'Estados Financieros'!I399</f>
        <v>10</v>
      </c>
    </row>
    <row r="400" spans="1:9" s="58" customFormat="1" ht="19.5" x14ac:dyDescent="0.2">
      <c r="A400" s="52"/>
      <c r="B400" s="53"/>
      <c r="C400" s="42"/>
      <c r="D400" s="68" t="s">
        <v>574</v>
      </c>
      <c r="E400" s="3147">
        <f>'Estados Financieros'!E400</f>
        <v>10</v>
      </c>
      <c r="F400" s="3147">
        <f>'Estados Financieros'!F400</f>
        <v>10</v>
      </c>
      <c r="G400" s="3147">
        <f>'Estados Financieros'!G400</f>
        <v>10</v>
      </c>
      <c r="H400" s="3147">
        <f>'Estados Financieros'!H400</f>
        <v>10</v>
      </c>
      <c r="I400" s="3146">
        <f>'Estados Financieros'!I400</f>
        <v>10</v>
      </c>
    </row>
    <row r="401" spans="1:9" s="58" customFormat="1" ht="19.5" x14ac:dyDescent="0.2">
      <c r="A401" s="52"/>
      <c r="B401" s="53"/>
      <c r="C401" s="60" t="s">
        <v>821</v>
      </c>
      <c r="D401" s="61"/>
      <c r="E401" s="3153">
        <f>'Estados Financieros'!E401</f>
        <v>150</v>
      </c>
      <c r="F401" s="3153">
        <f>'Estados Financieros'!F401</f>
        <v>150</v>
      </c>
      <c r="G401" s="3153">
        <f>'Estados Financieros'!G401</f>
        <v>150</v>
      </c>
      <c r="H401" s="3153">
        <f>'Estados Financieros'!H401</f>
        <v>150</v>
      </c>
      <c r="I401" s="3152">
        <f>'Estados Financieros'!I401</f>
        <v>150</v>
      </c>
    </row>
    <row r="402" spans="1:9" s="58" customFormat="1" ht="19.5" x14ac:dyDescent="0.2">
      <c r="A402" s="52"/>
      <c r="B402" s="47"/>
      <c r="C402" s="48" t="s">
        <v>822</v>
      </c>
      <c r="D402" s="65"/>
      <c r="E402" s="3151"/>
      <c r="F402" s="3151"/>
      <c r="G402" s="3151"/>
      <c r="H402" s="3151"/>
      <c r="I402" s="3150"/>
    </row>
    <row r="403" spans="1:9" s="58" customFormat="1" ht="19.5" x14ac:dyDescent="0.2">
      <c r="A403" s="52"/>
      <c r="B403" s="53"/>
      <c r="C403" s="42"/>
      <c r="D403" s="54" t="s">
        <v>809</v>
      </c>
      <c r="E403" s="3149">
        <f>'Estados Financieros'!E403</f>
        <v>10</v>
      </c>
      <c r="F403" s="3149">
        <f>'Estados Financieros'!F403</f>
        <v>10</v>
      </c>
      <c r="G403" s="3149">
        <f>'Estados Financieros'!G403</f>
        <v>10</v>
      </c>
      <c r="H403" s="3149">
        <f>'Estados Financieros'!H403</f>
        <v>10</v>
      </c>
      <c r="I403" s="3148">
        <f>'Estados Financieros'!I403</f>
        <v>10</v>
      </c>
    </row>
    <row r="404" spans="1:9" s="58" customFormat="1" ht="19.5" x14ac:dyDescent="0.2">
      <c r="A404" s="52"/>
      <c r="B404" s="53"/>
      <c r="C404" s="42"/>
      <c r="D404" s="59" t="s">
        <v>810</v>
      </c>
      <c r="E404" s="3147">
        <f>'Estados Financieros'!E404</f>
        <v>10</v>
      </c>
      <c r="F404" s="3147">
        <f>'Estados Financieros'!F404</f>
        <v>10</v>
      </c>
      <c r="G404" s="3147">
        <f>'Estados Financieros'!G404</f>
        <v>10</v>
      </c>
      <c r="H404" s="3147">
        <f>'Estados Financieros'!H404</f>
        <v>10</v>
      </c>
      <c r="I404" s="3146">
        <f>'Estados Financieros'!I404</f>
        <v>10</v>
      </c>
    </row>
    <row r="405" spans="1:9" s="58" customFormat="1" ht="19.5" x14ac:dyDescent="0.2">
      <c r="A405" s="52"/>
      <c r="B405" s="53"/>
      <c r="C405" s="42"/>
      <c r="D405" s="59" t="s">
        <v>811</v>
      </c>
      <c r="E405" s="3147">
        <f>'Estados Financieros'!E405</f>
        <v>10</v>
      </c>
      <c r="F405" s="3147">
        <f>'Estados Financieros'!F405</f>
        <v>10</v>
      </c>
      <c r="G405" s="3147">
        <f>'Estados Financieros'!G405</f>
        <v>10</v>
      </c>
      <c r="H405" s="3147">
        <f>'Estados Financieros'!H405</f>
        <v>10</v>
      </c>
      <c r="I405" s="3146">
        <f>'Estados Financieros'!I405</f>
        <v>10</v>
      </c>
    </row>
    <row r="406" spans="1:9" s="58" customFormat="1" ht="19.5" x14ac:dyDescent="0.2">
      <c r="A406" s="52"/>
      <c r="B406" s="53"/>
      <c r="C406" s="42"/>
      <c r="D406" s="59" t="s">
        <v>812</v>
      </c>
      <c r="E406" s="3147">
        <f>'Estados Financieros'!E406</f>
        <v>10</v>
      </c>
      <c r="F406" s="3147">
        <f>'Estados Financieros'!F406</f>
        <v>10</v>
      </c>
      <c r="G406" s="3147">
        <f>'Estados Financieros'!G406</f>
        <v>10</v>
      </c>
      <c r="H406" s="3147">
        <f>'Estados Financieros'!H406</f>
        <v>10</v>
      </c>
      <c r="I406" s="3146">
        <f>'Estados Financieros'!I406</f>
        <v>10</v>
      </c>
    </row>
    <row r="407" spans="1:9" s="58" customFormat="1" ht="19.5" x14ac:dyDescent="0.2">
      <c r="A407" s="52"/>
      <c r="B407" s="53"/>
      <c r="C407" s="42"/>
      <c r="D407" s="59" t="s">
        <v>813</v>
      </c>
      <c r="E407" s="3147">
        <f>'Estados Financieros'!E407</f>
        <v>10</v>
      </c>
      <c r="F407" s="3147">
        <f>'Estados Financieros'!F407</f>
        <v>10</v>
      </c>
      <c r="G407" s="3147">
        <f>'Estados Financieros'!G407</f>
        <v>10</v>
      </c>
      <c r="H407" s="3147">
        <f>'Estados Financieros'!H407</f>
        <v>10</v>
      </c>
      <c r="I407" s="3146">
        <f>'Estados Financieros'!I407</f>
        <v>10</v>
      </c>
    </row>
    <row r="408" spans="1:9" s="58" customFormat="1" ht="19.5" x14ac:dyDescent="0.2">
      <c r="A408" s="52"/>
      <c r="B408" s="53"/>
      <c r="C408" s="42"/>
      <c r="D408" s="59" t="s">
        <v>814</v>
      </c>
      <c r="E408" s="3147">
        <f>'Estados Financieros'!E408</f>
        <v>10</v>
      </c>
      <c r="F408" s="3147">
        <f>'Estados Financieros'!F408</f>
        <v>10</v>
      </c>
      <c r="G408" s="3147">
        <f>'Estados Financieros'!G408</f>
        <v>10</v>
      </c>
      <c r="H408" s="3147">
        <f>'Estados Financieros'!H408</f>
        <v>10</v>
      </c>
      <c r="I408" s="3146">
        <f>'Estados Financieros'!I408</f>
        <v>10</v>
      </c>
    </row>
    <row r="409" spans="1:9" s="58" customFormat="1" ht="19.5" x14ac:dyDescent="0.2">
      <c r="A409" s="52"/>
      <c r="B409" s="53"/>
      <c r="C409" s="42"/>
      <c r="D409" s="59" t="s">
        <v>469</v>
      </c>
      <c r="E409" s="3147">
        <f>'Estados Financieros'!E409</f>
        <v>10</v>
      </c>
      <c r="F409" s="3147">
        <f>'Estados Financieros'!F409</f>
        <v>10</v>
      </c>
      <c r="G409" s="3147">
        <f>'Estados Financieros'!G409</f>
        <v>10</v>
      </c>
      <c r="H409" s="3147">
        <f>'Estados Financieros'!H409</f>
        <v>10</v>
      </c>
      <c r="I409" s="3146">
        <f>'Estados Financieros'!I409</f>
        <v>10</v>
      </c>
    </row>
    <row r="410" spans="1:9" s="58" customFormat="1" ht="19.5" x14ac:dyDescent="0.2">
      <c r="A410" s="52"/>
      <c r="B410" s="53"/>
      <c r="C410" s="42"/>
      <c r="D410" s="59" t="s">
        <v>815</v>
      </c>
      <c r="E410" s="3147">
        <f>'Estados Financieros'!E410</f>
        <v>10</v>
      </c>
      <c r="F410" s="3147">
        <f>'Estados Financieros'!F410</f>
        <v>10</v>
      </c>
      <c r="G410" s="3147">
        <f>'Estados Financieros'!G410</f>
        <v>10</v>
      </c>
      <c r="H410" s="3147">
        <f>'Estados Financieros'!H410</f>
        <v>10</v>
      </c>
      <c r="I410" s="3146">
        <f>'Estados Financieros'!I410</f>
        <v>10</v>
      </c>
    </row>
    <row r="411" spans="1:9" s="58" customFormat="1" ht="19.5" x14ac:dyDescent="0.2">
      <c r="A411" s="52"/>
      <c r="B411" s="53"/>
      <c r="C411" s="42"/>
      <c r="D411" s="59" t="s">
        <v>816</v>
      </c>
      <c r="E411" s="3147">
        <f>'Estados Financieros'!E411</f>
        <v>10</v>
      </c>
      <c r="F411" s="3147">
        <f>'Estados Financieros'!F411</f>
        <v>10</v>
      </c>
      <c r="G411" s="3147">
        <f>'Estados Financieros'!G411</f>
        <v>10</v>
      </c>
      <c r="H411" s="3147">
        <f>'Estados Financieros'!H411</f>
        <v>10</v>
      </c>
      <c r="I411" s="3146">
        <f>'Estados Financieros'!I411</f>
        <v>10</v>
      </c>
    </row>
    <row r="412" spans="1:9" s="58" customFormat="1" ht="19.5" x14ac:dyDescent="0.2">
      <c r="A412" s="52"/>
      <c r="B412" s="53"/>
      <c r="C412" s="42"/>
      <c r="D412" s="59" t="s">
        <v>817</v>
      </c>
      <c r="E412" s="3147">
        <f>'Estados Financieros'!E412</f>
        <v>10</v>
      </c>
      <c r="F412" s="3147">
        <f>'Estados Financieros'!F412</f>
        <v>10</v>
      </c>
      <c r="G412" s="3147">
        <f>'Estados Financieros'!G412</f>
        <v>10</v>
      </c>
      <c r="H412" s="3147">
        <f>'Estados Financieros'!H412</f>
        <v>10</v>
      </c>
      <c r="I412" s="3146">
        <f>'Estados Financieros'!I412</f>
        <v>10</v>
      </c>
    </row>
    <row r="413" spans="1:9" s="58" customFormat="1" ht="19.5" x14ac:dyDescent="0.2">
      <c r="A413" s="52"/>
      <c r="B413" s="53"/>
      <c r="C413" s="42"/>
      <c r="D413" s="59" t="s">
        <v>818</v>
      </c>
      <c r="E413" s="3147">
        <f>'Estados Financieros'!E413</f>
        <v>10</v>
      </c>
      <c r="F413" s="3147">
        <f>'Estados Financieros'!F413</f>
        <v>10</v>
      </c>
      <c r="G413" s="3147">
        <f>'Estados Financieros'!G413</f>
        <v>10</v>
      </c>
      <c r="H413" s="3147">
        <f>'Estados Financieros'!H413</f>
        <v>10</v>
      </c>
      <c r="I413" s="3146">
        <f>'Estados Financieros'!I413</f>
        <v>10</v>
      </c>
    </row>
    <row r="414" spans="1:9" s="58" customFormat="1" ht="19.5" x14ac:dyDescent="0.2">
      <c r="A414" s="52"/>
      <c r="B414" s="53"/>
      <c r="C414" s="42"/>
      <c r="D414" s="59" t="s">
        <v>819</v>
      </c>
      <c r="E414" s="3147">
        <f>'Estados Financieros'!E414</f>
        <v>10</v>
      </c>
      <c r="F414" s="3147">
        <f>'Estados Financieros'!F414</f>
        <v>10</v>
      </c>
      <c r="G414" s="3147">
        <f>'Estados Financieros'!G414</f>
        <v>10</v>
      </c>
      <c r="H414" s="3147">
        <f>'Estados Financieros'!H414</f>
        <v>10</v>
      </c>
      <c r="I414" s="3146">
        <f>'Estados Financieros'!I414</f>
        <v>10</v>
      </c>
    </row>
    <row r="415" spans="1:9" s="58" customFormat="1" ht="18.95" customHeight="1" x14ac:dyDescent="0.2">
      <c r="A415" s="52"/>
      <c r="B415" s="53"/>
      <c r="C415" s="42"/>
      <c r="D415" s="59" t="s">
        <v>598</v>
      </c>
      <c r="E415" s="3147">
        <f>'Estados Financieros'!E415</f>
        <v>10</v>
      </c>
      <c r="F415" s="3147">
        <f>'Estados Financieros'!F415</f>
        <v>10</v>
      </c>
      <c r="G415" s="3147">
        <f>'Estados Financieros'!G415</f>
        <v>10</v>
      </c>
      <c r="H415" s="3147">
        <f>'Estados Financieros'!H415</f>
        <v>10</v>
      </c>
      <c r="I415" s="3146">
        <f>'Estados Financieros'!I415</f>
        <v>10</v>
      </c>
    </row>
    <row r="416" spans="1:9" s="58" customFormat="1" ht="18.95" customHeight="1" x14ac:dyDescent="0.2">
      <c r="A416" s="52"/>
      <c r="B416" s="53"/>
      <c r="C416" s="42"/>
      <c r="D416" s="59" t="s">
        <v>823</v>
      </c>
      <c r="E416" s="3147">
        <f>'Estados Financieros'!E416</f>
        <v>10</v>
      </c>
      <c r="F416" s="3147">
        <f>'Estados Financieros'!F416</f>
        <v>10</v>
      </c>
      <c r="G416" s="3147">
        <f>'Estados Financieros'!G416</f>
        <v>10</v>
      </c>
      <c r="H416" s="3147">
        <f>'Estados Financieros'!H416</f>
        <v>10</v>
      </c>
      <c r="I416" s="3146">
        <f>'Estados Financieros'!I416</f>
        <v>10</v>
      </c>
    </row>
    <row r="417" spans="1:9" s="58" customFormat="1" ht="19.5" x14ac:dyDescent="0.2">
      <c r="A417" s="52"/>
      <c r="B417" s="53"/>
      <c r="C417" s="42"/>
      <c r="D417" s="68" t="s">
        <v>824</v>
      </c>
      <c r="E417" s="3147">
        <f>'Estados Financieros'!E417</f>
        <v>10</v>
      </c>
      <c r="F417" s="3147">
        <f>'Estados Financieros'!F417</f>
        <v>10</v>
      </c>
      <c r="G417" s="3147">
        <f>'Estados Financieros'!G417</f>
        <v>10</v>
      </c>
      <c r="H417" s="3147">
        <f>'Estados Financieros'!H417</f>
        <v>10</v>
      </c>
      <c r="I417" s="3146">
        <f>'Estados Financieros'!I417</f>
        <v>10</v>
      </c>
    </row>
    <row r="418" spans="1:9" s="58" customFormat="1" ht="19.5" x14ac:dyDescent="0.2">
      <c r="A418" s="52"/>
      <c r="B418" s="53"/>
      <c r="C418" s="73" t="s">
        <v>825</v>
      </c>
      <c r="D418" s="74"/>
      <c r="E418" s="3155">
        <f>'Estados Financieros'!E418</f>
        <v>150</v>
      </c>
      <c r="F418" s="3155">
        <f>'Estados Financieros'!F418</f>
        <v>150</v>
      </c>
      <c r="G418" s="3155">
        <f>'Estados Financieros'!G418</f>
        <v>150</v>
      </c>
      <c r="H418" s="3155">
        <f>'Estados Financieros'!H418</f>
        <v>150</v>
      </c>
      <c r="I418" s="3154">
        <f>'Estados Financieros'!I418</f>
        <v>150</v>
      </c>
    </row>
    <row r="419" spans="1:9" s="58" customFormat="1" ht="19.5" x14ac:dyDescent="0.2">
      <c r="A419" s="52"/>
      <c r="B419" s="86" t="s">
        <v>826</v>
      </c>
      <c r="C419" s="112"/>
      <c r="D419" s="87"/>
      <c r="E419" s="3140">
        <f>'Estados Financieros'!E419</f>
        <v>2810</v>
      </c>
      <c r="F419" s="3140">
        <f>'Estados Financieros'!F419</f>
        <v>2810</v>
      </c>
      <c r="G419" s="3140">
        <f>'Estados Financieros'!G419</f>
        <v>2810</v>
      </c>
      <c r="H419" s="3140">
        <f>'Estados Financieros'!H419</f>
        <v>2810</v>
      </c>
      <c r="I419" s="3139">
        <f>'Estados Financieros'!I419</f>
        <v>2810</v>
      </c>
    </row>
    <row r="420" spans="1:9" s="58" customFormat="1" ht="19.5" x14ac:dyDescent="0.2">
      <c r="A420" s="52"/>
      <c r="B420" s="47"/>
      <c r="C420" s="113" t="s">
        <v>827</v>
      </c>
      <c r="D420" s="65"/>
      <c r="E420" s="3151"/>
      <c r="F420" s="3151"/>
      <c r="G420" s="3151"/>
      <c r="H420" s="3151"/>
      <c r="I420" s="3150"/>
    </row>
    <row r="421" spans="1:9" s="58" customFormat="1" ht="19.5" x14ac:dyDescent="0.2">
      <c r="A421" s="52"/>
      <c r="B421" s="53"/>
      <c r="C421" s="42"/>
      <c r="D421" s="54" t="s">
        <v>828</v>
      </c>
      <c r="E421" s="3149">
        <f>'Estados Financieros'!E421</f>
        <v>10</v>
      </c>
      <c r="F421" s="3149">
        <f>'Estados Financieros'!F421</f>
        <v>10</v>
      </c>
      <c r="G421" s="3149">
        <f>'Estados Financieros'!G421</f>
        <v>10</v>
      </c>
      <c r="H421" s="3149">
        <f>'Estados Financieros'!H421</f>
        <v>10</v>
      </c>
      <c r="I421" s="3148">
        <f>'Estados Financieros'!I421</f>
        <v>10</v>
      </c>
    </row>
    <row r="422" spans="1:9" s="58" customFormat="1" ht="19.5" x14ac:dyDescent="0.2">
      <c r="A422" s="52"/>
      <c r="B422" s="53"/>
      <c r="C422" s="42"/>
      <c r="D422" s="59" t="s">
        <v>829</v>
      </c>
      <c r="E422" s="3147">
        <f>'Estados Financieros'!E422</f>
        <v>10</v>
      </c>
      <c r="F422" s="3147">
        <f>'Estados Financieros'!F422</f>
        <v>10</v>
      </c>
      <c r="G422" s="3147">
        <f>'Estados Financieros'!G422</f>
        <v>10</v>
      </c>
      <c r="H422" s="3147">
        <f>'Estados Financieros'!H422</f>
        <v>10</v>
      </c>
      <c r="I422" s="3146">
        <f>'Estados Financieros'!I422</f>
        <v>10</v>
      </c>
    </row>
    <row r="423" spans="1:9" s="58" customFormat="1" ht="19.5" x14ac:dyDescent="0.2">
      <c r="A423" s="52"/>
      <c r="B423" s="53"/>
      <c r="C423" s="42"/>
      <c r="D423" s="59" t="s">
        <v>830</v>
      </c>
      <c r="E423" s="3147">
        <f>'Estados Financieros'!E423</f>
        <v>10</v>
      </c>
      <c r="F423" s="3147">
        <f>'Estados Financieros'!F423</f>
        <v>10</v>
      </c>
      <c r="G423" s="3147">
        <f>'Estados Financieros'!G423</f>
        <v>10</v>
      </c>
      <c r="H423" s="3147">
        <f>'Estados Financieros'!H423</f>
        <v>10</v>
      </c>
      <c r="I423" s="3146">
        <f>'Estados Financieros'!I423</f>
        <v>10</v>
      </c>
    </row>
    <row r="424" spans="1:9" s="58" customFormat="1" ht="19.5" x14ac:dyDescent="0.2">
      <c r="A424" s="52"/>
      <c r="B424" s="53"/>
      <c r="C424" s="42"/>
      <c r="D424" s="59" t="s">
        <v>831</v>
      </c>
      <c r="E424" s="3147">
        <f>'Estados Financieros'!E424</f>
        <v>10</v>
      </c>
      <c r="F424" s="3147">
        <f>'Estados Financieros'!F424</f>
        <v>10</v>
      </c>
      <c r="G424" s="3147">
        <f>'Estados Financieros'!G424</f>
        <v>10</v>
      </c>
      <c r="H424" s="3147">
        <f>'Estados Financieros'!H424</f>
        <v>10</v>
      </c>
      <c r="I424" s="3146">
        <f>'Estados Financieros'!I424</f>
        <v>10</v>
      </c>
    </row>
    <row r="425" spans="1:9" s="58" customFormat="1" ht="19.5" x14ac:dyDescent="0.2">
      <c r="A425" s="52"/>
      <c r="B425" s="53"/>
      <c r="C425" s="42"/>
      <c r="D425" s="59" t="s">
        <v>832</v>
      </c>
      <c r="E425" s="3147">
        <f>'Estados Financieros'!E425</f>
        <v>10</v>
      </c>
      <c r="F425" s="3147">
        <f>'Estados Financieros'!F425</f>
        <v>10</v>
      </c>
      <c r="G425" s="3147">
        <f>'Estados Financieros'!G425</f>
        <v>10</v>
      </c>
      <c r="H425" s="3147">
        <f>'Estados Financieros'!H425</f>
        <v>10</v>
      </c>
      <c r="I425" s="3146">
        <f>'Estados Financieros'!I425</f>
        <v>10</v>
      </c>
    </row>
    <row r="426" spans="1:9" s="58" customFormat="1" ht="19.5" x14ac:dyDescent="0.2">
      <c r="A426" s="52"/>
      <c r="B426" s="53"/>
      <c r="C426" s="42"/>
      <c r="D426" s="59" t="s">
        <v>812</v>
      </c>
      <c r="E426" s="3147">
        <f>'Estados Financieros'!E426</f>
        <v>10</v>
      </c>
      <c r="F426" s="3147">
        <f>'Estados Financieros'!F426</f>
        <v>10</v>
      </c>
      <c r="G426" s="3147">
        <f>'Estados Financieros'!G426</f>
        <v>10</v>
      </c>
      <c r="H426" s="3147">
        <f>'Estados Financieros'!H426</f>
        <v>10</v>
      </c>
      <c r="I426" s="3146">
        <f>'Estados Financieros'!I426</f>
        <v>10</v>
      </c>
    </row>
    <row r="427" spans="1:9" s="58" customFormat="1" ht="19.5" x14ac:dyDescent="0.2">
      <c r="A427" s="52"/>
      <c r="B427" s="53"/>
      <c r="C427" s="42"/>
      <c r="D427" s="59" t="s">
        <v>833</v>
      </c>
      <c r="E427" s="3147">
        <f>'Estados Financieros'!E427</f>
        <v>10</v>
      </c>
      <c r="F427" s="3147">
        <f>'Estados Financieros'!F427</f>
        <v>10</v>
      </c>
      <c r="G427" s="3147">
        <f>'Estados Financieros'!G427</f>
        <v>10</v>
      </c>
      <c r="H427" s="3147">
        <f>'Estados Financieros'!H427</f>
        <v>10</v>
      </c>
      <c r="I427" s="3146">
        <f>'Estados Financieros'!I427</f>
        <v>10</v>
      </c>
    </row>
    <row r="428" spans="1:9" s="58" customFormat="1" ht="19.5" x14ac:dyDescent="0.2">
      <c r="A428" s="52"/>
      <c r="B428" s="53"/>
      <c r="C428" s="42"/>
      <c r="D428" s="59" t="s">
        <v>469</v>
      </c>
      <c r="E428" s="3147">
        <f>'Estados Financieros'!E428</f>
        <v>10</v>
      </c>
      <c r="F428" s="3147">
        <f>'Estados Financieros'!F428</f>
        <v>10</v>
      </c>
      <c r="G428" s="3147">
        <f>'Estados Financieros'!G428</f>
        <v>10</v>
      </c>
      <c r="H428" s="3147">
        <f>'Estados Financieros'!H428</f>
        <v>10</v>
      </c>
      <c r="I428" s="3146">
        <f>'Estados Financieros'!I428</f>
        <v>10</v>
      </c>
    </row>
    <row r="429" spans="1:9" s="58" customFormat="1" ht="19.5" x14ac:dyDescent="0.2">
      <c r="A429" s="52"/>
      <c r="B429" s="53"/>
      <c r="C429" s="42"/>
      <c r="D429" s="59" t="s">
        <v>834</v>
      </c>
      <c r="E429" s="3147">
        <f>'Estados Financieros'!E429</f>
        <v>10</v>
      </c>
      <c r="F429" s="3147">
        <f>'Estados Financieros'!F429</f>
        <v>10</v>
      </c>
      <c r="G429" s="3147">
        <f>'Estados Financieros'!G429</f>
        <v>10</v>
      </c>
      <c r="H429" s="3147">
        <f>'Estados Financieros'!H429</f>
        <v>10</v>
      </c>
      <c r="I429" s="3146">
        <f>'Estados Financieros'!I429</f>
        <v>10</v>
      </c>
    </row>
    <row r="430" spans="1:9" s="58" customFormat="1" ht="19.5" x14ac:dyDescent="0.2">
      <c r="A430" s="52"/>
      <c r="B430" s="53"/>
      <c r="C430" s="42"/>
      <c r="D430" s="59" t="s">
        <v>835</v>
      </c>
      <c r="E430" s="3147">
        <f>'Estados Financieros'!E430</f>
        <v>10</v>
      </c>
      <c r="F430" s="3147">
        <f>'Estados Financieros'!F430</f>
        <v>10</v>
      </c>
      <c r="G430" s="3147">
        <f>'Estados Financieros'!G430</f>
        <v>10</v>
      </c>
      <c r="H430" s="3147">
        <f>'Estados Financieros'!H430</f>
        <v>10</v>
      </c>
      <c r="I430" s="3146">
        <f>'Estados Financieros'!I430</f>
        <v>10</v>
      </c>
    </row>
    <row r="431" spans="1:9" s="58" customFormat="1" ht="19.5" x14ac:dyDescent="0.2">
      <c r="A431" s="52"/>
      <c r="B431" s="53"/>
      <c r="C431" s="42"/>
      <c r="D431" s="59" t="s">
        <v>529</v>
      </c>
      <c r="E431" s="3147">
        <f>'Estados Financieros'!E431</f>
        <v>10</v>
      </c>
      <c r="F431" s="3147">
        <f>'Estados Financieros'!F431</f>
        <v>10</v>
      </c>
      <c r="G431" s="3147">
        <f>'Estados Financieros'!G431</f>
        <v>10</v>
      </c>
      <c r="H431" s="3147">
        <f>'Estados Financieros'!H431</f>
        <v>10</v>
      </c>
      <c r="I431" s="3146">
        <f>'Estados Financieros'!I431</f>
        <v>10</v>
      </c>
    </row>
    <row r="432" spans="1:9" s="58" customFormat="1" ht="19.5" x14ac:dyDescent="0.2">
      <c r="A432" s="52"/>
      <c r="B432" s="53"/>
      <c r="C432" s="42"/>
      <c r="D432" s="59" t="s">
        <v>819</v>
      </c>
      <c r="E432" s="3147">
        <f>'Estados Financieros'!E432</f>
        <v>10</v>
      </c>
      <c r="F432" s="3147">
        <f>'Estados Financieros'!F432</f>
        <v>10</v>
      </c>
      <c r="G432" s="3147">
        <f>'Estados Financieros'!G432</f>
        <v>10</v>
      </c>
      <c r="H432" s="3147">
        <f>'Estados Financieros'!H432</f>
        <v>10</v>
      </c>
      <c r="I432" s="3146">
        <f>'Estados Financieros'!I432</f>
        <v>10</v>
      </c>
    </row>
    <row r="433" spans="1:9" s="58" customFormat="1" ht="19.5" x14ac:dyDescent="0.2">
      <c r="A433" s="52"/>
      <c r="B433" s="53"/>
      <c r="C433" s="60" t="s">
        <v>836</v>
      </c>
      <c r="D433" s="61"/>
      <c r="E433" s="3153">
        <f>'Estados Financieros'!E433</f>
        <v>120</v>
      </c>
      <c r="F433" s="3153">
        <f>'Estados Financieros'!F433</f>
        <v>120</v>
      </c>
      <c r="G433" s="3153">
        <f>'Estados Financieros'!G433</f>
        <v>120</v>
      </c>
      <c r="H433" s="3153">
        <f>'Estados Financieros'!H433</f>
        <v>120</v>
      </c>
      <c r="I433" s="3152">
        <f>'Estados Financieros'!I433</f>
        <v>120</v>
      </c>
    </row>
    <row r="434" spans="1:9" s="58" customFormat="1" ht="19.5" x14ac:dyDescent="0.2">
      <c r="A434" s="52"/>
      <c r="B434" s="47"/>
      <c r="C434" s="48" t="s">
        <v>837</v>
      </c>
      <c r="D434" s="65"/>
      <c r="E434" s="3151"/>
      <c r="F434" s="3151"/>
      <c r="G434" s="3151"/>
      <c r="H434" s="3151"/>
      <c r="I434" s="3150"/>
    </row>
    <row r="435" spans="1:9" s="58" customFormat="1" ht="19.5" x14ac:dyDescent="0.2">
      <c r="A435" s="52"/>
      <c r="B435" s="53"/>
      <c r="C435" s="42"/>
      <c r="D435" s="54" t="s">
        <v>838</v>
      </c>
      <c r="E435" s="3149">
        <f>'Estados Financieros'!E435</f>
        <v>10</v>
      </c>
      <c r="F435" s="3149">
        <f>'Estados Financieros'!F435</f>
        <v>10</v>
      </c>
      <c r="G435" s="3149">
        <f>'Estados Financieros'!G435</f>
        <v>10</v>
      </c>
      <c r="H435" s="3149">
        <f>'Estados Financieros'!H435</f>
        <v>10</v>
      </c>
      <c r="I435" s="3148">
        <f>'Estados Financieros'!I435</f>
        <v>10</v>
      </c>
    </row>
    <row r="436" spans="1:9" s="58" customFormat="1" ht="19.5" x14ac:dyDescent="0.2">
      <c r="A436" s="52"/>
      <c r="B436" s="53"/>
      <c r="C436" s="42"/>
      <c r="D436" s="59" t="s">
        <v>829</v>
      </c>
      <c r="E436" s="3147">
        <f>'Estados Financieros'!E436</f>
        <v>10</v>
      </c>
      <c r="F436" s="3147">
        <f>'Estados Financieros'!F436</f>
        <v>10</v>
      </c>
      <c r="G436" s="3147">
        <f>'Estados Financieros'!G436</f>
        <v>10</v>
      </c>
      <c r="H436" s="3147">
        <f>'Estados Financieros'!H436</f>
        <v>10</v>
      </c>
      <c r="I436" s="3146">
        <f>'Estados Financieros'!I436</f>
        <v>10</v>
      </c>
    </row>
    <row r="437" spans="1:9" s="58" customFormat="1" ht="19.5" x14ac:dyDescent="0.2">
      <c r="A437" s="52"/>
      <c r="B437" s="53"/>
      <c r="C437" s="42"/>
      <c r="D437" s="59" t="s">
        <v>839</v>
      </c>
      <c r="E437" s="3147">
        <f>'Estados Financieros'!E437</f>
        <v>10</v>
      </c>
      <c r="F437" s="3147">
        <f>'Estados Financieros'!F437</f>
        <v>10</v>
      </c>
      <c r="G437" s="3147">
        <f>'Estados Financieros'!G437</f>
        <v>10</v>
      </c>
      <c r="H437" s="3147">
        <f>'Estados Financieros'!H437</f>
        <v>10</v>
      </c>
      <c r="I437" s="3146">
        <f>'Estados Financieros'!I437</f>
        <v>10</v>
      </c>
    </row>
    <row r="438" spans="1:9" s="58" customFormat="1" ht="19.5" x14ac:dyDescent="0.2">
      <c r="A438" s="52"/>
      <c r="B438" s="53"/>
      <c r="C438" s="42"/>
      <c r="D438" s="59" t="s">
        <v>840</v>
      </c>
      <c r="E438" s="3147">
        <f>'Estados Financieros'!E438</f>
        <v>10</v>
      </c>
      <c r="F438" s="3147">
        <f>'Estados Financieros'!F438</f>
        <v>10</v>
      </c>
      <c r="G438" s="3147">
        <f>'Estados Financieros'!G438</f>
        <v>10</v>
      </c>
      <c r="H438" s="3147">
        <f>'Estados Financieros'!H438</f>
        <v>10</v>
      </c>
      <c r="I438" s="3146">
        <f>'Estados Financieros'!I438</f>
        <v>10</v>
      </c>
    </row>
    <row r="439" spans="1:9" s="58" customFormat="1" ht="19.5" x14ac:dyDescent="0.2">
      <c r="A439" s="52"/>
      <c r="B439" s="53"/>
      <c r="C439" s="42"/>
      <c r="D439" s="59" t="s">
        <v>831</v>
      </c>
      <c r="E439" s="3147">
        <f>'Estados Financieros'!E439</f>
        <v>10</v>
      </c>
      <c r="F439" s="3147">
        <f>'Estados Financieros'!F439</f>
        <v>10</v>
      </c>
      <c r="G439" s="3147">
        <f>'Estados Financieros'!G439</f>
        <v>10</v>
      </c>
      <c r="H439" s="3147">
        <f>'Estados Financieros'!H439</f>
        <v>10</v>
      </c>
      <c r="I439" s="3146">
        <f>'Estados Financieros'!I439</f>
        <v>10</v>
      </c>
    </row>
    <row r="440" spans="1:9" s="58" customFormat="1" ht="19.5" x14ac:dyDescent="0.2">
      <c r="A440" s="52"/>
      <c r="B440" s="53"/>
      <c r="C440" s="42"/>
      <c r="D440" s="59" t="s">
        <v>841</v>
      </c>
      <c r="E440" s="3147">
        <f>'Estados Financieros'!E440</f>
        <v>10</v>
      </c>
      <c r="F440" s="3147">
        <f>'Estados Financieros'!F440</f>
        <v>10</v>
      </c>
      <c r="G440" s="3147">
        <f>'Estados Financieros'!G440</f>
        <v>10</v>
      </c>
      <c r="H440" s="3147">
        <f>'Estados Financieros'!H440</f>
        <v>10</v>
      </c>
      <c r="I440" s="3146">
        <f>'Estados Financieros'!I440</f>
        <v>10</v>
      </c>
    </row>
    <row r="441" spans="1:9" s="58" customFormat="1" ht="19.5" x14ac:dyDescent="0.2">
      <c r="A441" s="52"/>
      <c r="B441" s="53"/>
      <c r="C441" s="42"/>
      <c r="D441" s="59" t="s">
        <v>842</v>
      </c>
      <c r="E441" s="3147">
        <f>'Estados Financieros'!E441</f>
        <v>10</v>
      </c>
      <c r="F441" s="3147">
        <f>'Estados Financieros'!F441</f>
        <v>10</v>
      </c>
      <c r="G441" s="3147">
        <f>'Estados Financieros'!G441</f>
        <v>10</v>
      </c>
      <c r="H441" s="3147">
        <f>'Estados Financieros'!H441</f>
        <v>10</v>
      </c>
      <c r="I441" s="3146">
        <f>'Estados Financieros'!I441</f>
        <v>10</v>
      </c>
    </row>
    <row r="442" spans="1:9" s="58" customFormat="1" ht="19.5" x14ac:dyDescent="0.2">
      <c r="A442" s="52"/>
      <c r="B442" s="53"/>
      <c r="C442" s="42"/>
      <c r="D442" s="59" t="s">
        <v>843</v>
      </c>
      <c r="E442" s="3147">
        <f>'Estados Financieros'!E442</f>
        <v>10</v>
      </c>
      <c r="F442" s="3147">
        <f>'Estados Financieros'!F442</f>
        <v>10</v>
      </c>
      <c r="G442" s="3147">
        <f>'Estados Financieros'!G442</f>
        <v>10</v>
      </c>
      <c r="H442" s="3147">
        <f>'Estados Financieros'!H442</f>
        <v>10</v>
      </c>
      <c r="I442" s="3146">
        <f>'Estados Financieros'!I442</f>
        <v>10</v>
      </c>
    </row>
    <row r="443" spans="1:9" s="58" customFormat="1" ht="19.5" x14ac:dyDescent="0.2">
      <c r="A443" s="52"/>
      <c r="B443" s="53"/>
      <c r="C443" s="42"/>
      <c r="D443" s="59" t="s">
        <v>844</v>
      </c>
      <c r="E443" s="3147">
        <f>'Estados Financieros'!E443</f>
        <v>10</v>
      </c>
      <c r="F443" s="3147">
        <f>'Estados Financieros'!F443</f>
        <v>10</v>
      </c>
      <c r="G443" s="3147">
        <f>'Estados Financieros'!G443</f>
        <v>10</v>
      </c>
      <c r="H443" s="3147">
        <f>'Estados Financieros'!H443</f>
        <v>10</v>
      </c>
      <c r="I443" s="3146">
        <f>'Estados Financieros'!I443</f>
        <v>10</v>
      </c>
    </row>
    <row r="444" spans="1:9" s="58" customFormat="1" ht="19.5" x14ac:dyDescent="0.2">
      <c r="A444" s="52"/>
      <c r="B444" s="53"/>
      <c r="C444" s="42"/>
      <c r="D444" s="59" t="s">
        <v>845</v>
      </c>
      <c r="E444" s="3147">
        <f>'Estados Financieros'!E444</f>
        <v>10</v>
      </c>
      <c r="F444" s="3147">
        <f>'Estados Financieros'!F444</f>
        <v>10</v>
      </c>
      <c r="G444" s="3147">
        <f>'Estados Financieros'!G444</f>
        <v>10</v>
      </c>
      <c r="H444" s="3147">
        <f>'Estados Financieros'!H444</f>
        <v>10</v>
      </c>
      <c r="I444" s="3146">
        <f>'Estados Financieros'!I444</f>
        <v>10</v>
      </c>
    </row>
    <row r="445" spans="1:9" s="58" customFormat="1" ht="19.5" x14ac:dyDescent="0.2">
      <c r="A445" s="52"/>
      <c r="B445" s="53"/>
      <c r="C445" s="42"/>
      <c r="D445" s="59" t="s">
        <v>776</v>
      </c>
      <c r="E445" s="3147">
        <f>'Estados Financieros'!E445</f>
        <v>10</v>
      </c>
      <c r="F445" s="3147">
        <f>'Estados Financieros'!F445</f>
        <v>10</v>
      </c>
      <c r="G445" s="3147">
        <f>'Estados Financieros'!G445</f>
        <v>10</v>
      </c>
      <c r="H445" s="3147">
        <f>'Estados Financieros'!H445</f>
        <v>10</v>
      </c>
      <c r="I445" s="3146">
        <f>'Estados Financieros'!I445</f>
        <v>10</v>
      </c>
    </row>
    <row r="446" spans="1:9" s="58" customFormat="1" ht="19.5" x14ac:dyDescent="0.2">
      <c r="A446" s="52"/>
      <c r="B446" s="53"/>
      <c r="C446" s="42"/>
      <c r="D446" s="59" t="s">
        <v>846</v>
      </c>
      <c r="E446" s="3147">
        <f>'Estados Financieros'!E446</f>
        <v>10</v>
      </c>
      <c r="F446" s="3147">
        <f>'Estados Financieros'!F446</f>
        <v>10</v>
      </c>
      <c r="G446" s="3147">
        <f>'Estados Financieros'!G446</f>
        <v>10</v>
      </c>
      <c r="H446" s="3147">
        <f>'Estados Financieros'!H446</f>
        <v>10</v>
      </c>
      <c r="I446" s="3146">
        <f>'Estados Financieros'!I446</f>
        <v>10</v>
      </c>
    </row>
    <row r="447" spans="1:9" s="58" customFormat="1" ht="19.5" x14ac:dyDescent="0.2">
      <c r="A447" s="52"/>
      <c r="B447" s="53"/>
      <c r="C447" s="60" t="s">
        <v>847</v>
      </c>
      <c r="D447" s="96"/>
      <c r="E447" s="3145">
        <f>'Estados Financieros'!E447</f>
        <v>120</v>
      </c>
      <c r="F447" s="3145">
        <f>'Estados Financieros'!F447</f>
        <v>120</v>
      </c>
      <c r="G447" s="3145">
        <f>'Estados Financieros'!G447</f>
        <v>120</v>
      </c>
      <c r="H447" s="3145">
        <f>'Estados Financieros'!H447</f>
        <v>120</v>
      </c>
      <c r="I447" s="3144">
        <f>'Estados Financieros'!I447</f>
        <v>120</v>
      </c>
    </row>
    <row r="448" spans="1:9" s="58" customFormat="1" ht="19.5" x14ac:dyDescent="0.2">
      <c r="A448" s="52"/>
      <c r="B448" s="53"/>
      <c r="C448" s="42"/>
      <c r="D448" s="89" t="s">
        <v>848</v>
      </c>
      <c r="E448" s="3143">
        <f>'Estados Financieros'!E448</f>
        <v>0</v>
      </c>
      <c r="F448" s="3143">
        <f>'Estados Financieros'!F448</f>
        <v>0</v>
      </c>
      <c r="G448" s="3143">
        <f>'Estados Financieros'!G448</f>
        <v>0</v>
      </c>
      <c r="H448" s="3143">
        <f>'Estados Financieros'!H448</f>
        <v>0</v>
      </c>
      <c r="I448" s="3141">
        <f>'Estados Financieros'!I448</f>
        <v>0</v>
      </c>
    </row>
    <row r="449" spans="1:9" s="58" customFormat="1" ht="19.5" x14ac:dyDescent="0.2">
      <c r="A449" s="22"/>
      <c r="B449" s="86" t="s">
        <v>849</v>
      </c>
      <c r="C449" s="112"/>
      <c r="D449" s="87"/>
      <c r="E449" s="3140">
        <f>'Estados Financieros'!E449</f>
        <v>2810</v>
      </c>
      <c r="F449" s="3140">
        <f>'Estados Financieros'!F449</f>
        <v>2810</v>
      </c>
      <c r="G449" s="3140">
        <f>'Estados Financieros'!G449</f>
        <v>2810</v>
      </c>
      <c r="H449" s="3140">
        <f>'Estados Financieros'!H449</f>
        <v>2810</v>
      </c>
      <c r="I449" s="3139">
        <f>'Estados Financieros'!I449</f>
        <v>2810</v>
      </c>
    </row>
    <row r="450" spans="1:9" s="58" customFormat="1" ht="19.5" x14ac:dyDescent="0.2">
      <c r="A450" s="52"/>
      <c r="B450" s="53"/>
      <c r="C450" s="42"/>
      <c r="D450" s="114" t="s">
        <v>811</v>
      </c>
      <c r="E450" s="3143">
        <f>'Estados Financieros'!E450</f>
        <v>0</v>
      </c>
      <c r="F450" s="3143">
        <f>'Estados Financieros'!F450</f>
        <v>0</v>
      </c>
      <c r="G450" s="3142">
        <f>'Estados Financieros'!G450</f>
        <v>0</v>
      </c>
      <c r="H450" s="3142">
        <f>'Estados Financieros'!H450</f>
        <v>0</v>
      </c>
      <c r="I450" s="3141">
        <f>'Estados Financieros'!I450</f>
        <v>0</v>
      </c>
    </row>
    <row r="451" spans="1:9" s="58" customFormat="1" ht="19.5" x14ac:dyDescent="0.2">
      <c r="A451" s="52"/>
      <c r="B451" s="86" t="s">
        <v>850</v>
      </c>
      <c r="C451" s="112"/>
      <c r="D451" s="87"/>
      <c r="E451" s="3140">
        <f>'Estados Financieros'!E451</f>
        <v>2810</v>
      </c>
      <c r="F451" s="3140">
        <f>'Estados Financieros'!F451</f>
        <v>2810</v>
      </c>
      <c r="G451" s="3140">
        <f>'Estados Financieros'!G451</f>
        <v>2810</v>
      </c>
      <c r="H451" s="3140">
        <f>'Estados Financieros'!H451</f>
        <v>2810</v>
      </c>
      <c r="I451" s="3139">
        <f>'Estados Financieros'!I451</f>
        <v>2810</v>
      </c>
    </row>
    <row r="452" spans="1:9" s="58" customFormat="1" ht="19.5" x14ac:dyDescent="0.2">
      <c r="A452" s="22"/>
      <c r="B452" s="116" t="s">
        <v>851</v>
      </c>
      <c r="C452" s="66"/>
      <c r="D452" s="117"/>
      <c r="E452" s="3138">
        <f>'Estados Financieros'!E452</f>
        <v>0</v>
      </c>
      <c r="F452" s="3137">
        <f>'Estados Financieros'!F452</f>
        <v>0</v>
      </c>
      <c r="G452" s="3137">
        <f>'Estados Financieros'!G452</f>
        <v>0</v>
      </c>
      <c r="H452" s="3137">
        <f>'Estados Financieros'!H452</f>
        <v>0</v>
      </c>
      <c r="I452" s="3136">
        <f>'Estados Financieros'!I452</f>
        <v>0</v>
      </c>
    </row>
    <row r="453" spans="1:9" s="58" customFormat="1" ht="19.5" x14ac:dyDescent="0.3">
      <c r="A453" s="22"/>
      <c r="B453" s="22"/>
      <c r="C453" s="22"/>
      <c r="E453" s="3135"/>
      <c r="F453" s="3135"/>
      <c r="G453" s="3135"/>
      <c r="H453" s="3135"/>
      <c r="I453" s="3134"/>
    </row>
    <row r="454" spans="1:9" ht="21" x14ac:dyDescent="0.35">
      <c r="A454" s="123"/>
      <c r="B454" s="123"/>
      <c r="C454" s="123"/>
      <c r="D454" s="124" t="s">
        <v>852</v>
      </c>
      <c r="E454" s="3133">
        <f>'Estados Financieros'!E454</f>
        <v>2850</v>
      </c>
      <c r="F454" s="3133">
        <f>'Estados Financieros'!F454</f>
        <v>2850</v>
      </c>
      <c r="G454" s="3133">
        <f>'Estados Financieros'!G454</f>
        <v>2850</v>
      </c>
      <c r="H454" s="3133">
        <f>'Estados Financieros'!H454</f>
        <v>2850</v>
      </c>
      <c r="I454" s="3132">
        <f>'Estados Financieros'!I454</f>
        <v>2850</v>
      </c>
    </row>
    <row r="455" spans="1:9" x14ac:dyDescent="0.25">
      <c r="A455" s="123"/>
      <c r="B455" s="123"/>
      <c r="C455" s="123"/>
      <c r="D455" s="2"/>
      <c r="E455" s="3131"/>
      <c r="F455" s="3131"/>
      <c r="G455" s="3131"/>
      <c r="H455" s="3131"/>
      <c r="I455" s="3130"/>
    </row>
    <row r="456" spans="1:9" s="58" customFormat="1" x14ac:dyDescent="0.25">
      <c r="A456" s="22"/>
      <c r="B456" s="22"/>
      <c r="C456" s="22"/>
      <c r="D456" s="129" t="s">
        <v>853</v>
      </c>
      <c r="E456" s="130" t="str">
        <f>'Estados Financieros'!E456</f>
        <v>OK</v>
      </c>
      <c r="F456" s="130" t="str">
        <f>'Estados Financieros'!F456</f>
        <v>OK</v>
      </c>
      <c r="G456" s="130" t="str">
        <f>'Estados Financieros'!G456</f>
        <v>OK</v>
      </c>
      <c r="H456" s="130" t="str">
        <f>'Estados Financieros'!H456</f>
        <v>OK</v>
      </c>
      <c r="I456" s="131" t="str">
        <f>'Estados Financieros'!I456</f>
        <v>OK</v>
      </c>
    </row>
    <row r="457" spans="1:9" s="58" customFormat="1" ht="14.45" customHeight="1" x14ac:dyDescent="0.25">
      <c r="A457" s="22"/>
      <c r="B457" s="22"/>
      <c r="C457" s="22"/>
      <c r="D457" s="135" t="s">
        <v>854</v>
      </c>
      <c r="E457" s="3359" t="str">
        <f>'Estados Financieros'!E458</f>
        <v>OK</v>
      </c>
      <c r="F457" s="3359" t="str">
        <f>'Estados Financieros'!F458</f>
        <v>OK</v>
      </c>
      <c r="G457" s="3359" t="str">
        <f>'Estados Financieros'!G458</f>
        <v>OK</v>
      </c>
      <c r="H457" s="3359" t="str">
        <f>'Estados Financieros'!H458</f>
        <v>OK</v>
      </c>
      <c r="I457" s="3357" t="str">
        <f>'Estados Financieros'!I458</f>
        <v>OK</v>
      </c>
    </row>
    <row r="458" spans="1:9" s="58" customFormat="1" ht="14.45" customHeight="1" x14ac:dyDescent="0.25">
      <c r="A458" s="22"/>
      <c r="B458" s="22"/>
      <c r="C458" s="22"/>
      <c r="D458" s="135" t="s">
        <v>856</v>
      </c>
      <c r="E458" s="3360">
        <v>0</v>
      </c>
      <c r="F458" s="3360">
        <v>0</v>
      </c>
      <c r="G458" s="3360">
        <v>0</v>
      </c>
      <c r="H458" s="3360">
        <v>0</v>
      </c>
      <c r="I458" s="3358">
        <v>0</v>
      </c>
    </row>
    <row r="459" spans="1:9" s="58" customFormat="1" x14ac:dyDescent="0.25">
      <c r="A459" s="22"/>
      <c r="B459" s="22"/>
      <c r="C459" s="22"/>
      <c r="D459" s="129" t="s">
        <v>857</v>
      </c>
      <c r="E459" s="130" t="str">
        <f>'Estados Financieros'!E460</f>
        <v>OK</v>
      </c>
      <c r="F459" s="130" t="str">
        <f>'Estados Financieros'!F460</f>
        <v>OK</v>
      </c>
      <c r="G459" s="130" t="str">
        <f>'Estados Financieros'!G460</f>
        <v>OK</v>
      </c>
      <c r="H459" s="130" t="str">
        <f>'Estados Financieros'!H460</f>
        <v>OK</v>
      </c>
      <c r="I459" s="131" t="str">
        <f>'Estados Financieros'!I460</f>
        <v>OK</v>
      </c>
    </row>
    <row r="460" spans="1:9" s="58" customFormat="1" x14ac:dyDescent="0.25">
      <c r="A460" s="22"/>
      <c r="B460" s="22"/>
      <c r="C460" s="22"/>
      <c r="D460" s="132" t="s">
        <v>858</v>
      </c>
      <c r="E460" s="3129">
        <f>'Estados Financieros'!E461</f>
        <v>0</v>
      </c>
      <c r="F460" s="3129">
        <f>'Estados Financieros'!F461</f>
        <v>0</v>
      </c>
      <c r="G460" s="3129">
        <f>'Estados Financieros'!G461</f>
        <v>0</v>
      </c>
      <c r="H460" s="3129">
        <f>'Estados Financieros'!H461</f>
        <v>0</v>
      </c>
      <c r="I460" s="3128">
        <f>'Estados Financieros'!I461</f>
        <v>0</v>
      </c>
    </row>
    <row r="461" spans="1:9" x14ac:dyDescent="0.25">
      <c r="E461" s="3123"/>
      <c r="F461" s="3123"/>
      <c r="G461" s="3123"/>
      <c r="H461" s="3123"/>
      <c r="I461" s="3127"/>
    </row>
    <row r="462" spans="1:9" x14ac:dyDescent="0.25">
      <c r="E462" s="3123"/>
      <c r="F462" s="3123"/>
      <c r="G462" s="3123"/>
      <c r="H462" s="3123"/>
      <c r="I462" s="3127"/>
    </row>
    <row r="463" spans="1:9" x14ac:dyDescent="0.25">
      <c r="E463" s="3123"/>
      <c r="F463" s="3123"/>
      <c r="G463" s="3123"/>
      <c r="H463" s="3123"/>
      <c r="I463" s="3127"/>
    </row>
    <row r="464" spans="1:9" x14ac:dyDescent="0.25">
      <c r="E464" s="3123"/>
      <c r="F464" s="3123"/>
      <c r="G464" s="3123"/>
      <c r="H464" s="3123"/>
      <c r="I464" s="3127"/>
    </row>
    <row r="465" spans="1:9" x14ac:dyDescent="0.25">
      <c r="E465" s="3123"/>
      <c r="F465" s="3123"/>
      <c r="G465" s="3123"/>
      <c r="H465" s="3123"/>
      <c r="I465" s="3127"/>
    </row>
    <row r="466" spans="1:9" x14ac:dyDescent="0.25">
      <c r="A466"/>
      <c r="B466"/>
      <c r="C466"/>
      <c r="E466" s="3123"/>
      <c r="F466" s="3123"/>
      <c r="G466" s="3123"/>
      <c r="H466" s="3123"/>
      <c r="I466" s="3127"/>
    </row>
    <row r="467" spans="1:9" x14ac:dyDescent="0.25">
      <c r="A467"/>
      <c r="B467"/>
      <c r="C467"/>
      <c r="E467" s="3123"/>
      <c r="F467" s="3123"/>
      <c r="G467" s="3123"/>
      <c r="H467" s="3123"/>
      <c r="I467" s="3127"/>
    </row>
    <row r="468" spans="1:9" x14ac:dyDescent="0.25">
      <c r="A468"/>
      <c r="B468"/>
      <c r="C468"/>
      <c r="E468" s="3123"/>
      <c r="F468" s="3123"/>
      <c r="G468" s="3123"/>
      <c r="H468" s="3123"/>
      <c r="I468" s="3127"/>
    </row>
    <row r="469" spans="1:9" x14ac:dyDescent="0.25">
      <c r="A469"/>
      <c r="B469"/>
      <c r="C469"/>
      <c r="E469" s="3123"/>
      <c r="F469" s="3123"/>
      <c r="G469" s="3123"/>
      <c r="H469" s="3123"/>
      <c r="I469" s="3127"/>
    </row>
    <row r="470" spans="1:9" x14ac:dyDescent="0.25">
      <c r="A470"/>
      <c r="B470"/>
      <c r="C470"/>
      <c r="E470" s="3123"/>
      <c r="F470" s="3123"/>
      <c r="G470" s="3123"/>
      <c r="H470" s="3123"/>
      <c r="I470" s="3127"/>
    </row>
    <row r="471" spans="1:9" x14ac:dyDescent="0.25">
      <c r="A471"/>
      <c r="B471"/>
      <c r="C471"/>
      <c r="E471" s="3123"/>
      <c r="F471" s="3123"/>
      <c r="G471" s="3123"/>
      <c r="H471" s="3123"/>
      <c r="I471" s="3127"/>
    </row>
    <row r="472" spans="1:9" x14ac:dyDescent="0.25">
      <c r="A472"/>
      <c r="B472"/>
      <c r="C472"/>
      <c r="E472" s="3123"/>
      <c r="F472" s="3123"/>
      <c r="G472" s="3123"/>
      <c r="H472" s="3123"/>
      <c r="I472" s="3127"/>
    </row>
    <row r="473" spans="1:9" x14ac:dyDescent="0.25">
      <c r="A473"/>
      <c r="B473"/>
      <c r="C473"/>
      <c r="E473" s="3123"/>
      <c r="F473" s="3123"/>
      <c r="G473" s="3123"/>
      <c r="H473" s="3123"/>
      <c r="I473" s="3127"/>
    </row>
    <row r="474" spans="1:9" x14ac:dyDescent="0.25">
      <c r="A474"/>
      <c r="B474"/>
      <c r="C474"/>
      <c r="E474" s="3123"/>
      <c r="F474" s="3123"/>
      <c r="G474" s="3123"/>
      <c r="H474" s="3123"/>
      <c r="I474" s="3127"/>
    </row>
    <row r="475" spans="1:9" x14ac:dyDescent="0.25">
      <c r="A475"/>
      <c r="B475"/>
      <c r="C475"/>
      <c r="E475" s="3123"/>
      <c r="F475" s="3123"/>
      <c r="G475" s="3123"/>
      <c r="H475" s="3123"/>
      <c r="I475" s="3127"/>
    </row>
    <row r="476" spans="1:9" x14ac:dyDescent="0.25">
      <c r="A476"/>
      <c r="B476"/>
      <c r="C476"/>
      <c r="E476" s="3123"/>
      <c r="F476" s="3123"/>
      <c r="G476" s="3123"/>
      <c r="H476" s="3123"/>
      <c r="I476" s="3127"/>
    </row>
    <row r="477" spans="1:9" x14ac:dyDescent="0.25">
      <c r="A477"/>
      <c r="B477"/>
      <c r="C477"/>
      <c r="E477" s="3123"/>
      <c r="F477" s="3123"/>
      <c r="G477" s="3123"/>
      <c r="H477" s="3123"/>
      <c r="I477" s="3127"/>
    </row>
    <row r="478" spans="1:9" x14ac:dyDescent="0.25">
      <c r="A478"/>
      <c r="B478"/>
      <c r="C478"/>
      <c r="E478" s="3123"/>
      <c r="F478" s="3123"/>
      <c r="G478" s="3123"/>
      <c r="H478" s="3123"/>
      <c r="I478" s="3127"/>
    </row>
    <row r="479" spans="1:9" x14ac:dyDescent="0.25">
      <c r="A479"/>
      <c r="B479"/>
      <c r="C479"/>
      <c r="E479" s="3123"/>
      <c r="F479" s="3123"/>
      <c r="G479" s="3123"/>
      <c r="H479" s="3123"/>
      <c r="I479" s="3127"/>
    </row>
    <row r="480" spans="1:9" x14ac:dyDescent="0.25">
      <c r="A480"/>
      <c r="B480"/>
      <c r="C480"/>
      <c r="E480" s="3123"/>
      <c r="F480" s="3123"/>
      <c r="G480" s="3123"/>
      <c r="H480" s="3123"/>
      <c r="I480" s="3127"/>
    </row>
    <row r="481" spans="1:9" x14ac:dyDescent="0.25">
      <c r="A481"/>
      <c r="B481"/>
      <c r="C481"/>
      <c r="E481" s="3123"/>
      <c r="F481" s="3123"/>
      <c r="G481" s="3123"/>
      <c r="H481" s="3123"/>
      <c r="I481" s="3127"/>
    </row>
  </sheetData>
  <mergeCells count="6">
    <mergeCell ref="I457:I458"/>
    <mergeCell ref="D2:G2"/>
    <mergeCell ref="E457:E458"/>
    <mergeCell ref="F457:F458"/>
    <mergeCell ref="G457:G458"/>
    <mergeCell ref="H457:H458"/>
  </mergeCells>
  <conditionalFormatting sqref="E459:I460 E375:I376 E456:I457">
    <cfRule type="containsText" dxfId="35" priority="3" operator="containsText" text="Descuadrado">
      <formula>NOT(ISERROR(SEARCH("Descuadrado",E375)))</formula>
    </cfRule>
    <cfRule type="containsText" dxfId="34" priority="4" stopIfTrue="1" operator="containsText" text="OK">
      <formula>NOT(ISERROR(SEARCH("OK",E375)))</formula>
    </cfRule>
  </conditionalFormatting>
  <conditionalFormatting sqref="D256">
    <cfRule type="cellIs" dxfId="33" priority="2" stopIfTrue="1" operator="equal">
      <formula>"Anticipos Recibidos de Clientes"</formula>
    </cfRule>
  </conditionalFormatting>
  <conditionalFormatting sqref="D424 D437:D438">
    <cfRule type="expression" dxfId="32" priority="1" stopIfTrue="1">
      <formula>$D$254="Anticipos Recibidos de Clientes"</formula>
    </cfRule>
  </conditionalFormatting>
  <dataValidations disablePrompts="1" count="16">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xr:uid="{00000000-0002-0000-2500-000000000000}">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xr:uid="{00000000-0002-0000-2500-000001000000}">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xr:uid="{00000000-0002-0000-2500-000002000000}">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xr:uid="{00000000-0002-0000-2500-00000300000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xr:uid="{00000000-0002-0000-2500-000004000000}">
      <formula1>0</formula1>
      <formula2>999999999999</formula2>
    </dataValidation>
    <dataValidation type="decimal" operator="greaterThan" allowBlank="1" showInputMessage="1" showErrorMessage="1" error="Debe digitar un número válido" sqref="F450:I450" xr:uid="{00000000-0002-0000-2500-00000500000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xr:uid="{00000000-0002-0000-2500-000006000000}">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xr:uid="{00000000-0002-0000-2500-000007000000}">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xr:uid="{00000000-0002-0000-2500-00000800000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xr:uid="{00000000-0002-0000-2500-000009000000}">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xr:uid="{00000000-0002-0000-2500-00000A00000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xr:uid="{00000000-0002-0000-2500-00000B000000}">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xr:uid="{00000000-0002-0000-2500-00000C000000}">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xr:uid="{00000000-0002-0000-2500-00000D000000}">
      <formula1>0</formula1>
      <formula2>999999999999</formula2>
    </dataValidation>
    <dataValidation type="list" allowBlank="1" showInputMessage="1" showErrorMessage="1" sqref="H10" xr:uid="{00000000-0002-0000-2500-00000E000000}">
      <formula1>#REF!</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452:I452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E342:E343 E349 E351 E355:E356 E359 E366:E368 E377:H379 I377:I381 I332:I351 I355:I374" xr:uid="{00000000-0002-0000-2500-00000F000000}">
      <formula1>-999999999999</formula1>
      <formula2>999999999999</formula2>
    </dataValidation>
  </dataValidations>
  <pageMargins left="0.7" right="0.7" top="0.75" bottom="0.75" header="0.3" footer="0.3"/>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9"/>
  <dimension ref="A1:AA153"/>
  <sheetViews>
    <sheetView showGridLines="0" showRowColHeaders="0" zoomScale="50" zoomScaleNormal="50" workbookViewId="0"/>
  </sheetViews>
  <sheetFormatPr baseColWidth="10" defaultColWidth="11.42578125" defaultRowHeight="20.100000000000001" customHeight="1" zeroHeight="1" x14ac:dyDescent="0.25"/>
  <cols>
    <col min="1" max="1" width="47.85546875" style="149" customWidth="1"/>
    <col min="2" max="7" width="27.7109375" style="149" customWidth="1"/>
    <col min="8" max="8" width="2.140625" style="149" customWidth="1"/>
    <col min="9" max="9" width="4.85546875" style="149" customWidth="1"/>
    <col min="10" max="10" width="71.85546875" style="149" customWidth="1"/>
    <col min="11" max="13" width="24.42578125" style="149" customWidth="1"/>
    <col min="14" max="15" width="22.42578125" style="149" customWidth="1"/>
    <col min="16" max="18" width="21" style="149" customWidth="1"/>
    <col min="19" max="20" width="19.7109375" style="149" customWidth="1"/>
    <col min="21" max="21" width="9.7109375" style="149" customWidth="1"/>
    <col min="22" max="22" width="12.7109375" style="149" customWidth="1"/>
    <col min="23" max="16384" width="11.42578125" style="149"/>
  </cols>
  <sheetData>
    <row r="1" spans="1:20" ht="27.75" x14ac:dyDescent="0.25">
      <c r="A1" s="147"/>
      <c r="B1" s="148" t="s">
        <v>863</v>
      </c>
    </row>
    <row r="2" spans="1:20" ht="30.75" thickBot="1" x14ac:dyDescent="0.3">
      <c r="A2" s="150"/>
      <c r="B2" s="151" t="str">
        <f>Fortalezas!A2</f>
        <v>Honduras</v>
      </c>
      <c r="L2" s="152" t="str">
        <f>"Resumen_"&amp;'RC'!D6</f>
        <v>Resumen_900142011</v>
      </c>
    </row>
    <row r="3" spans="1:20" s="156" customFormat="1" ht="45" x14ac:dyDescent="0.25">
      <c r="A3" s="153" t="str">
        <f>'Balances y Proyecciones'!B14</f>
        <v>Prueba Da 27.08.23</v>
      </c>
      <c r="B3" s="153"/>
      <c r="C3" s="153"/>
      <c r="D3" s="153"/>
      <c r="E3" s="153"/>
      <c r="F3" s="153"/>
      <c r="G3" s="153"/>
      <c r="H3" s="153"/>
      <c r="I3" s="153"/>
      <c r="J3" s="153"/>
      <c r="K3" s="153"/>
      <c r="L3" s="153"/>
      <c r="M3" s="153"/>
      <c r="N3" s="153"/>
      <c r="O3" s="153"/>
      <c r="P3" s="153"/>
      <c r="Q3" s="153"/>
      <c r="R3" s="154"/>
      <c r="S3" s="154"/>
      <c r="T3" s="155"/>
    </row>
    <row r="4" spans="1:20" s="156" customFormat="1" ht="30" x14ac:dyDescent="0.25">
      <c r="A4" s="157" t="str">
        <f ca="1">IF(MID(TEXT(NOW(),"dd-mmm-yy hh:mm"),8,2)="yy",TEXT(NOW(),"dd-mmm-aa hh:mm"),TEXT(NOW(),"dd-mmm-yy hh:mm"))</f>
        <v>27-ago-23 09:33</v>
      </c>
      <c r="B4" s="158"/>
      <c r="C4" s="158"/>
      <c r="D4" s="158"/>
      <c r="E4" s="158"/>
      <c r="F4" s="158"/>
      <c r="G4" s="158"/>
      <c r="H4" s="158"/>
      <c r="I4" s="158"/>
      <c r="J4" s="158"/>
      <c r="K4" s="158" t="s">
        <v>864</v>
      </c>
      <c r="L4" s="158" t="s">
        <v>865</v>
      </c>
      <c r="M4" s="158" t="s">
        <v>865</v>
      </c>
      <c r="N4" s="158"/>
      <c r="O4" s="158"/>
      <c r="P4" s="158"/>
      <c r="Q4" s="158"/>
      <c r="R4" s="149"/>
      <c r="S4" s="149"/>
      <c r="T4" s="159" t="str">
        <f>'Balances y Proyecciones'!C13</f>
        <v>Miles de Lempira HNL</v>
      </c>
    </row>
    <row r="5" spans="1:20" s="156" customFormat="1" ht="30" x14ac:dyDescent="0.25">
      <c r="A5" s="3184"/>
      <c r="B5" s="160"/>
      <c r="C5" s="3189" t="str">
        <f>'Estados Financieros'!E9</f>
        <v>Tasas:  = 0, -  = 0, -  = 0,</v>
      </c>
      <c r="D5" s="160"/>
      <c r="E5" s="160"/>
      <c r="F5" s="160"/>
      <c r="G5" s="161"/>
      <c r="I5" s="162" t="s">
        <v>801</v>
      </c>
      <c r="J5" s="163"/>
      <c r="K5" s="164">
        <f>C6</f>
        <v>2019</v>
      </c>
      <c r="L5" s="165">
        <f>IF(OR(K5=A86,K5=0),A87,IF(K5=A87,A89,""))</f>
        <v>2020</v>
      </c>
      <c r="M5" s="166">
        <f>IF(OR(K5=A86,K5=0),A89,A90)</f>
        <v>2021</v>
      </c>
      <c r="N5" s="167" t="s">
        <v>866</v>
      </c>
      <c r="O5" s="168"/>
      <c r="P5" s="167" t="s">
        <v>867</v>
      </c>
      <c r="Q5" s="169"/>
      <c r="R5" s="170"/>
      <c r="S5" s="171"/>
      <c r="T5" s="172"/>
    </row>
    <row r="6" spans="1:20" s="156" customFormat="1" ht="26.25" x14ac:dyDescent="0.25">
      <c r="A6" s="3361" t="s">
        <v>868</v>
      </c>
      <c r="B6" s="3362"/>
      <c r="C6" s="173">
        <f>'Balances y Proyecciones'!E428</f>
        <v>2019</v>
      </c>
      <c r="D6" s="173">
        <f>'Balances y Proyecciones'!H428</f>
        <v>2020</v>
      </c>
      <c r="E6" s="173">
        <f>'Balances y Proyecciones'!N428</f>
        <v>2021</v>
      </c>
      <c r="F6" s="174">
        <f ca="1">IF(AND(MONTH(NOW())&lt;=6,YEAR(NOW())=('Balances y Proyecciones'!Q428)),"Proy. "&amp;TEXT('Balances y Proyecciones'!Q428,"#.#0"),'Balances y Proyecciones'!Q428)</f>
        <v>2021</v>
      </c>
      <c r="G6" s="175" t="str">
        <f>"Proy. 2.0"&amp;RIGHT('Balances y Proyecciones'!U428,2)</f>
        <v>Proy. 2.023</v>
      </c>
      <c r="I6" s="176" t="s">
        <v>869</v>
      </c>
      <c r="J6" s="177"/>
      <c r="K6" s="178" t="str">
        <f>IF(ISERROR(VLOOKUP(K$5,$A$86:$C$90,2,0))=TRUE,"",VLOOKUP(K$5,$A$86:$C$90,2,0))</f>
        <v>Diciembre</v>
      </c>
      <c r="L6" s="179" t="str">
        <f>IF(ISERROR(VLOOKUP(L$5,$A$86:$C$90,2,0))=TRUE,"",VLOOKUP(L$5,$A$86:$C$90,2,0))</f>
        <v>Diciembre</v>
      </c>
      <c r="M6" s="180" t="str">
        <f>IF(ISERROR(VLOOKUP(M$5,$A$86:$C$90,2,0))=TRUE,"",VLOOKUP(M$5,$A$86:$C$90,2,0))</f>
        <v>Diciembre</v>
      </c>
      <c r="N6" s="181" t="str">
        <f>IF(OR(K5=0,L5=0,L5=""),"",IF($K$5=$A$88,LEFT(K6,1)&amp;". "&amp;RIGHT(K5,2)&amp;" / "&amp;LEFT(L6,1)&amp;". "&amp;RIGHT(L5,2),RIGHT(K5,2)&amp;" / "&amp;RIGHT(L5,2)))</f>
        <v>19 / 20</v>
      </c>
      <c r="O6" s="182" t="str">
        <f>IF($K$5=$A$88,IF(OR(K5=0,M5=0),"",LEFT(K6,1)&amp;". "&amp;RIGHT(K5,2)&amp;" / "&amp;LEFT(M6,1)&amp;". "&amp;RIGHT(M5,2)),IF(OR(L5=0,M5=0),"",RIGHT(L5,2)&amp;" / "&amp;RIGHT(M5,2)))</f>
        <v>20 / 21</v>
      </c>
      <c r="P6" s="183" t="str">
        <f>IF(K5=0,"",LEFT(K6,3)&amp;". "&amp;RIGHT(K5,2))</f>
        <v>Dic. 19</v>
      </c>
      <c r="Q6" s="184" t="str">
        <f>IF(OR(L5=0,L5=""),"",LEFT(L6,3)&amp;". "&amp;RIGHT(L5,2))</f>
        <v>Dic. 20</v>
      </c>
      <c r="R6" s="185" t="str">
        <f>IF(M5=0,"",LEFT(M6,3)&amp;". "&amp;RIGHT(M5,2))</f>
        <v>Dic. 21</v>
      </c>
      <c r="S6" s="186"/>
      <c r="T6" s="187"/>
    </row>
    <row r="7" spans="1:20" s="156" customFormat="1" ht="25.5" x14ac:dyDescent="0.25">
      <c r="A7" s="188" t="s">
        <v>870</v>
      </c>
      <c r="B7" s="189"/>
      <c r="C7" s="190">
        <f>IF($B$2="Costa Rica",'Balances y Proyecciones'!$E$579,IF($B$2="El Salvador",'Balances y Proyecciones'!$E$587,IF($B$2="Honduras",'Balances y Proyecciones'!$E$595,IF($B$2="Panamá",'Balances y Proyecciones'!$E$603,'Balances y Proyecciones'!$E$429))))</f>
        <v>6.8000000000000005E-2</v>
      </c>
      <c r="D7" s="190">
        <f>IF($B$2="Costa Rica",'Balances y Proyecciones'!$H$579,IF($B$2="El Salvador",'Balances y Proyecciones'!$H$587,IF($B$2="Honduras",'Balances y Proyecciones'!$H$595,IF($B$2="Panamá",'Balances y Proyecciones'!$H$603,'Balances y Proyecciones'!$H$429))))</f>
        <v>5.1999999999999998E-2</v>
      </c>
      <c r="E7" s="190">
        <f>IF($B$2="Costa Rica",'Balances y Proyecciones'!$N$579,IF($B$2="El Salvador",'Balances y Proyecciones'!$N$587,IF($B$2="Honduras",'Balances y Proyecciones'!$N$595,IF($B$2="Panamá",'Balances y Proyecciones'!$N$603,'Balances y Proyecciones'!$N$429))))</f>
        <v>5.1999999999999998E-2</v>
      </c>
      <c r="F7" s="190">
        <f>IF($B$2="Costa Rica",'Balances y Proyecciones'!$T$579,IF($B$2="El Salvador",'Balances y Proyecciones'!$T$587,IF($B$2="Honduras",'Balances y Proyecciones'!$T$595,IF($B$2="Panamá",'Balances y Proyecciones'!$T$603,'Balances y Proyecciones'!$T$429))))</f>
        <v>5.8000000000000003E-2</v>
      </c>
      <c r="G7" s="190">
        <f>IF($B$2="Costa Rica",'Balances y Proyecciones'!$U$579,IF($B$2="El Salvador",'Balances y Proyecciones'!$U$587,IF($B$2="Honduras",'Balances y Proyecciones'!$U$595,IF($B$2="Panamá",'Balances y Proyecciones'!$U$603,'Balances y Proyecciones'!$U$429))))</f>
        <v>5.5E-2</v>
      </c>
      <c r="I7" s="191" t="s">
        <v>871</v>
      </c>
      <c r="J7" s="192"/>
      <c r="K7" s="193">
        <f>IF(ISERROR(VLOOKUP(K$5,$A$86:$C$90,3,0))=TRUE,"",VLOOKUP(K$5,$A$86:$C$90,3,0))</f>
        <v>360</v>
      </c>
      <c r="L7" s="194">
        <f>IF(ISERROR(VLOOKUP(L$5,$A$86:$C$90,3,0))=TRUE,"",VLOOKUP(L$5,$A$86:$C$90,3,0))</f>
        <v>360</v>
      </c>
      <c r="M7" s="195">
        <f>IF(ISERROR(VLOOKUP(M$5,$A$86:$C$90,3,0))=TRUE,"",VLOOKUP(M$5,$A$86:$C$90,3,0))</f>
        <v>360</v>
      </c>
      <c r="N7" s="196"/>
      <c r="O7" s="197"/>
      <c r="P7" s="196"/>
      <c r="Q7" s="198"/>
      <c r="R7" s="197"/>
      <c r="S7" s="199"/>
      <c r="T7" s="187"/>
    </row>
    <row r="8" spans="1:20" s="156" customFormat="1" ht="25.5" x14ac:dyDescent="0.25">
      <c r="A8" s="188" t="s">
        <v>872</v>
      </c>
      <c r="B8" s="189"/>
      <c r="C8" s="190">
        <f>IF($B$2="Costa Rica",'Balances y Proyecciones'!$E$580,IF($B$2="El Salvador",'Balances y Proyecciones'!$E$588,IF($B$2="Honduras",'Balances y Proyecciones'!$E$596,IF($B$2="Panamá",'Balances y Proyecciones'!$E$604,'Balances y Proyecciones'!$E$430))))</f>
        <v>1.0582010582012237E-3</v>
      </c>
      <c r="D8" s="190">
        <f>IF($B$2="Costa Rica",'Balances y Proyecciones'!$H$580,IF($B$2="El Salvador",'Balances y Proyecciones'!$H$588,IF($B$2="Honduras",'Balances y Proyecciones'!$H$596,IF($B$2="Panamá",'Balances y Proyecciones'!$H$604,'Balances y Proyecciones'!$H$430))))</f>
        <v>3.0655391120507306E-2</v>
      </c>
      <c r="E8" s="190">
        <f>IF($B$2="Costa Rica",'Balances y Proyecciones'!$N$580,IF($B$2="El Salvador",'Balances y Proyecciones'!$N$588,IF($B$2="Honduras",'Balances y Proyecciones'!$N$596,IF($B$2="Panamá",'Balances y Proyecciones'!$N$604,'Balances y Proyecciones'!$N$430))))</f>
        <v>5.128205128205128E-2</v>
      </c>
      <c r="F8" s="190">
        <f>IF($B$2="Costa Rica",'Balances y Proyecciones'!$T$580,IF($B$2="El Salvador",'Balances y Proyecciones'!$T$588,IF($B$2="Honduras",'Balances y Proyecciones'!$T$596,IF($B$2="Panamá",'Balances y Proyecciones'!$T$604,'Balances y Proyecciones'!$T$430))))</f>
        <v>3.0731707317073122E-2</v>
      </c>
      <c r="G8" s="190">
        <f>IF($B$2="Costa Rica",'Balances y Proyecciones'!$U$580,IF($B$2="El Salvador",'Balances y Proyecciones'!$U$588,IF($B$2="Honduras",'Balances y Proyecciones'!$U$596,IF($B$2="Panamá",'Balances y Proyecciones'!$U$604,'Balances y Proyecciones'!$U$430))))</f>
        <v>-6.1523899668716993E-3</v>
      </c>
      <c r="I8" s="200"/>
      <c r="J8" s="201" t="s">
        <v>873</v>
      </c>
      <c r="K8" s="202">
        <f>IF(OR(K$5=0,AND(K$5&lt;&gt;$A$86,K$5&lt;&gt;$A$87,K$5&lt;&gt;$A$88)),0,IF(K$5=$A$86,'Balances y Proyecciones'!E71,IF(K$5=$A$87,'Balances y Proyecciones'!H71,'Balances y Proyecciones'!K71)))</f>
        <v>3610</v>
      </c>
      <c r="L8" s="203">
        <f>IF(OR(L$5=0,AND(L$5&lt;&gt;$A$87,L$5&lt;&gt;$A$89)),0,IF(L$5=$A$87,'Balances y Proyecciones'!H71,'Balances y Proyecciones'!N71))</f>
        <v>3610</v>
      </c>
      <c r="M8" s="204">
        <f>IF(OR(M$5=0,AND(M$5&lt;&gt;$A$89,M$5&lt;&gt;$A$90)),0,IF(M$5=$A$89,'Balances y Proyecciones'!N71,'Balances y Proyecciones'!Q71))</f>
        <v>3610</v>
      </c>
      <c r="N8" s="205">
        <f t="shared" ref="N8:N24" si="0">IF(OR(K8=0,K$7=0,L$7=0,L$7=""),"",(L8*360/L$7)/(K8*360/K$7)-1)</f>
        <v>0</v>
      </c>
      <c r="O8" s="206">
        <f t="shared" ref="O8:O24" si="1">IF($K$5=$A$88,IF(OR(K8=0,K$7=0,M$7=0),"",(M8*360/M$7)/(K8*360/K$7)-1),IF(OR(L8=0,L$7=0,M$7=0),"",(M8*360/M$7)/(L8*360/L$7)-1))</f>
        <v>0</v>
      </c>
      <c r="P8" s="207">
        <f t="shared" ref="P8:P24" si="2">IF(K$8=0,"",K8/K$8)</f>
        <v>1</v>
      </c>
      <c r="Q8" s="208">
        <f t="shared" ref="Q8:Q24" si="3">IF(L$8=0,"",L8/L$8)</f>
        <v>1</v>
      </c>
      <c r="R8" s="206">
        <f t="shared" ref="R8:R24" si="4">IF(M$8=0,"",M8/M$8)</f>
        <v>1</v>
      </c>
      <c r="S8" s="199"/>
      <c r="T8" s="187"/>
    </row>
    <row r="9" spans="1:20" s="156" customFormat="1" ht="25.5" x14ac:dyDescent="0.25">
      <c r="A9" s="188" t="s">
        <v>874</v>
      </c>
      <c r="B9" s="189"/>
      <c r="C9" s="190">
        <f>IF($B$2="Costa Rica",'Balances y Proyecciones'!$E$581,IF($B$2="El Salvador",'Balances y Proyecciones'!$E$589,IF($B$2="Honduras",'Balances y Proyecciones'!$E$597,IF($B$2="Panamá",'Balances y Proyecciones'!$E$605,'Balances y Proyecciones'!$E$431))))</f>
        <v>3.7999999999999999E-2</v>
      </c>
      <c r="D9" s="190">
        <f>IF($B$2="Costa Rica",'Balances y Proyecciones'!$H$581,IF($B$2="El Salvador",'Balances y Proyecciones'!$H$589,IF($B$2="Honduras",'Balances y Proyecciones'!$H$597,IF($B$2="Panamá",'Balances y Proyecciones'!$H$605,'Balances y Proyecciones'!$H$431))))</f>
        <v>3.9E-2</v>
      </c>
      <c r="E9" s="190">
        <f>IF($B$2="Costa Rica",'Balances y Proyecciones'!$N$581,IF($B$2="El Salvador",'Balances y Proyecciones'!$N$589,IF($B$2="Honduras",'Balances y Proyecciones'!$N$597,IF($B$2="Panamá",'Balances y Proyecciones'!$N$605,'Balances y Proyecciones'!$N$431))))</f>
        <v>2.5999999999999999E-2</v>
      </c>
      <c r="F9" s="190">
        <f>IF($B$2="Costa Rica",'Balances y Proyecciones'!$T$581,IF($B$2="El Salvador",'Balances y Proyecciones'!$T$589,IF($B$2="Honduras",'Balances y Proyecciones'!$T$597,IF($B$2="Panamá",'Balances y Proyecciones'!$T$605,'Balances y Proyecciones'!$T$431))))</f>
        <v>0.03</v>
      </c>
      <c r="G9" s="190">
        <f>IF($B$2="Costa Rica",'Balances y Proyecciones'!$U$581,IF($B$2="El Salvador",'Balances y Proyecciones'!$U$589,IF($B$2="Honduras",'Balances y Proyecciones'!$U$597,IF($B$2="Panamá",'Balances y Proyecciones'!$U$605,'Balances y Proyecciones'!$U$431))))</f>
        <v>0.03</v>
      </c>
      <c r="I9" s="209"/>
      <c r="J9" s="201" t="s">
        <v>875</v>
      </c>
      <c r="K9" s="210">
        <f>IF(OR(K$5=0,AND(K$5&lt;&gt;$A$86,K$5&lt;&gt;$A$87,K$5&lt;&gt;$A$88)),0,IF(K$5=$A$86,'Balances y Proyecciones'!E72,IF(K$5=$A$87,'Balances y Proyecciones'!H72,'Balances y Proyecciones'!K72)))</f>
        <v>500</v>
      </c>
      <c r="L9" s="211">
        <f>IF(OR(L$5=0,AND(L$5&lt;&gt;$A$87,L$5&lt;&gt;$A$89)),0,IF(L$5=$A$87,'Balances y Proyecciones'!H72,'Balances y Proyecciones'!N72))</f>
        <v>500</v>
      </c>
      <c r="M9" s="211">
        <f>IF(OR(M$5=0,AND(M$5&lt;&gt;$A$89,M$5&lt;&gt;$A$90)),0,IF(M$5=$A$89,'Balances y Proyecciones'!N72,'Balances y Proyecciones'!Q72))</f>
        <v>500</v>
      </c>
      <c r="N9" s="205">
        <f t="shared" si="0"/>
        <v>0</v>
      </c>
      <c r="O9" s="206">
        <f t="shared" si="1"/>
        <v>0</v>
      </c>
      <c r="P9" s="207">
        <f t="shared" si="2"/>
        <v>0.13850415512465375</v>
      </c>
      <c r="Q9" s="208">
        <f t="shared" si="3"/>
        <v>0.13850415512465375</v>
      </c>
      <c r="R9" s="206">
        <f t="shared" si="4"/>
        <v>0.13850415512465375</v>
      </c>
      <c r="S9" s="199"/>
      <c r="T9" s="187"/>
    </row>
    <row r="10" spans="1:20" s="156" customFormat="1" ht="26.25" x14ac:dyDescent="0.25">
      <c r="A10" s="212" t="str">
        <f>IF($B$2="Colombia","TRM (COP POR 1 USD)",IF($B$2="El Salvador","USD  Dólar",IF($B$2="Honduras","LEMPIRAS POR 1 USD",IF($B$2="Panamá","USD  Dólar",IF($B$2="Costa Rica","COLONES POR 1 USD",0)))))</f>
        <v>LEMPIRAS POR 1 USD</v>
      </c>
      <c r="B10" s="213"/>
      <c r="C10" s="214">
        <f>IF($B$2="Costa Rica",'Balances y Proyecciones'!$E$582,IF($B$2="El Salvador",'Balances y Proyecciones'!$E$590,IF($B$2="Honduras",'Balances y Proyecciones'!$E$598,IF($B$2="Panamá",'Balances y Proyecciones'!$E$606,'Balances y Proyecciones'!$E$432))))</f>
        <v>18.920000000000002</v>
      </c>
      <c r="D10" s="214">
        <f>IF($B$2="Costa Rica",'Balances y Proyecciones'!$H$582,IF($B$2="El Salvador",'Balances y Proyecciones'!$H$590,IF($B$2="Honduras",'Balances y Proyecciones'!$H$598,IF($B$2="Panamá",'Balances y Proyecciones'!$H$606,'Balances y Proyecciones'!$H$432))))</f>
        <v>19.5</v>
      </c>
      <c r="E10" s="214">
        <f>IF($B$2="Costa Rica",'Balances y Proyecciones'!$N$582,IF($B$2="El Salvador",'Balances y Proyecciones'!$N$590,IF($B$2="Honduras",'Balances y Proyecciones'!$N$598,IF($B$2="Panamá",'Balances y Proyecciones'!$N$606,'Balances y Proyecciones'!$N$432))))</f>
        <v>20.5</v>
      </c>
      <c r="F10" s="214">
        <f>IF($B$2="Costa Rica",'Balances y Proyecciones'!$T$582,IF($B$2="El Salvador",'Balances y Proyecciones'!$T$590,IF($B$2="Honduras",'Balances y Proyecciones'!$T$598,IF($B$2="Panamá",'Balances y Proyecciones'!$T$606,'Balances y Proyecciones'!$T$432))))</f>
        <v>21.13</v>
      </c>
      <c r="G10" s="214">
        <f>IF($B$2="Costa Rica",'Balances y Proyecciones'!$U$582,IF($B$2="El Salvador",'Balances y Proyecciones'!$U$590,IF($B$2="Honduras",'Balances y Proyecciones'!$U$598,IF($B$2="Panamá",'Balances y Proyecciones'!$U$606,'Balances y Proyecciones'!$U$432))))</f>
        <v>21</v>
      </c>
      <c r="I10" s="215" t="s">
        <v>807</v>
      </c>
      <c r="J10" s="216"/>
      <c r="K10" s="217">
        <f>SUM(K8,-K9)</f>
        <v>3110</v>
      </c>
      <c r="L10" s="218">
        <f>SUM(L8,-L9)</f>
        <v>3110</v>
      </c>
      <c r="M10" s="218">
        <f>SUM(M8,-M9)</f>
        <v>3110</v>
      </c>
      <c r="N10" s="219">
        <f t="shared" si="0"/>
        <v>0</v>
      </c>
      <c r="O10" s="220">
        <f t="shared" si="1"/>
        <v>0</v>
      </c>
      <c r="P10" s="219">
        <f t="shared" si="2"/>
        <v>0.86149584487534625</v>
      </c>
      <c r="Q10" s="221">
        <f t="shared" si="3"/>
        <v>0.86149584487534625</v>
      </c>
      <c r="R10" s="220">
        <f t="shared" si="4"/>
        <v>0.86149584487534625</v>
      </c>
      <c r="S10" s="199"/>
      <c r="T10" s="187"/>
    </row>
    <row r="11" spans="1:20" s="156" customFormat="1" ht="26.25" x14ac:dyDescent="0.25">
      <c r="A11" s="222" t="s">
        <v>876</v>
      </c>
      <c r="B11" s="223"/>
      <c r="C11" s="224">
        <f t="shared" ref="C11:E12" si="5">K5</f>
        <v>2019</v>
      </c>
      <c r="D11" s="224">
        <f t="shared" si="5"/>
        <v>2020</v>
      </c>
      <c r="E11" s="224">
        <f t="shared" si="5"/>
        <v>2021</v>
      </c>
      <c r="F11" s="225"/>
      <c r="G11" s="226"/>
      <c r="I11" s="209"/>
      <c r="J11" s="227" t="s">
        <v>877</v>
      </c>
      <c r="K11" s="210">
        <f>IF(OR(K$5=0,AND(K$5&lt;&gt;$A$86,K$5&lt;&gt;$A$87,K$5&lt;&gt;$A$88)),0,IF(K$5=$A$86,'Balances y Proyecciones'!E74,IF(K$5=$A$87,'Balances y Proyecciones'!H74,'Balances y Proyecciones'!K74)))</f>
        <v>300</v>
      </c>
      <c r="L11" s="211">
        <f>IF(OR(L$5=0,AND(L$5&lt;&gt;$A$87,L$5&lt;&gt;$A$89)),0,IF(L$5=$A$87,'Balances y Proyecciones'!H74,'Balances y Proyecciones'!N74))</f>
        <v>300</v>
      </c>
      <c r="M11" s="211">
        <f>IF(OR(M$5=0,AND(M$5&lt;&gt;$A$89,M$5&lt;&gt;$A$90)),0,IF(M$5=$A$89,'Balances y Proyecciones'!N74,'Balances y Proyecciones'!Q74))</f>
        <v>300</v>
      </c>
      <c r="N11" s="205">
        <f t="shared" si="0"/>
        <v>0</v>
      </c>
      <c r="O11" s="206">
        <f t="shared" si="1"/>
        <v>0</v>
      </c>
      <c r="P11" s="205">
        <f t="shared" si="2"/>
        <v>8.3102493074792241E-2</v>
      </c>
      <c r="Q11" s="208">
        <f t="shared" si="3"/>
        <v>8.3102493074792241E-2</v>
      </c>
      <c r="R11" s="206">
        <f t="shared" si="4"/>
        <v>8.3102493074792241E-2</v>
      </c>
      <c r="S11" s="199"/>
      <c r="T11" s="187"/>
    </row>
    <row r="12" spans="1:20" s="156" customFormat="1" ht="26.25" x14ac:dyDescent="0.25">
      <c r="A12" s="228" t="s">
        <v>531</v>
      </c>
      <c r="B12" s="229"/>
      <c r="C12" s="224" t="str">
        <f t="shared" si="5"/>
        <v>Diciembre</v>
      </c>
      <c r="D12" s="224" t="str">
        <f t="shared" si="5"/>
        <v>Diciembre</v>
      </c>
      <c r="E12" s="224" t="str">
        <f t="shared" si="5"/>
        <v>Diciembre</v>
      </c>
      <c r="F12" s="230"/>
      <c r="G12" s="231"/>
      <c r="I12" s="215" t="s">
        <v>826</v>
      </c>
      <c r="J12" s="232"/>
      <c r="K12" s="217">
        <f>K10-K11</f>
        <v>2810</v>
      </c>
      <c r="L12" s="218">
        <f>L10-L11</f>
        <v>2810</v>
      </c>
      <c r="M12" s="218">
        <f>M10-M11</f>
        <v>2810</v>
      </c>
      <c r="N12" s="219">
        <f t="shared" si="0"/>
        <v>0</v>
      </c>
      <c r="O12" s="220">
        <f t="shared" si="1"/>
        <v>0</v>
      </c>
      <c r="P12" s="219">
        <f t="shared" si="2"/>
        <v>0.77839335180055402</v>
      </c>
      <c r="Q12" s="221">
        <f t="shared" si="3"/>
        <v>0.77839335180055402</v>
      </c>
      <c r="R12" s="220">
        <f t="shared" si="4"/>
        <v>0.77839335180055402</v>
      </c>
      <c r="S12" s="199"/>
      <c r="T12" s="187"/>
    </row>
    <row r="13" spans="1:20" s="156" customFormat="1" ht="25.5" x14ac:dyDescent="0.25">
      <c r="A13" s="233" t="s">
        <v>878</v>
      </c>
      <c r="B13" s="230"/>
      <c r="C13" s="234">
        <f>P10</f>
        <v>0.86149584487534625</v>
      </c>
      <c r="D13" s="234">
        <f>Q10</f>
        <v>0.86149584487534625</v>
      </c>
      <c r="E13" s="234">
        <f>R10</f>
        <v>0.86149584487534625</v>
      </c>
      <c r="F13" s="235"/>
      <c r="G13" s="236"/>
      <c r="I13" s="209"/>
      <c r="J13" s="227" t="s">
        <v>879</v>
      </c>
      <c r="K13" s="210">
        <f>IF(OR(K$5=0,AND(K$5&lt;&gt;$A$86,K$5&lt;&gt;$A$87,K$5&lt;&gt;$A$88)),0,IF(K$5=$A$86,'Balances y Proyecciones'!E90+'Balances y Proyecciones'!E91+'Balances y Proyecciones'!E92,IF(K$5=$A$87,'Balances y Proyecciones'!H90+'Balances y Proyecciones'!H91+'Balances y Proyecciones'!H92,'Balances y Proyecciones'!K90+'Balances y Proyecciones'!K91+'Balances y Proyecciones'!K92)))</f>
        <v>40</v>
      </c>
      <c r="L13" s="211">
        <f>IF(OR(L$5=0,AND(L$5&lt;&gt;$A$87,L$5&lt;&gt;$A$89)),0,IF(L$5=$A$87,'Balances y Proyecciones'!H90+'Balances y Proyecciones'!H91+'Balances y Proyecciones'!H92,'Balances y Proyecciones'!N90+'Balances y Proyecciones'!N91+'Balances y Proyecciones'!N92))</f>
        <v>40</v>
      </c>
      <c r="M13" s="211">
        <f>IF(OR(M$5=0,AND(M$5&lt;&gt;$A$89,M$5&lt;&gt;$A$90)),0,IF(M$5=$A$89,'Balances y Proyecciones'!N90+'Balances y Proyecciones'!N91+'Balances y Proyecciones'!N92,'Balances y Proyecciones'!Q90+'Balances y Proyecciones'!Q91+'Balances y Proyecciones'!Q92))</f>
        <v>40</v>
      </c>
      <c r="N13" s="205">
        <f t="shared" si="0"/>
        <v>0</v>
      </c>
      <c r="O13" s="206">
        <f t="shared" si="1"/>
        <v>0</v>
      </c>
      <c r="P13" s="205">
        <f t="shared" si="2"/>
        <v>1.1080332409972299E-2</v>
      </c>
      <c r="Q13" s="208">
        <f t="shared" si="3"/>
        <v>1.1080332409972299E-2</v>
      </c>
      <c r="R13" s="206">
        <f t="shared" si="4"/>
        <v>1.1080332409972299E-2</v>
      </c>
      <c r="S13" s="199"/>
      <c r="T13" s="187"/>
    </row>
    <row r="14" spans="1:20" s="156" customFormat="1" ht="26.25" x14ac:dyDescent="0.25">
      <c r="A14" s="233" t="s">
        <v>880</v>
      </c>
      <c r="B14" s="230"/>
      <c r="C14" s="234">
        <f>P12</f>
        <v>0.77839335180055402</v>
      </c>
      <c r="D14" s="234">
        <f>Q12</f>
        <v>0.77839335180055402</v>
      </c>
      <c r="E14" s="234">
        <f>R12</f>
        <v>0.77839335180055402</v>
      </c>
      <c r="F14" s="237"/>
      <c r="G14" s="236"/>
      <c r="I14" s="215" t="s">
        <v>881</v>
      </c>
      <c r="J14" s="232"/>
      <c r="K14" s="217">
        <f>K12+K13</f>
        <v>2850</v>
      </c>
      <c r="L14" s="218">
        <f>L12+L13</f>
        <v>2850</v>
      </c>
      <c r="M14" s="218">
        <f>M12+M13</f>
        <v>2850</v>
      </c>
      <c r="N14" s="219">
        <f t="shared" si="0"/>
        <v>0</v>
      </c>
      <c r="O14" s="220">
        <f t="shared" si="1"/>
        <v>0</v>
      </c>
      <c r="P14" s="219">
        <f t="shared" si="2"/>
        <v>0.78947368421052633</v>
      </c>
      <c r="Q14" s="221">
        <f t="shared" si="3"/>
        <v>0.78947368421052633</v>
      </c>
      <c r="R14" s="220">
        <f t="shared" si="4"/>
        <v>0.78947368421052633</v>
      </c>
      <c r="S14" s="199"/>
      <c r="T14" s="187"/>
    </row>
    <row r="15" spans="1:20" s="156" customFormat="1" ht="25.5" x14ac:dyDescent="0.25">
      <c r="A15" s="233" t="s">
        <v>882</v>
      </c>
      <c r="B15" s="230"/>
      <c r="C15" s="234">
        <f>IF(OR(K$5=0,AND(K$5&lt;&gt;$A$86,K$5&lt;&gt;$A$87,K$5&lt;&gt;$A$88)),0,IF(C34="ND","ND",IF(K$5=$A$86,'Balances y Proyecciones'!AP747,IF(K$5=$A$87,'Balances y Proyecciones'!AS747,'Balances y Proyecciones'!AV747))))</f>
        <v>0.78947368421052633</v>
      </c>
      <c r="D15" s="234">
        <f>IF(OR(L$5=0,AND(L$5&lt;&gt;$A$87,L$5&lt;&gt;$A$89)),0,IF(D34="ND","ND",IF(L$5=$A$87,'Balances y Proyecciones'!AS747,'Balances y Proyecciones'!AY747)))</f>
        <v>0.78947368421052633</v>
      </c>
      <c r="E15" s="234">
        <f>IF(OR(M$5=0,AND(M$5&lt;&gt;$A$89,M$5&lt;&gt;$A$90)),0,IF(E34="ND","ND",IF(M$5=$A$89,'Balances y Proyecciones'!AY747,'Balances y Proyecciones'!BB747)))</f>
        <v>0.78947368421052633</v>
      </c>
      <c r="F15" s="235"/>
      <c r="G15" s="236"/>
      <c r="I15" s="209"/>
      <c r="J15" s="201" t="s">
        <v>827</v>
      </c>
      <c r="K15" s="210"/>
      <c r="L15" s="211"/>
      <c r="M15" s="211"/>
      <c r="N15" s="205" t="str">
        <f t="shared" si="0"/>
        <v/>
      </c>
      <c r="O15" s="206" t="str">
        <f t="shared" si="1"/>
        <v/>
      </c>
      <c r="P15" s="205">
        <f t="shared" si="2"/>
        <v>0</v>
      </c>
      <c r="Q15" s="208">
        <f t="shared" si="3"/>
        <v>0</v>
      </c>
      <c r="R15" s="206">
        <f t="shared" si="4"/>
        <v>0</v>
      </c>
      <c r="S15" s="199"/>
      <c r="T15" s="187"/>
    </row>
    <row r="16" spans="1:20" s="156" customFormat="1" ht="25.5" x14ac:dyDescent="0.25">
      <c r="A16" s="233" t="s">
        <v>883</v>
      </c>
      <c r="B16" s="230"/>
      <c r="C16" s="234">
        <f>P24</f>
        <v>0.77839335180055402</v>
      </c>
      <c r="D16" s="234">
        <f>Q24</f>
        <v>0.77839335180055402</v>
      </c>
      <c r="E16" s="234">
        <f>R24</f>
        <v>0.77839335180055402</v>
      </c>
      <c r="F16" s="235"/>
      <c r="G16" s="236"/>
      <c r="I16" s="209"/>
      <c r="J16" s="238" t="s">
        <v>884</v>
      </c>
      <c r="K16" s="210">
        <f>IF(OR(K$5=0,AND(K$5&lt;&gt;$A$86,K$5&lt;&gt;$A$87,K$5&lt;&gt;$A$88)),0,IF(K$5=$A$86,'Balances y Proyecciones'!E81,IF(K$5=$A$87,'Balances y Proyecciones'!H81,'Balances y Proyecciones'!K81)))</f>
        <v>20</v>
      </c>
      <c r="L16" s="211">
        <f>IF(OR(L$5=0,AND(L$5&lt;&gt;$A$87,L$5&lt;&gt;$A$89)),0,IF(L$5=$A$87,'Balances y Proyecciones'!H81,'Balances y Proyecciones'!N81))</f>
        <v>20</v>
      </c>
      <c r="M16" s="211">
        <f>IF(OR(M$5=0,AND(M$5&lt;&gt;$A$89,M$5&lt;&gt;$A$90)),0,IF(M$5=$A$89,'Balances y Proyecciones'!N81,'Balances y Proyecciones'!Q81))</f>
        <v>20</v>
      </c>
      <c r="N16" s="205">
        <f t="shared" si="0"/>
        <v>0</v>
      </c>
      <c r="O16" s="206">
        <f t="shared" si="1"/>
        <v>0</v>
      </c>
      <c r="P16" s="205">
        <f t="shared" si="2"/>
        <v>5.5401662049861496E-3</v>
      </c>
      <c r="Q16" s="208">
        <f t="shared" si="3"/>
        <v>5.5401662049861496E-3</v>
      </c>
      <c r="R16" s="206">
        <f t="shared" si="4"/>
        <v>5.5401662049861496E-3</v>
      </c>
      <c r="S16" s="199"/>
      <c r="T16" s="187"/>
    </row>
    <row r="17" spans="1:27" s="156" customFormat="1" ht="29.25" customHeight="1" x14ac:dyDescent="0.25">
      <c r="A17" s="233" t="s">
        <v>885</v>
      </c>
      <c r="B17" s="230"/>
      <c r="C17" s="234">
        <f>IF(OR(K$5=0,AND(K$5&lt;&gt;$A$86,K$5&lt;&gt;$A$87,K$5&lt;&gt;$A$88)),0,IF(K$5=$A$86,IF('Balances y Proyecciones'!E67=0,"",'Balances y Proyecciones'!E89/'Balances y Proyecciones'!E67),IF(K$5=$A$87,IF('Balances y Proyecciones'!H67=0,"",'Balances y Proyecciones'!H89/'Balances y Proyecciones'!H67),IF('Balances y Proyecciones'!K67=0,"",('Balances y Proyecciones'!K89*360/'Balances y Proyecciones'!K17)/'Balances y Proyecciones'!K67))))</f>
        <v>0.9273927392739274</v>
      </c>
      <c r="D17" s="234">
        <f>IF(OR(L$5=0,AND(L$5&lt;&gt;$A$87,L$5&lt;&gt;$A$89)),0,IF(L$5=$A$87,IF('Balances y Proyecciones'!H67=0,"",'Balances y Proyecciones'!H89*360/'Balances y Proyecciones'!H17/'Balances y Proyecciones'!H67),IF('Balances y Proyecciones'!N67=0,"",'Balances y Proyecciones'!N89*360/'Balances y Proyecciones'!N17/'Balances y Proyecciones'!N67)))</f>
        <v>0.9273927392739274</v>
      </c>
      <c r="E17" s="234">
        <f>IF(OR(M$5=0,AND(M$5&lt;&gt;$A$89,M$5&lt;&gt;$A$90)),0,IF(M$5=$A$89,IF('Balances y Proyecciones'!N67=0,"",'Balances y Proyecciones'!N89/'Balances y Proyecciones'!N67),IF('Balances y Proyecciones'!Q67=0,"",('Balances y Proyecciones'!Q89*360/'Balances y Proyecciones'!Q17)/'Balances y Proyecciones'!Q67)))</f>
        <v>0.9273927392739274</v>
      </c>
      <c r="F17" s="235"/>
      <c r="G17" s="236"/>
      <c r="I17" s="209"/>
      <c r="J17" s="238" t="s">
        <v>886</v>
      </c>
      <c r="K17" s="210">
        <f>IF(OR(K$5=0,AND(K$5&lt;&gt;$A$86,K$5&lt;&gt;$A$87,K$5&lt;&gt;$A$88)),0,IF(K$5=$A$86,SUM('Balances y Proyecciones'!E79,IF('Balances y Proyecciones'!E82&gt;=0,'Balances y Proyecciones'!E82,0),IF('Balances y Proyecciones'!E83&gt;=0,'Balances y Proyecciones'!E83,0),IF('Balances y Proyecciones'!E84&gt;=0,'Balances y Proyecciones'!E84,0),'Balances y Proyecciones'!E85),IF(K$5=$A$87,SUM('Balances y Proyecciones'!H79,IF('Balances y Proyecciones'!H82&gt;=0,'Balances y Proyecciones'!H82,0),IF('Balances y Proyecciones'!H83&gt;=0,'Balances y Proyecciones'!H83,0),IF('Balances y Proyecciones'!H84&gt;=0,'Balances y Proyecciones'!H84,0),'Balances y Proyecciones'!H85),SUM('Balances y Proyecciones'!K79,IF('Balances y Proyecciones'!K82&gt;=0,'Balances y Proyecciones'!K82,0),IF('Balances y Proyecciones'!K83&gt;=0,'Balances y Proyecciones'!K83,0),IF('Balances y Proyecciones'!K84&gt;=0,'Balances y Proyecciones'!K84,0),'Balances y Proyecciones'!K85))))</f>
        <v>60</v>
      </c>
      <c r="L17" s="211">
        <f>IF(OR(L$5=0,AND(L$5&lt;&gt;$A$87,L$5&lt;&gt;$A$89)),0,IF(L$5=$A$87,SUM('Balances y Proyecciones'!H79,IF('Balances y Proyecciones'!H82&gt;=0,'Balances y Proyecciones'!H82,0),IF('Balances y Proyecciones'!H83&gt;=0,'Balances y Proyecciones'!H83,0),IF('Balances y Proyecciones'!H84&gt;=0,'Balances y Proyecciones'!H84,0),'Balances y Proyecciones'!H85),SUM('Balances y Proyecciones'!N79,IF('Balances y Proyecciones'!N82&gt;=0,'Balances y Proyecciones'!N82,0),IF('Balances y Proyecciones'!N83&gt;=0,'Balances y Proyecciones'!N83,0),IF('Balances y Proyecciones'!N84&gt;=0,'Balances y Proyecciones'!N84,0),'Balances y Proyecciones'!N85)))</f>
        <v>60</v>
      </c>
      <c r="M17" s="211">
        <f>IF(OR(M$5=0,AND(M$5&lt;&gt;$A$89,M$5&lt;&gt;$A$90)),0,IF(M$5=$A$89,SUM('Balances y Proyecciones'!N79,IF('Balances y Proyecciones'!N82&gt;=0,'Balances y Proyecciones'!N82,0),IF('Balances y Proyecciones'!N83&gt;=0,'Balances y Proyecciones'!N83,0),IF('Balances y Proyecciones'!N84&gt;=0,'Balances y Proyecciones'!N84,0),'Balances y Proyecciones'!N85),SUM('Balances y Proyecciones'!Q79,IF('Balances y Proyecciones'!Q82&gt;=0,'Balances y Proyecciones'!Q82,0),IF('Balances y Proyecciones'!Q83&gt;=0,'Balances y Proyecciones'!Q83,0),IF('Balances y Proyecciones'!Q84&gt;=0,'Balances y Proyecciones'!Q84,0),'Balances y Proyecciones'!Q85)))</f>
        <v>60</v>
      </c>
      <c r="N17" s="205">
        <f t="shared" si="0"/>
        <v>0</v>
      </c>
      <c r="O17" s="206">
        <f t="shared" si="1"/>
        <v>0</v>
      </c>
      <c r="P17" s="205">
        <f t="shared" si="2"/>
        <v>1.662049861495845E-2</v>
      </c>
      <c r="Q17" s="208">
        <f t="shared" si="3"/>
        <v>1.662049861495845E-2</v>
      </c>
      <c r="R17" s="206">
        <f t="shared" si="4"/>
        <v>1.662049861495845E-2</v>
      </c>
      <c r="S17" s="199"/>
      <c r="T17" s="187"/>
    </row>
    <row r="18" spans="1:27" s="156" customFormat="1" ht="29.25" customHeight="1" x14ac:dyDescent="0.25">
      <c r="A18" s="233" t="s">
        <v>887</v>
      </c>
      <c r="B18" s="230"/>
      <c r="C18" s="234">
        <f>IF(OR(K$5=0,AND(K$5&lt;&gt;$A$86,K$5&lt;&gt;$A$87,K$5&lt;&gt;$A$88)),0,IF(K$5=$A$86,IF('Balances y Proyecciones'!E34=0,"",'Balances y Proyecciones'!E89/'Balances y Proyecciones'!E34),IF(K$5=$A$87,IF('Balances y Proyecciones'!H34=0,"",'Balances y Proyecciones'!H89/'Balances y Proyecciones'!H34),IF('Balances y Proyecciones'!K34=0,"",('Balances y Proyecciones'!K89*360/'Balances y Proyecciones'!K17)/'Balances y Proyecciones'!K34))))</f>
        <v>0.72609819121447028</v>
      </c>
      <c r="D18" s="234">
        <f>IF(OR(L$5=0,AND(L$5&lt;&gt;$A$87,L$5&lt;&gt;$A$89)),0,IF(L$5=$A$87,IF('Balances y Proyecciones'!H34=0,"",'Balances y Proyecciones'!H89*360/'Balances y Proyecciones'!H17/'Balances y Proyecciones'!H34),IF('Balances y Proyecciones'!N34=0,"",'Balances y Proyecciones'!N89*360/'Balances y Proyecciones'!N17/'Balances y Proyecciones'!N34)))</f>
        <v>0.72609819121447028</v>
      </c>
      <c r="E18" s="234">
        <f>IF(OR(M$5=0,AND(M$5&lt;&gt;$A$89,M$5&lt;&gt;$A$90)),0,IF(M$5=$A$89,IF('Balances y Proyecciones'!N34=0,"",('Balances y Proyecciones'!N89*360/'Balances y Proyecciones'!N17)/'Balances y Proyecciones'!N34),IF('Balances y Proyecciones'!Q34=0,"",('Balances y Proyecciones'!Q89*360/'Balances y Proyecciones'!Q17)/'Balances y Proyecciones'!Q34)))</f>
        <v>0.72609819121447028</v>
      </c>
      <c r="F18" s="235"/>
      <c r="G18" s="236"/>
      <c r="I18" s="209"/>
      <c r="J18" s="201" t="s">
        <v>837</v>
      </c>
      <c r="K18" s="210"/>
      <c r="L18" s="211"/>
      <c r="M18" s="211"/>
      <c r="N18" s="205" t="str">
        <f t="shared" si="0"/>
        <v/>
      </c>
      <c r="O18" s="206" t="str">
        <f t="shared" si="1"/>
        <v/>
      </c>
      <c r="P18" s="205">
        <f t="shared" si="2"/>
        <v>0</v>
      </c>
      <c r="Q18" s="208">
        <f t="shared" si="3"/>
        <v>0</v>
      </c>
      <c r="R18" s="206">
        <f t="shared" si="4"/>
        <v>0</v>
      </c>
      <c r="S18" s="199"/>
      <c r="T18" s="187"/>
    </row>
    <row r="19" spans="1:27" s="156" customFormat="1" ht="29.25" customHeight="1" x14ac:dyDescent="0.25">
      <c r="A19" s="228" t="s">
        <v>530</v>
      </c>
      <c r="B19" s="229"/>
      <c r="C19" s="239"/>
      <c r="D19" s="239"/>
      <c r="E19" s="239"/>
      <c r="F19" s="240"/>
      <c r="G19" s="241"/>
      <c r="I19" s="209"/>
      <c r="J19" s="238" t="s">
        <v>884</v>
      </c>
      <c r="K19" s="210">
        <f>IF(OR(K$5=0,AND(K$5&lt;&gt;$A$86,K$5&lt;&gt;$A$87,K$5&lt;&gt;$A$88)),0,IF(K$5=$A$86,'Balances y Proyecciones'!E76,IF(K$5=$A$87,'Balances y Proyecciones'!H76,'Balances y Proyecciones'!K76)))</f>
        <v>10</v>
      </c>
      <c r="L19" s="211">
        <f>IF(OR(L$5=0,AND(L$5&lt;&gt;$A$87,L$5&lt;&gt;$A$89)),0,IF(L$5=$A$87,'Balances y Proyecciones'!H76,'Balances y Proyecciones'!N76))</f>
        <v>10</v>
      </c>
      <c r="M19" s="211">
        <f>IF(OR(M$5=0,AND(M$5&lt;&gt;$A$89,M$5&lt;&gt;$A$90)),0,IF(M$5=$A$89,'Balances y Proyecciones'!N76,'Balances y Proyecciones'!Q76))</f>
        <v>10</v>
      </c>
      <c r="N19" s="205">
        <f t="shared" si="0"/>
        <v>0</v>
      </c>
      <c r="O19" s="206">
        <f t="shared" si="1"/>
        <v>0</v>
      </c>
      <c r="P19" s="205">
        <f t="shared" si="2"/>
        <v>2.7700831024930748E-3</v>
      </c>
      <c r="Q19" s="208">
        <f t="shared" si="3"/>
        <v>2.7700831024930748E-3</v>
      </c>
      <c r="R19" s="206">
        <f t="shared" si="4"/>
        <v>2.7700831024930748E-3</v>
      </c>
      <c r="S19" s="199"/>
      <c r="T19" s="187"/>
    </row>
    <row r="20" spans="1:27" s="156" customFormat="1" ht="29.25" customHeight="1" x14ac:dyDescent="0.25">
      <c r="A20" s="233" t="s">
        <v>888</v>
      </c>
      <c r="B20" s="230"/>
      <c r="C20" s="242">
        <f>IF(OR(K$5=0,AND(K$5&lt;&gt;$A$86,K$5&lt;&gt;$A$87,K$5&lt;&gt;$A$88)),0,IF(K$5=$A$86,'Balances y Proyecciones'!AP735,IF(K$5=$A$87,'Balances y Proyecciones'!AS735,'Balances y Proyecciones'!AV735)))</f>
        <v>3.875</v>
      </c>
      <c r="D20" s="242">
        <f>IF(OR(L$5=0,AND(L$5&lt;&gt;$A$87,L$5&lt;&gt;$A$89)),0,IF(L$5=$A$87,'Balances y Proyecciones'!AS735,'Balances y Proyecciones'!AY735))</f>
        <v>3.875</v>
      </c>
      <c r="E20" s="242">
        <f>IF(OR(M$5=0,AND(M$5&lt;&gt;$A$89,M$5&lt;&gt;$A$90)),0,IF(M$5=$A$89,'Balances y Proyecciones'!AY735,'Balances y Proyecciones'!BB735))</f>
        <v>3.875</v>
      </c>
      <c r="F20" s="243"/>
      <c r="G20" s="244"/>
      <c r="I20" s="209"/>
      <c r="J20" s="238" t="s">
        <v>886</v>
      </c>
      <c r="K20" s="210">
        <f>IF(OR(K$5=0,AND(K$5&lt;&gt;$A$86,K$5&lt;&gt;$A$87,K$5&lt;&gt;$A$88)),0,IF(K$5=$A$86,SUM('Balances y Proyecciones'!E80,IF('Balances y Proyecciones'!E82&lt;0,-'Balances y Proyecciones'!E82,0),IF('Balances y Proyecciones'!E83&lt;0,-'Balances y Proyecciones'!E83,0),IF('Balances y Proyecciones'!E84&lt;0,-'Balances y Proyecciones'!E84,0),'Balances y Proyecciones'!E86),IF(K$5=$A$87,SUM('Balances y Proyecciones'!H80,IF('Balances y Proyecciones'!H82&lt;0,-'Balances y Proyecciones'!H82,0),IF('Balances y Proyecciones'!H83&lt;0,-'Balances y Proyecciones'!H83,0),IF('Balances y Proyecciones'!H84&lt;0,-'Balances y Proyecciones'!H84,0),'Balances y Proyecciones'!H86),SUM('Balances y Proyecciones'!K80,IF('Balances y Proyecciones'!K82&lt;0,-'Balances y Proyecciones'!K82,0),IF('Balances y Proyecciones'!K83&lt;0,-'Balances y Proyecciones'!K83,0),IF('Balances y Proyecciones'!K84&lt;0,-'Balances y Proyecciones'!K84,0),'Balances y Proyecciones'!K86))))</f>
        <v>70</v>
      </c>
      <c r="L20" s="211">
        <f>IF(OR(L$5=0,AND(L$5&lt;&gt;$A$87,L$5&lt;&gt;$A$89)),0,IF(L$5=$A$87,SUM('Balances y Proyecciones'!H80,IF('Balances y Proyecciones'!H82&lt;0,-'Balances y Proyecciones'!H82,0),IF('Balances y Proyecciones'!H83&lt;0,-'Balances y Proyecciones'!H83,0),IF('Balances y Proyecciones'!H84&lt;0,-'Balances y Proyecciones'!H84,0),'Balances y Proyecciones'!H86),SUM('Balances y Proyecciones'!N80,IF('Balances y Proyecciones'!N82&lt;0,-'Balances y Proyecciones'!N82,0),IF('Balances y Proyecciones'!N83&lt;0,-'Balances y Proyecciones'!N83,0),IF('Balances y Proyecciones'!N84&lt;0,-'Balances y Proyecciones'!N84,0),'Balances y Proyecciones'!N86)))</f>
        <v>70</v>
      </c>
      <c r="M20" s="245">
        <f>IF(OR(M$5=0,AND(M$5&lt;&gt;$A$89,M$5&lt;&gt;$A$90)),0,IF(M$5=$A$89,SUM('Balances y Proyecciones'!N80,IF('Balances y Proyecciones'!N82&lt;0,-'Balances y Proyecciones'!N82,0),IF('Balances y Proyecciones'!N83&lt;0,-'Balances y Proyecciones'!N83,0),IF('Balances y Proyecciones'!N84&lt;0,-'Balances y Proyecciones'!N84,0),'Balances y Proyecciones'!N86),SUM('Balances y Proyecciones'!Q80,IF('Balances y Proyecciones'!Q82&lt;0,-'Balances y Proyecciones'!Q82,0),IF('Balances y Proyecciones'!Q83&lt;0,-'Balances y Proyecciones'!Q83,0),IF('Balances y Proyecciones'!Q84&lt;0,-'Balances y Proyecciones'!Q84,0),'Balances y Proyecciones'!Q86)))</f>
        <v>70</v>
      </c>
      <c r="N20" s="205">
        <f t="shared" si="0"/>
        <v>0</v>
      </c>
      <c r="O20" s="206">
        <f t="shared" si="1"/>
        <v>0</v>
      </c>
      <c r="P20" s="205">
        <f t="shared" si="2"/>
        <v>1.9390581717451522E-2</v>
      </c>
      <c r="Q20" s="208">
        <f t="shared" si="3"/>
        <v>1.9390581717451522E-2</v>
      </c>
      <c r="R20" s="206">
        <f t="shared" si="4"/>
        <v>1.9390581717451522E-2</v>
      </c>
      <c r="S20" s="199"/>
      <c r="T20" s="187"/>
    </row>
    <row r="21" spans="1:27" s="156" customFormat="1" ht="29.25" customHeight="1" x14ac:dyDescent="0.25">
      <c r="A21" s="233" t="s">
        <v>889</v>
      </c>
      <c r="B21" s="230"/>
      <c r="C21" s="242">
        <f>IF(OR(K$5=0,AND(K$5&lt;&gt;$A$86,K$5&lt;&gt;$A$87,K$5&lt;&gt;$A$88)),0,IF(K$5=$A$86,'Balances y Proyecciones'!AP736,IF(K$5=$A$87,'Balances y Proyecciones'!AS736,'Balances y Proyecciones'!AV736)))</f>
        <v>3.0625</v>
      </c>
      <c r="D21" s="242">
        <f>IF(OR(L$5=0,AND(L$5&lt;&gt;$A$87,L$5&lt;&gt;$A$89)),0,IF(L$5=$A$87,'Balances y Proyecciones'!AS736,'Balances y Proyecciones'!AY736))</f>
        <v>3.0625</v>
      </c>
      <c r="E21" s="242">
        <f>IF(OR(M$5=0,AND(M$5&lt;&gt;$A$89,M$5&lt;&gt;$A$90)),0,IF(M$5=$A$89,'Balances y Proyecciones'!AY736,'Balances y Proyecciones'!BB736))</f>
        <v>3.0625</v>
      </c>
      <c r="F21" s="243"/>
      <c r="G21" s="244"/>
      <c r="I21" s="209"/>
      <c r="J21" s="201" t="s">
        <v>890</v>
      </c>
      <c r="K21" s="210">
        <f>IF(OR(K$5=0,AND(K$5&lt;&gt;$A$86,K$5&lt;&gt;$A$87,K$5&lt;&gt;$A$88)),0,IF(K$5=$A$86,'Balances y Proyecciones'!E78,IF(K$5=$A$87,'Balances y Proyecciones'!H78,'Balances y Proyecciones'!K78)))</f>
        <v>0</v>
      </c>
      <c r="L21" s="211">
        <f>IF(OR(L$5=0,AND(L$5&lt;&gt;$A$87,L$5&lt;&gt;$A$89)),0,IF(L$5=$A$87,'Balances y Proyecciones'!H78,'Balances y Proyecciones'!N78))</f>
        <v>0</v>
      </c>
      <c r="M21" s="211">
        <f>IF(OR(M$5=0,AND(M$5&lt;&gt;$A$89,M$5&lt;&gt;$A$90)),0,IF(M$5=$A$89,'Balances y Proyecciones'!N78,'Balances y Proyecciones'!Q78))</f>
        <v>0</v>
      </c>
      <c r="N21" s="205" t="str">
        <f t="shared" si="0"/>
        <v/>
      </c>
      <c r="O21" s="206" t="str">
        <f t="shared" si="1"/>
        <v/>
      </c>
      <c r="P21" s="205">
        <f t="shared" si="2"/>
        <v>0</v>
      </c>
      <c r="Q21" s="208">
        <f t="shared" si="3"/>
        <v>0</v>
      </c>
      <c r="R21" s="206">
        <f t="shared" si="4"/>
        <v>0</v>
      </c>
      <c r="S21" s="199"/>
      <c r="T21" s="187"/>
    </row>
    <row r="22" spans="1:27" s="156" customFormat="1" ht="29.25" customHeight="1" x14ac:dyDescent="0.25">
      <c r="A22" s="233" t="s">
        <v>891</v>
      </c>
      <c r="B22" s="230"/>
      <c r="C22" s="246">
        <f>IF(OR(K$5=0,AND(K$5&lt;&gt;$A$86,K$5&lt;&gt;$A$87,K$5&lt;&gt;$A$88)),0,IF(K$5=$A$86,'Balances y Proyecciones'!AP733,IF(K$5=$A$87,'Balances y Proyecciones'!AS733,'Balances y Proyecciones'!AV733)))</f>
        <v>1380</v>
      </c>
      <c r="D22" s="246">
        <f>IF(OR(L$5=0,AND(L$5&lt;&gt;$A$87,L$5&lt;&gt;$A$89)),0,IF(L$5=$A$87,'Balances y Proyecciones'!AS733,'Balances y Proyecciones'!AY733))</f>
        <v>1380</v>
      </c>
      <c r="E22" s="246">
        <f>IF(OR(M$5=0,AND(M$5&lt;&gt;$A$89,M$5&lt;&gt;$A$90)),0,IF(M$5=$A$89,'Balances y Proyecciones'!AY733,'Balances y Proyecciones'!BB733))</f>
        <v>1380</v>
      </c>
      <c r="F22" s="243"/>
      <c r="G22" s="244"/>
      <c r="I22" s="215" t="s">
        <v>849</v>
      </c>
      <c r="J22" s="232"/>
      <c r="K22" s="217">
        <f>K12+K16+K17-K19-K20+K21</f>
        <v>2810</v>
      </c>
      <c r="L22" s="218">
        <f>L12+L16+L17-L19-L20+L21</f>
        <v>2810</v>
      </c>
      <c r="M22" s="218">
        <f>M12+M16+M17-M19-M20+M21</f>
        <v>2810</v>
      </c>
      <c r="N22" s="219">
        <f t="shared" si="0"/>
        <v>0</v>
      </c>
      <c r="O22" s="220">
        <f t="shared" si="1"/>
        <v>0</v>
      </c>
      <c r="P22" s="219">
        <f t="shared" si="2"/>
        <v>0.77839335180055402</v>
      </c>
      <c r="Q22" s="221">
        <f t="shared" si="3"/>
        <v>0.77839335180055402</v>
      </c>
      <c r="R22" s="220">
        <f t="shared" si="4"/>
        <v>0.77839335180055402</v>
      </c>
      <c r="S22" s="199"/>
      <c r="T22" s="187"/>
    </row>
    <row r="23" spans="1:27" s="156" customFormat="1" ht="29.25" customHeight="1" x14ac:dyDescent="0.25">
      <c r="A23" s="233" t="s">
        <v>892</v>
      </c>
      <c r="B23" s="230"/>
      <c r="C23" s="246">
        <f>IF(OR(K$5=0,AND(K$5&lt;&gt;$A$86,K$5&lt;&gt;$A$87,K$5&lt;&gt;$A$88)),0,IF(K$5=$A$86,'Balances y Proyecciones'!AP734,IF(K$5=$A$87,'Balances y Proyecciones'!AS734,'Balances y Proyecciones'!AV734)))</f>
        <v>350</v>
      </c>
      <c r="D23" s="246">
        <f>IF(OR(L$5=0,AND(L$5&lt;&gt;$A$87,L$5&lt;&gt;$A$89)),0,IF(L$5=$A$87,'Balances y Proyecciones'!AS734,'Balances y Proyecciones'!AY734))</f>
        <v>350</v>
      </c>
      <c r="E23" s="246">
        <f>IF(OR(M$5=0,AND(M$5&lt;&gt;$A$89,M$5&lt;&gt;$A$90)),0,IF(M$5=$A$89,'Balances y Proyecciones'!AY734,'Balances y Proyecciones'!BB734))</f>
        <v>350</v>
      </c>
      <c r="F23" s="247"/>
      <c r="G23" s="248"/>
      <c r="I23" s="200"/>
      <c r="J23" s="201" t="s">
        <v>893</v>
      </c>
      <c r="K23" s="210">
        <f>IF(OR(K$5=0,AND(K$5&lt;&gt;$A$86,K$5&lt;&gt;$A$87,K$5&lt;&gt;$A$88)),0,IF(K$5=$A$86,'Balances y Proyecciones'!E88,IF(K$5=$A$87,'Balances y Proyecciones'!H88,'Balances y Proyecciones'!K88)))</f>
        <v>0</v>
      </c>
      <c r="L23" s="211">
        <f>IF(OR(L$5=0,AND(L$5&lt;&gt;$A$87,L$5&lt;&gt;$A$89)),0,IF(L$5=$A$87,'Balances y Proyecciones'!H88,'Balances y Proyecciones'!N88))</f>
        <v>0</v>
      </c>
      <c r="M23" s="211">
        <f>IF(OR(M$5=0,AND(M$5&lt;&gt;$A$89,M$5&lt;&gt;$A$90)),0,IF(M$5=$A$89,'Balances y Proyecciones'!N88,'Balances y Proyecciones'!Q88))</f>
        <v>0</v>
      </c>
      <c r="N23" s="205" t="str">
        <f t="shared" si="0"/>
        <v/>
      </c>
      <c r="O23" s="206" t="str">
        <f t="shared" si="1"/>
        <v/>
      </c>
      <c r="P23" s="205">
        <f t="shared" si="2"/>
        <v>0</v>
      </c>
      <c r="Q23" s="208">
        <f t="shared" si="3"/>
        <v>0</v>
      </c>
      <c r="R23" s="206">
        <f t="shared" si="4"/>
        <v>0</v>
      </c>
      <c r="S23" s="199"/>
      <c r="T23" s="187"/>
    </row>
    <row r="24" spans="1:27" s="156" customFormat="1" ht="29.25" customHeight="1" x14ac:dyDescent="0.25">
      <c r="A24" s="228" t="s">
        <v>894</v>
      </c>
      <c r="B24" s="229"/>
      <c r="C24" s="249"/>
      <c r="D24" s="249"/>
      <c r="E24" s="249"/>
      <c r="F24" s="230"/>
      <c r="G24" s="231"/>
      <c r="I24" s="250" t="s">
        <v>895</v>
      </c>
      <c r="J24" s="251"/>
      <c r="K24" s="252">
        <f>K22-K23</f>
        <v>2810</v>
      </c>
      <c r="L24" s="253">
        <f>L22-L23</f>
        <v>2810</v>
      </c>
      <c r="M24" s="253">
        <f>M22-M23</f>
        <v>2810</v>
      </c>
      <c r="N24" s="254">
        <f t="shared" si="0"/>
        <v>0</v>
      </c>
      <c r="O24" s="255">
        <f t="shared" si="1"/>
        <v>0</v>
      </c>
      <c r="P24" s="254">
        <f t="shared" si="2"/>
        <v>0.77839335180055402</v>
      </c>
      <c r="Q24" s="256">
        <f t="shared" si="3"/>
        <v>0.77839335180055402</v>
      </c>
      <c r="R24" s="255">
        <f t="shared" si="4"/>
        <v>0.77839335180055402</v>
      </c>
      <c r="S24" s="257"/>
      <c r="T24" s="258"/>
    </row>
    <row r="25" spans="1:27" s="156" customFormat="1" ht="29.25" customHeight="1" x14ac:dyDescent="0.25">
      <c r="A25" s="233" t="s">
        <v>896</v>
      </c>
      <c r="B25" s="259"/>
      <c r="C25" s="246">
        <f>IF(OR(K$5=0,AND(K$5&lt;&gt;$A$86,K$5&lt;&gt;$A$87,K$5&lt;&gt;$A$88)),0,IF(K$5=$A$86,'Balances y Proyecciones'!AP725,IF(K$5=$A$87,'Balances y Proyecciones'!AS725,'Balances y Proyecciones'!AV725)))</f>
        <v>8.9750692520775619</v>
      </c>
      <c r="D25" s="246">
        <f>IF(OR(L$5=0,AND(L$5&lt;&gt;$A$87,L$5&lt;&gt;$A$89)),0,IF(L$5=$A$87,'Balances y Proyecciones'!AS725,'Balances y Proyecciones'!AY725))</f>
        <v>8.9750692520775619</v>
      </c>
      <c r="E25" s="246">
        <f>IF(OR(M$5=0,AND(M$5&lt;&gt;$A$89,M$5&lt;&gt;$A$90)),0,IF(M$5=$A$89,'Balances y Proyecciones'!AY725,'Balances y Proyecciones'!BB725))</f>
        <v>8.9750692520775619</v>
      </c>
      <c r="F25" s="260"/>
      <c r="G25" s="261"/>
      <c r="I25" s="149"/>
      <c r="J25" s="149"/>
      <c r="K25" s="149"/>
      <c r="L25" s="149"/>
      <c r="M25" s="149"/>
      <c r="N25" s="149"/>
      <c r="O25" s="149"/>
      <c r="P25" s="149"/>
      <c r="Q25" s="149"/>
      <c r="R25" s="149"/>
      <c r="S25" s="149"/>
      <c r="T25" s="149"/>
    </row>
    <row r="26" spans="1:27" s="156" customFormat="1" ht="29.25" customHeight="1" x14ac:dyDescent="0.25">
      <c r="A26" s="233" t="s">
        <v>897</v>
      </c>
      <c r="B26" s="259"/>
      <c r="C26" s="246">
        <f>IF(OR(K$5=0,AND(K$5&lt;&gt;$A$86,K$5&lt;&gt;$A$87,K$5&lt;&gt;$A$88)),0,IF(K$5=$A$86,'Balances y Proyecciones'!AP727,IF(K$5=$A$87,'Balances y Proyecciones'!AS727,'Balances y Proyecciones'!AV727)))</f>
        <v>280.8</v>
      </c>
      <c r="D26" s="246">
        <f>IF(OR(L$5=0,AND(L$5&lt;&gt;$A$87,L$5&lt;&gt;$A$89)),0,IF(L$5=$A$87,'Balances y Proyecciones'!AS727,'Balances y Proyecciones'!AY727))</f>
        <v>280.8</v>
      </c>
      <c r="E26" s="246">
        <f>IF(OR(M$5=0,AND(M$5&lt;&gt;$A$89,M$5&lt;&gt;$A$90)),0,IF(M$5=$A$89,'Balances y Proyecciones'!AY727,'Balances y Proyecciones'!BB727))</f>
        <v>280.8</v>
      </c>
      <c r="F26" s="260"/>
      <c r="G26" s="261"/>
      <c r="I26" s="149"/>
      <c r="J26" s="149"/>
      <c r="K26" s="149"/>
      <c r="L26" s="149"/>
      <c r="M26" s="149"/>
      <c r="N26" s="149"/>
      <c r="O26" s="149"/>
      <c r="P26" s="149"/>
      <c r="Q26" s="149"/>
      <c r="R26" s="149"/>
      <c r="S26" s="149"/>
      <c r="T26" s="149"/>
    </row>
    <row r="27" spans="1:27" s="156" customFormat="1" ht="29.25" customHeight="1" x14ac:dyDescent="0.25">
      <c r="A27" s="233" t="s">
        <v>898</v>
      </c>
      <c r="B27" s="259"/>
      <c r="C27" s="246">
        <f>IF(OR(C25="",C26="",C28=""),"",SUM(C25:C26))</f>
        <v>289.77506925207757</v>
      </c>
      <c r="D27" s="246">
        <f>IF(OR(D25="",D26="",D28=""),"",SUM(D25:D26))</f>
        <v>289.77506925207757</v>
      </c>
      <c r="E27" s="246">
        <f>IF(OR(E25="",E26="",E28=""),"",SUM(E25:E26))</f>
        <v>289.77506925207757</v>
      </c>
      <c r="F27" s="260"/>
      <c r="G27" s="261"/>
      <c r="I27" s="262" t="s">
        <v>899</v>
      </c>
      <c r="J27" s="263"/>
      <c r="K27" s="264"/>
      <c r="L27" s="265"/>
      <c r="M27" s="265"/>
      <c r="N27" s="266"/>
      <c r="O27" s="267"/>
      <c r="P27" s="266"/>
      <c r="Q27" s="266"/>
      <c r="R27" s="268"/>
      <c r="S27" s="269" t="s">
        <v>900</v>
      </c>
      <c r="T27" s="270" t="s">
        <v>901</v>
      </c>
    </row>
    <row r="28" spans="1:27" s="156" customFormat="1" ht="29.25" customHeight="1" x14ac:dyDescent="0.25">
      <c r="A28" s="233" t="s">
        <v>902</v>
      </c>
      <c r="B28" s="259"/>
      <c r="C28" s="246">
        <f>IF(OR(K$5=0,AND(K$5&lt;&gt;$A$86,K$5&lt;&gt;$A$87,K$5&lt;&gt;$A$88)),0,IF(K$5=$A$86,'Balances y Proyecciones'!AP730,IF(K$5=$A$87,'Balances y Proyecciones'!AS730,'Balances y Proyecciones'!AV730)))</f>
        <v>21.6</v>
      </c>
      <c r="D28" s="246">
        <f>IF(OR(L$5=0,AND(L$5&lt;&gt;$A$87,L$5&lt;&gt;$A$89)),0,IF(L$5=$A$87,'Balances y Proyecciones'!AS730,'Balances y Proyecciones'!AY730))</f>
        <v>21.6</v>
      </c>
      <c r="E28" s="246">
        <f>IF(OR(M$5=0,AND(M$5&lt;&gt;$A$89,M$5&lt;&gt;$A$90)),0,IF(M$5=$A$89,'Balances y Proyecciones'!AY730,'Balances y Proyecciones'!BB730))</f>
        <v>21.6</v>
      </c>
      <c r="F28" s="260"/>
      <c r="G28" s="261"/>
      <c r="I28" s="271" t="s">
        <v>541</v>
      </c>
      <c r="J28" s="272"/>
      <c r="K28" s="273"/>
      <c r="L28" s="274"/>
      <c r="M28" s="274"/>
      <c r="N28" s="275"/>
      <c r="O28" s="276"/>
      <c r="P28" s="277"/>
      <c r="Q28" s="276"/>
      <c r="R28" s="276"/>
      <c r="S28" s="278" t="str">
        <f>IF($K$5=$A$88,RIGHT(K5,2)&amp;" / "&amp;RIGHT(M5,2),RIGHT(L5,2)&amp;" / "&amp;RIGHT(M5,2))</f>
        <v>20 / 21</v>
      </c>
      <c r="T28" s="279"/>
    </row>
    <row r="29" spans="1:27" s="156" customFormat="1" ht="29.25" customHeight="1" x14ac:dyDescent="0.25">
      <c r="A29" s="233" t="s">
        <v>903</v>
      </c>
      <c r="B29" s="259"/>
      <c r="C29" s="246">
        <f>IF(OR(C25="",C26="",C28=""),"",SUM(C25:C26,-C28))</f>
        <v>268.17506925207755</v>
      </c>
      <c r="D29" s="246">
        <f>IF(OR(D25="",D26="",D28=""),"",SUM(D25:D26,-D28))</f>
        <v>268.17506925207755</v>
      </c>
      <c r="E29" s="246">
        <f>IF(OR(E25="",E26="",E28=""),"",SUM(E25:E26,-E28))</f>
        <v>268.17506925207755</v>
      </c>
      <c r="F29" s="149"/>
      <c r="G29" s="280"/>
      <c r="I29" s="281"/>
      <c r="J29" s="201" t="s">
        <v>904</v>
      </c>
      <c r="K29" s="210">
        <f>IF(OR(K$5=0,AND(K$5&lt;&gt;$A$86,K$5&lt;&gt;$A$87,K$5&lt;&gt;$A$88)),0,IF(K$5=$A$86,'Balances y Proyecciones'!E18,IF(K$5=$A$87,'Balances y Proyecciones'!H18,'Balances y Proyecciones'!K18)))</f>
        <v>390</v>
      </c>
      <c r="L29" s="211">
        <f>IF(OR(L$5=0,AND(L$5&lt;&gt;$A$87,L$5&lt;&gt;$A$89)),0,IF(L$5=$A$87,'Balances y Proyecciones'!H18,'Balances y Proyecciones'!N18))</f>
        <v>390</v>
      </c>
      <c r="M29" s="211">
        <f>IF(OR(M$5=0,AND(M$5&lt;&gt;$A$89,M$5&lt;&gt;$A$90)),0,IF(M$5=$A$89,'Balances y Proyecciones'!N18,'Balances y Proyecciones'!Q18))</f>
        <v>390</v>
      </c>
      <c r="N29" s="205">
        <f t="shared" ref="N29:N43" si="6">IF(OR(K29=0,K29="",$L$5=""),"",L29/K29-1)</f>
        <v>0</v>
      </c>
      <c r="O29" s="206">
        <f t="shared" ref="O29:O43" si="7">IF($K$5=$A$88,IF(OR(K29=0,K29=""),"",M29/K29-1),IF(OR(L29=0,L29=""),"",M29/L29-1))</f>
        <v>0</v>
      </c>
      <c r="P29" s="207">
        <f t="shared" ref="P29:P42" si="8">IF(OR(K$42=0,K$42=""),"",K29/K$42)</f>
        <v>9.8484848484848481E-2</v>
      </c>
      <c r="Q29" s="208">
        <f t="shared" ref="Q29:Q42" si="9">IF(OR(L$42=0,L$42=""),"",L29/L$42)</f>
        <v>9.8484848484848481E-2</v>
      </c>
      <c r="R29" s="206">
        <f t="shared" ref="R29:R42" si="10">IF(OR(M$42=0,M$42=""),"",M29/M$42)</f>
        <v>9.8484848484848481E-2</v>
      </c>
      <c r="S29" s="282">
        <f>IF($K$5=$A$88,IF(M29-K29&lt;0,-(M29-K29),0),IF(M29-L29&lt;0,-(M29-L29),0))</f>
        <v>0</v>
      </c>
      <c r="T29" s="283">
        <f>IF($K$5=$A$88,IF(M29-K29&gt;0,M29-K29,0),IF(M29-L29&gt;0,M29-L29,0))</f>
        <v>0</v>
      </c>
    </row>
    <row r="30" spans="1:27" s="156" customFormat="1" ht="29.25" customHeight="1" x14ac:dyDescent="0.25">
      <c r="A30" s="284" t="s">
        <v>905</v>
      </c>
      <c r="B30" s="149"/>
      <c r="C30" s="285"/>
      <c r="D30" s="285"/>
      <c r="E30" s="285"/>
      <c r="F30" s="230"/>
      <c r="G30" s="231"/>
      <c r="I30" s="281"/>
      <c r="J30" s="227" t="s">
        <v>565</v>
      </c>
      <c r="K30" s="210">
        <f>IF(OR(K$5=0,AND(K$5&lt;&gt;$A$86,K$5&lt;&gt;$A$87,K$5&lt;&gt;$A$88)),0,IF(K$5=$A$86,SUM('Balances y Proyecciones'!E19:E20),IF(K$5=$A$87,SUM('Balances y Proyecciones'!H19:H20),SUM('Balances y Proyecciones'!K19:K20))))</f>
        <v>90</v>
      </c>
      <c r="L30" s="211">
        <f>IF(OR(L$5=0,AND(L$5&lt;&gt;$A$87,L$5&lt;&gt;$A$89)),0,IF(L$5=$A$87,SUM('Balances y Proyecciones'!H19:H20),SUM('Balances y Proyecciones'!N19:N20)))</f>
        <v>90</v>
      </c>
      <c r="M30" s="211">
        <f>IF(OR(M$5=0,AND(M$5&lt;&gt;$A$89,M$5&lt;&gt;$A$90)),0,IF(M$5=$A$89,SUM('Balances y Proyecciones'!N19:N20),SUM('Balances y Proyecciones'!Q19:Q20)))</f>
        <v>90</v>
      </c>
      <c r="N30" s="205">
        <f t="shared" si="6"/>
        <v>0</v>
      </c>
      <c r="O30" s="206">
        <f t="shared" si="7"/>
        <v>0</v>
      </c>
      <c r="P30" s="207">
        <f t="shared" si="8"/>
        <v>2.2727272727272728E-2</v>
      </c>
      <c r="Q30" s="208">
        <f t="shared" si="9"/>
        <v>2.2727272727272728E-2</v>
      </c>
      <c r="R30" s="206">
        <f t="shared" si="10"/>
        <v>2.2727272727272728E-2</v>
      </c>
      <c r="S30" s="282">
        <f>IF($K$5=$A$88,IF(M30-K30&lt;0,-(M30-K30),0),IF(M30-L30&lt;0,-(M30-L30),0))</f>
        <v>0</v>
      </c>
      <c r="T30" s="283">
        <f>IF($K$5=$A$88,IF(M30-K30&gt;0,M30-K30,0),IF(M30-L30&gt;0,M30-L30,0))</f>
        <v>0</v>
      </c>
    </row>
    <row r="31" spans="1:27" s="156" customFormat="1" ht="29.25" customHeight="1" x14ac:dyDescent="0.25">
      <c r="A31" s="233" t="s">
        <v>906</v>
      </c>
      <c r="B31" s="230"/>
      <c r="C31" s="234">
        <f>IF(OR(K$5=0,AND(K$5&lt;&gt;$A$86,K$5&lt;&gt;$A$87,K$5&lt;&gt;$A$88)),0,IF(K$5=$A$86,'Balances y Proyecciones'!AP750,IF(K$5=$A$87,'Balances y Proyecciones'!AS750,'Balances y Proyecciones'!AV750)))</f>
        <v>0.23484848484848486</v>
      </c>
      <c r="D31" s="234">
        <f>IF(OR(L$5=0,AND(L$5&lt;&gt;$A$87,L$5&lt;&gt;$A$89)),0,IF(L$5=$A$87,'Balances y Proyecciones'!AS750,'Balances y Proyecciones'!AY750))</f>
        <v>0.23484848484848486</v>
      </c>
      <c r="E31" s="234">
        <f>IF(OR(M$5=0,AND(M$5&lt;&gt;$A$89,M$5&lt;&gt;$A$90)),0,IF(M$5=$A$89,'Balances y Proyecciones'!AY750,'Balances y Proyecciones'!BB750))</f>
        <v>0.23484848484848486</v>
      </c>
      <c r="F31" s="235"/>
      <c r="G31" s="236"/>
      <c r="I31" s="281"/>
      <c r="J31" s="286" t="s">
        <v>576</v>
      </c>
      <c r="K31" s="210">
        <f>IF(OR(K$5=0,AND(K$5&lt;&gt;$A$86,K$5&lt;&gt;$A$87,K$5&lt;&gt;$A$88)),0,IF(K$5=$A$86,'Balances y Proyecciones'!E24,IF(K$5=$A$87,'Balances y Proyecciones'!H24,'Balances y Proyecciones'!K24)))</f>
        <v>360</v>
      </c>
      <c r="L31" s="211">
        <f>IF(OR(L$5=0,AND(L$5&lt;&gt;$A$87,L$5&lt;&gt;$A$89)),0,IF(L$5=$A$87,'Balances y Proyecciones'!H24,'Balances y Proyecciones'!N24))</f>
        <v>360</v>
      </c>
      <c r="M31" s="211">
        <f>IF(OR(M$5=0,AND(M$5&lt;&gt;$A$89,M$5&lt;&gt;$A$90)),0,IF(M$5=$A$89,'Balances y Proyecciones'!N24,'Balances y Proyecciones'!Q24))</f>
        <v>360</v>
      </c>
      <c r="N31" s="205">
        <f t="shared" si="6"/>
        <v>0</v>
      </c>
      <c r="O31" s="206">
        <f t="shared" si="7"/>
        <v>0</v>
      </c>
      <c r="P31" s="207">
        <f t="shared" si="8"/>
        <v>9.0909090909090912E-2</v>
      </c>
      <c r="Q31" s="208">
        <f t="shared" si="9"/>
        <v>9.0909090909090912E-2</v>
      </c>
      <c r="R31" s="206">
        <f t="shared" si="10"/>
        <v>9.0909090909090912E-2</v>
      </c>
      <c r="S31" s="282">
        <f>IF($K$5=$A$88,IF(M31-K31&lt;0,-(M31-K31),0),IF(M31-L31&lt;0,-(M31-L31),0))</f>
        <v>0</v>
      </c>
      <c r="T31" s="283">
        <f>IF($K$5=$A$88,IF(M31-K31&gt;0,M31-K31,0),IF(M31-L31&gt;0,M31-L31,0))</f>
        <v>0</v>
      </c>
    </row>
    <row r="32" spans="1:27" s="156" customFormat="1" ht="29.25" customHeight="1" x14ac:dyDescent="0.25">
      <c r="A32" s="233" t="s">
        <v>907</v>
      </c>
      <c r="B32" s="230"/>
      <c r="C32" s="234">
        <f>IF(OR(K$5=0,AND(K$5&lt;&gt;$A$86,K$5&lt;&gt;$A$87,K$5&lt;&gt;$A$88)),0,IF(K$5=$A$86,'Balances y Proyecciones'!AP751,IF(K$5=$A$87,'Balances y Proyecciones'!AS751,'Balances y Proyecciones'!AV751)))</f>
        <v>0.24031007751937986</v>
      </c>
      <c r="D32" s="234">
        <f>IF(OR(L$5=0,AND(L$5&lt;&gt;$A$87,L$5&lt;&gt;$A$89)),0,IF(L$5=$A$87,'Balances y Proyecciones'!AS751,'Balances y Proyecciones'!AY751))</f>
        <v>0.24031007751937986</v>
      </c>
      <c r="E32" s="234">
        <f>IF(OR(M$5=0,AND(M$5&lt;&gt;$A$89,M$5&lt;&gt;$A$90)),0,IF(M$5=$A$89,'Balances y Proyecciones'!AY751,'Balances y Proyecciones'!BB751))</f>
        <v>0.24031007751937986</v>
      </c>
      <c r="F32" s="235"/>
      <c r="G32" s="236"/>
      <c r="I32" s="281"/>
      <c r="J32" s="286" t="s">
        <v>908</v>
      </c>
      <c r="K32" s="210">
        <f>IF(OR(K$5=0,AND(K$5&lt;&gt;$A$86,K$5&lt;&gt;$A$87,K$5&lt;&gt;$A$88)),0,IF(K$5=$A$86,SUM('Balances y Proyecciones'!E21:E22),IF(K$5=$A$87,SUM('Balances y Proyecciones'!H21:H22),SUM('Balances y Proyecciones'!K21:K22))))</f>
        <v>390</v>
      </c>
      <c r="L32" s="211">
        <f>IF(OR(L$5=0,AND(L$5&lt;&gt;$A$87,L$5&lt;&gt;$A$89)),0,IF(L$5=$A$87,SUM('Balances y Proyecciones'!H21:H22),SUM('Balances y Proyecciones'!N21:N22)))</f>
        <v>390</v>
      </c>
      <c r="M32" s="211">
        <f>IF(OR(M$5=0,AND(M$5&lt;&gt;$A$89,M$5&lt;&gt;$A$90)),0,IF(M$5=$A$89,SUM('Balances y Proyecciones'!N21:N22),SUM('Balances y Proyecciones'!Q21:Q22)))</f>
        <v>390</v>
      </c>
      <c r="N32" s="205">
        <f t="shared" si="6"/>
        <v>0</v>
      </c>
      <c r="O32" s="206">
        <f t="shared" si="7"/>
        <v>0</v>
      </c>
      <c r="P32" s="207">
        <f t="shared" si="8"/>
        <v>9.8484848484848481E-2</v>
      </c>
      <c r="Q32" s="208">
        <f t="shared" si="9"/>
        <v>9.8484848484848481E-2</v>
      </c>
      <c r="R32" s="206">
        <f t="shared" si="10"/>
        <v>9.8484848484848481E-2</v>
      </c>
      <c r="S32" s="282">
        <f>IF($K$5=$A$88,IF(M32-K32&lt;0,-(M32-K32),0),IF(M32-L32&lt;0,-(M32-L32),0))</f>
        <v>0</v>
      </c>
      <c r="T32" s="283">
        <f>IF($K$5=$A$88,IF(M32-K32&gt;0,M32-K32,0),IF(M32-L32&gt;0,M32-L32,0))</f>
        <v>0</v>
      </c>
      <c r="Y32" s="287"/>
      <c r="Z32" s="287"/>
      <c r="AA32" s="287"/>
    </row>
    <row r="33" spans="1:27" s="156" customFormat="1" ht="29.25" customHeight="1" x14ac:dyDescent="0.25">
      <c r="A33" s="233" t="s">
        <v>909</v>
      </c>
      <c r="B33" s="230"/>
      <c r="C33" s="234">
        <f>IF(OR(K$5=0,AND(K$5&lt;&gt;$A$86,K$5&lt;&gt;$A$87,K$5&lt;&gt;$A$88)),0,IF(K$5=$A$86,IF('Balances y Proyecciones'!AP703=0,"",('Balances y Proyecciones'!AP704+'Balances y Proyecciones'!AP657)/'Balances y Proyecciones'!AP703),IF(K$5=$A$87,IF('Balances y Proyecciones'!AS703=0,"",('Balances y Proyecciones'!AS704+'Balances y Proyecciones'!AS657)/'Balances y Proyecciones'!AS703),IF('Balances y Proyecciones'!AV703=0,"",('Balances y Proyecciones'!AV704+'Balances y Proyecciones'!AV657)/'Balances y Proyecciones'!AV703))))</f>
        <v>1.2919896640826873E-2</v>
      </c>
      <c r="D33" s="234">
        <f>IF(OR(L$5=0,AND(L$5&lt;&gt;$A$87,L$5&lt;&gt;$A$89)),0,IF(L$5=$A$87,IF('Balances y Proyecciones'!AS703=0,"",('Balances y Proyecciones'!AS704+'Balances y Proyecciones'!AS657)/'Balances y Proyecciones'!AS703),IF('Balances y Proyecciones'!AY703=0,"",('Balances y Proyecciones'!AY704+'Balances y Proyecciones'!AY657)/'Balances y Proyecciones'!AY703)))</f>
        <v>1.2919896640826873E-2</v>
      </c>
      <c r="E33" s="234">
        <f>IF(OR(M$5=0,AND(M$5&lt;&gt;$A$89,M$5&lt;&gt;$A$90)),0,IF(M$5=$A$89,IF('Balances y Proyecciones'!AY703=0,"",('Balances y Proyecciones'!AY704+'Balances y Proyecciones'!AY657)/'Balances y Proyecciones'!AY703),IF('Balances y Proyecciones'!BB703=0,"",('Balances y Proyecciones'!BB704+'Balances y Proyecciones'!BB657)/'Balances y Proyecciones'!BB703)))</f>
        <v>1.2919896640826873E-2</v>
      </c>
      <c r="F33" s="235"/>
      <c r="G33" s="236"/>
      <c r="I33" s="281"/>
      <c r="J33" s="227" t="s">
        <v>611</v>
      </c>
      <c r="K33" s="210">
        <f>IF(OR(K$5=0,AND(K$5&lt;&gt;$A$86,K$5&lt;&gt;$A$87,K$5&lt;&gt;$A$88)),0,IF(K$5=$A$86,'Balances y Proyecciones'!E23+'Balances y Proyecciones'!E25,IF(K$5=$A$87,'Balances y Proyecciones'!H23+'Balances y Proyecciones'!H25,'Balances y Proyecciones'!K23+'Balances y Proyecciones'!K25)))</f>
        <v>630</v>
      </c>
      <c r="L33" s="211">
        <f>IF(OR(L$5=0,AND(L$5&lt;&gt;$A$87,L$5&lt;&gt;$A$89)),0,IF(L$5=$A$87,'Balances y Proyecciones'!H23+'Balances y Proyecciones'!H25,'Balances y Proyecciones'!N23+'Balances y Proyecciones'!N25))</f>
        <v>630</v>
      </c>
      <c r="M33" s="211">
        <f>IF(OR(M$5=0,AND(M$5&lt;&gt;$A$89,M$5&lt;&gt;$A$90)),0,IF(M$5=$A$89,'Balances y Proyecciones'!N23+'Balances y Proyecciones'!N25,'Balances y Proyecciones'!Q23+'Balances y Proyecciones'!Q25))</f>
        <v>630</v>
      </c>
      <c r="N33" s="205">
        <f t="shared" si="6"/>
        <v>0</v>
      </c>
      <c r="O33" s="206">
        <f t="shared" si="7"/>
        <v>0</v>
      </c>
      <c r="P33" s="207">
        <f t="shared" si="8"/>
        <v>0.15909090909090909</v>
      </c>
      <c r="Q33" s="208">
        <f t="shared" si="9"/>
        <v>0.15909090909090909</v>
      </c>
      <c r="R33" s="206">
        <f t="shared" si="10"/>
        <v>0.15909090909090909</v>
      </c>
      <c r="S33" s="282">
        <f>IF($K$5=$A$88,IF(M33-K33&lt;0,-(M33-K33),0),IF(M33-L33&lt;0,-(M33-L33),0))</f>
        <v>0</v>
      </c>
      <c r="T33" s="283">
        <f>IF($K$5=$A$88,IF(M33-K33&gt;0,M33-K33,0),IF(M33-L33&gt;0,M33-L33,0))</f>
        <v>0</v>
      </c>
      <c r="Y33" s="287"/>
      <c r="Z33" s="288"/>
      <c r="AA33" s="288"/>
    </row>
    <row r="34" spans="1:27" s="156" customFormat="1" ht="29.25" customHeight="1" x14ac:dyDescent="0.25">
      <c r="A34" s="233" t="s">
        <v>910</v>
      </c>
      <c r="B34" s="230"/>
      <c r="C34" s="289">
        <f>IF(OR(K$5=0,AND(K$5&lt;&gt;$A$86,K$5&lt;&gt;$A$87,K$5&lt;&gt;$A$88)),0,IF(C112="ND","ND",IF(K$5=$A$86,'Balances y Proyecciones'!AP745,IF(K$5=$A$87,'Balances y Proyecciones'!AS745,'Balances y Proyecciones'!AV745))))</f>
        <v>1.7543859649122806E-2</v>
      </c>
      <c r="D34" s="289">
        <f>IF(OR(L$5=0,AND(L$5&lt;&gt;$A$87,L$5&lt;&gt;$A$89)),0,IF(D112="ND","ND",IF(L$5=$A$87,'Balances y Proyecciones'!AS745,'Balances y Proyecciones'!AY745)))</f>
        <v>1.7543859649122806E-2</v>
      </c>
      <c r="E34" s="289">
        <f>IF(OR(M$5=0,AND(M$5&lt;&gt;$A$89,M$5&lt;&gt;$A$90)),0,IF(E112="ND","ND",IF(M$5=$A$89,'Balances y Proyecciones'!AY745,'Balances y Proyecciones'!BB745)))</f>
        <v>1.7543859649122806E-2</v>
      </c>
      <c r="F34" s="237"/>
      <c r="G34" s="236"/>
      <c r="I34" s="290" t="s">
        <v>615</v>
      </c>
      <c r="J34" s="232"/>
      <c r="K34" s="217">
        <f>SUM(K29:K33)</f>
        <v>1860</v>
      </c>
      <c r="L34" s="218">
        <f>SUM(L29:L33)</f>
        <v>1860</v>
      </c>
      <c r="M34" s="218">
        <f>SUM(M29:M33)</f>
        <v>1860</v>
      </c>
      <c r="N34" s="219">
        <f t="shared" si="6"/>
        <v>0</v>
      </c>
      <c r="O34" s="220">
        <f t="shared" si="7"/>
        <v>0</v>
      </c>
      <c r="P34" s="291">
        <f t="shared" si="8"/>
        <v>0.46969696969696972</v>
      </c>
      <c r="Q34" s="221">
        <f t="shared" si="9"/>
        <v>0.46969696969696972</v>
      </c>
      <c r="R34" s="220">
        <f t="shared" si="10"/>
        <v>0.46969696969696972</v>
      </c>
      <c r="S34" s="292"/>
      <c r="T34" s="293"/>
      <c r="Y34" s="287"/>
      <c r="Z34" s="288"/>
      <c r="AA34" s="288"/>
    </row>
    <row r="35" spans="1:27" s="156" customFormat="1" ht="29.25" customHeight="1" x14ac:dyDescent="0.25">
      <c r="A35" s="233" t="s">
        <v>911</v>
      </c>
      <c r="B35" s="230"/>
      <c r="C35" s="289">
        <f>IF(OR(K$5=0,AND(K$5&lt;&gt;$A$86,K$5&lt;&gt;$A$87,K$5&lt;&gt;$A$88)),0,IF(C112="ND","ND",IF(K$5=$A$86,'Balances y Proyecciones'!AP746,IF(K$5=$A$87,'Balances y Proyecciones'!AS746,'Balances y Proyecciones'!AV746))))</f>
        <v>-0.11929824561403508</v>
      </c>
      <c r="D35" s="289">
        <f>IF(OR(L$5=0,AND(L$5&lt;&gt;$A$87,L$5&lt;&gt;$A$89)),0,IF(D112="ND","ND",IF(L$5=$A$87,'Balances y Proyecciones'!AS746,'Balances y Proyecciones'!AY746)))</f>
        <v>-0.11929824561403508</v>
      </c>
      <c r="E35" s="289">
        <f>IF(OR(M$5=0,AND(M$5&lt;&gt;$A$89,M$5&lt;&gt;$A$90)),0,IF(E112="ND","ND",IF(M$5=$A$89,'Balances y Proyecciones'!AY746,'Balances y Proyecciones'!BB746)))</f>
        <v>-0.11929824561403508</v>
      </c>
      <c r="F35" s="237"/>
      <c r="G35" s="236"/>
      <c r="I35" s="281"/>
      <c r="J35" s="227" t="s">
        <v>616</v>
      </c>
      <c r="K35" s="210">
        <f>IF(OR(K$5=0,AND(K$5&lt;&gt;$A$86,K$5&lt;&gt;$A$87,K$5&lt;&gt;$A$88)),0,IF(K$5=$A$86,SUM('Balances y Proyecciones'!E28:E29),IF(K$5=$A$87,SUM('Balances y Proyecciones'!H28:H29),SUM('Balances y Proyecciones'!K28:K29))))</f>
        <v>600</v>
      </c>
      <c r="L35" s="211">
        <f>IF(OR(L$5=0,AND(L$5&lt;&gt;$A$87,L$5&lt;&gt;$A$89)),0,IF(L$5=$A$87,SUM('Balances y Proyecciones'!H28:H29),SUM('Balances y Proyecciones'!N28:N29)))</f>
        <v>600</v>
      </c>
      <c r="M35" s="211">
        <f>IF(OR(M$5=0,AND(M$5&lt;&gt;$A$89,M$5&lt;&gt;$A$90)),0,IF(M$5=$A$89,SUM('Balances y Proyecciones'!N28:N29),SUM('Balances y Proyecciones'!Q28:Q29)))</f>
        <v>600</v>
      </c>
      <c r="N35" s="205">
        <f t="shared" si="6"/>
        <v>0</v>
      </c>
      <c r="O35" s="206">
        <f t="shared" si="7"/>
        <v>0</v>
      </c>
      <c r="P35" s="207">
        <f t="shared" si="8"/>
        <v>0.15151515151515152</v>
      </c>
      <c r="Q35" s="208">
        <f t="shared" si="9"/>
        <v>0.15151515151515152</v>
      </c>
      <c r="R35" s="206">
        <f t="shared" si="10"/>
        <v>0.15151515151515152</v>
      </c>
      <c r="S35" s="282">
        <f>IF($K$5=$A$88,IF(M35-K35&lt;0,-(M35-K35),0),IF(M35-L35&lt;0,-(M35-L35),0))</f>
        <v>0</v>
      </c>
      <c r="T35" s="283">
        <f>IF($K$5=$A$88,IF(M35-K35&gt;0,M35-K35,0),IF(M35-L35&gt;0,M35-L35,0))</f>
        <v>0</v>
      </c>
      <c r="Y35" s="287"/>
      <c r="Z35" s="288"/>
      <c r="AA35" s="288"/>
    </row>
    <row r="36" spans="1:27" s="156" customFormat="1" ht="29.25" customHeight="1" x14ac:dyDescent="0.25">
      <c r="A36" s="233" t="s">
        <v>912</v>
      </c>
      <c r="B36" s="230"/>
      <c r="C36" s="289">
        <f>IF(OR(K$5=0,AND(K$5&lt;&gt;$A$86,K$5&lt;&gt;$A$87,K$5&lt;&gt;$A$88)),0,IF(K$5=$A$86,'Balances y Proyecciones'!AP752,IF(K$5=$A$87,'Balances y Proyecciones'!AS752,'Balances y Proyecciones'!AV752)))</f>
        <v>1.6025641025641024E-2</v>
      </c>
      <c r="D36" s="289">
        <f>IF(OR(L$5=0,AND(L$5&lt;&gt;$A$87,L$5&lt;&gt;$A$89)),0,IF(L$5=$A$87,'Balances y Proyecciones'!AS752,'Balances y Proyecciones'!AY752))</f>
        <v>1.6025641025641024E-2</v>
      </c>
      <c r="E36" s="289">
        <f>IF(OR(M$5=0,AND(M$5&lt;&gt;$A$89,M$5&lt;&gt;$A$90)),0,IF(M$5=$A$89,'Balances y Proyecciones'!AY752,'Balances y Proyecciones'!BB752))</f>
        <v>1.6025641025641024E-2</v>
      </c>
      <c r="F36" s="237"/>
      <c r="G36" s="236"/>
      <c r="I36" s="281"/>
      <c r="J36" s="227" t="s">
        <v>640</v>
      </c>
      <c r="K36" s="210">
        <f>IF(OR(K$5=0,AND(K$5&lt;&gt;$A$86,K$5&lt;&gt;$A$87,K$5&lt;&gt;$A$88)),0,IF(K$5=$A$86,'Balances y Proyecciones'!E27,IF(K$5=$A$87,'Balances y Proyecciones'!H27,'Balances y Proyecciones'!K27)))</f>
        <v>270</v>
      </c>
      <c r="L36" s="211">
        <f>IF(OR(L$5=0,AND(L$5&lt;&gt;$A$87,L$5&lt;&gt;$A$89)),0,IF(L$5=$A$87,'Balances y Proyecciones'!H27,'Balances y Proyecciones'!N27))</f>
        <v>270</v>
      </c>
      <c r="M36" s="211">
        <f>IF(OR(M$5=0,AND(M$5&lt;&gt;$A$89,M$5&lt;&gt;$A$90)),0,IF(M$5=$A$89,'Balances y Proyecciones'!N27,'Balances y Proyecciones'!Q27))</f>
        <v>270</v>
      </c>
      <c r="N36" s="205">
        <f t="shared" si="6"/>
        <v>0</v>
      </c>
      <c r="O36" s="206">
        <f t="shared" si="7"/>
        <v>0</v>
      </c>
      <c r="P36" s="207">
        <f t="shared" si="8"/>
        <v>6.8181818181818177E-2</v>
      </c>
      <c r="Q36" s="208">
        <f t="shared" si="9"/>
        <v>6.8181818181818177E-2</v>
      </c>
      <c r="R36" s="206">
        <f t="shared" si="10"/>
        <v>6.8181818181818177E-2</v>
      </c>
      <c r="S36" s="282">
        <f>IF($K$5=$A$88,IF(M36-K36&lt;0,-(M36-K36),0),IF(M36-L36&lt;0,-(M36-L36),0))</f>
        <v>0</v>
      </c>
      <c r="T36" s="283">
        <f>IF($K$5=$A$88,IF(M36-K36&gt;0,M36-K36,0),IF(M36-L36&gt;0,M36-L36,0))</f>
        <v>0</v>
      </c>
    </row>
    <row r="37" spans="1:27" s="156" customFormat="1" ht="29.25" customHeight="1" x14ac:dyDescent="0.25">
      <c r="A37" s="233" t="s">
        <v>913</v>
      </c>
      <c r="B37" s="230"/>
      <c r="C37" s="234">
        <f>P52</f>
        <v>0.5161290322580645</v>
      </c>
      <c r="D37" s="234">
        <f>Q52</f>
        <v>0.5161290322580645</v>
      </c>
      <c r="E37" s="234">
        <f>R52</f>
        <v>0.5161290322580645</v>
      </c>
      <c r="F37" s="235"/>
      <c r="G37" s="236"/>
      <c r="I37" s="281"/>
      <c r="J37" s="286" t="s">
        <v>605</v>
      </c>
      <c r="K37" s="210">
        <f>IF(OR(K$5=0,AND(K$5&lt;&gt;$A$86,K$5&lt;&gt;$A$87,K$5&lt;&gt;$A$88)),0,IF(K$5=$A$86,'Balances y Proyecciones'!E31,IF(K$5=$A$87,'Balances y Proyecciones'!H31,'Balances y Proyecciones'!K31)))</f>
        <v>180</v>
      </c>
      <c r="L37" s="211">
        <f>IF(OR(L$5=0,AND(L$5&lt;&gt;$A$87,L$5&lt;&gt;$A$89)),0,IF(L$5=$A$87,'Balances y Proyecciones'!H31,'Balances y Proyecciones'!N31))</f>
        <v>180</v>
      </c>
      <c r="M37" s="211">
        <f>IF(OR(M$5=0,AND(M$5&lt;&gt;$A$89,M$5&lt;&gt;$A$90)),0,IF(M$5=$A$89,'Balances y Proyecciones'!N31,'Balances y Proyecciones'!Q31))</f>
        <v>180</v>
      </c>
      <c r="N37" s="205">
        <f t="shared" si="6"/>
        <v>0</v>
      </c>
      <c r="O37" s="206">
        <f t="shared" si="7"/>
        <v>0</v>
      </c>
      <c r="P37" s="207">
        <f t="shared" si="8"/>
        <v>4.5454545454545456E-2</v>
      </c>
      <c r="Q37" s="208">
        <f t="shared" si="9"/>
        <v>4.5454545454545456E-2</v>
      </c>
      <c r="R37" s="206">
        <f t="shared" si="10"/>
        <v>4.5454545454545456E-2</v>
      </c>
      <c r="S37" s="282">
        <f>IF($K$5=$A$88,IF(M37-K37&lt;0,-(M37-K37),0),IF(M37-L37&lt;0,-(M37-L37),0))</f>
        <v>0</v>
      </c>
      <c r="T37" s="283">
        <f>IF($K$5=$A$88,IF(M37-K37&gt;0,M37-K37,0),IF(M37-L37&gt;0,M37-L37,0))</f>
        <v>0</v>
      </c>
    </row>
    <row r="38" spans="1:27" s="156" customFormat="1" ht="29.25" customHeight="1" x14ac:dyDescent="0.25">
      <c r="A38" s="233" t="s">
        <v>914</v>
      </c>
      <c r="B38" s="230"/>
      <c r="C38" s="234">
        <f>IF(SUM(K45,K53)=0,"",K45/SUM(K45,K53))</f>
        <v>0.6</v>
      </c>
      <c r="D38" s="234">
        <f>IF(SUM(L45,L53)=0,"",L45/SUM(L45,L53))</f>
        <v>0.6</v>
      </c>
      <c r="E38" s="234">
        <f>IF(SUM(M45,M53)=0,"",M45/SUM(M45,M53))</f>
        <v>0.6</v>
      </c>
      <c r="F38" s="235"/>
      <c r="G38" s="236"/>
      <c r="I38" s="281"/>
      <c r="J38" s="294" t="s">
        <v>652</v>
      </c>
      <c r="K38" s="210">
        <f>IF(OR(K$5=0,AND(K$5&lt;&gt;$A$86,K$5&lt;&gt;$A$87,K$5&lt;&gt;$A$88)),0,IF(K$5=$A$86,'Balances y Proyecciones'!E30,IF(K$5=$A$87,'Balances y Proyecciones'!H30,'Balances y Proyecciones'!K30)))</f>
        <v>210</v>
      </c>
      <c r="L38" s="211">
        <f>IF(OR(L$5=0,AND(L$5&lt;&gt;$A$87,L$5&lt;&gt;$A$89)),0,IF(L$5=$A$87,'Balances y Proyecciones'!H30,'Balances y Proyecciones'!N30))</f>
        <v>210</v>
      </c>
      <c r="M38" s="211">
        <f>IF(OR(M$5=0,AND(M$5&lt;&gt;$A$89,M$5&lt;&gt;$A$90)),0,IF(M$5=$A$89,'Balances y Proyecciones'!N30,'Balances y Proyecciones'!Q30))</f>
        <v>210</v>
      </c>
      <c r="N38" s="205">
        <f t="shared" si="6"/>
        <v>0</v>
      </c>
      <c r="O38" s="206">
        <f t="shared" si="7"/>
        <v>0</v>
      </c>
      <c r="P38" s="207">
        <f t="shared" si="8"/>
        <v>5.3030303030303032E-2</v>
      </c>
      <c r="Q38" s="208">
        <f t="shared" si="9"/>
        <v>5.3030303030303032E-2</v>
      </c>
      <c r="R38" s="206">
        <f t="shared" si="10"/>
        <v>5.3030303030303032E-2</v>
      </c>
      <c r="S38" s="282">
        <f>IF($K$5=$A$88,IF(M38-K38&lt;0,-(M38-K38),0),IF(M38-L38&lt;0,-(M38-L38),0))</f>
        <v>0</v>
      </c>
      <c r="T38" s="283">
        <f>IF($K$5=$A$88,IF(M38-K38&gt;0,M38-K38,0),IF(M38-L38&gt;0,M38-L38,0))</f>
        <v>0</v>
      </c>
    </row>
    <row r="39" spans="1:27" s="156" customFormat="1" ht="29.25" customHeight="1" x14ac:dyDescent="0.25">
      <c r="A39" s="233" t="s">
        <v>915</v>
      </c>
      <c r="B39" s="230"/>
      <c r="C39" s="234">
        <f>IF(OR(K$5=0,AND(K$5&lt;&gt;$A$86,K$5&lt;&gt;$A$87,K$5&lt;&gt;$A$88)),0,IF(K$5=$A$86,'Balances y Proyecciones'!AP743,IF(K$5=$A$87,'Balances y Proyecciones'!AS743,'Balances y Proyecciones'!AV743)))</f>
        <v>1.3850415512465374E-2</v>
      </c>
      <c r="D39" s="234">
        <f>IF(OR(L$5=0,AND(L$5&lt;&gt;$A$87,L$5&lt;&gt;$A$89)),0,IF(L$5=$A$87,'Balances y Proyecciones'!AS743,'Balances y Proyecciones'!AY743))</f>
        <v>1.3850415512465374E-2</v>
      </c>
      <c r="E39" s="234">
        <f>IF(OR(M$5=0,AND(M$5&lt;&gt;$A$89,M$5&lt;&gt;$A$90)),0,IF(M$5=$A$89,'Balances y Proyecciones'!AY743,'Balances y Proyecciones'!BB743))</f>
        <v>1.3850415512465374E-2</v>
      </c>
      <c r="F39" s="235"/>
      <c r="G39" s="236"/>
      <c r="I39" s="281"/>
      <c r="J39" s="227" t="s">
        <v>916</v>
      </c>
      <c r="K39" s="210">
        <f>IF(OR(K$5=0,AND(K$5&lt;&gt;$A$86,K$5&lt;&gt;$A$87,K$5&lt;&gt;$A$88)),0,IF(K$5=$A$86,'Balances y Proyecciones'!E32,IF(K$5=$A$87,'Balances y Proyecciones'!H32,'Balances y Proyecciones'!K32)))</f>
        <v>750</v>
      </c>
      <c r="L39" s="211">
        <f>IF(OR(L$5=0,AND(L$5&lt;&gt;$A$87,L$5&lt;&gt;$A$89)),0,IF(L$5=$A$87,'Balances y Proyecciones'!H32,'Balances y Proyecciones'!N32))</f>
        <v>750</v>
      </c>
      <c r="M39" s="245">
        <f>IF(OR(M$5=0,AND(M$5&lt;&gt;$A$89,M$5&lt;&gt;$A$90)),0,IF(M$5=$A$89,'Balances y Proyecciones'!N32,'Balances y Proyecciones'!Q32))</f>
        <v>750</v>
      </c>
      <c r="N39" s="205">
        <f t="shared" si="6"/>
        <v>0</v>
      </c>
      <c r="O39" s="206">
        <f t="shared" si="7"/>
        <v>0</v>
      </c>
      <c r="P39" s="207">
        <f t="shared" si="8"/>
        <v>0.18939393939393939</v>
      </c>
      <c r="Q39" s="208">
        <f t="shared" si="9"/>
        <v>0.18939393939393939</v>
      </c>
      <c r="R39" s="206">
        <f t="shared" si="10"/>
        <v>0.18939393939393939</v>
      </c>
      <c r="S39" s="282">
        <f>IF($K$5=$A$88,IF(M39-K39&lt;0,-(M39-K39),0),IF(M39-L39&lt;0,-(M39-L39),0))</f>
        <v>0</v>
      </c>
      <c r="T39" s="283">
        <f>IF($K$5=$A$88,IF(M39-K39&gt;0,M39-K39,0),IF(M39-L39&gt;0,M39-L39,0))</f>
        <v>0</v>
      </c>
    </row>
    <row r="40" spans="1:27" s="156" customFormat="1" ht="29.25" customHeight="1" x14ac:dyDescent="0.25">
      <c r="A40" s="228" t="s">
        <v>917</v>
      </c>
      <c r="B40" s="229"/>
      <c r="C40" s="239"/>
      <c r="D40" s="239"/>
      <c r="E40" s="239"/>
      <c r="F40" s="149"/>
      <c r="G40" s="280"/>
      <c r="I40" s="281"/>
      <c r="J40" s="227" t="s">
        <v>665</v>
      </c>
      <c r="K40" s="210">
        <f>IF(OR(K$5=0,AND(K$5&lt;&gt;$A$86,K$5&lt;&gt;$A$87,K$5&lt;&gt;$A$88)),0,IF(K$5=$A$86,'Balances y Proyecciones'!E33,IF(K$5=$A$87,'Balances y Proyecciones'!H33,'Balances y Proyecciones'!K33)))</f>
        <v>90</v>
      </c>
      <c r="L40" s="211">
        <f>IF(OR(L$5=0,AND(L$5&lt;&gt;$A$87,L$5&lt;&gt;$A$89)),0,IF(L$5=$A$87,'Balances y Proyecciones'!H33,'Balances y Proyecciones'!N33))</f>
        <v>90</v>
      </c>
      <c r="M40" s="211">
        <f>IF(OR(M$5=0,AND(M$5&lt;&gt;$A$89,M$5&lt;&gt;$A$90)),0,IF(M$5=$A$89,'Balances y Proyecciones'!N33,'Balances y Proyecciones'!Q33))</f>
        <v>90</v>
      </c>
      <c r="N40" s="205">
        <f t="shared" si="6"/>
        <v>0</v>
      </c>
      <c r="O40" s="206">
        <f t="shared" si="7"/>
        <v>0</v>
      </c>
      <c r="P40" s="207">
        <f t="shared" si="8"/>
        <v>2.2727272727272728E-2</v>
      </c>
      <c r="Q40" s="208">
        <f t="shared" si="9"/>
        <v>2.2727272727272728E-2</v>
      </c>
      <c r="R40" s="206">
        <f t="shared" si="10"/>
        <v>2.2727272727272728E-2</v>
      </c>
      <c r="S40" s="282"/>
      <c r="T40" s="283"/>
    </row>
    <row r="41" spans="1:27" s="156" customFormat="1" ht="29.25" customHeight="1" x14ac:dyDescent="0.25">
      <c r="A41" s="295" t="s">
        <v>918</v>
      </c>
      <c r="B41" s="240"/>
      <c r="C41" s="296">
        <f>IF(OR(K$5=0,AND(K$5&lt;&gt;$A$86,K$5&lt;&gt;$A$87,K$5&lt;&gt;$A$88)),0,IF(C112="ND","ND",IF(K$5=$A$86,'Balances y Proyecciones'!AP737,IF(K$5=$A$87,'Balances y Proyecciones'!AS737,'Balances y Proyecciones'!AV737))))</f>
        <v>285</v>
      </c>
      <c r="D41" s="296">
        <f>IF(OR(L$5=0,AND(L$5&lt;&gt;$A$87,L$5&lt;&gt;$A$89)),0,IF(D112="ND","ND",IF(L$5=$A$87,'Balances y Proyecciones'!AS737,'Balances y Proyecciones'!AY737)))</f>
        <v>285</v>
      </c>
      <c r="E41" s="296">
        <f>IF(OR(M$5=0,AND(M$5&lt;&gt;$A$89,M$5&lt;&gt;$A$90)),0,IF(E112="ND","ND",IF(M$5=$A$89,'Balances y Proyecciones'!AY737,'Balances y Proyecciones'!BB737)))</f>
        <v>285</v>
      </c>
      <c r="F41" s="297"/>
      <c r="G41" s="248"/>
      <c r="I41" s="298" t="s">
        <v>670</v>
      </c>
      <c r="J41" s="299"/>
      <c r="K41" s="300">
        <f>SUM(K35:K40)</f>
        <v>2100</v>
      </c>
      <c r="L41" s="301">
        <f>SUM(L35:L40)</f>
        <v>2100</v>
      </c>
      <c r="M41" s="301">
        <f>SUM(M35:M40)</f>
        <v>2100</v>
      </c>
      <c r="N41" s="302">
        <f t="shared" si="6"/>
        <v>0</v>
      </c>
      <c r="O41" s="303">
        <f t="shared" si="7"/>
        <v>0</v>
      </c>
      <c r="P41" s="304">
        <f t="shared" si="8"/>
        <v>0.53030303030303028</v>
      </c>
      <c r="Q41" s="305">
        <f t="shared" si="9"/>
        <v>0.53030303030303028</v>
      </c>
      <c r="R41" s="303">
        <f t="shared" si="10"/>
        <v>0.53030303030303028</v>
      </c>
      <c r="S41" s="306"/>
      <c r="T41" s="307"/>
    </row>
    <row r="42" spans="1:27" s="156" customFormat="1" ht="29.25" customHeight="1" x14ac:dyDescent="0.25">
      <c r="A42" s="295" t="s">
        <v>919</v>
      </c>
      <c r="B42" s="240"/>
      <c r="C42" s="296">
        <f>IF(OR(K$5=0,AND(K$5&lt;&gt;$A$86,K$5&lt;&gt;$A$87,K$5&lt;&gt;$A$88)),0,IF(K$5=$A$86,'Balances y Proyecciones'!AP738,IF(K$5=$A$87,'Balances y Proyecciones'!AS738,'Balances y Proyecciones'!AV738)))</f>
        <v>9.8275862068965516</v>
      </c>
      <c r="D42" s="296" t="str">
        <f>IF(OR(L$5=0,AND(L$5&lt;&gt;$A$87,L$5&lt;&gt;$A$89)),0,IF(L$5=$A$87,'Balances y Proyecciones'!AS738,'Balances y Proyecciones'!AY738))</f>
        <v>N/A</v>
      </c>
      <c r="E42" s="296" t="str">
        <f>IF(OR(M$5=0,AND(M$5&lt;&gt;$A$89,M$5&lt;&gt;$A$90)),0,IF(M$5=$A$89,'Balances y Proyecciones'!AY738,'Balances y Proyecciones'!BB738))</f>
        <v>N/A</v>
      </c>
      <c r="F42" s="297"/>
      <c r="G42" s="248"/>
      <c r="H42" s="149"/>
      <c r="I42" s="308" t="s">
        <v>671</v>
      </c>
      <c r="J42" s="309"/>
      <c r="K42" s="310">
        <f>SUM(K34,K41)</f>
        <v>3960</v>
      </c>
      <c r="L42" s="311">
        <f>SUM(L34,L41)</f>
        <v>3960</v>
      </c>
      <c r="M42" s="311">
        <f>SUM(M34,M41)</f>
        <v>3960</v>
      </c>
      <c r="N42" s="312">
        <f t="shared" si="6"/>
        <v>0</v>
      </c>
      <c r="O42" s="313">
        <f t="shared" si="7"/>
        <v>0</v>
      </c>
      <c r="P42" s="314">
        <f t="shared" si="8"/>
        <v>1</v>
      </c>
      <c r="Q42" s="315">
        <f t="shared" si="9"/>
        <v>1</v>
      </c>
      <c r="R42" s="313">
        <f t="shared" si="10"/>
        <v>1</v>
      </c>
      <c r="S42" s="316"/>
      <c r="T42" s="317"/>
    </row>
    <row r="43" spans="1:27" s="156" customFormat="1" ht="29.25" customHeight="1" x14ac:dyDescent="0.25">
      <c r="A43" s="295" t="s">
        <v>920</v>
      </c>
      <c r="B43" s="240"/>
      <c r="C43" s="234" t="str">
        <f>C109</f>
        <v/>
      </c>
      <c r="D43" s="234" t="str">
        <f>D109</f>
        <v/>
      </c>
      <c r="E43" s="234" t="str">
        <f>E109</f>
        <v/>
      </c>
      <c r="F43" s="235"/>
      <c r="G43" s="318"/>
      <c r="I43" s="281"/>
      <c r="J43" s="286" t="s">
        <v>921</v>
      </c>
      <c r="K43" s="210">
        <f>IF(OR(K$5=0,AND(K$5&lt;&gt;$A$86,K$5&lt;&gt;$A$87,K$5&lt;&gt;$A$88)),0,IF(K$5=$A$86,'Estados Financieros'!E182-'Estados Financieros'!E181,IF(K$5=$A$87,'Estados Financieros'!F182-'Estados Financieros'!F181,'Estados Financieros'!I182-'Estados Financieros'!I181)))</f>
        <v>0</v>
      </c>
      <c r="L43" s="211">
        <f>IF(OR(L$5=0,AND(L$5&lt;&gt;$A$87,L$5&lt;&gt;$A$89)),0,IF(L$5=$A$87,'Estados Financieros'!F182-'Estados Financieros'!F181,'Estados Financieros'!G182-'Estados Financieros'!G181))</f>
        <v>0</v>
      </c>
      <c r="M43" s="211">
        <f>IF(OR(M$5=0,AND(M$5&lt;&gt;$A$89,M$5&lt;&gt;$A$90)),0,IF(M$5=$A$89,'Estados Financieros'!G182-'Estados Financieros'!G181,'Estados Financieros'!H182-'Estados Financieros'!H181))</f>
        <v>0</v>
      </c>
      <c r="N43" s="205" t="str">
        <f t="shared" si="6"/>
        <v/>
      </c>
      <c r="O43" s="206" t="str">
        <f t="shared" si="7"/>
        <v/>
      </c>
      <c r="P43" s="207" t="str">
        <f>IF(OR(K$28=0,K$28=""),"",K43/K$28)</f>
        <v/>
      </c>
      <c r="Q43" s="208" t="str">
        <f>IF(OR(L$28=0,L$28=""),"",L43/L$28)</f>
        <v/>
      </c>
      <c r="R43" s="206" t="str">
        <f>IF(M$28=0,"",M43/M$28)</f>
        <v/>
      </c>
      <c r="S43" s="319"/>
      <c r="T43" s="204"/>
    </row>
    <row r="44" spans="1:27" s="156" customFormat="1" ht="29.25" customHeight="1" x14ac:dyDescent="0.25">
      <c r="A44" s="320" t="s">
        <v>922</v>
      </c>
      <c r="B44" s="321"/>
      <c r="C44" s="322">
        <f>IF(OR(K$5=0,AND(K$5&lt;&gt;$A$86,K$5&lt;&gt;$A$87,K$5&lt;&gt;$A$88)),0,IF(K$5=$A$86,'Balances y Proyecciones'!AP741,IF(K$5=$A$87,'Balances y Proyecciones'!AS741,'Balances y Proyecciones'!AV741)))</f>
        <v>142.5</v>
      </c>
      <c r="D44" s="322">
        <f>IF(OR(L$5=0,AND(L$5&lt;&gt;$A$87,L$5&lt;&gt;$A$89)),0,IF(L$5=$A$87,'Balances y Proyecciones'!AS741,'Balances y Proyecciones'!AY741))</f>
        <v>142.5</v>
      </c>
      <c r="E44" s="322">
        <f>IF(OR(M$5=0,AND(M$5&lt;&gt;$A$89,M$5&lt;&gt;$A$90)),0,IF(M$5=$A$89,'Balances y Proyecciones'!AY741,'Balances y Proyecciones'!BB741))</f>
        <v>142.5</v>
      </c>
      <c r="F44" s="323"/>
      <c r="G44" s="248"/>
      <c r="I44" s="324" t="s">
        <v>678</v>
      </c>
      <c r="J44" s="325"/>
      <c r="K44" s="326"/>
      <c r="L44" s="327"/>
      <c r="M44" s="327"/>
      <c r="N44" s="328"/>
      <c r="O44" s="328"/>
      <c r="P44" s="329"/>
      <c r="Q44" s="328"/>
      <c r="R44" s="328"/>
      <c r="S44" s="330"/>
      <c r="T44" s="331"/>
    </row>
    <row r="45" spans="1:27" s="156" customFormat="1" ht="29.25" customHeight="1" x14ac:dyDescent="0.25">
      <c r="A45" s="228" t="s">
        <v>923</v>
      </c>
      <c r="B45" s="229"/>
      <c r="C45" s="332"/>
      <c r="D45" s="333"/>
      <c r="E45" s="333"/>
      <c r="F45" s="334"/>
      <c r="G45" s="318"/>
      <c r="I45" s="281"/>
      <c r="J45" s="286" t="s">
        <v>680</v>
      </c>
      <c r="K45" s="210">
        <f>IF(OR(K$5=0,AND(K$5&lt;&gt;$A$86,K$5&lt;&gt;$A$87,K$5&lt;&gt;$A$88)),0,IF(K$5=$A$86,SUM('Balances y Proyecciones'!E36:E39),IF(K$5=$A$87,SUM('Balances y Proyecciones'!H36:H39),SUM('Balances y Proyecciones'!K36:K39))))</f>
        <v>30</v>
      </c>
      <c r="L45" s="211">
        <f>IF(OR(L$5=0,AND(L$5&lt;&gt;$A$87,L$5&lt;&gt;$A$89)),0,IF(L$5=$A$87,SUM('Balances y Proyecciones'!H36:H39),SUM('Balances y Proyecciones'!N36:N39)))</f>
        <v>30</v>
      </c>
      <c r="M45" s="335">
        <f>IF(OR(M$5=0,AND(M$5&lt;&gt;$A$89,M$5&lt;&gt;$A$90)),0,IF(M$5=$A$89,SUM('Balances y Proyecciones'!N36:N39),SUM('Balances y Proyecciones'!Q36:Q39)))</f>
        <v>30</v>
      </c>
      <c r="N45" s="205">
        <f t="shared" ref="N45:N59" si="11">IF(OR(K45=0,K45="",$L$5=""),"",L45/K45-1)</f>
        <v>0</v>
      </c>
      <c r="O45" s="206">
        <f t="shared" ref="O45:O59" si="12">IF($K$5=$A$88,IF(OR(K45=0,K45=""),"",M45/K45-1),IF(OR(L45=0,L45=""),"",M45/L45-1))</f>
        <v>0</v>
      </c>
      <c r="P45" s="207">
        <f t="shared" ref="P45:P59" si="13">IF(OR(K$59=0,K$59=""),"",K45/K$59)</f>
        <v>3.2258064516129031E-2</v>
      </c>
      <c r="Q45" s="208">
        <f t="shared" ref="Q45:Q59" si="14">IF(OR(L$59=0,L$59=""),"",L45/L$59)</f>
        <v>3.2258064516129031E-2</v>
      </c>
      <c r="R45" s="206">
        <f t="shared" ref="R45:R59" si="15">IF(OR(M$59=0,M$59=""),"",M45/M$59)</f>
        <v>3.2258064516129031E-2</v>
      </c>
      <c r="S45" s="282">
        <f t="shared" ref="S45:S51" si="16">IF($K$5=$A$88,IF(M45-K45&gt;0,M45-K45,0),IF(M45-L45&gt;0,M45-L45,0))</f>
        <v>0</v>
      </c>
      <c r="T45" s="283">
        <f t="shared" ref="T45:T51" si="17">IF($K$5=$A$88,IF(M45-K45&lt;0,-(M45-K45),0),IF(M45-L45&lt;0,-(M45-L45),0))</f>
        <v>0</v>
      </c>
    </row>
    <row r="46" spans="1:27" s="156" customFormat="1" ht="29.25" customHeight="1" x14ac:dyDescent="0.25">
      <c r="A46" s="295" t="s">
        <v>924</v>
      </c>
      <c r="B46" s="240"/>
      <c r="C46" s="336">
        <f>IF(OR(K$5=0,AND(K$5&lt;&gt;$A$86,K$5&lt;&gt;$A$87,K$5&lt;&gt;$A$88)),0,IF(K$5=$A$86,IF('Balances y Proyecciones'!AP709=0,"",'Balances y Proyecciones'!AP710/'Balances y Proyecciones'!AP709),IF(K$5=$A$87,IF('Balances y Proyecciones'!AS709=0,"",'Balances y Proyecciones'!AS710/'Balances y Proyecciones'!AS709),IF('Balances y Proyecciones'!AV709=0,"",'Balances y Proyecciones'!AV710/'Balances y Proyecciones'!AV709))))</f>
        <v>0.87128712871287128</v>
      </c>
      <c r="D46" s="336">
        <f>IF(OR(L$5=0,AND(L$5&lt;&gt;$A$87,L$5&lt;&gt;$A$89)),0,IF(L$5=$A$87,IF('Balances y Proyecciones'!AS709=0,"",'Balances y Proyecciones'!AS710/'Balances y Proyecciones'!AS709),IF('Balances y Proyecciones'!AY709=0,"",'Balances y Proyecciones'!AY710/'Balances y Proyecciones'!AY709)))</f>
        <v>0.87128712871287128</v>
      </c>
      <c r="E46" s="336">
        <f>IF(OR(M$5=0,AND(M$5&lt;&gt;$A$89,M$5&lt;&gt;$A$90)),0,IF(M$5=$A$89,IF('Balances y Proyecciones'!AY709=0,"",'Balances y Proyecciones'!AY710/'Balances y Proyecciones'!AY709),IF('Balances y Proyecciones'!BB709=0,"",'Balances y Proyecciones'!BB710/'Balances y Proyecciones'!BB709)))</f>
        <v>0.87128712871287128</v>
      </c>
      <c r="F46" s="149"/>
      <c r="G46" s="280"/>
      <c r="I46" s="281"/>
      <c r="J46" s="286" t="s">
        <v>685</v>
      </c>
      <c r="K46" s="210">
        <f>IF(OR(K$5=0,AND(K$5&lt;&gt;$A$86,K$5&lt;&gt;$A$87,K$5&lt;&gt;$A$88)),0,IF(K$5=$A$86,'Balances y Proyecciones'!E40,IF(K$5=$A$87,'Balances y Proyecciones'!H40,'Balances y Proyecciones'!K40)))</f>
        <v>30</v>
      </c>
      <c r="L46" s="211">
        <f>IF(OR(L$5=0,AND(L$5&lt;&gt;$A$87,L$5&lt;&gt;$A$89)),0,IF(L$5=$A$87,'Balances y Proyecciones'!H40,'Balances y Proyecciones'!N40))</f>
        <v>30</v>
      </c>
      <c r="M46" s="335">
        <f>IF(OR(M$5=0,AND(M$5&lt;&gt;$A$89,M$5&lt;&gt;$A$90)),0,IF(M$5=$A$89,'Balances y Proyecciones'!N40,'Balances y Proyecciones'!Q40))</f>
        <v>30</v>
      </c>
      <c r="N46" s="205">
        <f t="shared" si="11"/>
        <v>0</v>
      </c>
      <c r="O46" s="206">
        <f t="shared" si="12"/>
        <v>0</v>
      </c>
      <c r="P46" s="207">
        <f t="shared" si="13"/>
        <v>3.2258064516129031E-2</v>
      </c>
      <c r="Q46" s="208">
        <f t="shared" si="14"/>
        <v>3.2258064516129031E-2</v>
      </c>
      <c r="R46" s="206">
        <f t="shared" si="15"/>
        <v>3.2258064516129031E-2</v>
      </c>
      <c r="S46" s="282">
        <f t="shared" si="16"/>
        <v>0</v>
      </c>
      <c r="T46" s="283">
        <f t="shared" si="17"/>
        <v>0</v>
      </c>
    </row>
    <row r="47" spans="1:27" s="156" customFormat="1" ht="29.25" customHeight="1" x14ac:dyDescent="0.25">
      <c r="A47" s="337" t="s">
        <v>925</v>
      </c>
      <c r="B47" s="240"/>
      <c r="C47" s="338"/>
      <c r="D47" s="338"/>
      <c r="E47" s="338"/>
      <c r="F47" s="339"/>
      <c r="G47" s="280"/>
      <c r="I47" s="281"/>
      <c r="J47" s="227" t="s">
        <v>689</v>
      </c>
      <c r="K47" s="210">
        <f>IF(OR(K$5=0,AND(K$5&lt;&gt;$A$86,K$5&lt;&gt;$A$87,K$5&lt;&gt;$A$88)),0,IF(K$5=$A$86,'Balances y Proyecciones'!E44,IF(K$5=$A$87,'Balances y Proyecciones'!H44,'Balances y Proyecciones'!K44)))</f>
        <v>120</v>
      </c>
      <c r="L47" s="211">
        <f>IF(OR(L$5=0,AND(L$5&lt;&gt;$A$87,L$5&lt;&gt;$A$89)),0,IF(L$5=$A$87,'Balances y Proyecciones'!H44,'Balances y Proyecciones'!N44))</f>
        <v>120</v>
      </c>
      <c r="M47" s="245">
        <f>IF(OR(M$5=0,AND(M$5&lt;&gt;$A$89,M$5&lt;&gt;$A$90)),0,IF(M$5=$A$89,'Balances y Proyecciones'!N44,'Balances y Proyecciones'!Q44))</f>
        <v>120</v>
      </c>
      <c r="N47" s="205">
        <f t="shared" si="11"/>
        <v>0</v>
      </c>
      <c r="O47" s="206">
        <f t="shared" si="12"/>
        <v>0</v>
      </c>
      <c r="P47" s="207">
        <f t="shared" si="13"/>
        <v>0.12903225806451613</v>
      </c>
      <c r="Q47" s="208">
        <f t="shared" si="14"/>
        <v>0.12903225806451613</v>
      </c>
      <c r="R47" s="206">
        <f t="shared" si="15"/>
        <v>0.12903225806451613</v>
      </c>
      <c r="S47" s="282">
        <f t="shared" si="16"/>
        <v>0</v>
      </c>
      <c r="T47" s="283">
        <f t="shared" si="17"/>
        <v>0</v>
      </c>
    </row>
    <row r="48" spans="1:27" s="156" customFormat="1" ht="29.25" customHeight="1" x14ac:dyDescent="0.25">
      <c r="A48" s="295" t="s">
        <v>926</v>
      </c>
      <c r="B48" s="149"/>
      <c r="C48" s="340">
        <f>Presentación!E5</f>
        <v>0</v>
      </c>
      <c r="D48" s="340">
        <f>IF(L5=A87,C124,IF(L5=A89,D124,"N/D"))</f>
        <v>0</v>
      </c>
      <c r="E48" s="340">
        <f>IF(M5=A89,D124,E124)</f>
        <v>0</v>
      </c>
      <c r="F48" s="339"/>
      <c r="G48" s="280"/>
      <c r="I48" s="281"/>
      <c r="J48" s="201" t="s">
        <v>704</v>
      </c>
      <c r="K48" s="210">
        <f>IF(OR(K$5=0,AND(K$5&lt;&gt;$A$86,K$5&lt;&gt;$A$87,K$5&lt;&gt;$A$88)),0,IF(K$5=$A$86,'Balances y Proyecciones'!E42,IF(K$5=$A$87,'Balances y Proyecciones'!H42,'Balances y Proyecciones'!K42)))</f>
        <v>40</v>
      </c>
      <c r="L48" s="211">
        <f>IF(OR(L$5=0,AND(L$5&lt;&gt;$A$87,L$5&lt;&gt;$A$89)),0,IF(L$5=$A$87,'Balances y Proyecciones'!H42,'Balances y Proyecciones'!N42))</f>
        <v>40</v>
      </c>
      <c r="M48" s="335">
        <f>IF(OR(M$5=0,AND(M$5&lt;&gt;$A$89,M$5&lt;&gt;$A$90)),0,IF(M$5=$A$89,'Balances y Proyecciones'!N42,'Balances y Proyecciones'!Q42))</f>
        <v>40</v>
      </c>
      <c r="N48" s="205">
        <f t="shared" si="11"/>
        <v>0</v>
      </c>
      <c r="O48" s="206">
        <f t="shared" si="12"/>
        <v>0</v>
      </c>
      <c r="P48" s="207">
        <f t="shared" si="13"/>
        <v>4.3010752688172046E-2</v>
      </c>
      <c r="Q48" s="208">
        <f t="shared" si="14"/>
        <v>4.3010752688172046E-2</v>
      </c>
      <c r="R48" s="206">
        <f t="shared" si="15"/>
        <v>4.3010752688172046E-2</v>
      </c>
      <c r="S48" s="282">
        <f t="shared" si="16"/>
        <v>0</v>
      </c>
      <c r="T48" s="283">
        <f t="shared" si="17"/>
        <v>0</v>
      </c>
    </row>
    <row r="49" spans="1:23" s="156" customFormat="1" ht="26.25" x14ac:dyDescent="0.25">
      <c r="A49" s="295" t="s">
        <v>927</v>
      </c>
      <c r="B49" s="149"/>
      <c r="C49" s="340">
        <f>IFERROR(HLOOKUP($C$11,$C$116:$E$117,2),"N/D")</f>
        <v>0</v>
      </c>
      <c r="D49" s="340">
        <f>IFERROR(HLOOKUP($D$11,$C$116:$E$117,2),"N/D")</f>
        <v>0</v>
      </c>
      <c r="E49" s="340">
        <f>IFERROR(HLOOKUP($E$11,$C$116:$E$117,2),E117)</f>
        <v>0</v>
      </c>
      <c r="F49" s="339"/>
      <c r="G49" s="341"/>
      <c r="H49" s="342"/>
      <c r="I49" s="281"/>
      <c r="J49" s="286" t="s">
        <v>709</v>
      </c>
      <c r="K49" s="210">
        <f>IF(OR(K$5=0,AND(K$5&lt;&gt;$A$86,K$5&lt;&gt;$A$87,K$5&lt;&gt;$A$88)),0,IF(K$5=$A$86,'Balances y Proyecciones'!E41,IF(K$5=$A$87,'Balances y Proyecciones'!H41,'Balances y Proyecciones'!K41)))</f>
        <v>60</v>
      </c>
      <c r="L49" s="211">
        <f>IF(OR(L$5=0,AND(L$5&lt;&gt;$A$87,L$5&lt;&gt;$A$89)),0,IF(L$5=$A$87,'Balances y Proyecciones'!H41,'Balances y Proyecciones'!N41))</f>
        <v>60</v>
      </c>
      <c r="M49" s="335">
        <f>IF(OR(M$5=0,AND(M$5&lt;&gt;$A$89,M$5&lt;&gt;$A$90)),0,IF(M$5=$A$89,'Balances y Proyecciones'!N41,'Balances y Proyecciones'!Q41))</f>
        <v>60</v>
      </c>
      <c r="N49" s="205">
        <f t="shared" si="11"/>
        <v>0</v>
      </c>
      <c r="O49" s="206">
        <f t="shared" si="12"/>
        <v>0</v>
      </c>
      <c r="P49" s="207">
        <f t="shared" si="13"/>
        <v>6.4516129032258063E-2</v>
      </c>
      <c r="Q49" s="208">
        <f t="shared" si="14"/>
        <v>6.4516129032258063E-2</v>
      </c>
      <c r="R49" s="206">
        <f t="shared" si="15"/>
        <v>6.4516129032258063E-2</v>
      </c>
      <c r="S49" s="282">
        <f t="shared" si="16"/>
        <v>0</v>
      </c>
      <c r="T49" s="283">
        <f t="shared" si="17"/>
        <v>0</v>
      </c>
    </row>
    <row r="50" spans="1:23" s="156" customFormat="1" ht="26.25" x14ac:dyDescent="0.25">
      <c r="A50" s="343" t="str">
        <f>"PARÁMETROS DE APROBACIÓN - LÍMITES DIRECTOS (CON RESPECTO A CIFRAS A CIERRE DE 2."&amp;RIGHT(E76,3)&amp;")"</f>
        <v>PARÁMETROS DE APROBACIÓN - LÍMITES DIRECTOS (CON RESPECTO A CIFRAS A CIERRE DE 2.021)</v>
      </c>
      <c r="B50" s="344"/>
      <c r="C50" s="344"/>
      <c r="D50" s="344"/>
      <c r="E50" s="344"/>
      <c r="F50" s="344"/>
      <c r="G50" s="345"/>
      <c r="H50" s="346"/>
      <c r="I50" s="281"/>
      <c r="J50" s="227" t="s">
        <v>717</v>
      </c>
      <c r="K50" s="210">
        <f>IF(OR(K$5=0,AND(K$5&lt;&gt;$A$86,K$5&lt;&gt;$A$87,K$5&lt;&gt;$A$88)),0,IF(K$5=$A$86,'Balances y Proyecciones'!E46,IF(K$5=$A$87,'Balances y Proyecciones'!H46,'Balances y Proyecciones'!K46)))</f>
        <v>90</v>
      </c>
      <c r="L50" s="211">
        <f>IF(OR(L$5=0,AND(L$5&lt;&gt;$A$87,L$5&lt;&gt;$A$89)),0,IF(L$5=$A$87,'Balances y Proyecciones'!H46,'Balances y Proyecciones'!N46))</f>
        <v>90</v>
      </c>
      <c r="M50" s="335">
        <f>IF(OR(M$5=0,AND(M$5&lt;&gt;$A$89,M$5&lt;&gt;$A$90)),0,IF(M$5=$A$89,'Balances y Proyecciones'!N46,'Balances y Proyecciones'!Q46))</f>
        <v>90</v>
      </c>
      <c r="N50" s="205">
        <f t="shared" si="11"/>
        <v>0</v>
      </c>
      <c r="O50" s="206">
        <f t="shared" si="12"/>
        <v>0</v>
      </c>
      <c r="P50" s="207">
        <f t="shared" si="13"/>
        <v>9.6774193548387094E-2</v>
      </c>
      <c r="Q50" s="208">
        <f t="shared" si="14"/>
        <v>9.6774193548387094E-2</v>
      </c>
      <c r="R50" s="206">
        <f t="shared" si="15"/>
        <v>9.6774193548387094E-2</v>
      </c>
      <c r="S50" s="282">
        <f t="shared" si="16"/>
        <v>0</v>
      </c>
      <c r="T50" s="283">
        <f t="shared" si="17"/>
        <v>0</v>
      </c>
    </row>
    <row r="51" spans="1:23" s="156" customFormat="1" ht="69.75" x14ac:dyDescent="0.25">
      <c r="A51" s="347" t="s">
        <v>928</v>
      </c>
      <c r="B51" s="348">
        <f>10%*M8</f>
        <v>361</v>
      </c>
      <c r="C51" s="349" t="s">
        <v>929</v>
      </c>
      <c r="D51" s="350">
        <f>5%*M42</f>
        <v>198</v>
      </c>
      <c r="E51" s="351"/>
      <c r="F51" s="352" t="s">
        <v>930</v>
      </c>
      <c r="G51" s="350">
        <f>20%*M69</f>
        <v>624</v>
      </c>
      <c r="H51" s="353">
        <f>CIFIN!A15</f>
        <v>113</v>
      </c>
      <c r="I51" s="281"/>
      <c r="J51" s="286" t="s">
        <v>931</v>
      </c>
      <c r="K51" s="210">
        <f>IF(OR(K$5=0,AND(K$5&lt;&gt;$A$86,K$5&lt;&gt;$A$87,K$5&lt;&gt;$A$88)),0,IF(K$5=$A$86,'Balances y Proyecciones'!E43+'Balances y Proyecciones'!E45+'Balances y Proyecciones'!E47,IF(K$5=$A$87,'Balances y Proyecciones'!H43+'Balances y Proyecciones'!H45+'Balances y Proyecciones'!H47,'Balances y Proyecciones'!K43+'Balances y Proyecciones'!K45+'Balances y Proyecciones'!K47)))</f>
        <v>110</v>
      </c>
      <c r="L51" s="211">
        <f>IF(OR(L$5=0,AND(L$5&lt;&gt;$A$87,L$5&lt;&gt;$A$89)),0,IF(L$5=$A$87,'Balances y Proyecciones'!H43+'Balances y Proyecciones'!H45+'Balances y Proyecciones'!H47,'Balances y Proyecciones'!N43+'Balances y Proyecciones'!N45+'Balances y Proyecciones'!N47))</f>
        <v>110</v>
      </c>
      <c r="M51" s="335">
        <f>IF(OR(M$5=0,AND(M$5&lt;&gt;$A$89,M$5&lt;&gt;$A$90)),0,IF(M$5=$A$89,'Balances y Proyecciones'!N43+'Balances y Proyecciones'!N45+'Balances y Proyecciones'!N47,'Balances y Proyecciones'!Q43+'Balances y Proyecciones'!Q45+'Balances y Proyecciones'!Q47))</f>
        <v>110</v>
      </c>
      <c r="N51" s="205">
        <f t="shared" si="11"/>
        <v>0</v>
      </c>
      <c r="O51" s="206">
        <f t="shared" si="12"/>
        <v>0</v>
      </c>
      <c r="P51" s="207">
        <f t="shared" si="13"/>
        <v>0.11827956989247312</v>
      </c>
      <c r="Q51" s="208">
        <f t="shared" si="14"/>
        <v>0.11827956989247312</v>
      </c>
      <c r="R51" s="206">
        <f t="shared" si="15"/>
        <v>0.11827956989247312</v>
      </c>
      <c r="S51" s="282">
        <f t="shared" si="16"/>
        <v>0</v>
      </c>
      <c r="T51" s="283">
        <f t="shared" si="17"/>
        <v>0</v>
      </c>
    </row>
    <row r="52" spans="1:23" s="156" customFormat="1" ht="69.75" x14ac:dyDescent="0.25">
      <c r="A52" s="354" t="s">
        <v>932</v>
      </c>
      <c r="B52" s="355"/>
      <c r="C52" s="355"/>
      <c r="D52" s="355"/>
      <c r="E52" s="355"/>
      <c r="F52" s="355"/>
      <c r="G52" s="356"/>
      <c r="H52" s="357">
        <f>CIFIN!A16</f>
        <v>114</v>
      </c>
      <c r="I52" s="215" t="s">
        <v>739</v>
      </c>
      <c r="J52" s="232"/>
      <c r="K52" s="217">
        <f>SUM(K45:K51)</f>
        <v>480</v>
      </c>
      <c r="L52" s="218">
        <f>SUM(L45:L51)</f>
        <v>480</v>
      </c>
      <c r="M52" s="358">
        <f>SUM(M45:M51)</f>
        <v>480</v>
      </c>
      <c r="N52" s="219">
        <f t="shared" si="11"/>
        <v>0</v>
      </c>
      <c r="O52" s="220">
        <f t="shared" si="12"/>
        <v>0</v>
      </c>
      <c r="P52" s="291">
        <f t="shared" si="13"/>
        <v>0.5161290322580645</v>
      </c>
      <c r="Q52" s="221">
        <f t="shared" si="14"/>
        <v>0.5161290322580645</v>
      </c>
      <c r="R52" s="220">
        <f t="shared" si="15"/>
        <v>0.5161290322580645</v>
      </c>
      <c r="S52" s="292"/>
      <c r="T52" s="293"/>
      <c r="W52"/>
    </row>
    <row r="53" spans="1:23" s="156" customFormat="1" ht="69.75" x14ac:dyDescent="0.25">
      <c r="A53" s="359" t="s">
        <v>933</v>
      </c>
      <c r="B53" s="360">
        <f>CIFIN!G50</f>
        <v>0</v>
      </c>
      <c r="C53" s="360">
        <f>CIFIN!G30</f>
        <v>0</v>
      </c>
      <c r="D53" s="361">
        <f>CIFIN!G10</f>
        <v>0</v>
      </c>
      <c r="E53" s="362" t="s">
        <v>934</v>
      </c>
      <c r="F53" s="359" t="s">
        <v>935</v>
      </c>
      <c r="G53" s="363" t="s">
        <v>936</v>
      </c>
      <c r="H53" s="357">
        <f>CIFIN!A17</f>
        <v>115</v>
      </c>
      <c r="I53" s="281"/>
      <c r="J53" s="227" t="s">
        <v>741</v>
      </c>
      <c r="K53" s="210">
        <f>IF(OR(K$5=0,AND(K$5&lt;&gt;$A$86,K$5&lt;&gt;$A$87,K$5&lt;&gt;$A$88)),0,IF(K$5=$A$86,SUM('Balances y Proyecciones'!E49:E51),IF(K$5=$A$87,SUM('Balances y Proyecciones'!H49:H51),SUM('Balances y Proyecciones'!K49:K51))))</f>
        <v>20</v>
      </c>
      <c r="L53" s="211">
        <f>IF(OR(L$5=0,AND(L$5&lt;&gt;$A$87,L$5&lt;&gt;$A$89)),0,IF(L$5=$A$87,SUM('Balances y Proyecciones'!H49:H51),SUM('Balances y Proyecciones'!N49:N51)))</f>
        <v>20</v>
      </c>
      <c r="M53" s="335">
        <f>IF(OR(M$5=0,AND(M$5&lt;&gt;$A$89,M$5&lt;&gt;$A$90)),0,IF(M$5=$A$89,SUM('Balances y Proyecciones'!N49:N51),SUM('Balances y Proyecciones'!Q49:Q51)))</f>
        <v>20</v>
      </c>
      <c r="N53" s="205">
        <f t="shared" si="11"/>
        <v>0</v>
      </c>
      <c r="O53" s="206">
        <f t="shared" si="12"/>
        <v>0</v>
      </c>
      <c r="P53" s="207">
        <f t="shared" si="13"/>
        <v>2.1505376344086023E-2</v>
      </c>
      <c r="Q53" s="208">
        <f t="shared" si="14"/>
        <v>2.1505376344086023E-2</v>
      </c>
      <c r="R53" s="206">
        <f t="shared" si="15"/>
        <v>2.1505376344086023E-2</v>
      </c>
      <c r="S53" s="282">
        <f>IF($K$5=$A$88,IF(M53-K53&gt;0,M53-K53,0),IF(M53-L53&gt;0,M53-L53,0))</f>
        <v>0</v>
      </c>
      <c r="T53" s="283">
        <f>IF($K$5=$A$88,IF(M53-K53&lt;0,-(M53-K53),0),IF(M53-L53&lt;0,-(M53-L53),0))</f>
        <v>0</v>
      </c>
      <c r="W53"/>
    </row>
    <row r="54" spans="1:23" s="156" customFormat="1" ht="69.75" x14ac:dyDescent="0.25">
      <c r="A54" s="364" t="str">
        <f>IF(CIFIN!B13=0,"",CIFIN!B13)</f>
        <v/>
      </c>
      <c r="B54" s="365" t="str">
        <f>IFERROR(VLOOKUP(A54,CIFIN!$B$53:$D$67,3,0),"")</f>
        <v/>
      </c>
      <c r="C54" s="366" t="str">
        <f>IFERROR(VLOOKUP(A54,CIFIN!$B$33:$D$47,3,0),"")</f>
        <v/>
      </c>
      <c r="D54" s="367" t="str">
        <f>IF(CIFIN!D13=0,"",CIFIN!D13)</f>
        <v/>
      </c>
      <c r="E54" s="368"/>
      <c r="F54" s="369" t="str">
        <f>IF(CIFIN!H13=0,"",CIFIN!H13)</f>
        <v/>
      </c>
      <c r="G54" s="370" t="str">
        <f>IF(CIFIN!C13=0,"",CIFIN!C13)</f>
        <v/>
      </c>
      <c r="H54" s="357">
        <f>CIFIN!A18</f>
        <v>116</v>
      </c>
      <c r="I54" s="281"/>
      <c r="J54" s="227" t="s">
        <v>747</v>
      </c>
      <c r="K54" s="210">
        <f>IF(OR(K$5=0,AND(K$5&lt;&gt;$A$86,K$5&lt;&gt;$A$87,K$5&lt;&gt;$A$88)),0,IF(K$5=$A$86,'Balances y Proyecciones'!E55,IF(K$5=$A$87,'Balances y Proyecciones'!H55,'Balances y Proyecciones'!K55)))</f>
        <v>40</v>
      </c>
      <c r="L54" s="211">
        <f>IF(OR(L$5=0,AND(L$5&lt;&gt;$A$87,L$5&lt;&gt;$A$89)),0,IF(L$5=$A$87,'Balances y Proyecciones'!H55,'Balances y Proyecciones'!N55))</f>
        <v>40</v>
      </c>
      <c r="M54" s="335">
        <f>IF(OR(M$5=0,AND(M$5&lt;&gt;$A$89,M$5&lt;&gt;$A$90)),0,IF(M$5=$A$89,'Balances y Proyecciones'!N55,'Balances y Proyecciones'!Q55))</f>
        <v>40</v>
      </c>
      <c r="N54" s="205">
        <f t="shared" si="11"/>
        <v>0</v>
      </c>
      <c r="O54" s="206">
        <f t="shared" si="12"/>
        <v>0</v>
      </c>
      <c r="P54" s="207">
        <f t="shared" si="13"/>
        <v>4.3010752688172046E-2</v>
      </c>
      <c r="Q54" s="208">
        <f t="shared" si="14"/>
        <v>4.3010752688172046E-2</v>
      </c>
      <c r="R54" s="206">
        <f t="shared" si="15"/>
        <v>4.3010752688172046E-2</v>
      </c>
      <c r="S54" s="282">
        <f>IF($K$5=$A$88,IF(M54-K54&gt;0,M54-K54,0),IF(M54-L54&gt;0,M54-L54,0))</f>
        <v>0</v>
      </c>
      <c r="T54" s="283">
        <f>IF($K$5=$A$88,IF(M54-K54&lt;0,-(M54-K54),0),IF(M54-L54&lt;0,-(M54-L54),0))</f>
        <v>0</v>
      </c>
      <c r="W54"/>
    </row>
    <row r="55" spans="1:23" s="156" customFormat="1" ht="69.75" x14ac:dyDescent="0.25">
      <c r="A55" s="364" t="str">
        <f>IF(CIFIN!B14=0,"",CIFIN!B14)</f>
        <v/>
      </c>
      <c r="B55" s="365" t="str">
        <f>IFERROR(VLOOKUP(A55,CIFIN!$B$53:$D$67,3,0),"")</f>
        <v/>
      </c>
      <c r="C55" s="366" t="str">
        <f>IFERROR(VLOOKUP(A55,CIFIN!$B$33:$D$47,3,0),"")</f>
        <v/>
      </c>
      <c r="D55" s="367" t="str">
        <f>IF(CIFIN!D14=0,"",CIFIN!D14)</f>
        <v/>
      </c>
      <c r="E55" s="368"/>
      <c r="F55" s="369" t="str">
        <f>IF(CIFIN!H14=0,"",CIFIN!H14)</f>
        <v/>
      </c>
      <c r="G55" s="370" t="str">
        <f>IF(CIFIN!C14=0,"",CIFIN!C14)</f>
        <v/>
      </c>
      <c r="H55" s="357">
        <f>CIFIN!A19</f>
        <v>117</v>
      </c>
      <c r="I55" s="281"/>
      <c r="J55" s="371" t="s">
        <v>750</v>
      </c>
      <c r="K55" s="210">
        <f>IF(OR(K$5=0,AND(K$5&lt;&gt;$A$86,K$5&lt;&gt;$A$87,K$5&lt;&gt;$A$88)),0,IF(K$5=$A$86,SUM('Balances y Proyecciones'!E52:E53),IF(K$5=$A$87,SUM('Balances y Proyecciones'!H52:H53),SUM('Balances y Proyecciones'!K52:K53))))</f>
        <v>70</v>
      </c>
      <c r="L55" s="211">
        <f>IF(OR(L$5=0,AND(L$5&lt;&gt;$A$87,L$5&lt;&gt;$A$89)),0,IF(L$5=$A$87,SUM('Balances y Proyecciones'!H52:H53),SUM('Balances y Proyecciones'!N52:N53)))</f>
        <v>70</v>
      </c>
      <c r="M55" s="335">
        <f>IF(OR(M$5=0,AND(M$5&lt;&gt;$A$89,M$5&lt;&gt;$A$90)),0,IF(M$5=$A$89,SUM('Balances y Proyecciones'!N52:N53),SUM('Balances y Proyecciones'!Q52:Q53)))</f>
        <v>70</v>
      </c>
      <c r="N55" s="207">
        <f t="shared" si="11"/>
        <v>0</v>
      </c>
      <c r="O55" s="372">
        <f t="shared" si="12"/>
        <v>0</v>
      </c>
      <c r="P55" s="207">
        <f t="shared" si="13"/>
        <v>7.5268817204301078E-2</v>
      </c>
      <c r="Q55" s="373">
        <f t="shared" si="14"/>
        <v>7.5268817204301078E-2</v>
      </c>
      <c r="R55" s="372">
        <f t="shared" si="15"/>
        <v>7.5268817204301078E-2</v>
      </c>
      <c r="S55" s="282">
        <f>IF($K$5=$A$88,IF(M55-K55&gt;0,M55-K55,0),IF(M55-L55&gt;0,M55-L55,0))</f>
        <v>0</v>
      </c>
      <c r="T55" s="283">
        <f>IF($K$5=$A$88,IF(M55-K55&lt;0,-(M55-K55),0),IF(M55-L55&lt;0,-(M55-L55),0))</f>
        <v>0</v>
      </c>
      <c r="W55"/>
    </row>
    <row r="56" spans="1:23" s="156" customFormat="1" ht="69.75" x14ac:dyDescent="0.25">
      <c r="A56" s="364" t="str">
        <f>IF(CIFIN!B15=0,"",CIFIN!B15)</f>
        <v/>
      </c>
      <c r="B56" s="365" t="str">
        <f>IFERROR(VLOOKUP(A56,CIFIN!$B$53:$D$67,3,0),"")</f>
        <v/>
      </c>
      <c r="C56" s="366" t="str">
        <f>IFERROR(VLOOKUP(A56,CIFIN!$B$33:$D$47,3,0),"")</f>
        <v/>
      </c>
      <c r="D56" s="367" t="str">
        <f>IF(CIFIN!D15=0,"",CIFIN!D15)</f>
        <v/>
      </c>
      <c r="E56" s="368"/>
      <c r="F56" s="369" t="str">
        <f>IF(CIFIN!H15=0,"",CIFIN!H15)</f>
        <v/>
      </c>
      <c r="G56" s="370" t="str">
        <f>IF(CIFIN!C15=0,"",CIFIN!C15)</f>
        <v/>
      </c>
      <c r="H56" s="357">
        <f>CIFIN!A20</f>
        <v>118</v>
      </c>
      <c r="I56" s="281"/>
      <c r="J56" s="371" t="s">
        <v>752</v>
      </c>
      <c r="K56" s="210">
        <f>IF(OR(K$5=0,AND(K$5&lt;&gt;$A$86,K$5&lt;&gt;$A$87,K$5&lt;&gt;$A$88)),0,IF(K$5=$A$86,'Balances y Proyecciones'!E56,IF(K$5=$A$87,'Balances y Proyecciones'!H56,'Balances y Proyecciones'!K56)))</f>
        <v>80</v>
      </c>
      <c r="L56" s="211">
        <f>IF(OR(L$5=0,AND(L$5&lt;&gt;$A$87,L$5&lt;&gt;$A$89)),0,IF(L$5=$A$87,'Balances y Proyecciones'!H56,'Balances y Proyecciones'!N56))</f>
        <v>80</v>
      </c>
      <c r="M56" s="335">
        <f>IF(OR(M$5=0,AND(M$5&lt;&gt;$A$89,M$5&lt;&gt;$A$90)),0,IF(M$5=$A$89,'Balances y Proyecciones'!N56,'Balances y Proyecciones'!Q56))</f>
        <v>80</v>
      </c>
      <c r="N56" s="205">
        <f t="shared" si="11"/>
        <v>0</v>
      </c>
      <c r="O56" s="206">
        <f t="shared" si="12"/>
        <v>0</v>
      </c>
      <c r="P56" s="205">
        <f t="shared" si="13"/>
        <v>8.6021505376344093E-2</v>
      </c>
      <c r="Q56" s="208">
        <f t="shared" si="14"/>
        <v>8.6021505376344093E-2</v>
      </c>
      <c r="R56" s="374">
        <f t="shared" si="15"/>
        <v>8.6021505376344093E-2</v>
      </c>
      <c r="S56" s="282">
        <f>IF($K$5=$A$88,IF(M56-K56&gt;0,M56-K56,0),IF(M56-L56&gt;0,M56-L56,0))</f>
        <v>0</v>
      </c>
      <c r="T56" s="283">
        <f>IF($K$5=$A$88,IF(M56-K56&lt;0,-(M56-K56),0),IF(M56-L56&lt;0,-(M56-L56),0))</f>
        <v>0</v>
      </c>
      <c r="W56"/>
    </row>
    <row r="57" spans="1:23" s="156" customFormat="1" ht="69.75" x14ac:dyDescent="0.25">
      <c r="A57" s="364" t="str">
        <f>IF(CIFIN!B16=0,"",CIFIN!B16)</f>
        <v/>
      </c>
      <c r="B57" s="365" t="str">
        <f>IFERROR(VLOOKUP(A57,CIFIN!$B$53:$D$67,3,0),"")</f>
        <v/>
      </c>
      <c r="C57" s="366" t="str">
        <f>IFERROR(VLOOKUP(A57,CIFIN!$B$33:$D$47,3,0),"")</f>
        <v/>
      </c>
      <c r="D57" s="367" t="str">
        <f>IF(CIFIN!D16=0,"",CIFIN!D16)</f>
        <v/>
      </c>
      <c r="E57" s="368"/>
      <c r="F57" s="369" t="str">
        <f>IF(CIFIN!H16=0,"",CIFIN!H16)</f>
        <v/>
      </c>
      <c r="G57" s="370" t="str">
        <f>IF(CIFIN!C16=0,"",CIFIN!C16)</f>
        <v/>
      </c>
      <c r="H57" s="357">
        <f>CIFIN!A21</f>
        <v>119</v>
      </c>
      <c r="I57" s="281"/>
      <c r="J57" s="371" t="s">
        <v>757</v>
      </c>
      <c r="K57" s="210">
        <f>IF(OR(K$5=0,AND(K$5&lt;&gt;$A$86,K$5&lt;&gt;$A$87,K$5&lt;&gt;$A$88)),0,IF(K$5=$A$86,'Balances y Proyecciones'!E54+'Balances y Proyecciones'!E57,IF(K$5=$A$87,'Balances y Proyecciones'!H54+'Balances y Proyecciones'!H57,'Balances y Proyecciones'!K54+'Balances y Proyecciones'!K57)))</f>
        <v>240</v>
      </c>
      <c r="L57" s="211">
        <f>IF(OR(L$5=0,AND(L$5&lt;&gt;$A$87,L$5&lt;&gt;$A$89)),0,IF(L$5=$A$87,'Balances y Proyecciones'!H54+'Balances y Proyecciones'!H57,'Balances y Proyecciones'!N54+'Balances y Proyecciones'!N57))</f>
        <v>240</v>
      </c>
      <c r="M57" s="335">
        <f>IF(OR(M$5=0,AND(M$5&lt;&gt;$A$89,M$5&lt;&gt;$A$90)),0,IF(M$5=$A$89,'Balances y Proyecciones'!N54+'Balances y Proyecciones'!N57,'Balances y Proyecciones'!Q54+'Balances y Proyecciones'!Q57))</f>
        <v>240</v>
      </c>
      <c r="N57" s="207">
        <f t="shared" si="11"/>
        <v>0</v>
      </c>
      <c r="O57" s="372">
        <f t="shared" si="12"/>
        <v>0</v>
      </c>
      <c r="P57" s="207">
        <f t="shared" si="13"/>
        <v>0.25806451612903225</v>
      </c>
      <c r="Q57" s="373">
        <f t="shared" si="14"/>
        <v>0.25806451612903225</v>
      </c>
      <c r="R57" s="372">
        <f t="shared" si="15"/>
        <v>0.25806451612903225</v>
      </c>
      <c r="S57" s="282">
        <f>IF($K$5=$A$88,IF(M57-K57&gt;0,M57-K57,0),IF(M57-L57&gt;0,M57-L57,0))</f>
        <v>0</v>
      </c>
      <c r="T57" s="283">
        <f>IF($K$5=$A$88,IF(M57-K57&lt;0,-(M57-K57),0),IF(M57-L57&lt;0,-(M57-L57),0))</f>
        <v>0</v>
      </c>
      <c r="W57"/>
    </row>
    <row r="58" spans="1:23" s="156" customFormat="1" ht="69.75" x14ac:dyDescent="0.25">
      <c r="A58" s="364" t="str">
        <f>IF(CIFIN!B17=0,"",CIFIN!B17)</f>
        <v/>
      </c>
      <c r="B58" s="365" t="str">
        <f>IFERROR(VLOOKUP(A58,CIFIN!$B$53:$D$67,3,0),"")</f>
        <v/>
      </c>
      <c r="C58" s="366" t="str">
        <f>IFERROR(VLOOKUP(A58,CIFIN!$B$33:$D$47,3,0),"")</f>
        <v/>
      </c>
      <c r="D58" s="367" t="str">
        <f>IF(CIFIN!D17=0,"",CIFIN!D17)</f>
        <v/>
      </c>
      <c r="E58" s="368"/>
      <c r="F58" s="369" t="str">
        <f>IF(CIFIN!H17=0,"",CIFIN!H17)</f>
        <v/>
      </c>
      <c r="G58" s="370" t="str">
        <f>IF(CIFIN!C17=0,"",CIFIN!C17)</f>
        <v/>
      </c>
      <c r="H58" s="357">
        <f>CIFIN!A22</f>
        <v>120</v>
      </c>
      <c r="I58" s="375" t="s">
        <v>762</v>
      </c>
      <c r="J58" s="376"/>
      <c r="K58" s="300">
        <f>SUM(K53:K57)</f>
        <v>450</v>
      </c>
      <c r="L58" s="301">
        <f>SUM(L53:L57)</f>
        <v>450</v>
      </c>
      <c r="M58" s="377">
        <f>SUM(M53:M57)</f>
        <v>450</v>
      </c>
      <c r="N58" s="304">
        <f t="shared" si="11"/>
        <v>0</v>
      </c>
      <c r="O58" s="378">
        <f t="shared" si="12"/>
        <v>0</v>
      </c>
      <c r="P58" s="304">
        <f t="shared" si="13"/>
        <v>0.4838709677419355</v>
      </c>
      <c r="Q58" s="379">
        <f t="shared" si="14"/>
        <v>0.4838709677419355</v>
      </c>
      <c r="R58" s="378">
        <f t="shared" si="15"/>
        <v>0.4838709677419355</v>
      </c>
      <c r="S58" s="306"/>
      <c r="T58" s="307"/>
      <c r="W58"/>
    </row>
    <row r="59" spans="1:23" s="156" customFormat="1" ht="69.75" x14ac:dyDescent="0.25">
      <c r="A59" s="364" t="str">
        <f>IF(CIFIN!B18=0,"",CIFIN!B18)</f>
        <v/>
      </c>
      <c r="B59" s="365" t="str">
        <f>IFERROR(VLOOKUP(A59,CIFIN!$B$53:$D$67,3,0),"")</f>
        <v/>
      </c>
      <c r="C59" s="366" t="str">
        <f>IFERROR(VLOOKUP(A59,CIFIN!$B$33:$D$47,3,0),"")</f>
        <v/>
      </c>
      <c r="D59" s="367" t="str">
        <f>IF(CIFIN!D18=0,"",CIFIN!D18)</f>
        <v/>
      </c>
      <c r="E59" s="368"/>
      <c r="F59" s="369" t="str">
        <f>IF(CIFIN!H18=0,"",CIFIN!H18)</f>
        <v/>
      </c>
      <c r="G59" s="370" t="str">
        <f>IF(CIFIN!C18=0,"",CIFIN!C18)</f>
        <v/>
      </c>
      <c r="H59" s="357">
        <f>CIFIN!A23</f>
        <v>121</v>
      </c>
      <c r="I59" s="380" t="s">
        <v>763</v>
      </c>
      <c r="J59" s="381"/>
      <c r="K59" s="310">
        <f>SUM(K52,K58)</f>
        <v>930</v>
      </c>
      <c r="L59" s="311">
        <f>SUM(L52,L58)</f>
        <v>930</v>
      </c>
      <c r="M59" s="382">
        <f>SUM(M52,M58)</f>
        <v>930</v>
      </c>
      <c r="N59" s="383">
        <f t="shared" si="11"/>
        <v>0</v>
      </c>
      <c r="O59" s="384">
        <f t="shared" si="12"/>
        <v>0</v>
      </c>
      <c r="P59" s="383">
        <f t="shared" si="13"/>
        <v>1</v>
      </c>
      <c r="Q59" s="385">
        <f t="shared" si="14"/>
        <v>1</v>
      </c>
      <c r="R59" s="384">
        <f t="shared" si="15"/>
        <v>1</v>
      </c>
      <c r="S59" s="316"/>
      <c r="T59" s="317"/>
      <c r="W59"/>
    </row>
    <row r="60" spans="1:23" s="156" customFormat="1" ht="69.75" x14ac:dyDescent="0.25">
      <c r="A60" s="364" t="str">
        <f>IF(CIFIN!B19=0,"",CIFIN!B19)</f>
        <v/>
      </c>
      <c r="B60" s="365" t="str">
        <f>IFERROR(VLOOKUP(A60,CIFIN!$B$53:$D$67,3,0),"")</f>
        <v/>
      </c>
      <c r="C60" s="366" t="str">
        <f>IFERROR(VLOOKUP(A60,CIFIN!$B$33:$D$47,3,0),"")</f>
        <v/>
      </c>
      <c r="D60" s="367" t="str">
        <f>IF(CIFIN!D19=0,"",CIFIN!D19)</f>
        <v/>
      </c>
      <c r="E60" s="368"/>
      <c r="F60" s="369" t="str">
        <f>IF(CIFIN!H19=0,"",CIFIN!H19)</f>
        <v/>
      </c>
      <c r="G60" s="370" t="str">
        <f>IF(CIFIN!C19=0,"",CIFIN!C19)</f>
        <v/>
      </c>
      <c r="H60" s="357">
        <f>CIFIN!A24</f>
        <v>122</v>
      </c>
      <c r="I60" s="386" t="s">
        <v>764</v>
      </c>
      <c r="J60" s="387"/>
      <c r="K60" s="388"/>
      <c r="L60" s="389"/>
      <c r="M60" s="389"/>
      <c r="N60" s="389"/>
      <c r="O60" s="389"/>
      <c r="P60" s="389"/>
      <c r="Q60" s="389"/>
      <c r="R60" s="389"/>
      <c r="S60" s="390" t="s">
        <v>937</v>
      </c>
      <c r="T60" s="391"/>
      <c r="W60"/>
    </row>
    <row r="61" spans="1:23" s="156" customFormat="1" ht="69.75" x14ac:dyDescent="0.25">
      <c r="A61" s="364" t="str">
        <f>IF(CIFIN!B20=0,"",CIFIN!B20)</f>
        <v/>
      </c>
      <c r="B61" s="365" t="str">
        <f>IFERROR(VLOOKUP(A61,CIFIN!$B$53:$D$67,3,0),"")</f>
        <v/>
      </c>
      <c r="C61" s="366" t="str">
        <f>IFERROR(VLOOKUP(A61,CIFIN!$B$33:$D$47,3,0),"")</f>
        <v/>
      </c>
      <c r="D61" s="367" t="str">
        <f>IF(CIFIN!D20=0,"",CIFIN!D20)</f>
        <v/>
      </c>
      <c r="E61" s="368"/>
      <c r="F61" s="369" t="str">
        <f>IF(CIFIN!H20=0,"",CIFIN!H20)</f>
        <v/>
      </c>
      <c r="G61" s="370" t="str">
        <f>IF(CIFIN!C20=0,"",CIFIN!C20)</f>
        <v/>
      </c>
      <c r="H61" s="357">
        <f>CIFIN!A25</f>
        <v>123</v>
      </c>
      <c r="I61" s="281"/>
      <c r="J61" s="371" t="s">
        <v>938</v>
      </c>
      <c r="K61" s="210">
        <f>IF(OR(K$5=0,AND(K$5&lt;&gt;$A$86,K$5&lt;&gt;$A$87,K$5&lt;&gt;$A$88)),0,IF(K$5=$A$86,'Balances y Proyecciones'!E60,IF(K$5=$A$87,'Balances y Proyecciones'!H60,'Balances y Proyecciones'!K60)))</f>
        <v>70</v>
      </c>
      <c r="L61" s="211">
        <f>IF(OR(L$5=0,AND(L$5&lt;&gt;$A$87,L$5&lt;&gt;$A$89)),0,IF(L$5=$A$87,'Balances y Proyecciones'!H60,'Balances y Proyecciones'!N60))</f>
        <v>70</v>
      </c>
      <c r="M61" s="335">
        <f>IF(OR(M$5=0,AND(M$5&lt;&gt;$A$89,M$5&lt;&gt;$A$90)),0,IF(M$5=$A$89,'Balances y Proyecciones'!N60,'Balances y Proyecciones'!Q60))</f>
        <v>70</v>
      </c>
      <c r="N61" s="207">
        <f t="shared" ref="N61:N70" si="18">IF(OR(K61=0,K61="",$L$5=""),"",L61/K61-1)</f>
        <v>0</v>
      </c>
      <c r="O61" s="372">
        <f t="shared" ref="O61:O70" si="19">IF($K$5=$A$88,IF(OR(K61=0,K61=""),"",M61/K61-1),IF(OR(L61=0,L61=""),"",M61/L61-1))</f>
        <v>0</v>
      </c>
      <c r="P61" s="207">
        <f t="shared" ref="P61:P69" si="20">IF(OR(K$69=0,K$69=""),"",K61/K$69)</f>
        <v>2.2435897435897436E-2</v>
      </c>
      <c r="Q61" s="373">
        <f t="shared" ref="Q61:Q69" si="21">IF(OR(L$69=0,L$69=""),"",L61/L$69)</f>
        <v>2.2435897435897436E-2</v>
      </c>
      <c r="R61" s="372">
        <f t="shared" ref="R61:R69" si="22">IF(OR(M$69=0,M$69=""),"",M61/M$69)</f>
        <v>2.2435897435897436E-2</v>
      </c>
      <c r="S61" s="392" t="s">
        <v>939</v>
      </c>
      <c r="T61" s="393"/>
      <c r="W61"/>
    </row>
    <row r="62" spans="1:23" s="156" customFormat="1" ht="69.75" x14ac:dyDescent="0.25">
      <c r="A62" s="364" t="str">
        <f>IF(CIFIN!B21=0,"",CIFIN!B21)</f>
        <v/>
      </c>
      <c r="B62" s="365" t="str">
        <f>IFERROR(VLOOKUP(A62,CIFIN!$B$53:$D$67,3,0),"")</f>
        <v/>
      </c>
      <c r="C62" s="366" t="str">
        <f>IFERROR(VLOOKUP(A62,CIFIN!$B$33:$D$47,3,0),"")</f>
        <v/>
      </c>
      <c r="D62" s="367" t="str">
        <f>IF(CIFIN!D21=0,"",CIFIN!D21)</f>
        <v/>
      </c>
      <c r="E62" s="368"/>
      <c r="F62" s="369" t="str">
        <f>IF(CIFIN!H21=0,"",CIFIN!H21)</f>
        <v/>
      </c>
      <c r="G62" s="370" t="str">
        <f>IF(CIFIN!C21=0,"",CIFIN!C21)</f>
        <v/>
      </c>
      <c r="H62" s="357">
        <f>CIFIN!A26</f>
        <v>124</v>
      </c>
      <c r="I62" s="281"/>
      <c r="J62" s="371" t="s">
        <v>774</v>
      </c>
      <c r="K62" s="210">
        <f>IF(OR(K$5=0,AND(K$5&lt;&gt;$A$86,K$5&lt;&gt;$A$87,K$5&lt;&gt;$A$88)),0,IF(K$5=$A$86,'Balances y Proyecciones'!E61,IF(K$5=$A$87,'Balances y Proyecciones'!H61,'Balances y Proyecciones'!K61)))</f>
        <v>50</v>
      </c>
      <c r="L62" s="211">
        <f>IF(OR(L$5=0,AND(L$5&lt;&gt;$A$87,L$5&lt;&gt;$A$89)),0,IF(L$5=$A$87,'Balances y Proyecciones'!H61,'Balances y Proyecciones'!N61))</f>
        <v>50</v>
      </c>
      <c r="M62" s="335">
        <f>IF(OR(M$5=0,AND(M$5&lt;&gt;$A$89,M$5&lt;&gt;$A$90)),0,IF(M$5=$A$89,'Balances y Proyecciones'!N61,'Balances y Proyecciones'!Q61))</f>
        <v>50</v>
      </c>
      <c r="N62" s="207">
        <f t="shared" si="18"/>
        <v>0</v>
      </c>
      <c r="O62" s="372">
        <f t="shared" si="19"/>
        <v>0</v>
      </c>
      <c r="P62" s="207">
        <f t="shared" si="20"/>
        <v>1.6025641025641024E-2</v>
      </c>
      <c r="Q62" s="373">
        <f t="shared" si="21"/>
        <v>1.6025641025641024E-2</v>
      </c>
      <c r="R62" s="372">
        <f t="shared" si="22"/>
        <v>1.6025641025641024E-2</v>
      </c>
      <c r="S62" s="394">
        <f>IF(OR(M$5=0,AND(M$5&lt;&gt;$A$89,M$5&lt;&gt;$A$90)),0,IF(M$5=$A$89,IF('Balances y Proyecciones'!N221&gt;0,'Balances y Proyecciones'!N221,0),IF('Balances y Proyecciones'!Q221&gt;0,'Balances y Proyecciones'!Q221,0)))</f>
        <v>0</v>
      </c>
      <c r="T62" s="395">
        <f>IF(OR(M$5=0,AND(M$5&lt;&gt;$A$89,M$5&lt;&gt;$A$90)),0,IF(M$5=$A$89,IF('Balances y Proyecciones'!N221&lt;=0,-'Balances y Proyecciones'!N221,0),IF('Balances y Proyecciones'!Q221&lt;=0,-'Balances y Proyecciones'!Q221,0)))</f>
        <v>0</v>
      </c>
      <c r="W62"/>
    </row>
    <row r="63" spans="1:23" s="156" customFormat="1" ht="69.75" x14ac:dyDescent="0.25">
      <c r="A63" s="364" t="str">
        <f>IF(CIFIN!B22=0,"",CIFIN!B22)</f>
        <v/>
      </c>
      <c r="B63" s="365" t="str">
        <f>IFERROR(VLOOKUP(A63,CIFIN!$B$53:$D$67,3,0),"")</f>
        <v/>
      </c>
      <c r="C63" s="366" t="str">
        <f>IFERROR(VLOOKUP(A63,CIFIN!$B$33:$D$47,3,0),"")</f>
        <v/>
      </c>
      <c r="D63" s="367" t="str">
        <f>IF(CIFIN!D22=0,"",CIFIN!D22)</f>
        <v/>
      </c>
      <c r="E63" s="368"/>
      <c r="F63" s="369" t="str">
        <f>IF(CIFIN!H22=0,"",CIFIN!H22)</f>
        <v/>
      </c>
      <c r="G63" s="370" t="str">
        <f>IF(CIFIN!C22=0,"",CIFIN!C22)</f>
        <v/>
      </c>
      <c r="H63" s="357">
        <f>CIFIN!A27</f>
        <v>125</v>
      </c>
      <c r="I63" s="281"/>
      <c r="J63" s="371" t="s">
        <v>940</v>
      </c>
      <c r="K63" s="210">
        <f>IF(OR(K$5=0,AND(K$5&lt;&gt;$A$86,K$5&lt;&gt;$A$87,K$5&lt;&gt;$A$88)),0,IF(K$5=$A$86,'Balances y Proyecciones'!E62,IF(K$5=$A$87,'Balances y Proyecciones'!H62,'Balances y Proyecciones'!K62)))</f>
        <v>10</v>
      </c>
      <c r="L63" s="211">
        <f>IF(OR(L$5=0,AND(L$5&lt;&gt;$A$87,L$5&lt;&gt;$A$89)),0,IF(L$5=$A$87,'Balances y Proyecciones'!H62,'Balances y Proyecciones'!N62))</f>
        <v>10</v>
      </c>
      <c r="M63" s="335">
        <f>IF(OR(M$5=0,AND(M$5&lt;&gt;$A$89,M$5&lt;&gt;$A$90)),0,IF(M$5=$A$89,'Balances y Proyecciones'!N62,'Balances y Proyecciones'!Q62))</f>
        <v>10</v>
      </c>
      <c r="N63" s="207">
        <f t="shared" si="18"/>
        <v>0</v>
      </c>
      <c r="O63" s="372">
        <f t="shared" si="19"/>
        <v>0</v>
      </c>
      <c r="P63" s="207">
        <f t="shared" si="20"/>
        <v>3.205128205128205E-3</v>
      </c>
      <c r="Q63" s="373">
        <f t="shared" si="21"/>
        <v>3.205128205128205E-3</v>
      </c>
      <c r="R63" s="372">
        <f t="shared" si="22"/>
        <v>3.205128205128205E-3</v>
      </c>
      <c r="S63" s="392" t="s">
        <v>941</v>
      </c>
      <c r="T63" s="393"/>
      <c r="W63"/>
    </row>
    <row r="64" spans="1:23" s="156" customFormat="1" ht="23.25" x14ac:dyDescent="0.25">
      <c r="A64" s="364" t="str">
        <f>IF(CIFIN!B23=0,"",CIFIN!B23)</f>
        <v/>
      </c>
      <c r="B64" s="365" t="str">
        <f>IFERROR(VLOOKUP(A64,CIFIN!$B$53:$D$67,3,0),"")</f>
        <v/>
      </c>
      <c r="C64" s="366" t="str">
        <f>IFERROR(VLOOKUP(A64,CIFIN!$B$33:$D$47,3,0),"")</f>
        <v/>
      </c>
      <c r="D64" s="367" t="str">
        <f>IF(CIFIN!D23=0,"",CIFIN!D23)</f>
        <v/>
      </c>
      <c r="E64" s="368"/>
      <c r="F64" s="369" t="str">
        <f>IF(CIFIN!H23=0,"",CIFIN!H23)</f>
        <v/>
      </c>
      <c r="G64" s="370" t="str">
        <f>IF(CIFIN!C23=0,"",CIFIN!C23)</f>
        <v/>
      </c>
      <c r="H64" s="357">
        <f>CIFIN!A28</f>
        <v>0</v>
      </c>
      <c r="I64" s="281"/>
      <c r="J64" s="371" t="s">
        <v>942</v>
      </c>
      <c r="K64" s="210">
        <f>IF(OR(K$5=0,AND(K$5&lt;&gt;$A$86,K$5&lt;&gt;$A$87,K$5&lt;&gt;$A$88)),0,IF(K$5=$A$86,'Balances y Proyecciones'!E63,IF(K$5=$A$87,'Balances y Proyecciones'!H63,'Balances y Proyecciones'!K63)))</f>
        <v>10</v>
      </c>
      <c r="L64" s="211">
        <f>IF(OR(L$5=0,AND(L$5&lt;&gt;$A$87,L$5&lt;&gt;$A$89)),0,IF(L$5=$A$87,'Balances y Proyecciones'!H63,'Balances y Proyecciones'!N63))</f>
        <v>10</v>
      </c>
      <c r="M64" s="335">
        <f>IF(OR(M$5=0,AND(M$5&lt;&gt;$A$89,M$5&lt;&gt;$A$90)),0,IF(M$5=$A$89,'Balances y Proyecciones'!N63,'Balances y Proyecciones'!Q63))</f>
        <v>10</v>
      </c>
      <c r="N64" s="207">
        <f t="shared" si="18"/>
        <v>0</v>
      </c>
      <c r="O64" s="372">
        <f t="shared" si="19"/>
        <v>0</v>
      </c>
      <c r="P64" s="207">
        <f t="shared" si="20"/>
        <v>3.205128205128205E-3</v>
      </c>
      <c r="Q64" s="373">
        <f t="shared" si="21"/>
        <v>3.205128205128205E-3</v>
      </c>
      <c r="R64" s="372">
        <f t="shared" si="22"/>
        <v>3.205128205128205E-3</v>
      </c>
      <c r="S64" s="394">
        <f>IF(OR(M$5=0,AND(M$5&lt;&gt;$A$89,M$5&lt;&gt;$A$90)),0,IF(M$5=$A$89,IF('Balances y Proyecciones'!N231&lt;0,-'Balances y Proyecciones'!N231,0),IF('Balances y Proyecciones'!Q231&lt;0,-'Balances y Proyecciones'!Q231,0)))</f>
        <v>0</v>
      </c>
      <c r="T64" s="395">
        <f>IF(OR(M$5=0,AND(M$5&lt;&gt;$A$89,M$5&lt;&gt;$A$90)),0,IF(M$5=$A$89,IF('Balances y Proyecciones'!N231&gt;0,'Balances y Proyecciones'!N231,0),IF('Balances y Proyecciones'!Q231&gt;0,'Balances y Proyecciones'!Q231,0)))</f>
        <v>0</v>
      </c>
      <c r="W64"/>
    </row>
    <row r="65" spans="1:23" s="156" customFormat="1" ht="23.25" x14ac:dyDescent="0.25">
      <c r="A65" s="364" t="str">
        <f>IF(CIFIN!B24=0,"",CIFIN!B24)</f>
        <v/>
      </c>
      <c r="B65" s="365" t="str">
        <f>IFERROR(VLOOKUP(A65,CIFIN!$B$53:$D$67,3,0),"")</f>
        <v/>
      </c>
      <c r="C65" s="366" t="str">
        <f>IFERROR(VLOOKUP(A65,CIFIN!$B$33:$D$47,3,0),"")</f>
        <v/>
      </c>
      <c r="D65" s="367" t="str">
        <f>IF(CIFIN!D24=0,"",CIFIN!D24)</f>
        <v/>
      </c>
      <c r="E65" s="368"/>
      <c r="F65" s="369" t="str">
        <f>IF(CIFIN!H24=0,"",CIFIN!H24)</f>
        <v/>
      </c>
      <c r="G65" s="370" t="str">
        <f>IF(CIFIN!C24=0,"",CIFIN!C24)</f>
        <v/>
      </c>
      <c r="H65" s="3126">
        <f>CIFIN!A29</f>
        <v>0</v>
      </c>
      <c r="I65" s="281"/>
      <c r="J65" s="371" t="s">
        <v>943</v>
      </c>
      <c r="K65" s="210">
        <f>IF(OR(K$5=0,AND(K$5&lt;&gt;$A$86,K$5&lt;&gt;$A$87,K$5&lt;&gt;$A$88)),0,IF(K$5=$A$86,'Balances y Proyecciones'!E64,IF(K$5=$A$87,'Balances y Proyecciones'!H64,'Balances y Proyecciones'!K64)))</f>
        <v>2810</v>
      </c>
      <c r="L65" s="211">
        <f>IF(OR(L$5=0,AND(L$5&lt;&gt;$A$87,L$5&lt;&gt;$A$89)),0,IF(L$5=$A$87,'Balances y Proyecciones'!H64,'Balances y Proyecciones'!N64))</f>
        <v>2810</v>
      </c>
      <c r="M65" s="335">
        <f>IF(OR(M$5=0,AND(M$5&lt;&gt;$A$89,M$5&lt;&gt;$A$90)),0,IF(M$5=$A$89,'Balances y Proyecciones'!N64,'Balances y Proyecciones'!Q64))</f>
        <v>2810</v>
      </c>
      <c r="N65" s="207">
        <f t="shared" si="18"/>
        <v>0</v>
      </c>
      <c r="O65" s="372">
        <f t="shared" si="19"/>
        <v>0</v>
      </c>
      <c r="P65" s="207">
        <f t="shared" si="20"/>
        <v>0.90064102564102566</v>
      </c>
      <c r="Q65" s="373">
        <f t="shared" si="21"/>
        <v>0.90064102564102566</v>
      </c>
      <c r="R65" s="372">
        <f t="shared" si="22"/>
        <v>0.90064102564102566</v>
      </c>
      <c r="S65" s="392" t="s">
        <v>944</v>
      </c>
      <c r="T65" s="393"/>
      <c r="W65"/>
    </row>
    <row r="66" spans="1:23" s="156" customFormat="1" ht="23.25" x14ac:dyDescent="0.25">
      <c r="A66" s="364" t="str">
        <f>IF(CIFIN!B25=0,"",CIFIN!B25)</f>
        <v/>
      </c>
      <c r="B66" s="365" t="str">
        <f>IFERROR(VLOOKUP(A66,CIFIN!$B$53:$D$67,3,0),"")</f>
        <v/>
      </c>
      <c r="C66" s="366" t="str">
        <f>IFERROR(VLOOKUP(A66,CIFIN!$B$33:$D$47,3,0),"")</f>
        <v/>
      </c>
      <c r="D66" s="367" t="str">
        <f>IF(CIFIN!D25=0,"",CIFIN!D25)</f>
        <v/>
      </c>
      <c r="E66" s="368"/>
      <c r="F66" s="369" t="str">
        <f>IF(CIFIN!H25=0,"",CIFIN!H25)</f>
        <v/>
      </c>
      <c r="G66" s="370" t="str">
        <f>IF(CIFIN!C25=0,"",CIFIN!C25)</f>
        <v/>
      </c>
      <c r="H66" s="357">
        <f>CIFIN!A30</f>
        <v>0</v>
      </c>
      <c r="I66" s="281"/>
      <c r="J66" s="371" t="s">
        <v>945</v>
      </c>
      <c r="K66" s="210">
        <f>IF(OR(K$5=0,AND(K$5&lt;&gt;$A$86,K$5&lt;&gt;$A$87,K$5&lt;&gt;$A$88)),0,IF(K$5=$A$86,'Balances y Proyecciones'!E65,IF(K$5=$A$87,'Balances y Proyecciones'!H65,'Balances y Proyecciones'!K65)))</f>
        <v>40</v>
      </c>
      <c r="L66" s="211">
        <f>IF(OR(L$5=0,AND(L$5&lt;&gt;$A$87,L$5&lt;&gt;$A$89)),0,IF(L$5=$A$87,'Balances y Proyecciones'!H65,'Balances y Proyecciones'!N65))</f>
        <v>40</v>
      </c>
      <c r="M66" s="335">
        <f>IF(OR(M$5=0,AND(M$5&lt;&gt;$A$89,M$5&lt;&gt;$A$90)),0,IF(M$5=$A$89,'Balances y Proyecciones'!N65,'Balances y Proyecciones'!Q65))</f>
        <v>40</v>
      </c>
      <c r="N66" s="207">
        <f t="shared" si="18"/>
        <v>0</v>
      </c>
      <c r="O66" s="372">
        <f t="shared" si="19"/>
        <v>0</v>
      </c>
      <c r="P66" s="207">
        <f t="shared" si="20"/>
        <v>1.282051282051282E-2</v>
      </c>
      <c r="Q66" s="373">
        <f t="shared" si="21"/>
        <v>1.282051282051282E-2</v>
      </c>
      <c r="R66" s="372">
        <f t="shared" si="22"/>
        <v>1.282051282051282E-2</v>
      </c>
      <c r="S66" s="394"/>
      <c r="T66" s="395">
        <f>IF(OR(M$5=0,AND(M$5&lt;&gt;$A$89,M$5&lt;&gt;$A$90)),0,IF(M$5=$A$89,IF('Balances y Proyecciones'!N233&gt;0,'Balances y Proyecciones'!N233,0),IF('Balances y Proyecciones'!Q233&gt;0,'Balances y Proyecciones'!Q233,0)))</f>
        <v>2810</v>
      </c>
      <c r="W66"/>
    </row>
    <row r="67" spans="1:23" s="156" customFormat="1" ht="23.25" x14ac:dyDescent="0.25">
      <c r="A67" s="364" t="str">
        <f>IF(CIFIN!B26=0,"",CIFIN!B26)</f>
        <v/>
      </c>
      <c r="B67" s="365" t="str">
        <f>IFERROR(VLOOKUP(A67,CIFIN!$B$53:$D$67,3,0),"")</f>
        <v/>
      </c>
      <c r="C67" s="366" t="str">
        <f>IFERROR(VLOOKUP(A67,CIFIN!$B$33:$D$47,3,0),"")</f>
        <v/>
      </c>
      <c r="D67" s="367" t="str">
        <f>IF(CIFIN!D26=0,"",CIFIN!D26)</f>
        <v/>
      </c>
      <c r="E67" s="368"/>
      <c r="F67" s="369" t="str">
        <f>IF(CIFIN!H26=0,"",CIFIN!H26)</f>
        <v/>
      </c>
      <c r="G67" s="370" t="str">
        <f>IF(CIFIN!C26=0,"",CIFIN!C26)</f>
        <v/>
      </c>
      <c r="H67" s="357">
        <f>CIFIN!A31</f>
        <v>0</v>
      </c>
      <c r="I67" s="281"/>
      <c r="J67" s="371" t="s">
        <v>946</v>
      </c>
      <c r="K67" s="210">
        <f>IF(OR(K$5=0,AND(K$5&lt;&gt;$A$86,K$5&lt;&gt;$A$87,K$5&lt;&gt;$A$88)),0,IF(K$5=$A$86,'Balances y Proyecciones'!E66,IF(K$5=$A$87,'Balances y Proyecciones'!H66,'Balances y Proyecciones'!K66)))</f>
        <v>40</v>
      </c>
      <c r="L67" s="211">
        <f>IF(OR(L$5=0,AND(L$5&lt;&gt;$A$87,L$5&lt;&gt;$A$89)),0,IF(L$5=$A$87,'Balances y Proyecciones'!H66,'Balances y Proyecciones'!N66))</f>
        <v>40</v>
      </c>
      <c r="M67" s="335">
        <f>IF(OR(M$5=0,AND(M$5&lt;&gt;$A$89,M$5&lt;&gt;$A$90)),0,IF(M$5=$A$89,'Balances y Proyecciones'!N66,'Balances y Proyecciones'!Q66))</f>
        <v>40</v>
      </c>
      <c r="N67" s="207">
        <f t="shared" si="18"/>
        <v>0</v>
      </c>
      <c r="O67" s="372">
        <f t="shared" si="19"/>
        <v>0</v>
      </c>
      <c r="P67" s="207">
        <f t="shared" si="20"/>
        <v>1.282051282051282E-2</v>
      </c>
      <c r="Q67" s="373">
        <f t="shared" si="21"/>
        <v>1.282051282051282E-2</v>
      </c>
      <c r="R67" s="372">
        <f t="shared" si="22"/>
        <v>1.282051282051282E-2</v>
      </c>
      <c r="S67" s="392" t="s">
        <v>947</v>
      </c>
      <c r="T67" s="393"/>
      <c r="W67"/>
    </row>
    <row r="68" spans="1:23" s="156" customFormat="1" ht="23.25" x14ac:dyDescent="0.25">
      <c r="A68" s="364" t="str">
        <f>IF(CIFIN!B27=0,"",CIFIN!B27)</f>
        <v/>
      </c>
      <c r="B68" s="365" t="str">
        <f>IFERROR(VLOOKUP(A68,CIFIN!$B$53:$D$67,3,0),"")</f>
        <v/>
      </c>
      <c r="C68" s="366" t="str">
        <f>IFERROR(VLOOKUP(A68,CIFIN!$B$33:$D$47,3,0),"")</f>
        <v/>
      </c>
      <c r="D68" s="367" t="str">
        <f>IF(CIFIN!D27=0,"",CIFIN!D27)</f>
        <v/>
      </c>
      <c r="E68" s="368"/>
      <c r="F68" s="369" t="str">
        <f>IF(CIFIN!H27=0,"",CIFIN!H27)</f>
        <v/>
      </c>
      <c r="G68" s="370" t="str">
        <f>IF(CIFIN!C27=0,"",CIFIN!C27)</f>
        <v/>
      </c>
      <c r="H68" s="396">
        <f>CIFIN!A32</f>
        <v>0</v>
      </c>
      <c r="I68" s="281"/>
      <c r="J68" s="371" t="s">
        <v>948</v>
      </c>
      <c r="K68" s="210">
        <f>K40</f>
        <v>90</v>
      </c>
      <c r="L68" s="211">
        <f>L40</f>
        <v>90</v>
      </c>
      <c r="M68" s="335">
        <f>M40</f>
        <v>90</v>
      </c>
      <c r="N68" s="207">
        <f t="shared" si="18"/>
        <v>0</v>
      </c>
      <c r="O68" s="372">
        <f t="shared" si="19"/>
        <v>0</v>
      </c>
      <c r="P68" s="207">
        <f t="shared" si="20"/>
        <v>2.8846153846153848E-2</v>
      </c>
      <c r="Q68" s="373">
        <f t="shared" si="21"/>
        <v>2.8846153846153848E-2</v>
      </c>
      <c r="R68" s="372">
        <f t="shared" si="22"/>
        <v>2.8846153846153848E-2</v>
      </c>
      <c r="S68" s="394">
        <f>IF(M65&gt;0,M65,0)</f>
        <v>2810</v>
      </c>
      <c r="T68" s="395">
        <f>IF(M65&lt;0,-M65,0)</f>
        <v>0</v>
      </c>
      <c r="W68"/>
    </row>
    <row r="69" spans="1:23" s="156" customFormat="1" ht="26.25" x14ac:dyDescent="0.25">
      <c r="A69" s="364"/>
      <c r="B69" s="365"/>
      <c r="C69" s="366"/>
      <c r="D69" s="367"/>
      <c r="E69" s="368"/>
      <c r="F69" s="397"/>
      <c r="G69" s="398"/>
      <c r="H69" s="396">
        <f>CIFIN!A33</f>
        <v>221</v>
      </c>
      <c r="I69" s="375" t="s">
        <v>793</v>
      </c>
      <c r="J69" s="376"/>
      <c r="K69" s="300">
        <f>SUM(K61:K68)</f>
        <v>3120</v>
      </c>
      <c r="L69" s="301">
        <f>SUM(L61:L68)</f>
        <v>3120</v>
      </c>
      <c r="M69" s="377">
        <f>SUM(M61:M68)</f>
        <v>3120</v>
      </c>
      <c r="N69" s="304">
        <f t="shared" si="18"/>
        <v>0</v>
      </c>
      <c r="O69" s="378">
        <f t="shared" si="19"/>
        <v>0</v>
      </c>
      <c r="P69" s="304">
        <f t="shared" si="20"/>
        <v>1</v>
      </c>
      <c r="Q69" s="379">
        <f t="shared" si="21"/>
        <v>1</v>
      </c>
      <c r="R69" s="378">
        <f t="shared" si="22"/>
        <v>1</v>
      </c>
      <c r="S69" s="392" t="s">
        <v>949</v>
      </c>
      <c r="T69" s="393"/>
      <c r="W69"/>
    </row>
    <row r="70" spans="1:23" s="156" customFormat="1" ht="26.25" x14ac:dyDescent="0.25">
      <c r="A70" s="399" t="s">
        <v>229</v>
      </c>
      <c r="B70" s="400">
        <f>SUM(B54:B69)</f>
        <v>0</v>
      </c>
      <c r="C70" s="400">
        <f>SUM(C54:C69)</f>
        <v>0</v>
      </c>
      <c r="D70" s="401">
        <f>SUM(D54:D69)</f>
        <v>0</v>
      </c>
      <c r="E70" s="402"/>
      <c r="F70" s="403"/>
      <c r="G70" s="404"/>
      <c r="H70" s="405"/>
      <c r="I70" s="406" t="s">
        <v>794</v>
      </c>
      <c r="J70" s="407"/>
      <c r="K70" s="310">
        <f>SUM(K59,K69)</f>
        <v>4050</v>
      </c>
      <c r="L70" s="311">
        <f>SUM(L59,L69)</f>
        <v>4050</v>
      </c>
      <c r="M70" s="382">
        <f>SUM(M59,M69)</f>
        <v>4050</v>
      </c>
      <c r="N70" s="314">
        <f t="shared" si="18"/>
        <v>0</v>
      </c>
      <c r="O70" s="408">
        <f t="shared" si="19"/>
        <v>0</v>
      </c>
      <c r="P70" s="314"/>
      <c r="Q70" s="409"/>
      <c r="R70" s="408"/>
      <c r="S70" s="394">
        <f>IF(OR(M$5=0,AND(M$5&lt;&gt;$A$89,M$5&lt;&gt;$A$90)),0,IF(M$5=$A$89,IF('Balances y Proyecciones'!N228&gt;0,'Balances y Proyecciones'!N228,0),IF('Balances y Proyecciones'!Q228&gt;0,'Balances y Proyecciones'!Q228,0)))</f>
        <v>0</v>
      </c>
      <c r="T70" s="395">
        <f>IF(OR(M$5=0,AND(M$5&lt;&gt;$A$89,M$5&lt;&gt;$A$90)),0,IF(M$5=$A$89,IF('Balances y Proyecciones'!N228&lt;=0,-'Balances y Proyecciones'!N228,0),IF('Balances y Proyecciones'!Q228&lt;=0,-'Balances y Proyecciones'!Q228,0)))</f>
        <v>0</v>
      </c>
      <c r="W70"/>
    </row>
    <row r="71" spans="1:23" s="156" customFormat="1" ht="26.25" x14ac:dyDescent="0.25">
      <c r="A71" s="410"/>
      <c r="B71" s="411"/>
      <c r="C71" s="411"/>
      <c r="D71" s="411"/>
      <c r="E71" s="411"/>
      <c r="F71" s="412" t="str">
        <f>"DIFERENCIA CON PASIVO FINANCIERO A "&amp;LEFT(M6,3)&amp;". 2.0"&amp;RIGHT(M5,2)&amp;":"</f>
        <v>DIFERENCIA CON PASIVO FINANCIERO A Dic. 2.021:</v>
      </c>
      <c r="G71" s="413">
        <f>SUM(B70,E70)-SUM(M45,M53)</f>
        <v>-50</v>
      </c>
      <c r="H71" s="149"/>
      <c r="I71" s="380"/>
      <c r="J71" s="381"/>
      <c r="K71" s="414"/>
      <c r="L71" s="415"/>
      <c r="M71" s="416"/>
      <c r="N71" s="383"/>
      <c r="O71" s="384"/>
      <c r="P71" s="383"/>
      <c r="Q71" s="385"/>
      <c r="R71" s="384"/>
      <c r="S71" s="394"/>
      <c r="T71" s="395"/>
      <c r="W71"/>
    </row>
    <row r="72" spans="1:23" s="156" customFormat="1" ht="23.25" x14ac:dyDescent="0.25">
      <c r="A72" s="417" t="s">
        <v>950</v>
      </c>
      <c r="B72" s="418"/>
      <c r="C72" s="418"/>
      <c r="D72" s="418"/>
      <c r="E72" s="418"/>
      <c r="F72" s="418"/>
      <c r="G72" s="419"/>
      <c r="H72" s="420"/>
      <c r="I72" s="281"/>
      <c r="J72" s="371" t="s">
        <v>951</v>
      </c>
      <c r="K72" s="421">
        <f>IF(OR(K$5=0,AND(K$5&lt;&gt;$A$86,K$5&lt;&gt;$A$87,K$5&lt;&gt;$A$88)),0,IF(K$5=$A$86,'Estados Financieros'!E181,IF(K$5=$A$87,'Estados Financieros'!F181,'Estados Financieros'!I181)))</f>
        <v>0</v>
      </c>
      <c r="L72" s="422">
        <f>IF(OR(L$5=0,AND(L$5&lt;&gt;$A$87,L$5&lt;&gt;$A$89)),0,IF(L$5=$A$87,'Estados Financieros'!F181,'Estados Financieros'!G181))</f>
        <v>0</v>
      </c>
      <c r="M72" s="423">
        <f>IF(OR(M$5=0,AND(M$5&lt;&gt;$A$89,M$5&lt;&gt;$A$90)),0,IF(M$5=$A$89,'Estados Financieros'!G181,'Estados Financieros'!H181))</f>
        <v>0</v>
      </c>
      <c r="N72" s="207" t="str">
        <f>IF(OR(K72=0,K72="",$L$5=""),"",L72/K72-1)</f>
        <v/>
      </c>
      <c r="O72" s="372" t="str">
        <f>IF($K$5=$A$88,IF(OR(K72=0,K72=""),"",M72/K72-1),IF(OR(L72=0,L72=""),"",M72/L72-1))</f>
        <v/>
      </c>
      <c r="Q72" s="373"/>
      <c r="R72" s="372"/>
      <c r="S72" s="392">
        <f>IF(AND($K$5=$A$88,'Balances y Proyecciones'!$C$3&lt;&gt;'Balances y Proyecciones'!$L$913,'Balances y Proyecciones'!$C$3&lt;&gt;"",'Balances y Proyecciones'!Q234&lt;&gt;0),"RES. "&amp;LEFT('Balances y Proyecciones'!K16,3)&amp;". "&amp;RIGHT('Balances y Proyecciones'!K15,2)&amp;" - "&amp;LEFT('Balances y Proyecciones'!N16,3)&amp;". "&amp;RIGHT('Balances y Proyecciones'!N15,2),0)</f>
        <v>0</v>
      </c>
      <c r="T72" s="393"/>
      <c r="W72"/>
    </row>
    <row r="73" spans="1:23" s="156" customFormat="1" ht="23.25" x14ac:dyDescent="0.25">
      <c r="A73" s="424" t="s">
        <v>952</v>
      </c>
      <c r="B73" s="425" t="str">
        <f>IF($C$70+$E$70=0,"",(SUMIF($H$51:$H$69,"A",$C$54:$C$69)+SUMIF($H$51:$H$69,"A",$E$54:$E$69))/($C$70+$E$70))</f>
        <v/>
      </c>
      <c r="C73" s="426"/>
      <c r="D73" s="227" t="s">
        <v>953</v>
      </c>
      <c r="E73" s="426"/>
      <c r="F73" s="426"/>
      <c r="G73" s="427" t="str">
        <f>IF($C$70+$E$70=0,"",(SUMIF($H$51:$H$69,"E",$C$54:$C$69)+SUMIF($H$51:$H$69,"E",$E$54:$E$69))/($C$70+$E$70))</f>
        <v/>
      </c>
      <c r="H73" s="420"/>
      <c r="I73" s="428"/>
      <c r="J73" s="429"/>
      <c r="K73" s="430"/>
      <c r="L73" s="431"/>
      <c r="M73" s="431"/>
      <c r="N73" s="430"/>
      <c r="O73" s="431"/>
      <c r="P73" s="431"/>
      <c r="Q73" s="432"/>
      <c r="R73" s="432"/>
      <c r="S73" s="433">
        <f>IF(AND($K$5=$A$88,'Balances y Proyecciones'!$C$3&lt;&gt;'Balances y Proyecciones'!$L$913,'Balances y Proyecciones'!$C$3&lt;&gt;"",'Balances y Proyecciones'!Q234&gt;=0),'Balances y Proyecciones'!Q234,0)</f>
        <v>0</v>
      </c>
      <c r="T73" s="434">
        <f>IF(AND($K$5=$A$88,'Balances y Proyecciones'!$C$3&lt;&gt;'Balances y Proyecciones'!$L$913,'Balances y Proyecciones'!$C$3&lt;&gt;"",'Balances y Proyecciones'!Q234&lt;0),-'Balances y Proyecciones'!Q234,0)</f>
        <v>0</v>
      </c>
      <c r="W73"/>
    </row>
    <row r="74" spans="1:23" s="156" customFormat="1" ht="26.25" x14ac:dyDescent="0.25">
      <c r="A74" s="435" t="s">
        <v>954</v>
      </c>
      <c r="B74" s="436" t="str">
        <f>IF($C$70+$E$70=0,"",(SUMIF($H$51:$H$69,"B",$C$54:$C$69)+SUMIF($H$51:$H$69,"B",$E$54:$E$69))/($C$70+$E$70))</f>
        <v/>
      </c>
      <c r="C74" s="437"/>
      <c r="D74" s="438" t="s">
        <v>955</v>
      </c>
      <c r="E74" s="437"/>
      <c r="F74" s="437"/>
      <c r="G74" s="427" t="str">
        <f>IF($C$70+$E$70=0,"",(SUMIF($H$51:$H$69,"O",$C$54:$C$69)+SUMIF($H$51:$H$69,"O",$E$54:$E$69))/($C$70+$E$70))</f>
        <v/>
      </c>
      <c r="H74" s="439"/>
      <c r="I74" s="440" t="s">
        <v>956</v>
      </c>
      <c r="J74" s="441"/>
      <c r="K74" s="442"/>
      <c r="L74" s="442"/>
      <c r="M74" s="442"/>
      <c r="N74" s="442"/>
      <c r="O74" s="442"/>
      <c r="P74" s="442"/>
      <c r="Q74" s="442"/>
      <c r="R74" s="443"/>
      <c r="S74" s="444">
        <f>SUM(S29:S33,S35:S40,S45:S51,S53:S57,S70,S64,S62,S66,S68,S73)</f>
        <v>2810</v>
      </c>
      <c r="T74" s="445">
        <f>SUM(T29:T33,T35:T40,T45:T51,T53:T57,T70,T64,T62,T66,T68,T73)</f>
        <v>2810</v>
      </c>
      <c r="W74"/>
    </row>
    <row r="75" spans="1:23" s="156" customFormat="1" ht="23.25" x14ac:dyDescent="0.25">
      <c r="A75" s="186"/>
      <c r="B75" s="446"/>
      <c r="C75" s="447"/>
      <c r="D75" s="186"/>
      <c r="E75" s="447"/>
      <c r="F75" s="447"/>
      <c r="G75" s="448"/>
      <c r="H75" s="449"/>
      <c r="I75" s="450"/>
      <c r="J75" s="450"/>
      <c r="K75" s="149"/>
      <c r="L75" s="149"/>
      <c r="M75" s="149"/>
      <c r="N75" s="149"/>
      <c r="O75" s="149"/>
      <c r="P75" s="149"/>
      <c r="Q75" s="450"/>
      <c r="R75" s="450"/>
      <c r="S75" s="450"/>
      <c r="T75" s="451"/>
    </row>
    <row r="76" spans="1:23" s="156" customFormat="1" ht="20.25" x14ac:dyDescent="0.25">
      <c r="A76" s="452" t="s">
        <v>957</v>
      </c>
      <c r="B76" s="453">
        <f>'Balances y Proyecciones'!$E$15</f>
        <v>2019</v>
      </c>
      <c r="C76" s="453">
        <f>'Balances y Proyecciones'!$H$15</f>
        <v>2020</v>
      </c>
      <c r="D76" s="453" t="str">
        <f>"Corte 2.0"&amp;RIGHT('Balances y Proyecciones'!$K$15,2)</f>
        <v>Corte 2.020</v>
      </c>
      <c r="E76" s="453">
        <f>'Balances y Proyecciones'!$N$15</f>
        <v>2021</v>
      </c>
      <c r="F76" s="453" t="str">
        <f>"Corte 2.0"&amp;RIGHT('Balances y Proyecciones'!$Q$15,2)</f>
        <v>Corte 2.021</v>
      </c>
      <c r="G76" s="453" t="str">
        <f>"Proy. 2.0"&amp;RIGHT('Balances y Proyecciones'!$T$15,2)</f>
        <v>Proy. 2.022</v>
      </c>
      <c r="H76" s="454"/>
      <c r="I76" s="455"/>
      <c r="J76" s="455"/>
      <c r="K76" s="453">
        <f>'Balances y Proyecciones'!$E$15</f>
        <v>2019</v>
      </c>
      <c r="L76" s="453">
        <f>'Balances y Proyecciones'!$H$15</f>
        <v>2020</v>
      </c>
      <c r="M76" s="453" t="str">
        <f>"Corte 2.0"&amp;RIGHT('Balances y Proyecciones'!$K$15,2)</f>
        <v>Corte 2.020</v>
      </c>
      <c r="N76" s="453">
        <f>'Balances y Proyecciones'!$N$15</f>
        <v>2021</v>
      </c>
      <c r="O76" s="453" t="str">
        <f>"Corte 2.0"&amp;RIGHT('Balances y Proyecciones'!$Q$15,2)</f>
        <v>Corte 2.021</v>
      </c>
      <c r="P76" s="453" t="str">
        <f>"Proy. 2.0"&amp;RIGHT('Balances y Proyecciones'!$T$15,2)</f>
        <v>Proy. 2.022</v>
      </c>
      <c r="Q76" s="451"/>
      <c r="R76" s="451"/>
      <c r="S76" s="451"/>
      <c r="T76" s="451"/>
    </row>
    <row r="77" spans="1:23" s="451" customFormat="1" ht="20.25" x14ac:dyDescent="0.25">
      <c r="A77" s="456" t="s">
        <v>958</v>
      </c>
      <c r="B77" s="457">
        <f>'Balances y Proyecciones'!E71</f>
        <v>3610</v>
      </c>
      <c r="C77" s="457">
        <f>'Balances y Proyecciones'!H71</f>
        <v>3610</v>
      </c>
      <c r="D77" s="457">
        <f>'Balances y Proyecciones'!K71</f>
        <v>3610</v>
      </c>
      <c r="E77" s="457">
        <f>'Balances y Proyecciones'!N71</f>
        <v>3610</v>
      </c>
      <c r="F77" s="457">
        <f>'Balances y Proyecciones'!Q71</f>
        <v>3610</v>
      </c>
      <c r="G77" s="457">
        <f>'Balances y Proyecciones'!T71</f>
        <v>3610</v>
      </c>
      <c r="H77" s="456"/>
      <c r="I77" s="456"/>
      <c r="J77" s="456" t="s">
        <v>959</v>
      </c>
      <c r="K77" s="457">
        <f>'Balances y Proyecciones'!E26</f>
        <v>1860</v>
      </c>
      <c r="L77" s="457">
        <f>'Balances y Proyecciones'!H26</f>
        <v>1860</v>
      </c>
      <c r="M77" s="457">
        <f>'Balances y Proyecciones'!K26</f>
        <v>1860</v>
      </c>
      <c r="N77" s="457">
        <f>'Balances y Proyecciones'!N26</f>
        <v>1860</v>
      </c>
      <c r="O77" s="457">
        <f>'Balances y Proyecciones'!Q26</f>
        <v>1860</v>
      </c>
      <c r="P77" s="457">
        <f>'Balances y Proyecciones'!T26</f>
        <v>2575.1659999999993</v>
      </c>
    </row>
    <row r="78" spans="1:23" s="451" customFormat="1" ht="20.25" x14ac:dyDescent="0.25">
      <c r="A78" s="456" t="s">
        <v>960</v>
      </c>
      <c r="B78" s="457">
        <f>'Balances y Proyecciones'!E89</f>
        <v>2810</v>
      </c>
      <c r="C78" s="457">
        <f>'Balances y Proyecciones'!H89</f>
        <v>2810</v>
      </c>
      <c r="D78" s="457">
        <f>'Balances y Proyecciones'!K89</f>
        <v>2810</v>
      </c>
      <c r="E78" s="457">
        <f>'Balances y Proyecciones'!N89</f>
        <v>2810</v>
      </c>
      <c r="F78" s="457">
        <f>'Balances y Proyecciones'!Q89</f>
        <v>2810</v>
      </c>
      <c r="G78" s="457">
        <f>'Balances y Proyecciones'!T89</f>
        <v>2812.4</v>
      </c>
      <c r="H78" s="455"/>
      <c r="I78" s="456"/>
      <c r="J78" s="456" t="s">
        <v>961</v>
      </c>
      <c r="K78" s="457">
        <f>SUM('Balances y Proyecciones'!E27:E32)</f>
        <v>2010</v>
      </c>
      <c r="L78" s="457">
        <f>SUM('Balances y Proyecciones'!H27:H32)</f>
        <v>2010</v>
      </c>
      <c r="M78" s="457">
        <f>SUM('Balances y Proyecciones'!K27:K32)</f>
        <v>2010</v>
      </c>
      <c r="N78" s="457">
        <f>SUM('Balances y Proyecciones'!N27:N32)</f>
        <v>2010</v>
      </c>
      <c r="O78" s="457">
        <f>SUM('Balances y Proyecciones'!Q27:Q32)</f>
        <v>2010</v>
      </c>
      <c r="P78" s="457">
        <f>SUM('Balances y Proyecciones'!T27:T32)</f>
        <v>2214.5340000000001</v>
      </c>
    </row>
    <row r="79" spans="1:23" s="451" customFormat="1" ht="20.25" x14ac:dyDescent="0.25">
      <c r="A79" s="456" t="s">
        <v>962</v>
      </c>
      <c r="B79" s="457">
        <f>'Balances y Proyecciones'!E75</f>
        <v>2810</v>
      </c>
      <c r="C79" s="457">
        <f>'Balances y Proyecciones'!H75</f>
        <v>2810</v>
      </c>
      <c r="D79" s="457">
        <f>'Balances y Proyecciones'!K75</f>
        <v>2810</v>
      </c>
      <c r="E79" s="457">
        <f>'Balances y Proyecciones'!N75</f>
        <v>2810</v>
      </c>
      <c r="F79" s="457">
        <f>'Balances y Proyecciones'!Q75</f>
        <v>2810</v>
      </c>
      <c r="G79" s="457">
        <f>'Balances y Proyecciones'!T75</f>
        <v>2810</v>
      </c>
      <c r="H79" s="456"/>
      <c r="I79" s="456"/>
      <c r="J79" s="456" t="s">
        <v>963</v>
      </c>
      <c r="K79" s="457">
        <f>'Balances y Proyecciones'!E48</f>
        <v>480</v>
      </c>
      <c r="L79" s="457">
        <f>'Balances y Proyecciones'!H48</f>
        <v>480</v>
      </c>
      <c r="M79" s="457">
        <f>'Balances y Proyecciones'!K48</f>
        <v>480</v>
      </c>
      <c r="N79" s="457">
        <f>'Balances y Proyecciones'!N48</f>
        <v>480</v>
      </c>
      <c r="O79" s="457">
        <f>'Balances y Proyecciones'!Q48</f>
        <v>480</v>
      </c>
      <c r="P79" s="457">
        <f>'Balances y Proyecciones'!T48</f>
        <v>450</v>
      </c>
    </row>
    <row r="80" spans="1:23" s="451" customFormat="1" ht="20.25" x14ac:dyDescent="0.25">
      <c r="A80" s="456" t="s">
        <v>964</v>
      </c>
      <c r="B80" s="457">
        <f>'Balances y Proyecciones'!E34</f>
        <v>3870</v>
      </c>
      <c r="C80" s="457">
        <f>'Balances y Proyecciones'!H34</f>
        <v>3870</v>
      </c>
      <c r="D80" s="457">
        <f>'Balances y Proyecciones'!K34</f>
        <v>3870</v>
      </c>
      <c r="E80" s="457">
        <f>'Balances y Proyecciones'!N34</f>
        <v>3870</v>
      </c>
      <c r="F80" s="457">
        <f>'Balances y Proyecciones'!Q34</f>
        <v>3870</v>
      </c>
      <c r="G80" s="457">
        <f>'Balances y Proyecciones'!T34</f>
        <v>4789.6999999999989</v>
      </c>
      <c r="H80" s="456"/>
      <c r="I80" s="456"/>
      <c r="J80" s="456" t="s">
        <v>965</v>
      </c>
      <c r="K80" s="457">
        <f>'Balances y Proyecciones'!E58</f>
        <v>450</v>
      </c>
      <c r="L80" s="457">
        <f>'Balances y Proyecciones'!H58</f>
        <v>450</v>
      </c>
      <c r="M80" s="457">
        <f>'Balances y Proyecciones'!K58</f>
        <v>450</v>
      </c>
      <c r="N80" s="457">
        <f>'Balances y Proyecciones'!N58</f>
        <v>450</v>
      </c>
      <c r="O80" s="457">
        <f>'Balances y Proyecciones'!Q58</f>
        <v>450</v>
      </c>
      <c r="P80" s="457">
        <f>'Balances y Proyecciones'!T58</f>
        <v>470</v>
      </c>
    </row>
    <row r="81" spans="1:20" s="451" customFormat="1" ht="20.25" x14ac:dyDescent="0.25">
      <c r="A81" s="456" t="s">
        <v>966</v>
      </c>
      <c r="B81" s="457">
        <f>'Balances y Proyecciones'!E59</f>
        <v>930</v>
      </c>
      <c r="C81" s="457">
        <f>'Balances y Proyecciones'!H59</f>
        <v>930</v>
      </c>
      <c r="D81" s="457">
        <f>'Balances y Proyecciones'!K59</f>
        <v>930</v>
      </c>
      <c r="E81" s="457">
        <f>'Balances y Proyecciones'!N59</f>
        <v>930</v>
      </c>
      <c r="F81" s="457">
        <f>'Balances y Proyecciones'!Q59</f>
        <v>930</v>
      </c>
      <c r="G81" s="457">
        <f>'Balances y Proyecciones'!T59</f>
        <v>920</v>
      </c>
      <c r="H81" s="456"/>
      <c r="I81" s="456"/>
      <c r="J81" s="456" t="s">
        <v>967</v>
      </c>
      <c r="K81" s="457">
        <f>'Balances y Proyecciones'!AP704</f>
        <v>50</v>
      </c>
      <c r="L81" s="457">
        <f>'Balances y Proyecciones'!AS704</f>
        <v>50</v>
      </c>
      <c r="M81" s="457">
        <f>'Balances y Proyecciones'!AV704</f>
        <v>50</v>
      </c>
      <c r="N81" s="457">
        <f>'Balances y Proyecciones'!AY704</f>
        <v>50</v>
      </c>
      <c r="O81" s="457">
        <f>'Balances y Proyecciones'!BB704</f>
        <v>50</v>
      </c>
      <c r="P81" s="457">
        <f>'Balances y Proyecciones'!BE704</f>
        <v>40</v>
      </c>
    </row>
    <row r="82" spans="1:20" s="451" customFormat="1" ht="20.25" x14ac:dyDescent="0.25">
      <c r="A82" s="285" t="s">
        <v>968</v>
      </c>
      <c r="B82" s="457">
        <f>'Balances y Proyecciones'!E67</f>
        <v>3030</v>
      </c>
      <c r="C82" s="457">
        <f>'Balances y Proyecciones'!H67</f>
        <v>3030</v>
      </c>
      <c r="D82" s="457">
        <f>'Balances y Proyecciones'!K67</f>
        <v>3030</v>
      </c>
      <c r="E82" s="457">
        <f>'Balances y Proyecciones'!N67</f>
        <v>3030</v>
      </c>
      <c r="F82" s="457">
        <f>'Balances y Proyecciones'!Q67</f>
        <v>3030</v>
      </c>
      <c r="G82" s="457">
        <f>'Balances y Proyecciones'!T67</f>
        <v>3959.7</v>
      </c>
      <c r="H82" s="456"/>
      <c r="I82" s="458"/>
      <c r="J82" s="285" t="s">
        <v>969</v>
      </c>
      <c r="K82" s="457">
        <f>'Balances y Proyecciones'!AP747</f>
        <v>0.78947368421052633</v>
      </c>
      <c r="L82" s="457">
        <f>'Balances y Proyecciones'!AS747</f>
        <v>0.78947368421052633</v>
      </c>
      <c r="M82" s="457">
        <f>'Balances y Proyecciones'!AV747</f>
        <v>0.78947368421052633</v>
      </c>
      <c r="N82" s="457">
        <f>'Balances y Proyecciones'!AY747</f>
        <v>0.78947368421052633</v>
      </c>
      <c r="O82" s="457">
        <f>'Balances y Proyecciones'!BB747</f>
        <v>0.78947368421052633</v>
      </c>
      <c r="P82" s="457">
        <f>'Balances y Proyecciones'!BE747</f>
        <v>0.79313019390581707</v>
      </c>
      <c r="Q82" s="149"/>
      <c r="R82" s="149"/>
      <c r="S82" s="149"/>
      <c r="T82" s="149"/>
    </row>
    <row r="83" spans="1:20" s="451" customFormat="1" ht="20.25" x14ac:dyDescent="0.25">
      <c r="A83" s="285" t="s">
        <v>970</v>
      </c>
      <c r="B83" s="459">
        <f>'Balances y Proyecciones'!AP751</f>
        <v>0.24031007751937986</v>
      </c>
      <c r="C83" s="459">
        <f>'Balances y Proyecciones'!AS751</f>
        <v>0.24031007751937986</v>
      </c>
      <c r="D83" s="459">
        <f>'Balances y Proyecciones'!AV751</f>
        <v>0.24031007751937986</v>
      </c>
      <c r="E83" s="459">
        <f>'Balances y Proyecciones'!AY751</f>
        <v>0.24031007751937986</v>
      </c>
      <c r="F83" s="459">
        <f>'Balances y Proyecciones'!BB751</f>
        <v>0.24031007751937986</v>
      </c>
      <c r="G83" s="459">
        <f>'Balances y Proyecciones'!BE751</f>
        <v>0.19207883583522981</v>
      </c>
      <c r="H83" s="456"/>
      <c r="I83" s="458"/>
      <c r="J83" s="285" t="s">
        <v>971</v>
      </c>
      <c r="K83" s="459">
        <f>'Balances y Proyecciones'!AP743</f>
        <v>1.3850415512465374E-2</v>
      </c>
      <c r="L83" s="459">
        <f>'Balances y Proyecciones'!AS743</f>
        <v>1.3850415512465374E-2</v>
      </c>
      <c r="M83" s="459">
        <f>'Balances y Proyecciones'!AV743</f>
        <v>6.9252077562326868E-3</v>
      </c>
      <c r="N83" s="459">
        <f>'Balances y Proyecciones'!AY743</f>
        <v>1.3850415512465374E-2</v>
      </c>
      <c r="O83" s="459">
        <f>'Balances y Proyecciones'!BB743</f>
        <v>6.9252077562326868E-3</v>
      </c>
      <c r="P83" s="459">
        <f>'Balances y Proyecciones'!BE743</f>
        <v>1.1080332409972299E-2</v>
      </c>
      <c r="Q83" s="149"/>
      <c r="R83" s="149"/>
      <c r="S83" s="149"/>
      <c r="T83" s="149"/>
    </row>
    <row r="84" spans="1:20" ht="20.25" x14ac:dyDescent="0.25">
      <c r="A84" s="285"/>
      <c r="B84" s="285"/>
      <c r="C84" s="285"/>
      <c r="D84" s="285"/>
      <c r="E84" s="285"/>
      <c r="F84" s="285"/>
      <c r="G84" s="285"/>
      <c r="H84" s="285"/>
      <c r="I84" s="285"/>
      <c r="J84" s="285"/>
      <c r="K84" s="285"/>
      <c r="L84" s="285"/>
      <c r="M84" s="285"/>
      <c r="N84" s="285"/>
      <c r="O84" s="285"/>
      <c r="P84" s="285"/>
    </row>
    <row r="85" spans="1:20" ht="20.25" x14ac:dyDescent="0.25">
      <c r="A85" s="460" t="s">
        <v>972</v>
      </c>
      <c r="B85" s="285"/>
      <c r="C85" s="285"/>
      <c r="D85" s="285"/>
      <c r="E85" s="460" t="s">
        <v>973</v>
      </c>
      <c r="F85" s="285"/>
      <c r="G85" s="285"/>
      <c r="H85" s="285"/>
      <c r="I85" s="285"/>
      <c r="J85" s="460" t="s">
        <v>974</v>
      </c>
      <c r="K85" s="285"/>
      <c r="L85" s="285"/>
      <c r="M85" s="285"/>
      <c r="N85" s="460" t="s">
        <v>975</v>
      </c>
      <c r="O85" s="285"/>
      <c r="P85" s="460" t="s">
        <v>976</v>
      </c>
      <c r="S85" s="461"/>
    </row>
    <row r="86" spans="1:20" ht="20.25" x14ac:dyDescent="0.25">
      <c r="A86" s="285">
        <f>'Balances y Proyecciones'!E15</f>
        <v>2019</v>
      </c>
      <c r="B86" s="285" t="str">
        <f>'Balances y Proyecciones'!E16</f>
        <v>Diciembre</v>
      </c>
      <c r="C86" s="285">
        <f>'Balances y Proyecciones'!E17</f>
        <v>360</v>
      </c>
      <c r="D86" s="285"/>
      <c r="E86" s="285" t="s">
        <v>933</v>
      </c>
      <c r="F86" s="285">
        <v>1</v>
      </c>
      <c r="G86" s="285" t="str">
        <f ca="1">MID(RIGHT(CELL("DIRECCION",CIFIN!B14),4),1,1)</f>
        <v>B</v>
      </c>
      <c r="H86" s="285"/>
      <c r="I86" s="457">
        <v>1</v>
      </c>
      <c r="J86" s="462"/>
      <c r="K86" s="463">
        <f>ROW(CIFIN!B15)</f>
        <v>15</v>
      </c>
      <c r="L86" s="463">
        <f>ROW(CIFIN!B30)</f>
        <v>30</v>
      </c>
      <c r="M86" s="285"/>
      <c r="N86" s="285">
        <v>1</v>
      </c>
      <c r="O86" s="285" t="str">
        <f ca="1">MID(CELL("DIRECCION",A53),2,1)</f>
        <v>A</v>
      </c>
      <c r="P86" s="149">
        <f>ROW(A54)</f>
        <v>54</v>
      </c>
    </row>
    <row r="87" spans="1:20" ht="20.25" x14ac:dyDescent="0.25">
      <c r="A87" s="285">
        <f>'Balances y Proyecciones'!H15</f>
        <v>2020</v>
      </c>
      <c r="B87" s="285" t="str">
        <f>'Balances y Proyecciones'!H16</f>
        <v>Diciembre</v>
      </c>
      <c r="C87" s="285">
        <f>'Balances y Proyecciones'!H17</f>
        <v>360</v>
      </c>
      <c r="D87" s="285"/>
      <c r="E87" s="285" t="s">
        <v>977</v>
      </c>
      <c r="F87" s="285">
        <v>2</v>
      </c>
      <c r="G87" s="285" t="str">
        <f ca="1">MID(RIGHT(CELL("DIRECCION",CIFIN!A14),4),1,1)</f>
        <v>A</v>
      </c>
      <c r="H87" s="285"/>
      <c r="I87" s="457">
        <v>2</v>
      </c>
      <c r="J87" s="462"/>
      <c r="K87" s="463" t="e">
        <f>ROW(CIFIN!#REF!)</f>
        <v>#REF!</v>
      </c>
      <c r="L87" s="463" t="e">
        <f>ROW(CIFIN!#REF!)</f>
        <v>#REF!</v>
      </c>
      <c r="M87" s="285"/>
      <c r="N87" s="285">
        <v>2</v>
      </c>
      <c r="O87" s="285" t="str">
        <f ca="1">MID(CELL("DIRECCION",H50),2,1)</f>
        <v>H</v>
      </c>
      <c r="P87" s="285"/>
    </row>
    <row r="88" spans="1:20" ht="20.25" x14ac:dyDescent="0.25">
      <c r="A88" s="285" t="str">
        <f>"CORTE 2.0"&amp;RIGHT('Balances y Proyecciones'!K15,2)</f>
        <v>CORTE 2.020</v>
      </c>
      <c r="B88" s="285" t="str">
        <f>'Balances y Proyecciones'!K16</f>
        <v>Junio</v>
      </c>
      <c r="C88" s="285">
        <f>'Balances y Proyecciones'!K17</f>
        <v>180</v>
      </c>
      <c r="D88" s="285"/>
      <c r="E88" s="285" t="str">
        <f>"M/L "&amp;IF(RIGHT(TEXT(D53,"mmm-yy"),2)="yy",TEXT(D53,"mmm-aa"),TEXT(D53,"mmm-yy"))</f>
        <v>M/L ene-00</v>
      </c>
      <c r="F88" s="285">
        <v>3</v>
      </c>
      <c r="G88" s="285" t="str">
        <f ca="1">MID(RIGHT(CELL("DIRECCION",CIFIN!C14),4),1,1)</f>
        <v>C</v>
      </c>
      <c r="H88" s="285"/>
      <c r="I88" s="457">
        <v>3</v>
      </c>
      <c r="J88" s="462"/>
      <c r="K88" s="463" t="e">
        <f>ROW(CIFIN!#REF!)</f>
        <v>#REF!</v>
      </c>
      <c r="L88" s="463" t="e">
        <f>ROW(CIFIN!#REF!)</f>
        <v>#REF!</v>
      </c>
      <c r="M88" s="285"/>
      <c r="N88" s="285">
        <v>3</v>
      </c>
      <c r="O88" s="285" t="str">
        <f ca="1">MID(CELL("DIRECCION",D53),2,1)</f>
        <v>D</v>
      </c>
      <c r="P88" s="460" t="s">
        <v>978</v>
      </c>
    </row>
    <row r="89" spans="1:20" ht="20.25" x14ac:dyDescent="0.25">
      <c r="A89" s="285">
        <f>'Balances y Proyecciones'!N15</f>
        <v>2021</v>
      </c>
      <c r="B89" s="285" t="str">
        <f>'Balances y Proyecciones'!N16</f>
        <v>Diciembre</v>
      </c>
      <c r="C89" s="464">
        <f>'Balances y Proyecciones'!N17</f>
        <v>360</v>
      </c>
      <c r="D89" s="464"/>
      <c r="E89" s="285" t="str">
        <f>"M/E "&amp;IF(RIGHT(TEXT(E53,"mmm-yy"),2)="yy",TEXT(E53,"mmm-aa"),TEXT(E53,"mmm-yy"))</f>
        <v>M/E Tendencia</v>
      </c>
      <c r="F89" s="285">
        <v>4</v>
      </c>
      <c r="G89" s="285" t="str">
        <f ca="1">MID(RIGHT(CELL("DIRECCION",CIFIN!D14),4),1,1)</f>
        <v>D</v>
      </c>
      <c r="H89" s="285"/>
      <c r="I89" s="457">
        <v>4</v>
      </c>
      <c r="J89" s="462"/>
      <c r="K89" s="463" t="e">
        <f>ROW(CIFIN!#REF!)</f>
        <v>#REF!</v>
      </c>
      <c r="L89" s="463" t="e">
        <f>ROW(CIFIN!#REF!)</f>
        <v>#REF!</v>
      </c>
      <c r="M89" s="285"/>
      <c r="N89" s="285">
        <v>4</v>
      </c>
      <c r="O89" s="285" t="str">
        <f ca="1">MID(CELL("DIRECCION",E53),2,1)</f>
        <v>E</v>
      </c>
      <c r="P89" s="149">
        <f>ROW(A69)</f>
        <v>69</v>
      </c>
    </row>
    <row r="90" spans="1:20" ht="20.25" x14ac:dyDescent="0.25">
      <c r="A90" s="285" t="str">
        <f>"CORTE 2.0"&amp;RIGHT('Balances y Proyecciones'!Q15,2)</f>
        <v>CORTE 2.021</v>
      </c>
      <c r="B90" s="285" t="str">
        <f>'Balances y Proyecciones'!Q16</f>
        <v>Junio</v>
      </c>
      <c r="C90" s="464">
        <f>'Balances y Proyecciones'!Q17</f>
        <v>180</v>
      </c>
      <c r="D90" s="464"/>
      <c r="E90" s="285" t="str">
        <f>"M/L "&amp;IF(RIGHT(TEXT(B53,"mmm-yy"),2)="yy",TEXT(B53,"mmm-aa"),TEXT(B53,"mmm-yy"))</f>
        <v>M/L ene-00</v>
      </c>
      <c r="F90" s="285">
        <v>5</v>
      </c>
      <c r="G90" s="285" t="str">
        <f ca="1">MID(RIGHT(CELL("DIRECCION",CIFIN!G14),4),1,1)</f>
        <v>G</v>
      </c>
      <c r="H90" s="285"/>
      <c r="I90" s="457">
        <v>5</v>
      </c>
      <c r="J90" s="462"/>
      <c r="K90" s="463" t="e">
        <f>ROW(CIFIN!#REF!)</f>
        <v>#REF!</v>
      </c>
      <c r="L90" s="463" t="e">
        <f>ROW(CIFIN!#REF!)</f>
        <v>#REF!</v>
      </c>
      <c r="M90" s="285"/>
      <c r="N90" s="285">
        <v>5</v>
      </c>
      <c r="O90" s="285" t="str">
        <f ca="1">MID(CELL("DIRECCION",B53),2,1)</f>
        <v>B</v>
      </c>
      <c r="P90" s="285"/>
    </row>
    <row r="91" spans="1:20" ht="20.25" x14ac:dyDescent="0.25">
      <c r="A91" s="285"/>
      <c r="B91" s="285"/>
      <c r="C91" s="464"/>
      <c r="D91" s="464"/>
      <c r="E91" s="285" t="str">
        <f>"M/E "&amp;IF(RIGHT(TEXT(E53,"mmm-yy"),2)="yy",TEXT(E53,"mmm-aa"),TEXT(E53,"mmm-yy"))</f>
        <v>M/E Tendencia</v>
      </c>
      <c r="F91" s="285">
        <v>6</v>
      </c>
      <c r="G91" s="285" t="str">
        <f ca="1">MID(RIGHT(CELL("DIRECCION",CIFIN!H14),4),1,1)</f>
        <v>H</v>
      </c>
      <c r="H91" s="285"/>
      <c r="I91" s="457">
        <v>6</v>
      </c>
      <c r="J91" s="462"/>
      <c r="K91" s="463" t="e">
        <f>ROW(CIFIN!#REF!)</f>
        <v>#REF!</v>
      </c>
      <c r="L91" s="463" t="e">
        <f>ROW(CIFIN!#REF!)</f>
        <v>#REF!</v>
      </c>
      <c r="M91" s="285"/>
      <c r="N91" s="285">
        <v>6</v>
      </c>
      <c r="O91" s="285" t="str">
        <f ca="1">MID(CELL("DIRECCION",E53),2,1)</f>
        <v>E</v>
      </c>
      <c r="P91" s="460"/>
    </row>
    <row r="92" spans="1:20" ht="20.25" x14ac:dyDescent="0.25">
      <c r="A92" s="460"/>
      <c r="B92" s="285"/>
      <c r="C92" s="464"/>
      <c r="D92" s="464"/>
      <c r="E92" s="285" t="s">
        <v>935</v>
      </c>
      <c r="F92" s="285">
        <v>7</v>
      </c>
      <c r="G92" s="285" t="str">
        <f ca="1">MID(RIGHT(CELL("DIRECCION",CIFIN!J14),4),1,1)</f>
        <v>J</v>
      </c>
      <c r="H92" s="285"/>
      <c r="I92" s="457">
        <v>7</v>
      </c>
      <c r="J92" s="462"/>
      <c r="K92" s="463" t="e">
        <f>ROW(CIFIN!#REF!)</f>
        <v>#REF!</v>
      </c>
      <c r="L92" s="463" t="e">
        <f>ROW(CIFIN!#REF!)</f>
        <v>#REF!</v>
      </c>
      <c r="M92" s="285"/>
      <c r="N92" s="285">
        <v>7</v>
      </c>
      <c r="O92" s="285" t="str">
        <f ca="1">MID(CELL("DIRECCION",F53),2,1)</f>
        <v>F</v>
      </c>
      <c r="P92" s="285"/>
    </row>
    <row r="93" spans="1:20" ht="20.25" x14ac:dyDescent="0.25">
      <c r="A93" s="285"/>
      <c r="B93" s="285"/>
      <c r="C93" s="285"/>
      <c r="D93" s="285"/>
      <c r="E93" s="285" t="s">
        <v>936</v>
      </c>
      <c r="F93" s="285">
        <v>8</v>
      </c>
      <c r="G93" s="285" t="e">
        <f ca="1">MID(RIGHT(CELL("DIRECCION",CIFIN!#REF!),4),1,1)</f>
        <v>#REF!</v>
      </c>
      <c r="H93" s="285"/>
      <c r="I93" s="457">
        <v>8</v>
      </c>
      <c r="J93" s="462"/>
      <c r="K93" s="463" t="e">
        <f>ROW(CIFIN!#REF!)</f>
        <v>#REF!</v>
      </c>
      <c r="L93" s="463" t="e">
        <f>ROW(CIFIN!#REF!)</f>
        <v>#REF!</v>
      </c>
      <c r="M93" s="285"/>
      <c r="N93" s="285">
        <v>8</v>
      </c>
      <c r="O93" s="285" t="str">
        <f ca="1">MID(CELL("DIRECCION",G53),2,1)</f>
        <v>G</v>
      </c>
      <c r="P93" s="285"/>
    </row>
    <row r="94" spans="1:20" ht="20.25" x14ac:dyDescent="0.25">
      <c r="A94" s="285"/>
      <c r="B94" s="465"/>
      <c r="C94" s="285"/>
      <c r="D94" s="465"/>
      <c r="E94" s="285"/>
      <c r="F94" s="285"/>
      <c r="G94" s="285"/>
      <c r="H94" s="285"/>
      <c r="I94" s="457">
        <v>9</v>
      </c>
      <c r="J94" s="462"/>
      <c r="K94" s="463" t="e">
        <f>ROW(CIFIN!#REF!)</f>
        <v>#REF!</v>
      </c>
      <c r="L94" s="463" t="e">
        <f>ROW(CIFIN!#REF!)</f>
        <v>#REF!</v>
      </c>
      <c r="M94" s="285"/>
      <c r="N94" s="285"/>
      <c r="O94" s="285"/>
      <c r="P94" s="285"/>
    </row>
    <row r="95" spans="1:20" ht="20.25" x14ac:dyDescent="0.25">
      <c r="A95" s="285"/>
      <c r="B95" s="465"/>
      <c r="C95" s="285"/>
      <c r="D95" s="465"/>
      <c r="E95" s="285"/>
      <c r="F95" s="285"/>
      <c r="G95" s="285"/>
      <c r="H95" s="285"/>
      <c r="I95" s="457">
        <v>10</v>
      </c>
      <c r="J95" s="462"/>
      <c r="K95" s="463" t="e">
        <f>ROW(CIFIN!#REF!)</f>
        <v>#REF!</v>
      </c>
      <c r="L95" s="463" t="e">
        <f>ROW(CIFIN!#REF!)</f>
        <v>#REF!</v>
      </c>
      <c r="M95" s="285"/>
      <c r="N95" s="285"/>
      <c r="O95" s="285"/>
      <c r="P95" s="285"/>
    </row>
    <row r="96" spans="1:20" ht="20.25" x14ac:dyDescent="0.25">
      <c r="A96" s="285"/>
      <c r="B96" s="466"/>
      <c r="C96" s="285"/>
      <c r="D96" s="466"/>
      <c r="E96" s="285"/>
      <c r="F96" s="285"/>
      <c r="G96" s="285"/>
      <c r="H96" s="285"/>
      <c r="I96" s="285"/>
      <c r="J96" s="285"/>
      <c r="K96" s="285"/>
      <c r="L96" s="285"/>
      <c r="M96" s="285"/>
      <c r="N96" s="285"/>
      <c r="O96" s="285"/>
      <c r="P96" s="285"/>
    </row>
    <row r="97" spans="1:16" ht="20.25" x14ac:dyDescent="0.25">
      <c r="A97" s="285"/>
      <c r="B97" s="285"/>
      <c r="C97" s="285"/>
      <c r="D97" s="285"/>
      <c r="E97" s="285"/>
      <c r="F97" s="285"/>
      <c r="G97" s="285"/>
      <c r="H97" s="285"/>
      <c r="I97" s="285"/>
      <c r="J97" s="285"/>
      <c r="K97" s="285"/>
      <c r="L97" s="285"/>
      <c r="M97" s="285"/>
      <c r="N97" s="285"/>
      <c r="O97" s="285"/>
      <c r="P97" s="285"/>
    </row>
    <row r="98" spans="1:16" ht="20.25" x14ac:dyDescent="0.25">
      <c r="A98" s="285"/>
      <c r="B98" s="285"/>
      <c r="C98" s="285"/>
      <c r="D98" s="285"/>
      <c r="E98" s="285"/>
      <c r="F98" s="460" t="s">
        <v>979</v>
      </c>
      <c r="G98" s="285"/>
      <c r="I98" s="285"/>
      <c r="J98" s="285"/>
      <c r="K98" s="285"/>
      <c r="L98" s="285"/>
      <c r="M98" s="285"/>
      <c r="N98" s="285"/>
      <c r="O98" s="285"/>
      <c r="P98" s="285"/>
    </row>
    <row r="99" spans="1:16" ht="20.25" x14ac:dyDescent="0.25">
      <c r="A99" s="285"/>
      <c r="B99" s="285"/>
      <c r="C99" s="285"/>
      <c r="D99" s="285"/>
      <c r="E99" s="457" t="s">
        <v>980</v>
      </c>
      <c r="F99" s="467">
        <v>1</v>
      </c>
      <c r="G99" s="467" t="str">
        <f ca="1">VLOOKUP(F99,$F$86:$G$93,2,0)</f>
        <v>B</v>
      </c>
      <c r="I99" s="468" t="str">
        <f ca="1">VLOOKUP(F99,$N$86:$O$93,2,0)</f>
        <v>A</v>
      </c>
      <c r="J99" s="285"/>
      <c r="K99" s="460" t="s">
        <v>981</v>
      </c>
      <c r="L99" s="285"/>
      <c r="M99" s="285"/>
      <c r="N99" s="285"/>
      <c r="O99" s="285"/>
      <c r="P99" s="285"/>
    </row>
    <row r="100" spans="1:16" ht="20.25" x14ac:dyDescent="0.25">
      <c r="A100" s="285"/>
      <c r="B100" s="285"/>
      <c r="C100" s="285"/>
      <c r="D100" s="285"/>
      <c r="E100" s="457" t="s">
        <v>982</v>
      </c>
      <c r="F100" s="467">
        <v>1</v>
      </c>
      <c r="G100" s="467">
        <f>VLOOKUP(F100,$I$86:$L$95,3,0)</f>
        <v>15</v>
      </c>
      <c r="H100" s="285"/>
      <c r="I100" s="468">
        <f>VLOOKUP(F100,$I$86:$L$95,4,0)</f>
        <v>30</v>
      </c>
      <c r="J100" s="285"/>
      <c r="K100" s="149" t="e">
        <f ca="1">CELL("DIRECCION",_Res01)</f>
        <v>#NAME?</v>
      </c>
      <c r="L100" s="285"/>
      <c r="M100" s="285"/>
      <c r="N100" s="285"/>
      <c r="O100" s="285"/>
      <c r="P100" s="285"/>
    </row>
    <row r="101" spans="1:16" ht="20.25" x14ac:dyDescent="0.25">
      <c r="A101" s="285"/>
      <c r="B101" s="285"/>
      <c r="C101" s="285"/>
      <c r="D101" s="285"/>
      <c r="E101" s="285"/>
      <c r="F101" s="469"/>
      <c r="G101" s="285"/>
      <c r="H101" s="460"/>
      <c r="I101" s="285"/>
      <c r="J101" s="285"/>
      <c r="K101" s="285"/>
      <c r="L101" s="285"/>
      <c r="M101" s="285"/>
      <c r="N101" s="285"/>
      <c r="O101" s="285"/>
      <c r="P101" s="285"/>
    </row>
    <row r="102" spans="1:16" ht="20.25" x14ac:dyDescent="0.25">
      <c r="A102" s="460" t="s">
        <v>983</v>
      </c>
      <c r="B102" s="285"/>
      <c r="C102" s="285"/>
      <c r="D102" s="285"/>
      <c r="E102" s="285"/>
      <c r="F102" s="470"/>
      <c r="G102" s="285"/>
      <c r="H102" s="460"/>
      <c r="I102" s="285"/>
      <c r="J102" s="285"/>
      <c r="K102" s="285"/>
      <c r="L102" s="285"/>
      <c r="M102" s="285"/>
      <c r="N102" s="285"/>
      <c r="O102" s="285"/>
      <c r="P102" s="285"/>
    </row>
    <row r="103" spans="1:16" ht="20.25" x14ac:dyDescent="0.25">
      <c r="A103" s="285"/>
      <c r="B103" s="285"/>
      <c r="C103" s="471">
        <f>C11</f>
        <v>2019</v>
      </c>
      <c r="D103" s="471">
        <f>D11</f>
        <v>2020</v>
      </c>
      <c r="E103" s="471">
        <f>E11</f>
        <v>2021</v>
      </c>
      <c r="F103" s="285"/>
      <c r="G103" s="285"/>
      <c r="H103" s="285"/>
      <c r="I103" s="285"/>
      <c r="J103" s="285"/>
      <c r="K103" s="285"/>
      <c r="L103" s="285"/>
      <c r="M103" s="285"/>
      <c r="N103" s="285"/>
      <c r="O103" s="285"/>
      <c r="P103" s="285"/>
    </row>
    <row r="104" spans="1:16" ht="20.25" x14ac:dyDescent="0.25">
      <c r="A104" s="285" t="s">
        <v>2154</v>
      </c>
      <c r="B104" s="285"/>
      <c r="C104" s="472">
        <f>IF(OR(K$5=0,AND(K$5&lt;&gt;$A$86,K$5&lt;&gt;$A$87,K$5&lt;&gt;$A$88)),0,IF(K$5=$A$86,IF('Balances y Proyecciones'!E71=0,"",'Balances y Proyecciones'!E89/'Balances y Proyecciones'!E71),IF(K$5=A$87,IF('Balances y Proyecciones'!H71=0,"",'Balances y Proyecciones'!H89/'Balances y Proyecciones'!H71),IF('Balances y Proyecciones'!K71=0,"",'Balances y Proyecciones'!K89/'Balances y Proyecciones'!K71))))</f>
        <v>0.77839335180055402</v>
      </c>
      <c r="D104" s="472">
        <f>IF(OR(L$5=0,AND(L$5&lt;&gt;$A$87,L$5&lt;&gt;$A$89)),0,IF(L$5=$A$87,IF('Balances y Proyecciones'!H71=0,"",'Balances y Proyecciones'!H89/'Balances y Proyecciones'!H71),IF('Balances y Proyecciones'!N71=0,"",'Balances y Proyecciones'!N89/'Balances y Proyecciones'!N71)))</f>
        <v>0.77839335180055402</v>
      </c>
      <c r="E104" s="472">
        <f>IF(OR(M$5=0,AND(M$5&lt;&gt;$A$89,M$5&lt;&gt;$A$90)),0,IF(M$5=$A$89,IF('Balances y Proyecciones'!N71=0,"",'Balances y Proyecciones'!N89/'Balances y Proyecciones'!N71),IF('Balances y Proyecciones'!Q71=0,"",'Balances y Proyecciones'!Q89/'Balances y Proyecciones'!Q71)))</f>
        <v>0.77839335180055402</v>
      </c>
      <c r="F104" s="285"/>
      <c r="G104" s="285"/>
      <c r="H104" s="285"/>
      <c r="I104" s="285"/>
      <c r="J104" s="285"/>
      <c r="K104" s="285"/>
      <c r="L104" s="285"/>
      <c r="M104" s="285"/>
      <c r="N104" s="285"/>
      <c r="O104" s="285"/>
      <c r="P104" s="285"/>
    </row>
    <row r="105" spans="1:16" ht="20.25" x14ac:dyDescent="0.25">
      <c r="A105" s="285" t="s">
        <v>2155</v>
      </c>
      <c r="B105" s="285"/>
      <c r="C105" s="472" t="str">
        <f>IF(OR(K$5=0,AND(K$5&lt;&gt;$A$86,K$5&lt;&gt;$A$87,K$5&lt;&gt;$A$88)),0,IF(K$5=$A$86,IF('Balances y Proyecciones'!C89=0,"",'Balances y Proyecciones'!E233/'Balances y Proyecciones'!C89),IF(K$5=A$87,IF('Balances y Proyecciones'!E89=0,"",'Balances y Proyecciones'!H233/'Balances y Proyecciones'!E89),IF('Balances y Proyecciones'!H89=0,"",'Balances y Proyecciones'!K233/'Balances y Proyecciones'!H89))))</f>
        <v/>
      </c>
      <c r="D105" s="472">
        <f>IF(OR(L$5=0,AND(L$5&lt;&gt;$A$87,L$5&lt;&gt;$A$89)),0,IF(L$5=$A$87,IF('Balances y Proyecciones'!E89=0,"",'Balances y Proyecciones'!H233/'Balances y Proyecciones'!E89),IF('Balances y Proyecciones'!H89=0,"",'Balances y Proyecciones'!N233/'Balances y Proyecciones'!H89)))</f>
        <v>1</v>
      </c>
      <c r="E105" s="472">
        <f>IF(OR(M$5=0,AND(M$5&lt;&gt;$A$89,M$5&lt;&gt;$A$90)),0,IF(M$5=$A$89,IF('Balances y Proyecciones'!H89=0,"",'Balances y Proyecciones'!N233/'Balances y Proyecciones'!H89),IF(IF(OR('Balances y Proyecciones'!$C$3='Balances y Proyecciones'!$L$913,'Balances y Proyecciones'!$C$3=""),'Balances y Proyecciones'!N89,'Balances y Proyecciones'!K89)=0,"",-'Balances y Proyecciones'!Q140/IF(OR('Balances y Proyecciones'!$C$3='Balances y Proyecciones'!$L$913,'Balances y Proyecciones'!$C$3=""),'Balances y Proyecciones'!N89,'Balances y Proyecciones'!K89))))</f>
        <v>1</v>
      </c>
      <c r="F105" s="285"/>
      <c r="G105" s="285"/>
      <c r="H105" s="285"/>
      <c r="I105" s="285"/>
      <c r="J105" s="285"/>
      <c r="K105" s="285"/>
      <c r="L105" s="285"/>
      <c r="M105" s="285"/>
      <c r="N105" s="285"/>
      <c r="O105" s="285"/>
      <c r="P105" s="285"/>
    </row>
    <row r="106" spans="1:16" ht="20.25" x14ac:dyDescent="0.25">
      <c r="A106" s="285" t="s">
        <v>2156</v>
      </c>
      <c r="B106" s="285"/>
      <c r="C106" s="473">
        <f>IF(OR(K$5=0,AND(K$5&lt;&gt;$A$86,K$5&lt;&gt;$A$87,K$5&lt;&gt;$A$88)),0,IF(K$5=$A$86,IF(SUM('Balances y Proyecciones'!E60:E61)=0,"",'Balances y Proyecciones'!AP704/SUM('Balances y Proyecciones'!E60:E61)),IF(K$5=A$87,IF(SUM('Balances y Proyecciones'!H60:H61)=0,"",'Balances y Proyecciones'!AS704/SUM('Balances y Proyecciones'!H60:H61)),IF(SUM('Balances y Proyecciones'!K60:K61)=0,"",'Balances y Proyecciones'!AV704/SUM('Balances y Proyecciones'!K60:K61)))))</f>
        <v>0.41666666666666669</v>
      </c>
      <c r="D106" s="473">
        <f>IF(OR(L$5=0,AND(L$5&lt;&gt;$A$87,L$5&lt;&gt;$A$89)),0,IF(L$5=$A$87,IF(SUM('Balances y Proyecciones'!H60:H61)=0,"",'Balances y Proyecciones'!AS704/SUM('Balances y Proyecciones'!H60:H61)),IF(SUM('Balances y Proyecciones'!N60:N61)=0,"",'Balances y Proyecciones'!AY704/SUM('Balances y Proyecciones'!N60:N61))))</f>
        <v>0.41666666666666669</v>
      </c>
      <c r="E106" s="473">
        <f>IF(OR(M$5=0,AND(M$5&lt;&gt;$A$89,M$5&lt;&gt;$A$90)),0,IF(M$5=$A$89,IF(SUM('Balances y Proyecciones'!N60:N61)=0,"",'Balances y Proyecciones'!AY704/SUM('Balances y Proyecciones'!N60:N61)),IF(SUM('Balances y Proyecciones'!Q60:Q61)=0,"",'Balances y Proyecciones'!BB704/SUM('Balances y Proyecciones'!Q60:Q61))))</f>
        <v>0.41666666666666669</v>
      </c>
      <c r="F106" s="285"/>
      <c r="G106" s="285"/>
      <c r="H106" s="285"/>
      <c r="I106" s="285"/>
      <c r="J106" s="285"/>
      <c r="K106" s="285"/>
      <c r="L106" s="285"/>
      <c r="M106" s="285"/>
      <c r="N106" s="285"/>
      <c r="O106" s="285"/>
      <c r="P106" s="285"/>
    </row>
    <row r="107" spans="1:16" ht="20.25" x14ac:dyDescent="0.25">
      <c r="A107" s="285" t="s">
        <v>2157</v>
      </c>
      <c r="B107" s="285"/>
      <c r="C107" s="473">
        <f>IF(OR(K$5=0,AND(K$5&lt;&gt;$A$86,K$5&lt;&gt;$A$87,K$5&lt;&gt;$A$88)),0,IF(K$5=$A$86,IF('Balances y Proyecciones'!E34=0,"",'Balances y Proyecciones'!E71/'Balances y Proyecciones'!E34),IF(K$5=A$87,IF('Balances y Proyecciones'!H34=0,"",'Balances y Proyecciones'!H71/'Balances y Proyecciones'!H34),IF('Balances y Proyecciones'!K34=0,"",'Balances y Proyecciones'!K71/'Balances y Proyecciones'!K34))))</f>
        <v>0.93281653746770021</v>
      </c>
      <c r="D107" s="473">
        <f>IF(OR(L$5=0,AND(L$5&lt;&gt;$A$87,L$5&lt;&gt;$A$89)),0,IF(L$5=$A$87,IF('Balances y Proyecciones'!H34=0,"",'Balances y Proyecciones'!H71/'Balances y Proyecciones'!H34),IF('Balances y Proyecciones'!N34=0,"",'Balances y Proyecciones'!N71/'Balances y Proyecciones'!N34)))</f>
        <v>0.93281653746770021</v>
      </c>
      <c r="E107" s="473">
        <f>IF(OR(M$5=0,AND(M$5&lt;&gt;$A$89,M$5&lt;&gt;$A$90)),0,IF(M$5=$A$89,IF('Balances y Proyecciones'!N34=0,"",'Balances y Proyecciones'!N71/'Balances y Proyecciones'!N34),IF('Balances y Proyecciones'!Q34=0,"",'Balances y Proyecciones'!Q71/'Balances y Proyecciones'!Q34)))</f>
        <v>0.93281653746770021</v>
      </c>
      <c r="F107" s="285"/>
      <c r="G107" s="285"/>
      <c r="H107" s="285"/>
      <c r="I107" s="285"/>
      <c r="J107" s="285"/>
      <c r="K107" s="285"/>
      <c r="L107" s="285"/>
      <c r="M107" s="285"/>
      <c r="N107" s="285"/>
      <c r="O107" s="285"/>
      <c r="P107" s="285"/>
    </row>
    <row r="108" spans="1:16" ht="20.25" x14ac:dyDescent="0.25">
      <c r="A108" s="285"/>
      <c r="B108" s="285"/>
      <c r="C108" s="285"/>
      <c r="D108" s="285"/>
      <c r="E108" s="285"/>
      <c r="F108" s="470"/>
      <c r="G108" s="285"/>
      <c r="H108" s="285"/>
      <c r="I108" s="285"/>
      <c r="J108" s="285"/>
      <c r="K108" s="285"/>
      <c r="L108" s="285"/>
      <c r="M108" s="285"/>
      <c r="N108" s="285"/>
      <c r="O108" s="285"/>
      <c r="P108" s="285"/>
    </row>
    <row r="109" spans="1:16" ht="20.25" x14ac:dyDescent="0.25">
      <c r="A109" s="285" t="s">
        <v>984</v>
      </c>
      <c r="B109" s="285"/>
      <c r="C109" s="472" t="str">
        <f>IF(OR(C104="",C105="",C106="",C107="",C104=0,C105=1,C106=1,C107=0),"",(C104*(1-C105)*(1+C106))/((1/C107)-(C104*(1-C105)*(1+C106))))</f>
        <v/>
      </c>
      <c r="D109" s="472" t="str">
        <f>IF(OR(D104="",D105="",D106="",D107="",D104=0,D105=1,D106=1,D107=0),"",(D104*(1-D105)*(1+D106))/((1/D107)-(D104*(1-D105)*(1+D106))))</f>
        <v/>
      </c>
      <c r="E109" s="472" t="str">
        <f>IF(OR(E104="",E105="",E106="",E107="",E104=0,E105=1,E106=1,E107=0),"",(E104*(1-E105)*(1+E106))/((1/E107)-(E104*(1-E105)*(1+E106))))</f>
        <v/>
      </c>
      <c r="F109" s="285"/>
      <c r="G109" s="285"/>
      <c r="H109" s="285"/>
      <c r="I109" s="285"/>
      <c r="J109" s="285"/>
      <c r="K109" s="285"/>
      <c r="L109" s="285"/>
      <c r="M109" s="285"/>
      <c r="N109" s="285"/>
      <c r="O109" s="285"/>
      <c r="P109" s="285"/>
    </row>
    <row r="110" spans="1:16" ht="23.25" x14ac:dyDescent="0.25">
      <c r="A110" s="474" t="s">
        <v>985</v>
      </c>
      <c r="B110" s="285"/>
      <c r="C110" s="285"/>
      <c r="D110" s="285"/>
      <c r="E110" s="285"/>
      <c r="F110" s="470"/>
      <c r="G110" s="285"/>
      <c r="H110" s="285"/>
      <c r="I110" s="285"/>
      <c r="J110" s="285"/>
      <c r="K110" s="285"/>
      <c r="L110" s="285"/>
      <c r="M110" s="285"/>
      <c r="N110" s="285"/>
      <c r="O110" s="285"/>
      <c r="P110" s="285"/>
    </row>
    <row r="111" spans="1:16" ht="34.5" x14ac:dyDescent="0.25">
      <c r="A111" s="475" t="s">
        <v>986</v>
      </c>
      <c r="B111" s="285"/>
      <c r="C111" s="285">
        <f>+C11</f>
        <v>2019</v>
      </c>
      <c r="D111" s="285">
        <f>+D11</f>
        <v>2020</v>
      </c>
      <c r="E111" s="285">
        <f>+E11</f>
        <v>2021</v>
      </c>
      <c r="F111" s="470"/>
      <c r="G111" s="285"/>
      <c r="H111" s="285"/>
      <c r="I111" s="285"/>
      <c r="J111" s="285"/>
      <c r="K111" s="285"/>
      <c r="L111" s="285"/>
      <c r="M111" s="285"/>
      <c r="N111" s="285"/>
      <c r="O111" s="285"/>
      <c r="P111" s="285"/>
    </row>
    <row r="112" spans="1:16" ht="25.5" x14ac:dyDescent="0.25">
      <c r="A112" s="476" t="str">
        <f>"EBITDA ("&amp;IF('Balances y Proyecciones'!$V$913='Balances y Proyecciones'!$CC$838,"USD Miles","$MM")&amp;")"</f>
        <v>EBITDA ($MM)</v>
      </c>
      <c r="B112" s="477"/>
      <c r="C112" s="478">
        <f>IF(OR(K$5=0,AND(K$5&lt;&gt;$A$86,K$5&lt;&gt;$A$87,K$5&lt;&gt;$A$88)),0,IF(K$5=$A$86,IF('Balances y Proyecciones'!AP683=K12,"ND",'Balances y Proyecciones'!AP683),IF(K$5=$A$87,IF('Balances y Proyecciones'!AS683=K12,"ND",'Balances y Proyecciones'!AS683),IF('Balances y Proyecciones'!AV683=K12,"ND",'Balances y Proyecciones'!AV683))))</f>
        <v>2850</v>
      </c>
      <c r="D112" s="478">
        <f>IF(OR(L$5=0,AND(L$5&lt;&gt;$A$87,L$5&lt;&gt;$A$89)),0,IF(L$5=$A$87,IF('Balances y Proyecciones'!AS683=L12,"ND",'Balances y Proyecciones'!AS683),IF('Balances y Proyecciones'!AY683=L12,"ND",'Balances y Proyecciones'!AY683)))</f>
        <v>2850</v>
      </c>
      <c r="E112" s="479">
        <f>IF(OR(M$5=0,AND(M$5&lt;&gt;$A$89,M$5&lt;&gt;$A$90)),0,IF(M$5=$A$89,IF('Balances y Proyecciones'!AY683=M12,"ND",'Balances y Proyecciones'!AY683),IF('Balances y Proyecciones'!BB683=M12,"ND",'Balances y Proyecciones'!BB683)))</f>
        <v>2850</v>
      </c>
      <c r="F112" s="470"/>
      <c r="G112" s="285"/>
      <c r="H112" s="285"/>
      <c r="I112" s="285"/>
      <c r="J112" s="285"/>
      <c r="K112" s="285"/>
      <c r="L112" s="285"/>
      <c r="M112" s="285"/>
      <c r="N112" s="285"/>
      <c r="O112" s="285"/>
      <c r="P112" s="285"/>
    </row>
    <row r="113" spans="1:16" ht="25.5" x14ac:dyDescent="0.25">
      <c r="A113" s="188"/>
      <c r="B113" s="285"/>
      <c r="C113" s="480"/>
      <c r="D113" s="480"/>
      <c r="E113" s="480"/>
      <c r="F113" s="285"/>
      <c r="G113" s="285"/>
      <c r="H113" s="285"/>
      <c r="I113" s="285"/>
      <c r="J113" s="285"/>
      <c r="K113" s="285"/>
      <c r="L113" s="285"/>
      <c r="M113" s="285"/>
      <c r="N113" s="285"/>
      <c r="O113" s="285"/>
      <c r="P113" s="285"/>
    </row>
    <row r="114" spans="1:16" ht="20.25" x14ac:dyDescent="0.25">
      <c r="A114" s="285"/>
      <c r="B114" s="285"/>
      <c r="C114" s="460"/>
      <c r="D114" s="460"/>
      <c r="E114" s="460"/>
      <c r="F114" s="285"/>
      <c r="G114" s="285"/>
      <c r="H114" s="285"/>
      <c r="I114" s="285"/>
      <c r="J114" s="285"/>
      <c r="K114" s="285"/>
      <c r="L114" s="285"/>
      <c r="M114" s="285"/>
      <c r="N114" s="285"/>
      <c r="O114" s="285"/>
      <c r="P114" s="285"/>
    </row>
    <row r="115" spans="1:16" ht="20.25" x14ac:dyDescent="0.25">
      <c r="F115" s="481"/>
      <c r="G115" s="285"/>
      <c r="H115" s="285"/>
      <c r="I115" s="285"/>
      <c r="J115" s="285"/>
      <c r="K115" s="285"/>
      <c r="L115" s="285"/>
      <c r="M115" s="285"/>
      <c r="N115" s="285"/>
      <c r="O115" s="285"/>
      <c r="P115" s="285"/>
    </row>
    <row r="116" spans="1:16" ht="20.25" x14ac:dyDescent="0.25">
      <c r="C116" s="468">
        <v>2011</v>
      </c>
      <c r="D116" s="468">
        <v>2012</v>
      </c>
      <c r="E116" s="468">
        <v>2013</v>
      </c>
      <c r="F116" s="481"/>
      <c r="G116" s="285"/>
      <c r="H116" s="285"/>
      <c r="I116" s="285"/>
      <c r="J116" s="285"/>
      <c r="K116" s="285"/>
      <c r="L116" s="285"/>
      <c r="M116" s="285"/>
      <c r="N116" s="285"/>
      <c r="O116" s="285"/>
      <c r="P116" s="285"/>
    </row>
    <row r="117" spans="1:16" ht="20.25" x14ac:dyDescent="0.25">
      <c r="A117" s="149" t="s">
        <v>927</v>
      </c>
      <c r="F117" s="482"/>
      <c r="G117" s="285"/>
      <c r="H117" s="285"/>
      <c r="I117" s="285"/>
      <c r="J117" s="285"/>
      <c r="K117" s="285"/>
      <c r="L117" s="285"/>
      <c r="M117" s="285"/>
      <c r="N117" s="285"/>
      <c r="O117" s="285"/>
      <c r="P117" s="285"/>
    </row>
    <row r="118" spans="1:16" ht="20.25" x14ac:dyDescent="0.25">
      <c r="G118" s="285"/>
      <c r="H118" s="285"/>
      <c r="I118" s="285"/>
      <c r="J118" s="285"/>
      <c r="K118" s="285"/>
      <c r="L118" s="285"/>
      <c r="M118" s="285"/>
      <c r="N118" s="285"/>
      <c r="O118" s="285"/>
      <c r="P118" s="285"/>
    </row>
    <row r="119" spans="1:16" ht="20.25" x14ac:dyDescent="0.25">
      <c r="F119" s="481"/>
      <c r="G119" s="285"/>
      <c r="H119" s="285"/>
      <c r="I119" s="285"/>
      <c r="J119" s="285"/>
      <c r="K119" s="285"/>
      <c r="L119" s="285"/>
      <c r="M119" s="285"/>
      <c r="N119" s="285"/>
      <c r="O119" s="285"/>
      <c r="P119" s="285"/>
    </row>
    <row r="120" spans="1:16" ht="20.25" x14ac:dyDescent="0.25">
      <c r="B120" s="483" t="str">
        <f>+'Estados Financieros'!E3</f>
        <v>Información Anual</v>
      </c>
      <c r="C120" s="483" t="str">
        <f>+'Estados Financieros'!F3</f>
        <v>Información Anual</v>
      </c>
      <c r="D120" s="483" t="str">
        <f>+'Estados Financieros'!G3</f>
        <v>Información Anual</v>
      </c>
      <c r="E120" s="483" t="str">
        <f>+'Estados Financieros'!H3</f>
        <v>Ultima Inf. Mensual Nueva</v>
      </c>
      <c r="F120" s="483" t="str">
        <f>+'Estados Financieros'!I3</f>
        <v>Información Mensual Histórica</v>
      </c>
      <c r="G120" s="285"/>
      <c r="H120" s="285"/>
      <c r="I120" s="285"/>
      <c r="J120" s="285"/>
      <c r="K120" s="285"/>
      <c r="L120" s="285"/>
      <c r="M120" s="285"/>
      <c r="N120" s="285"/>
      <c r="O120" s="285"/>
      <c r="P120" s="285"/>
    </row>
    <row r="121" spans="1:16" ht="20.25" x14ac:dyDescent="0.25">
      <c r="B121" s="149" t="str">
        <f>+'Estados Financieros'!E6</f>
        <v>12</v>
      </c>
      <c r="C121" s="149" t="str">
        <f>+'Estados Financieros'!F6</f>
        <v>12</v>
      </c>
      <c r="D121" s="149" t="str">
        <f>+'Estados Financieros'!G6</f>
        <v>12</v>
      </c>
      <c r="E121" s="149" t="str">
        <f>+'Estados Financieros'!H6</f>
        <v>06</v>
      </c>
      <c r="F121" s="481" t="str">
        <f>+'Estados Financieros'!I6</f>
        <v>06</v>
      </c>
      <c r="G121" s="285"/>
      <c r="H121" s="285"/>
      <c r="I121" s="285"/>
      <c r="J121" s="285"/>
      <c r="K121" s="285"/>
      <c r="L121" s="285"/>
      <c r="M121" s="285"/>
      <c r="N121" s="285"/>
      <c r="O121" s="285"/>
      <c r="P121" s="285"/>
    </row>
    <row r="122" spans="1:16" ht="20.25" x14ac:dyDescent="0.25">
      <c r="B122" s="149" t="e">
        <f>VLOOKUP(B121,'Estados Financieros'!$AA$3:$AC$15,3,0)</f>
        <v>#N/A</v>
      </c>
      <c r="C122" s="149" t="e">
        <f>VLOOKUP(C121,'Estados Financieros'!$AA$3:$AC$15,3,0)</f>
        <v>#N/A</v>
      </c>
      <c r="D122" s="149" t="e">
        <f>VLOOKUP(D121,'Estados Financieros'!$AA$3:$AC$15,3,0)</f>
        <v>#N/A</v>
      </c>
      <c r="E122" s="149" t="e">
        <f>VLOOKUP(E121,'Estados Financieros'!$AA$3:$AC$15,3,0)</f>
        <v>#N/A</v>
      </c>
      <c r="F122" s="149" t="e">
        <f>VLOOKUP(F121,'Estados Financieros'!$AA$3:$AC$15,3,0)</f>
        <v>#N/A</v>
      </c>
      <c r="G122" s="285"/>
      <c r="H122" s="285"/>
      <c r="I122" s="285"/>
      <c r="J122" s="285"/>
      <c r="K122" s="285"/>
      <c r="L122" s="285"/>
      <c r="M122" s="285"/>
      <c r="N122" s="285"/>
      <c r="O122" s="285"/>
      <c r="P122" s="285"/>
    </row>
    <row r="123" spans="1:16" ht="20.25" x14ac:dyDescent="0.25">
      <c r="F123" s="482"/>
      <c r="G123" s="285"/>
      <c r="H123" s="285"/>
      <c r="I123" s="285"/>
      <c r="J123" s="285"/>
      <c r="K123" s="285"/>
      <c r="L123" s="285"/>
      <c r="M123" s="285"/>
      <c r="N123" s="285"/>
      <c r="O123" s="285"/>
      <c r="P123" s="285"/>
    </row>
    <row r="124" spans="1:16" ht="20.25" x14ac:dyDescent="0.25">
      <c r="A124" s="149" t="s">
        <v>987</v>
      </c>
      <c r="G124" s="285"/>
      <c r="I124" s="285"/>
      <c r="J124" s="285"/>
      <c r="K124" s="285"/>
      <c r="L124" s="285"/>
      <c r="M124" s="285"/>
      <c r="N124" s="285"/>
      <c r="O124" s="285"/>
      <c r="P124" s="285"/>
    </row>
    <row r="125" spans="1:16" ht="20.25" x14ac:dyDescent="0.25">
      <c r="F125" s="481"/>
    </row>
    <row r="126" spans="1:16" ht="21" thickBot="1" x14ac:dyDescent="0.3">
      <c r="F126" s="481"/>
    </row>
    <row r="127" spans="1:16" ht="40.5" x14ac:dyDescent="0.25">
      <c r="B127" s="484" t="s">
        <v>988</v>
      </c>
      <c r="C127" s="485" t="s">
        <v>989</v>
      </c>
      <c r="D127" s="485" t="s">
        <v>990</v>
      </c>
      <c r="E127" s="485" t="s">
        <v>991</v>
      </c>
      <c r="F127" s="486" t="s">
        <v>992</v>
      </c>
      <c r="G127" s="486" t="s">
        <v>993</v>
      </c>
    </row>
    <row r="128" spans="1:16" ht="20.25" x14ac:dyDescent="0.25">
      <c r="B128" s="487"/>
      <c r="C128" s="488" t="s">
        <v>994</v>
      </c>
      <c r="D128" s="488" t="s">
        <v>995</v>
      </c>
      <c r="E128" s="488" t="s">
        <v>996</v>
      </c>
      <c r="F128" s="489" t="s">
        <v>997</v>
      </c>
      <c r="G128" s="490" t="s">
        <v>998</v>
      </c>
    </row>
    <row r="129" spans="2:7" ht="20.25" x14ac:dyDescent="0.25">
      <c r="B129" s="487"/>
      <c r="C129" s="488" t="s">
        <v>999</v>
      </c>
      <c r="D129" s="488" t="s">
        <v>1000</v>
      </c>
      <c r="E129" s="488" t="s">
        <v>1001</v>
      </c>
      <c r="F129" s="489" t="s">
        <v>1002</v>
      </c>
      <c r="G129" s="490" t="s">
        <v>1003</v>
      </c>
    </row>
    <row r="130" spans="2:7" ht="20.25" x14ac:dyDescent="0.25">
      <c r="B130" s="487"/>
      <c r="C130" s="488" t="s">
        <v>1004</v>
      </c>
      <c r="D130" s="488" t="s">
        <v>1005</v>
      </c>
      <c r="E130" s="488" t="s">
        <v>1006</v>
      </c>
      <c r="F130" s="489" t="s">
        <v>1007</v>
      </c>
      <c r="G130" s="490" t="s">
        <v>1008</v>
      </c>
    </row>
    <row r="131" spans="2:7" ht="20.25" x14ac:dyDescent="0.25">
      <c r="B131" s="487"/>
      <c r="C131" s="488" t="s">
        <v>1009</v>
      </c>
      <c r="D131" s="488" t="s">
        <v>1010</v>
      </c>
      <c r="E131" s="488" t="s">
        <v>1011</v>
      </c>
      <c r="F131" s="489" t="s">
        <v>1012</v>
      </c>
      <c r="G131" s="490" t="s">
        <v>1013</v>
      </c>
    </row>
    <row r="132" spans="2:7" ht="20.25" x14ac:dyDescent="0.25">
      <c r="B132" s="487"/>
      <c r="C132" s="488" t="s">
        <v>1014</v>
      </c>
      <c r="D132" s="488" t="s">
        <v>1015</v>
      </c>
      <c r="E132" s="488" t="s">
        <v>1016</v>
      </c>
      <c r="F132" s="489" t="s">
        <v>1017</v>
      </c>
      <c r="G132" s="490" t="s">
        <v>1018</v>
      </c>
    </row>
    <row r="133" spans="2:7" ht="20.25" x14ac:dyDescent="0.25">
      <c r="B133" s="487"/>
      <c r="C133" s="488" t="s">
        <v>1019</v>
      </c>
      <c r="D133" s="488" t="s">
        <v>1020</v>
      </c>
      <c r="E133" s="488" t="s">
        <v>1021</v>
      </c>
      <c r="F133" s="489" t="s">
        <v>1022</v>
      </c>
      <c r="G133" s="490" t="s">
        <v>1023</v>
      </c>
    </row>
    <row r="134" spans="2:7" ht="20.25" x14ac:dyDescent="0.25">
      <c r="B134" s="487"/>
      <c r="C134" s="488" t="s">
        <v>1024</v>
      </c>
      <c r="D134" s="488" t="s">
        <v>1025</v>
      </c>
      <c r="E134" s="488" t="s">
        <v>1026</v>
      </c>
      <c r="F134" s="489" t="s">
        <v>1027</v>
      </c>
      <c r="G134" s="490" t="s">
        <v>1028</v>
      </c>
    </row>
    <row r="135" spans="2:7" ht="20.25" x14ac:dyDescent="0.25">
      <c r="B135" s="487"/>
      <c r="C135" s="488" t="s">
        <v>1029</v>
      </c>
      <c r="D135" s="488" t="s">
        <v>1030</v>
      </c>
      <c r="E135" s="488" t="s">
        <v>1031</v>
      </c>
      <c r="F135" s="489" t="s">
        <v>1032</v>
      </c>
      <c r="G135" s="490" t="s">
        <v>1033</v>
      </c>
    </row>
    <row r="136" spans="2:7" ht="20.25" x14ac:dyDescent="0.25">
      <c r="B136" s="487"/>
      <c r="C136" s="488" t="s">
        <v>1034</v>
      </c>
      <c r="D136" s="488" t="s">
        <v>1035</v>
      </c>
      <c r="E136" s="488" t="s">
        <v>1036</v>
      </c>
      <c r="F136" s="489" t="s">
        <v>1037</v>
      </c>
      <c r="G136" s="490" t="s">
        <v>1038</v>
      </c>
    </row>
    <row r="137" spans="2:7" ht="21" thickBot="1" x14ac:dyDescent="0.3">
      <c r="B137" s="491"/>
      <c r="C137" s="492" t="s">
        <v>1039</v>
      </c>
      <c r="D137" s="492" t="s">
        <v>1040</v>
      </c>
      <c r="E137" s="492" t="s">
        <v>1041</v>
      </c>
      <c r="F137" s="493" t="s">
        <v>1042</v>
      </c>
      <c r="G137" s="494" t="s">
        <v>1043</v>
      </c>
    </row>
    <row r="138" spans="2:7" ht="20.25" x14ac:dyDescent="0.25">
      <c r="F138" s="482"/>
    </row>
    <row r="139" spans="2:7" ht="20.25" x14ac:dyDescent="0.25">
      <c r="F139" s="481"/>
    </row>
    <row r="140" spans="2:7" ht="20.25" x14ac:dyDescent="0.25">
      <c r="F140" s="481"/>
    </row>
    <row r="141" spans="2:7" ht="20.25" x14ac:dyDescent="0.25">
      <c r="F141" s="481"/>
    </row>
    <row r="142" spans="2:7" ht="20.25" x14ac:dyDescent="0.25">
      <c r="F142" s="481"/>
    </row>
    <row r="143" spans="2:7" ht="20.25" x14ac:dyDescent="0.25">
      <c r="F143" s="481"/>
    </row>
    <row r="144" spans="2:7" ht="20.25" x14ac:dyDescent="0.25">
      <c r="F144" s="482"/>
    </row>
    <row r="145" spans="6:6" ht="20.25" x14ac:dyDescent="0.25">
      <c r="F145" s="481"/>
    </row>
    <row r="146" spans="6:6" ht="20.25" x14ac:dyDescent="0.25">
      <c r="F146" s="481"/>
    </row>
    <row r="147" spans="6:6" ht="20.25" x14ac:dyDescent="0.25">
      <c r="F147" s="482"/>
    </row>
    <row r="148" spans="6:6" ht="20.25" x14ac:dyDescent="0.25">
      <c r="F148" s="481"/>
    </row>
    <row r="149" spans="6:6" ht="20.25" x14ac:dyDescent="0.25">
      <c r="F149" s="481"/>
    </row>
    <row r="150" spans="6:6" ht="20.25" x14ac:dyDescent="0.25">
      <c r="F150" s="482"/>
    </row>
    <row r="151" spans="6:6" ht="20.25" x14ac:dyDescent="0.25"/>
    <row r="152" spans="6:6" ht="20.25" x14ac:dyDescent="0.25"/>
    <row r="153" spans="6:6" ht="20.25" x14ac:dyDescent="0.25"/>
  </sheetData>
  <sheetProtection password="D5B5" sheet="1" objects="1" scenarios="1"/>
  <mergeCells count="1">
    <mergeCell ref="A6:B6"/>
  </mergeCells>
  <dataValidations disablePrompts="1" count="1">
    <dataValidation type="list" allowBlank="1" showInputMessage="1" showErrorMessage="1" sqref="K5" xr:uid="{00000000-0002-0000-2600-000000000000}">
      <formula1>$A$86:$A$88</formula1>
    </dataValidation>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0"/>
  <dimension ref="A1:EB1045"/>
  <sheetViews>
    <sheetView showGridLines="0" showRowColHeaders="0" zoomScale="70" zoomScaleNormal="70" workbookViewId="0">
      <pane ySplit="17" topLeftCell="A18" activePane="bottomLeft" state="frozen"/>
      <selection pane="bottomLeft" activeCell="A18" sqref="A18"/>
    </sheetView>
  </sheetViews>
  <sheetFormatPr baseColWidth="10" defaultColWidth="0" defaultRowHeight="15" zeroHeight="1" x14ac:dyDescent="0.25"/>
  <cols>
    <col min="1" max="1" width="5.5703125" customWidth="1"/>
    <col min="2" max="2" width="76.5703125" customWidth="1"/>
    <col min="3" max="3" width="17.140625" customWidth="1"/>
    <col min="4" max="4" width="7.85546875" customWidth="1"/>
    <col min="5" max="5" width="18.5703125" bestFit="1" customWidth="1"/>
    <col min="6" max="6" width="5.5703125" customWidth="1"/>
    <col min="7" max="13" width="15.28515625" customWidth="1"/>
    <col min="14" max="18" width="15.140625" customWidth="1"/>
    <col min="19" max="19" width="11.7109375" customWidth="1"/>
    <col min="20" max="20" width="4" bestFit="1" customWidth="1"/>
    <col min="21" max="21" width="4.28515625" bestFit="1" customWidth="1"/>
    <col min="22" max="22" width="12.140625" bestFit="1" customWidth="1"/>
    <col min="23" max="35" width="8.140625" customWidth="1"/>
    <col min="36" max="49" width="14.7109375" bestFit="1" customWidth="1"/>
    <col min="50" max="54" width="13.85546875" customWidth="1"/>
    <col min="55" max="55" width="69.7109375" bestFit="1" customWidth="1"/>
    <col min="56" max="56" width="19" customWidth="1"/>
    <col min="57" max="57" width="10" customWidth="1"/>
    <col min="58" max="59" width="18.5703125" bestFit="1" customWidth="1"/>
    <col min="60" max="60" width="9" bestFit="1" customWidth="1"/>
    <col min="61" max="61" width="19" customWidth="1"/>
    <col min="62" max="62" width="12.85546875" customWidth="1"/>
    <col min="63" max="63" width="12.5703125" customWidth="1"/>
    <col min="64" max="64" width="16.140625" customWidth="1"/>
    <col min="65" max="66" width="9" bestFit="1" customWidth="1"/>
    <col min="67" max="67" width="16.28515625" customWidth="1"/>
    <col min="68" max="69" width="9" bestFit="1" customWidth="1"/>
    <col min="70" max="70" width="15.5703125" bestFit="1" customWidth="1"/>
    <col min="71" max="72" width="10.85546875" bestFit="1" customWidth="1"/>
    <col min="73" max="73" width="15.5703125" bestFit="1" customWidth="1"/>
    <col min="74" max="75" width="10.85546875" bestFit="1" customWidth="1"/>
    <col min="76" max="76" width="15.5703125" bestFit="1" customWidth="1"/>
    <col min="77" max="78" width="10.85546875" bestFit="1" customWidth="1"/>
    <col min="79" max="79" width="15.5703125" bestFit="1" customWidth="1"/>
    <col min="80" max="81" width="10.85546875" bestFit="1" customWidth="1"/>
    <col min="82" max="82" width="15.5703125" bestFit="1" customWidth="1"/>
    <col min="83" max="84" width="10.85546875" bestFit="1" customWidth="1"/>
    <col min="85" max="85" width="15.5703125" bestFit="1" customWidth="1"/>
    <col min="86" max="87" width="10.85546875" bestFit="1" customWidth="1"/>
    <col min="88" max="88" width="16.85546875" bestFit="1" customWidth="1"/>
    <col min="89" max="90" width="10.85546875" bestFit="1" customWidth="1"/>
    <col min="91" max="91" width="16.28515625" bestFit="1" customWidth="1"/>
    <col min="92" max="93" width="10.85546875" bestFit="1" customWidth="1"/>
    <col min="94" max="94" width="16.85546875" bestFit="1" customWidth="1"/>
    <col min="95" max="96" width="10.85546875" bestFit="1" customWidth="1"/>
    <col min="97" max="97" width="16.28515625" bestFit="1" customWidth="1"/>
    <col min="98" max="98" width="10.85546875" bestFit="1" customWidth="1"/>
    <col min="99" max="99" width="8.42578125" bestFit="1" customWidth="1"/>
    <col min="100" max="100" width="16.85546875" bestFit="1" customWidth="1"/>
    <col min="101" max="102" width="10.85546875" bestFit="1" customWidth="1"/>
    <col min="103" max="103" width="16.85546875" bestFit="1" customWidth="1"/>
    <col min="104" max="105" width="10.85546875" bestFit="1" customWidth="1"/>
    <col min="106" max="107" width="13.85546875" customWidth="1"/>
    <col min="108" max="132" width="0" hidden="1" customWidth="1"/>
    <col min="133" max="16384" width="11.42578125" hidden="1"/>
  </cols>
  <sheetData>
    <row r="1" spans="1:36" s="496" customFormat="1" x14ac:dyDescent="0.25">
      <c r="A1"/>
      <c r="B1"/>
      <c r="C1" s="495"/>
      <c r="D1" s="495"/>
      <c r="E1" s="495"/>
      <c r="Q1" s="497"/>
      <c r="R1" s="497"/>
      <c r="AG1"/>
      <c r="AH1"/>
      <c r="AI1"/>
    </row>
    <row r="2" spans="1:36" s="496" customFormat="1" hidden="1" x14ac:dyDescent="0.25">
      <c r="A2"/>
      <c r="B2"/>
      <c r="C2" s="495"/>
      <c r="D2" s="495"/>
      <c r="E2" s="495"/>
      <c r="Q2" s="497"/>
      <c r="R2" s="497"/>
      <c r="AG2"/>
      <c r="AH2"/>
      <c r="AI2"/>
    </row>
    <row r="3" spans="1:36" s="496" customFormat="1" hidden="1" x14ac:dyDescent="0.25">
      <c r="A3"/>
      <c r="B3"/>
      <c r="C3" s="495"/>
      <c r="D3" s="495"/>
      <c r="E3" s="495"/>
      <c r="Q3" s="497"/>
      <c r="R3" s="497"/>
      <c r="AG3"/>
      <c r="AH3"/>
      <c r="AI3"/>
    </row>
    <row r="4" spans="1:36" s="496" customFormat="1" hidden="1" x14ac:dyDescent="0.25">
      <c r="A4"/>
      <c r="B4"/>
      <c r="C4" s="495"/>
      <c r="D4" s="495"/>
      <c r="E4" s="495"/>
      <c r="Q4" s="497"/>
      <c r="R4" s="497"/>
      <c r="AG4"/>
      <c r="AH4"/>
      <c r="AI4"/>
    </row>
    <row r="5" spans="1:36" s="496" customFormat="1" hidden="1" x14ac:dyDescent="0.25">
      <c r="A5"/>
      <c r="B5"/>
      <c r="C5" s="495"/>
      <c r="D5" s="495"/>
      <c r="E5" s="495"/>
      <c r="Q5" s="497"/>
      <c r="R5" s="497"/>
      <c r="AG5"/>
      <c r="AH5"/>
      <c r="AI5"/>
    </row>
    <row r="6" spans="1:36" s="496" customFormat="1" hidden="1" x14ac:dyDescent="0.25">
      <c r="A6"/>
      <c r="B6"/>
      <c r="C6" s="495"/>
      <c r="D6" s="495"/>
      <c r="E6" s="495"/>
      <c r="Q6" s="497"/>
      <c r="R6" s="497"/>
      <c r="AG6"/>
      <c r="AH6"/>
      <c r="AI6"/>
    </row>
    <row r="7" spans="1:36" s="496" customFormat="1" hidden="1" x14ac:dyDescent="0.25">
      <c r="A7"/>
      <c r="B7"/>
      <c r="C7" s="495"/>
      <c r="D7" s="495"/>
      <c r="E7" s="495"/>
      <c r="F7" s="495"/>
      <c r="G7" s="495"/>
      <c r="H7" s="495"/>
      <c r="I7" s="495"/>
      <c r="J7" s="495"/>
      <c r="K7" s="495"/>
      <c r="L7" s="495"/>
      <c r="M7" s="495"/>
      <c r="N7" s="495"/>
      <c r="Q7" s="497"/>
      <c r="R7" s="497"/>
      <c r="AG7"/>
      <c r="AH7"/>
      <c r="AI7"/>
    </row>
    <row r="8" spans="1:36" s="496" customFormat="1" hidden="1" x14ac:dyDescent="0.25">
      <c r="A8"/>
      <c r="B8"/>
      <c r="C8" s="495"/>
      <c r="D8" s="495"/>
      <c r="E8" s="495"/>
      <c r="F8" s="495"/>
      <c r="G8" s="495"/>
      <c r="H8" s="495"/>
      <c r="I8" s="495"/>
      <c r="J8" s="495"/>
      <c r="K8" s="495"/>
      <c r="L8" s="495"/>
      <c r="M8" s="495"/>
      <c r="N8" s="495"/>
      <c r="Q8" s="497"/>
      <c r="R8" s="497"/>
      <c r="AG8"/>
      <c r="AH8"/>
      <c r="AI8"/>
    </row>
    <row r="9" spans="1:36" s="496" customFormat="1" hidden="1" x14ac:dyDescent="0.25">
      <c r="A9"/>
      <c r="B9"/>
      <c r="C9" s="495"/>
      <c r="D9" s="495"/>
      <c r="E9" s="495"/>
      <c r="F9" s="495"/>
      <c r="G9" s="495"/>
      <c r="H9" s="495"/>
      <c r="I9" s="495"/>
      <c r="J9" s="495"/>
      <c r="K9" s="495"/>
      <c r="L9" s="495"/>
      <c r="M9" s="495"/>
      <c r="N9" s="495"/>
      <c r="Q9" s="497"/>
      <c r="R9" s="497"/>
      <c r="AG9"/>
      <c r="AH9"/>
      <c r="AI9"/>
    </row>
    <row r="10" spans="1:36" s="496" customFormat="1" hidden="1" x14ac:dyDescent="0.25">
      <c r="A10"/>
      <c r="B10"/>
      <c r="C10" s="495"/>
      <c r="D10" s="495"/>
      <c r="E10" s="495"/>
      <c r="F10" s="495"/>
      <c r="G10" s="495"/>
      <c r="H10" s="495"/>
      <c r="I10" s="495"/>
      <c r="J10" s="495"/>
      <c r="K10" s="495"/>
      <c r="L10" s="495"/>
      <c r="M10" s="495"/>
      <c r="N10" s="495"/>
      <c r="AG10"/>
      <c r="AH10"/>
      <c r="AI10"/>
    </row>
    <row r="11" spans="1:36" s="496" customFormat="1" hidden="1" x14ac:dyDescent="0.25">
      <c r="A11" s="498"/>
      <c r="C11" s="495"/>
      <c r="D11" s="495"/>
      <c r="E11" s="495"/>
      <c r="AG11"/>
      <c r="AH11"/>
      <c r="AI11"/>
    </row>
    <row r="12" spans="1:36" s="496" customFormat="1" ht="19.5" customHeight="1" x14ac:dyDescent="0.25">
      <c r="A12" s="498"/>
      <c r="C12" s="499">
        <f>'Balances y Proyecciones'!C12</f>
        <v>0</v>
      </c>
      <c r="D12" s="499"/>
      <c r="E12" s="499"/>
      <c r="F12" s="500"/>
      <c r="G12" s="496">
        <f>IF(SUM(G13:R13)&lt;&gt;1,1,0)</f>
        <v>0</v>
      </c>
      <c r="I12" s="495"/>
      <c r="J12" s="495"/>
      <c r="K12" s="495"/>
      <c r="L12" s="495"/>
      <c r="M12" s="495"/>
      <c r="N12" s="495"/>
      <c r="O12" s="495"/>
      <c r="P12" s="495"/>
      <c r="Q12" s="495"/>
      <c r="AG12"/>
      <c r="AH12"/>
      <c r="AI12"/>
      <c r="AJ12"/>
    </row>
    <row r="13" spans="1:36" s="496" customFormat="1" ht="15.75" x14ac:dyDescent="0.25">
      <c r="A13" s="498"/>
      <c r="B13" s="501" t="str">
        <f>'Balances y Proyecciones'!B13</f>
        <v>ANEXO - ESTADOS FINANCIEROS0</v>
      </c>
      <c r="C13" s="499" t="str">
        <f>'Balances y Proyecciones'!C13</f>
        <v>Miles de Lempira HNL</v>
      </c>
      <c r="D13" s="499">
        <f>'Balances y Proyecciones'!E13</f>
        <v>0.90064102564102566</v>
      </c>
      <c r="E13" s="502">
        <f>IF($J$241="SI","ESCENARIO "&amp;$I$242,0)</f>
        <v>0</v>
      </c>
      <c r="G13" s="503">
        <f t="shared" ref="G13:R13" si="0">1/12</f>
        <v>8.3333333333333329E-2</v>
      </c>
      <c r="H13" s="503">
        <f t="shared" si="0"/>
        <v>8.3333333333333329E-2</v>
      </c>
      <c r="I13" s="503">
        <f t="shared" si="0"/>
        <v>8.3333333333333329E-2</v>
      </c>
      <c r="J13" s="503">
        <f t="shared" si="0"/>
        <v>8.3333333333333329E-2</v>
      </c>
      <c r="K13" s="503">
        <f t="shared" si="0"/>
        <v>8.3333333333333329E-2</v>
      </c>
      <c r="L13" s="503">
        <f t="shared" si="0"/>
        <v>8.3333333333333329E-2</v>
      </c>
      <c r="M13" s="503">
        <f t="shared" si="0"/>
        <v>8.3333333333333329E-2</v>
      </c>
      <c r="N13" s="503">
        <f t="shared" si="0"/>
        <v>8.3333333333333329E-2</v>
      </c>
      <c r="O13" s="503">
        <f t="shared" si="0"/>
        <v>8.3333333333333329E-2</v>
      </c>
      <c r="P13" s="503">
        <f t="shared" si="0"/>
        <v>8.3333333333333329E-2</v>
      </c>
      <c r="Q13" s="503">
        <f t="shared" si="0"/>
        <v>8.3333333333333329E-2</v>
      </c>
      <c r="R13" s="503">
        <f t="shared" si="0"/>
        <v>8.3333333333333329E-2</v>
      </c>
      <c r="AG13"/>
      <c r="AH13"/>
      <c r="AI13"/>
    </row>
    <row r="14" spans="1:36" s="496" customFormat="1" ht="15.75" x14ac:dyDescent="0.25">
      <c r="A14" s="498"/>
      <c r="B14" s="504" t="str">
        <f>Presentación!A5</f>
        <v>Prueba Da 27.08.23</v>
      </c>
      <c r="E14" s="505" t="str">
        <f>'Balances y Proyecciones'!T14</f>
        <v>PROYECTADO</v>
      </c>
      <c r="F14" s="500"/>
      <c r="G14" s="506" t="s">
        <v>1044</v>
      </c>
      <c r="H14" s="506" t="s">
        <v>1044</v>
      </c>
      <c r="I14" s="506" t="s">
        <v>1044</v>
      </c>
      <c r="J14" s="506" t="s">
        <v>1044</v>
      </c>
      <c r="K14" s="506" t="s">
        <v>1044</v>
      </c>
      <c r="L14" s="506" t="s">
        <v>1044</v>
      </c>
      <c r="M14" s="506" t="s">
        <v>1044</v>
      </c>
      <c r="N14" s="506" t="s">
        <v>1044</v>
      </c>
      <c r="O14" s="506" t="s">
        <v>1044</v>
      </c>
      <c r="P14" s="506" t="s">
        <v>1044</v>
      </c>
      <c r="Q14" s="506" t="s">
        <v>1044</v>
      </c>
      <c r="R14" s="506" t="s">
        <v>1044</v>
      </c>
      <c r="AG14"/>
      <c r="AH14"/>
      <c r="AI14"/>
    </row>
    <row r="15" spans="1:36" s="496" customFormat="1" ht="20.25" x14ac:dyDescent="0.25">
      <c r="A15" s="507"/>
      <c r="B15" s="508" t="s">
        <v>536</v>
      </c>
      <c r="C15" s="509">
        <f>'Balances y Proyecciones'!N15</f>
        <v>2021</v>
      </c>
      <c r="D15" s="500"/>
      <c r="E15" s="510">
        <f>'Balances y Proyecciones'!T15</f>
        <v>2022</v>
      </c>
      <c r="F15" s="511"/>
      <c r="G15" s="512">
        <f t="shared" ref="G15:R16" si="1">W31</f>
        <v>2022</v>
      </c>
      <c r="H15" s="512">
        <f t="shared" si="1"/>
        <v>2022</v>
      </c>
      <c r="I15" s="512">
        <f t="shared" si="1"/>
        <v>2022</v>
      </c>
      <c r="J15" s="512">
        <f t="shared" si="1"/>
        <v>2022</v>
      </c>
      <c r="K15" s="512">
        <f t="shared" si="1"/>
        <v>2022</v>
      </c>
      <c r="L15" s="512">
        <f t="shared" si="1"/>
        <v>2022</v>
      </c>
      <c r="M15" s="512">
        <f t="shared" si="1"/>
        <v>2022</v>
      </c>
      <c r="N15" s="512">
        <f t="shared" si="1"/>
        <v>2022</v>
      </c>
      <c r="O15" s="512">
        <f t="shared" si="1"/>
        <v>2022</v>
      </c>
      <c r="P15" s="512">
        <f t="shared" si="1"/>
        <v>2022</v>
      </c>
      <c r="Q15" s="512">
        <f t="shared" si="1"/>
        <v>2022</v>
      </c>
      <c r="R15" s="512">
        <f t="shared" si="1"/>
        <v>2022</v>
      </c>
      <c r="AG15"/>
      <c r="AH15"/>
      <c r="AI15"/>
    </row>
    <row r="16" spans="1:36" s="496" customFormat="1" ht="20.25" x14ac:dyDescent="0.25">
      <c r="A16" s="507"/>
      <c r="B16" s="513" t="s">
        <v>1045</v>
      </c>
      <c r="C16" s="514" t="str">
        <f>'Balances y Proyecciones'!N16</f>
        <v>Diciembre</v>
      </c>
      <c r="D16" s="511"/>
      <c r="E16" s="515" t="str">
        <f>'Balances y Proyecciones'!T16</f>
        <v>DICIEMBRE</v>
      </c>
      <c r="F16" s="500"/>
      <c r="G16" s="514" t="str">
        <f t="shared" si="1"/>
        <v>Enero</v>
      </c>
      <c r="H16" s="514" t="str">
        <f t="shared" si="1"/>
        <v>Febrero</v>
      </c>
      <c r="I16" s="514" t="str">
        <f t="shared" si="1"/>
        <v>Marzo</v>
      </c>
      <c r="J16" s="514" t="str">
        <f t="shared" si="1"/>
        <v>Abril</v>
      </c>
      <c r="K16" s="514" t="str">
        <f t="shared" si="1"/>
        <v>Mayo</v>
      </c>
      <c r="L16" s="514" t="str">
        <f t="shared" si="1"/>
        <v>Junio</v>
      </c>
      <c r="M16" s="514" t="str">
        <f t="shared" si="1"/>
        <v>Julio</v>
      </c>
      <c r="N16" s="514" t="str">
        <f t="shared" si="1"/>
        <v>Agosto</v>
      </c>
      <c r="O16" s="514" t="str">
        <f t="shared" si="1"/>
        <v>Septiembre</v>
      </c>
      <c r="P16" s="514" t="str">
        <f t="shared" si="1"/>
        <v>Octubre</v>
      </c>
      <c r="Q16" s="514" t="str">
        <f t="shared" si="1"/>
        <v>Noviembre</v>
      </c>
      <c r="R16" s="514" t="str">
        <f t="shared" si="1"/>
        <v>Diciembre</v>
      </c>
      <c r="U16" s="496">
        <v>1</v>
      </c>
      <c r="V16" s="496" t="s">
        <v>60</v>
      </c>
      <c r="W16" s="496">
        <v>1</v>
      </c>
      <c r="X16" s="496">
        <v>2</v>
      </c>
      <c r="AG16"/>
      <c r="AH16"/>
      <c r="AI16"/>
    </row>
    <row r="17" spans="1:35" s="496" customFormat="1" x14ac:dyDescent="0.25">
      <c r="A17" s="507"/>
      <c r="B17" s="508" t="s">
        <v>871</v>
      </c>
      <c r="C17" s="516">
        <f>'Balances y Proyecciones'!N17</f>
        <v>360</v>
      </c>
      <c r="D17" s="500"/>
      <c r="E17" s="516">
        <f>'Balances y Proyecciones'!T17</f>
        <v>360</v>
      </c>
      <c r="F17" s="517"/>
      <c r="G17" s="516">
        <v>360</v>
      </c>
      <c r="H17" s="516">
        <v>360</v>
      </c>
      <c r="I17" s="516">
        <v>360</v>
      </c>
      <c r="J17" s="516">
        <v>360</v>
      </c>
      <c r="K17" s="516">
        <v>360</v>
      </c>
      <c r="L17" s="516">
        <v>360</v>
      </c>
      <c r="M17" s="516">
        <v>360</v>
      </c>
      <c r="N17" s="516">
        <v>360</v>
      </c>
      <c r="O17" s="516">
        <v>360</v>
      </c>
      <c r="P17" s="516">
        <v>360</v>
      </c>
      <c r="Q17" s="516">
        <v>360</v>
      </c>
      <c r="R17" s="516">
        <v>360</v>
      </c>
      <c r="U17" s="496">
        <v>2</v>
      </c>
      <c r="V17" s="496" t="s">
        <v>63</v>
      </c>
      <c r="W17" s="496">
        <v>2</v>
      </c>
      <c r="X17" s="496">
        <v>3</v>
      </c>
      <c r="AG17"/>
      <c r="AH17"/>
      <c r="AI17"/>
    </row>
    <row r="18" spans="1:35" s="496" customFormat="1" x14ac:dyDescent="0.25">
      <c r="A18" s="518">
        <v>1</v>
      </c>
      <c r="B18" s="519" t="s">
        <v>904</v>
      </c>
      <c r="C18" s="520">
        <f>'Balances y Proyecciones'!N18</f>
        <v>390</v>
      </c>
      <c r="D18" s="517"/>
      <c r="E18" s="520">
        <f>'Balances y Proyecciones'!T18</f>
        <v>1105.1659999999993</v>
      </c>
      <c r="F18" s="521"/>
      <c r="G18" s="522">
        <f t="shared" ref="G18:R25" si="2">IF($G$12=1,"Error %",$E18*G$13)</f>
        <v>92.097166666666595</v>
      </c>
      <c r="H18" s="522">
        <f t="shared" si="2"/>
        <v>92.097166666666595</v>
      </c>
      <c r="I18" s="522">
        <f t="shared" si="2"/>
        <v>92.097166666666595</v>
      </c>
      <c r="J18" s="522">
        <f t="shared" si="2"/>
        <v>92.097166666666595</v>
      </c>
      <c r="K18" s="522">
        <f t="shared" si="2"/>
        <v>92.097166666666595</v>
      </c>
      <c r="L18" s="522">
        <f t="shared" si="2"/>
        <v>92.097166666666595</v>
      </c>
      <c r="M18" s="522">
        <f t="shared" si="2"/>
        <v>92.097166666666595</v>
      </c>
      <c r="N18" s="522">
        <f t="shared" si="2"/>
        <v>92.097166666666595</v>
      </c>
      <c r="O18" s="522">
        <f t="shared" si="2"/>
        <v>92.097166666666595</v>
      </c>
      <c r="P18" s="522">
        <f t="shared" si="2"/>
        <v>92.097166666666595</v>
      </c>
      <c r="Q18" s="522">
        <f t="shared" si="2"/>
        <v>92.097166666666595</v>
      </c>
      <c r="R18" s="522">
        <f t="shared" si="2"/>
        <v>92.097166666666595</v>
      </c>
      <c r="U18" s="496">
        <v>3</v>
      </c>
      <c r="V18" s="496" t="s">
        <v>65</v>
      </c>
      <c r="W18" s="496">
        <v>3</v>
      </c>
      <c r="X18" s="496">
        <v>4</v>
      </c>
      <c r="AG18"/>
      <c r="AH18"/>
      <c r="AI18"/>
    </row>
    <row r="19" spans="1:35" s="496" customFormat="1" x14ac:dyDescent="0.25">
      <c r="A19" s="523" t="s">
        <v>1046</v>
      </c>
      <c r="B19" s="524" t="s">
        <v>565</v>
      </c>
      <c r="C19" s="525">
        <f>'Balances y Proyecciones'!N19</f>
        <v>120</v>
      </c>
      <c r="D19" s="521"/>
      <c r="E19" s="525">
        <f>'Balances y Proyecciones'!T19</f>
        <v>120</v>
      </c>
      <c r="F19" s="521"/>
      <c r="G19" s="525">
        <f t="shared" si="2"/>
        <v>10</v>
      </c>
      <c r="H19" s="525">
        <f t="shared" si="2"/>
        <v>10</v>
      </c>
      <c r="I19" s="525">
        <f t="shared" si="2"/>
        <v>10</v>
      </c>
      <c r="J19" s="525">
        <f t="shared" si="2"/>
        <v>10</v>
      </c>
      <c r="K19" s="525">
        <f t="shared" si="2"/>
        <v>10</v>
      </c>
      <c r="L19" s="525">
        <f t="shared" si="2"/>
        <v>10</v>
      </c>
      <c r="M19" s="525">
        <f t="shared" si="2"/>
        <v>10</v>
      </c>
      <c r="N19" s="525">
        <f t="shared" si="2"/>
        <v>10</v>
      </c>
      <c r="O19" s="525">
        <f t="shared" si="2"/>
        <v>10</v>
      </c>
      <c r="P19" s="525">
        <f t="shared" si="2"/>
        <v>10</v>
      </c>
      <c r="Q19" s="525">
        <f t="shared" si="2"/>
        <v>10</v>
      </c>
      <c r="R19" s="525">
        <f t="shared" si="2"/>
        <v>10</v>
      </c>
      <c r="U19" s="496">
        <v>4</v>
      </c>
      <c r="V19" s="496" t="s">
        <v>68</v>
      </c>
      <c r="W19" s="496">
        <v>4</v>
      </c>
      <c r="X19" s="496">
        <v>5</v>
      </c>
      <c r="AG19"/>
      <c r="AH19"/>
      <c r="AI19"/>
    </row>
    <row r="20" spans="1:35" s="496" customFormat="1" x14ac:dyDescent="0.25">
      <c r="A20" s="523" t="s">
        <v>1047</v>
      </c>
      <c r="B20" s="524" t="s">
        <v>1048</v>
      </c>
      <c r="C20" s="525">
        <f>'Balances y Proyecciones'!N20</f>
        <v>-30</v>
      </c>
      <c r="D20" s="521"/>
      <c r="E20" s="525">
        <f>'Balances y Proyecciones'!T20</f>
        <v>-30</v>
      </c>
      <c r="F20" s="521"/>
      <c r="G20" s="525">
        <f t="shared" si="2"/>
        <v>-2.5</v>
      </c>
      <c r="H20" s="525">
        <f t="shared" si="2"/>
        <v>-2.5</v>
      </c>
      <c r="I20" s="525">
        <f t="shared" si="2"/>
        <v>-2.5</v>
      </c>
      <c r="J20" s="525">
        <f t="shared" si="2"/>
        <v>-2.5</v>
      </c>
      <c r="K20" s="525">
        <f t="shared" si="2"/>
        <v>-2.5</v>
      </c>
      <c r="L20" s="525">
        <f t="shared" si="2"/>
        <v>-2.5</v>
      </c>
      <c r="M20" s="525">
        <f t="shared" si="2"/>
        <v>-2.5</v>
      </c>
      <c r="N20" s="525">
        <f t="shared" si="2"/>
        <v>-2.5</v>
      </c>
      <c r="O20" s="525">
        <f t="shared" si="2"/>
        <v>-2.5</v>
      </c>
      <c r="P20" s="525">
        <f t="shared" si="2"/>
        <v>-2.5</v>
      </c>
      <c r="Q20" s="525">
        <f t="shared" si="2"/>
        <v>-2.5</v>
      </c>
      <c r="R20" s="525">
        <f t="shared" si="2"/>
        <v>-2.5</v>
      </c>
      <c r="U20" s="496">
        <v>5</v>
      </c>
      <c r="V20" s="496" t="s">
        <v>70</v>
      </c>
      <c r="W20" s="496">
        <v>5</v>
      </c>
      <c r="X20" s="496">
        <v>6</v>
      </c>
      <c r="AG20"/>
      <c r="AH20"/>
      <c r="AI20"/>
    </row>
    <row r="21" spans="1:35" s="496" customFormat="1" x14ac:dyDescent="0.25">
      <c r="A21" s="523" t="s">
        <v>1049</v>
      </c>
      <c r="B21" s="524" t="s">
        <v>1050</v>
      </c>
      <c r="C21" s="525">
        <f>'Balances y Proyecciones'!N21</f>
        <v>360</v>
      </c>
      <c r="D21" s="521"/>
      <c r="E21" s="525">
        <f>'Balances y Proyecciones'!T21</f>
        <v>360.00000000000006</v>
      </c>
      <c r="F21" s="521"/>
      <c r="G21" s="525">
        <f t="shared" si="2"/>
        <v>30.000000000000004</v>
      </c>
      <c r="H21" s="525">
        <f t="shared" si="2"/>
        <v>30.000000000000004</v>
      </c>
      <c r="I21" s="525">
        <f t="shared" si="2"/>
        <v>30.000000000000004</v>
      </c>
      <c r="J21" s="525">
        <f t="shared" si="2"/>
        <v>30.000000000000004</v>
      </c>
      <c r="K21" s="525">
        <f t="shared" si="2"/>
        <v>30.000000000000004</v>
      </c>
      <c r="L21" s="525">
        <f t="shared" si="2"/>
        <v>30.000000000000004</v>
      </c>
      <c r="M21" s="525">
        <f t="shared" si="2"/>
        <v>30.000000000000004</v>
      </c>
      <c r="N21" s="525">
        <f t="shared" si="2"/>
        <v>30.000000000000004</v>
      </c>
      <c r="O21" s="525">
        <f t="shared" si="2"/>
        <v>30.000000000000004</v>
      </c>
      <c r="P21" s="525">
        <f t="shared" si="2"/>
        <v>30.000000000000004</v>
      </c>
      <c r="Q21" s="525">
        <f t="shared" si="2"/>
        <v>30.000000000000004</v>
      </c>
      <c r="R21" s="525">
        <f t="shared" si="2"/>
        <v>30.000000000000004</v>
      </c>
      <c r="U21" s="496">
        <v>6</v>
      </c>
      <c r="V21" s="496" t="s">
        <v>72</v>
      </c>
      <c r="W21" s="496">
        <v>6</v>
      </c>
      <c r="X21" s="496">
        <v>7</v>
      </c>
      <c r="AG21"/>
      <c r="AH21"/>
      <c r="AI21"/>
    </row>
    <row r="22" spans="1:35" s="496" customFormat="1" x14ac:dyDescent="0.25">
      <c r="A22" s="523" t="s">
        <v>1051</v>
      </c>
      <c r="B22" s="524" t="s">
        <v>1052</v>
      </c>
      <c r="C22" s="525">
        <f>'Balances y Proyecciones'!N22</f>
        <v>30</v>
      </c>
      <c r="D22" s="521"/>
      <c r="E22" s="525">
        <f>'Balances y Proyecciones'!T22</f>
        <v>30.000000000000007</v>
      </c>
      <c r="F22" s="521"/>
      <c r="G22" s="525">
        <f t="shared" si="2"/>
        <v>2.5000000000000004</v>
      </c>
      <c r="H22" s="525">
        <f t="shared" si="2"/>
        <v>2.5000000000000004</v>
      </c>
      <c r="I22" s="525">
        <f t="shared" si="2"/>
        <v>2.5000000000000004</v>
      </c>
      <c r="J22" s="525">
        <f t="shared" si="2"/>
        <v>2.5000000000000004</v>
      </c>
      <c r="K22" s="525">
        <f t="shared" si="2"/>
        <v>2.5000000000000004</v>
      </c>
      <c r="L22" s="525">
        <f t="shared" si="2"/>
        <v>2.5000000000000004</v>
      </c>
      <c r="M22" s="525">
        <f t="shared" si="2"/>
        <v>2.5000000000000004</v>
      </c>
      <c r="N22" s="525">
        <f t="shared" si="2"/>
        <v>2.5000000000000004</v>
      </c>
      <c r="O22" s="525">
        <f t="shared" si="2"/>
        <v>2.5000000000000004</v>
      </c>
      <c r="P22" s="525">
        <f t="shared" si="2"/>
        <v>2.5000000000000004</v>
      </c>
      <c r="Q22" s="525">
        <f t="shared" si="2"/>
        <v>2.5000000000000004</v>
      </c>
      <c r="R22" s="525">
        <f t="shared" si="2"/>
        <v>2.5000000000000004</v>
      </c>
      <c r="U22" s="496">
        <v>7</v>
      </c>
      <c r="V22" s="496" t="s">
        <v>74</v>
      </c>
      <c r="W22" s="496">
        <v>7</v>
      </c>
      <c r="X22" s="496">
        <v>8</v>
      </c>
      <c r="AG22"/>
      <c r="AH22"/>
      <c r="AI22"/>
    </row>
    <row r="23" spans="1:35" s="496" customFormat="1" x14ac:dyDescent="0.25">
      <c r="A23" s="526">
        <v>4</v>
      </c>
      <c r="B23" s="524" t="s">
        <v>1053</v>
      </c>
      <c r="C23" s="525">
        <f>'Balances y Proyecciones'!N23</f>
        <v>60</v>
      </c>
      <c r="D23" s="521"/>
      <c r="E23" s="525">
        <f>'Balances y Proyecciones'!T23</f>
        <v>60.000000000000014</v>
      </c>
      <c r="F23" s="521"/>
      <c r="G23" s="527">
        <f t="shared" si="2"/>
        <v>5.0000000000000009</v>
      </c>
      <c r="H23" s="527">
        <f t="shared" si="2"/>
        <v>5.0000000000000009</v>
      </c>
      <c r="I23" s="527">
        <f t="shared" si="2"/>
        <v>5.0000000000000009</v>
      </c>
      <c r="J23" s="527">
        <f t="shared" si="2"/>
        <v>5.0000000000000009</v>
      </c>
      <c r="K23" s="527">
        <f t="shared" si="2"/>
        <v>5.0000000000000009</v>
      </c>
      <c r="L23" s="527">
        <f t="shared" si="2"/>
        <v>5.0000000000000009</v>
      </c>
      <c r="M23" s="527">
        <f t="shared" si="2"/>
        <v>5.0000000000000009</v>
      </c>
      <c r="N23" s="527">
        <f t="shared" si="2"/>
        <v>5.0000000000000009</v>
      </c>
      <c r="O23" s="527">
        <f t="shared" si="2"/>
        <v>5.0000000000000009</v>
      </c>
      <c r="P23" s="527">
        <f t="shared" si="2"/>
        <v>5.0000000000000009</v>
      </c>
      <c r="Q23" s="527">
        <f t="shared" si="2"/>
        <v>5.0000000000000009</v>
      </c>
      <c r="R23" s="527">
        <f t="shared" si="2"/>
        <v>5.0000000000000009</v>
      </c>
      <c r="U23" s="496">
        <v>8</v>
      </c>
      <c r="V23" s="496" t="s">
        <v>77</v>
      </c>
      <c r="W23" s="496">
        <v>8</v>
      </c>
      <c r="X23" s="496">
        <v>9</v>
      </c>
      <c r="AG23"/>
      <c r="AH23"/>
      <c r="AI23"/>
    </row>
    <row r="24" spans="1:35" s="496" customFormat="1" x14ac:dyDescent="0.25">
      <c r="A24" s="523" t="s">
        <v>1054</v>
      </c>
      <c r="B24" s="524" t="s">
        <v>1055</v>
      </c>
      <c r="C24" s="525">
        <f>'Balances y Proyecciones'!N24</f>
        <v>360</v>
      </c>
      <c r="D24" s="521"/>
      <c r="E24" s="525">
        <f>'Balances y Proyecciones'!T24</f>
        <v>360</v>
      </c>
      <c r="F24" s="521"/>
      <c r="G24" s="528">
        <f t="shared" si="2"/>
        <v>30</v>
      </c>
      <c r="H24" s="528">
        <f t="shared" si="2"/>
        <v>30</v>
      </c>
      <c r="I24" s="528">
        <f t="shared" si="2"/>
        <v>30</v>
      </c>
      <c r="J24" s="528">
        <f t="shared" si="2"/>
        <v>30</v>
      </c>
      <c r="K24" s="528">
        <f t="shared" si="2"/>
        <v>30</v>
      </c>
      <c r="L24" s="528">
        <f t="shared" si="2"/>
        <v>30</v>
      </c>
      <c r="M24" s="528">
        <f t="shared" si="2"/>
        <v>30</v>
      </c>
      <c r="N24" s="528">
        <f t="shared" si="2"/>
        <v>30</v>
      </c>
      <c r="O24" s="528">
        <f t="shared" si="2"/>
        <v>30</v>
      </c>
      <c r="P24" s="528">
        <f t="shared" si="2"/>
        <v>30</v>
      </c>
      <c r="Q24" s="528">
        <f t="shared" si="2"/>
        <v>30</v>
      </c>
      <c r="R24" s="528">
        <f t="shared" si="2"/>
        <v>30</v>
      </c>
      <c r="U24" s="496">
        <v>9</v>
      </c>
      <c r="V24" s="496" t="s">
        <v>79</v>
      </c>
      <c r="W24" s="496">
        <v>9</v>
      </c>
      <c r="X24" s="496">
        <v>10</v>
      </c>
      <c r="AG24"/>
      <c r="AH24"/>
      <c r="AI24"/>
    </row>
    <row r="25" spans="1:35" s="496" customFormat="1" x14ac:dyDescent="0.25">
      <c r="A25" s="529" t="s">
        <v>1056</v>
      </c>
      <c r="B25" s="530" t="s">
        <v>1057</v>
      </c>
      <c r="C25" s="527">
        <f>'Balances y Proyecciones'!N25</f>
        <v>570</v>
      </c>
      <c r="D25" s="521"/>
      <c r="E25" s="527">
        <f>'Balances y Proyecciones'!T25</f>
        <v>570</v>
      </c>
      <c r="F25" s="521"/>
      <c r="G25" s="531">
        <f t="shared" si="2"/>
        <v>47.5</v>
      </c>
      <c r="H25" s="531">
        <f t="shared" si="2"/>
        <v>47.5</v>
      </c>
      <c r="I25" s="531">
        <f t="shared" si="2"/>
        <v>47.5</v>
      </c>
      <c r="J25" s="531">
        <f t="shared" si="2"/>
        <v>47.5</v>
      </c>
      <c r="K25" s="531">
        <f t="shared" si="2"/>
        <v>47.5</v>
      </c>
      <c r="L25" s="531">
        <f t="shared" si="2"/>
        <v>47.5</v>
      </c>
      <c r="M25" s="531">
        <f t="shared" si="2"/>
        <v>47.5</v>
      </c>
      <c r="N25" s="531">
        <f t="shared" si="2"/>
        <v>47.5</v>
      </c>
      <c r="O25" s="531">
        <f t="shared" si="2"/>
        <v>47.5</v>
      </c>
      <c r="P25" s="531">
        <f t="shared" si="2"/>
        <v>47.5</v>
      </c>
      <c r="Q25" s="531">
        <f t="shared" si="2"/>
        <v>47.5</v>
      </c>
      <c r="R25" s="531">
        <f t="shared" si="2"/>
        <v>47.5</v>
      </c>
      <c r="U25" s="496">
        <v>10</v>
      </c>
      <c r="V25" s="496" t="s">
        <v>81</v>
      </c>
      <c r="W25" s="496">
        <v>10</v>
      </c>
      <c r="X25" s="496">
        <v>11</v>
      </c>
      <c r="AG25"/>
      <c r="AH25"/>
      <c r="AI25"/>
    </row>
    <row r="26" spans="1:35" s="496" customFormat="1" x14ac:dyDescent="0.25">
      <c r="A26" s="507"/>
      <c r="B26" s="508" t="s">
        <v>1058</v>
      </c>
      <c r="C26" s="532">
        <f>'Balances y Proyecciones'!N26</f>
        <v>1860</v>
      </c>
      <c r="D26" s="521"/>
      <c r="E26" s="532">
        <f>'Balances y Proyecciones'!T26</f>
        <v>2575.1659999999993</v>
      </c>
      <c r="F26" s="521"/>
      <c r="G26" s="533">
        <f t="shared" ref="G26:R26" si="3">SUM(G18:G25)</f>
        <v>214.5971666666666</v>
      </c>
      <c r="H26" s="533">
        <f t="shared" si="3"/>
        <v>214.5971666666666</v>
      </c>
      <c r="I26" s="533">
        <f t="shared" si="3"/>
        <v>214.5971666666666</v>
      </c>
      <c r="J26" s="533">
        <f t="shared" si="3"/>
        <v>214.5971666666666</v>
      </c>
      <c r="K26" s="533">
        <f t="shared" si="3"/>
        <v>214.5971666666666</v>
      </c>
      <c r="L26" s="533">
        <f t="shared" si="3"/>
        <v>214.5971666666666</v>
      </c>
      <c r="M26" s="533">
        <f t="shared" si="3"/>
        <v>214.5971666666666</v>
      </c>
      <c r="N26" s="533">
        <f t="shared" si="3"/>
        <v>214.5971666666666</v>
      </c>
      <c r="O26" s="533">
        <f t="shared" si="3"/>
        <v>214.5971666666666</v>
      </c>
      <c r="P26" s="533">
        <f t="shared" si="3"/>
        <v>214.5971666666666</v>
      </c>
      <c r="Q26" s="533">
        <f t="shared" si="3"/>
        <v>214.5971666666666</v>
      </c>
      <c r="R26" s="533">
        <f t="shared" si="3"/>
        <v>214.5971666666666</v>
      </c>
      <c r="U26" s="496">
        <v>11</v>
      </c>
      <c r="V26" s="496" t="s">
        <v>83</v>
      </c>
      <c r="W26" s="496">
        <v>11</v>
      </c>
      <c r="X26" s="496">
        <v>12</v>
      </c>
      <c r="AG26"/>
      <c r="AH26"/>
      <c r="AI26"/>
    </row>
    <row r="27" spans="1:35" s="496" customFormat="1" x14ac:dyDescent="0.25">
      <c r="A27" s="518">
        <v>6</v>
      </c>
      <c r="B27" s="534" t="s">
        <v>1059</v>
      </c>
      <c r="C27" s="535">
        <f>'Balances y Proyecciones'!N27</f>
        <v>270</v>
      </c>
      <c r="D27" s="521"/>
      <c r="E27" s="535">
        <f>'Balances y Proyecciones'!T27</f>
        <v>270</v>
      </c>
      <c r="F27" s="521"/>
      <c r="G27" s="536">
        <f t="shared" ref="G27:R33" si="4">IF($G$12=1,"Error %",$E27*G$13)</f>
        <v>22.5</v>
      </c>
      <c r="H27" s="536">
        <f t="shared" si="4"/>
        <v>22.5</v>
      </c>
      <c r="I27" s="536">
        <f t="shared" si="4"/>
        <v>22.5</v>
      </c>
      <c r="J27" s="536">
        <f t="shared" si="4"/>
        <v>22.5</v>
      </c>
      <c r="K27" s="536">
        <f t="shared" si="4"/>
        <v>22.5</v>
      </c>
      <c r="L27" s="536">
        <f t="shared" si="4"/>
        <v>22.5</v>
      </c>
      <c r="M27" s="536">
        <f t="shared" si="4"/>
        <v>22.5</v>
      </c>
      <c r="N27" s="536">
        <f t="shared" si="4"/>
        <v>22.5</v>
      </c>
      <c r="O27" s="536">
        <f t="shared" si="4"/>
        <v>22.5</v>
      </c>
      <c r="P27" s="536">
        <f t="shared" si="4"/>
        <v>22.5</v>
      </c>
      <c r="Q27" s="536">
        <f t="shared" si="4"/>
        <v>22.5</v>
      </c>
      <c r="R27" s="536">
        <f t="shared" si="4"/>
        <v>22.5</v>
      </c>
      <c r="U27" s="496">
        <v>12</v>
      </c>
      <c r="V27" s="496" t="s">
        <v>85</v>
      </c>
      <c r="W27" s="496">
        <v>12</v>
      </c>
      <c r="X27" s="496">
        <v>1</v>
      </c>
      <c r="AG27"/>
      <c r="AH27"/>
      <c r="AI27"/>
    </row>
    <row r="28" spans="1:35" s="496" customFormat="1" x14ac:dyDescent="0.25">
      <c r="A28" s="523" t="s">
        <v>1060</v>
      </c>
      <c r="B28" s="524" t="s">
        <v>1061</v>
      </c>
      <c r="C28" s="525">
        <f>'Balances y Proyecciones'!N28</f>
        <v>540</v>
      </c>
      <c r="D28" s="521"/>
      <c r="E28" s="525">
        <f>'Balances y Proyecciones'!T28</f>
        <v>718.2</v>
      </c>
      <c r="F28" s="521"/>
      <c r="G28" s="535">
        <f t="shared" si="4"/>
        <v>59.85</v>
      </c>
      <c r="H28" s="535">
        <f t="shared" si="4"/>
        <v>59.85</v>
      </c>
      <c r="I28" s="535">
        <f t="shared" si="4"/>
        <v>59.85</v>
      </c>
      <c r="J28" s="535">
        <f t="shared" si="4"/>
        <v>59.85</v>
      </c>
      <c r="K28" s="535">
        <f t="shared" si="4"/>
        <v>59.85</v>
      </c>
      <c r="L28" s="535">
        <f t="shared" si="4"/>
        <v>59.85</v>
      </c>
      <c r="M28" s="535">
        <f t="shared" si="4"/>
        <v>59.85</v>
      </c>
      <c r="N28" s="535">
        <f t="shared" si="4"/>
        <v>59.85</v>
      </c>
      <c r="O28" s="535">
        <f t="shared" si="4"/>
        <v>59.85</v>
      </c>
      <c r="P28" s="535">
        <f t="shared" si="4"/>
        <v>59.85</v>
      </c>
      <c r="Q28" s="535">
        <f t="shared" si="4"/>
        <v>59.85</v>
      </c>
      <c r="R28" s="535">
        <f t="shared" si="4"/>
        <v>59.85</v>
      </c>
      <c r="AG28"/>
      <c r="AH28"/>
      <c r="AI28"/>
    </row>
    <row r="29" spans="1:35" s="496" customFormat="1" x14ac:dyDescent="0.25">
      <c r="A29" s="523" t="s">
        <v>1062</v>
      </c>
      <c r="B29" s="524" t="s">
        <v>1063</v>
      </c>
      <c r="C29" s="525">
        <f>'Balances y Proyecciones'!N29</f>
        <v>60</v>
      </c>
      <c r="D29" s="521"/>
      <c r="E29" s="525">
        <f>'Balances y Proyecciones'!T29</f>
        <v>86.334000000000003</v>
      </c>
      <c r="F29" s="521"/>
      <c r="G29" s="525">
        <f t="shared" si="4"/>
        <v>7.1944999999999997</v>
      </c>
      <c r="H29" s="525">
        <f t="shared" si="4"/>
        <v>7.1944999999999997</v>
      </c>
      <c r="I29" s="525">
        <f t="shared" si="4"/>
        <v>7.1944999999999997</v>
      </c>
      <c r="J29" s="525">
        <f t="shared" si="4"/>
        <v>7.1944999999999997</v>
      </c>
      <c r="K29" s="525">
        <f t="shared" si="4"/>
        <v>7.1944999999999997</v>
      </c>
      <c r="L29" s="525">
        <f t="shared" si="4"/>
        <v>7.1944999999999997</v>
      </c>
      <c r="M29" s="525">
        <f t="shared" si="4"/>
        <v>7.1944999999999997</v>
      </c>
      <c r="N29" s="525">
        <f t="shared" si="4"/>
        <v>7.1944999999999997</v>
      </c>
      <c r="O29" s="525">
        <f t="shared" si="4"/>
        <v>7.1944999999999997</v>
      </c>
      <c r="P29" s="525">
        <f t="shared" si="4"/>
        <v>7.1944999999999997</v>
      </c>
      <c r="Q29" s="525">
        <f t="shared" si="4"/>
        <v>7.1944999999999997</v>
      </c>
      <c r="R29" s="525">
        <f t="shared" si="4"/>
        <v>7.1944999999999997</v>
      </c>
      <c r="V29" s="496">
        <f>VLOOKUP(C16,V16:W27,2,0)</f>
        <v>12</v>
      </c>
      <c r="W29" s="496">
        <f>IF(V29=12,1,VLOOKUP(V29,W16:X27,2,0))</f>
        <v>1</v>
      </c>
      <c r="X29" s="496">
        <f t="shared" ref="X29:AH29" si="5">IF(W29=12,1,W29+1)</f>
        <v>2</v>
      </c>
      <c r="Y29" s="496">
        <f t="shared" si="5"/>
        <v>3</v>
      </c>
      <c r="Z29" s="496">
        <f t="shared" si="5"/>
        <v>4</v>
      </c>
      <c r="AA29" s="496">
        <f t="shared" si="5"/>
        <v>5</v>
      </c>
      <c r="AB29" s="496">
        <f t="shared" si="5"/>
        <v>6</v>
      </c>
      <c r="AC29" s="496">
        <f t="shared" si="5"/>
        <v>7</v>
      </c>
      <c r="AD29" s="496">
        <f t="shared" si="5"/>
        <v>8</v>
      </c>
      <c r="AE29" s="496">
        <f t="shared" si="5"/>
        <v>9</v>
      </c>
      <c r="AF29" s="496">
        <f t="shared" si="5"/>
        <v>10</v>
      </c>
      <c r="AG29" s="496">
        <f t="shared" si="5"/>
        <v>11</v>
      </c>
      <c r="AH29" s="496">
        <f t="shared" si="5"/>
        <v>12</v>
      </c>
      <c r="AI29"/>
    </row>
    <row r="30" spans="1:35" s="496" customFormat="1" x14ac:dyDescent="0.25">
      <c r="A30" s="526">
        <v>8</v>
      </c>
      <c r="B30" s="524" t="s">
        <v>1064</v>
      </c>
      <c r="C30" s="525">
        <f>'Balances y Proyecciones'!N30</f>
        <v>210</v>
      </c>
      <c r="D30" s="521"/>
      <c r="E30" s="525">
        <f>'Balances y Proyecciones'!T30</f>
        <v>210</v>
      </c>
      <c r="F30" s="521"/>
      <c r="G30" s="525">
        <f t="shared" si="4"/>
        <v>17.5</v>
      </c>
      <c r="H30" s="525">
        <f t="shared" si="4"/>
        <v>17.5</v>
      </c>
      <c r="I30" s="525">
        <f t="shared" si="4"/>
        <v>17.5</v>
      </c>
      <c r="J30" s="525">
        <f t="shared" si="4"/>
        <v>17.5</v>
      </c>
      <c r="K30" s="525">
        <f t="shared" si="4"/>
        <v>17.5</v>
      </c>
      <c r="L30" s="525">
        <f t="shared" si="4"/>
        <v>17.5</v>
      </c>
      <c r="M30" s="525">
        <f t="shared" si="4"/>
        <v>17.5</v>
      </c>
      <c r="N30" s="525">
        <f t="shared" si="4"/>
        <v>17.5</v>
      </c>
      <c r="O30" s="525">
        <f t="shared" si="4"/>
        <v>17.5</v>
      </c>
      <c r="P30" s="525">
        <f t="shared" si="4"/>
        <v>17.5</v>
      </c>
      <c r="Q30" s="525">
        <f t="shared" si="4"/>
        <v>17.5</v>
      </c>
      <c r="R30" s="525">
        <f t="shared" si="4"/>
        <v>17.5</v>
      </c>
      <c r="W30" s="496">
        <v>0</v>
      </c>
      <c r="X30" s="496">
        <f t="shared" ref="X30:AH30" si="6">IF(OR(W29=12,W30=1),1,0)</f>
        <v>0</v>
      </c>
      <c r="Y30" s="496">
        <f t="shared" si="6"/>
        <v>0</v>
      </c>
      <c r="Z30" s="496">
        <f t="shared" si="6"/>
        <v>0</v>
      </c>
      <c r="AA30" s="496">
        <f t="shared" si="6"/>
        <v>0</v>
      </c>
      <c r="AB30" s="496">
        <f t="shared" si="6"/>
        <v>0</v>
      </c>
      <c r="AC30" s="496">
        <f t="shared" si="6"/>
        <v>0</v>
      </c>
      <c r="AD30" s="496">
        <f t="shared" si="6"/>
        <v>0</v>
      </c>
      <c r="AE30" s="496">
        <f t="shared" si="6"/>
        <v>0</v>
      </c>
      <c r="AF30" s="496">
        <f t="shared" si="6"/>
        <v>0</v>
      </c>
      <c r="AG30" s="496">
        <f t="shared" si="6"/>
        <v>0</v>
      </c>
      <c r="AH30" s="496">
        <f t="shared" si="6"/>
        <v>0</v>
      </c>
      <c r="AI30"/>
    </row>
    <row r="31" spans="1:35" s="496" customFormat="1" x14ac:dyDescent="0.25">
      <c r="A31" s="526">
        <v>9</v>
      </c>
      <c r="B31" s="524" t="s">
        <v>1065</v>
      </c>
      <c r="C31" s="525">
        <f>'Balances y Proyecciones'!N31</f>
        <v>180</v>
      </c>
      <c r="D31" s="521"/>
      <c r="E31" s="525">
        <f>'Balances y Proyecciones'!T31</f>
        <v>180</v>
      </c>
      <c r="F31" s="521"/>
      <c r="G31" s="527">
        <f t="shared" si="4"/>
        <v>15</v>
      </c>
      <c r="H31" s="527">
        <f t="shared" si="4"/>
        <v>15</v>
      </c>
      <c r="I31" s="527">
        <f t="shared" si="4"/>
        <v>15</v>
      </c>
      <c r="J31" s="527">
        <f t="shared" si="4"/>
        <v>15</v>
      </c>
      <c r="K31" s="527">
        <f t="shared" si="4"/>
        <v>15</v>
      </c>
      <c r="L31" s="527">
        <f t="shared" si="4"/>
        <v>15</v>
      </c>
      <c r="M31" s="527">
        <f t="shared" si="4"/>
        <v>15</v>
      </c>
      <c r="N31" s="527">
        <f t="shared" si="4"/>
        <v>15</v>
      </c>
      <c r="O31" s="527">
        <f t="shared" si="4"/>
        <v>15</v>
      </c>
      <c r="P31" s="527">
        <f t="shared" si="4"/>
        <v>15</v>
      </c>
      <c r="Q31" s="527">
        <f t="shared" si="4"/>
        <v>15</v>
      </c>
      <c r="R31" s="527">
        <f t="shared" si="4"/>
        <v>15</v>
      </c>
      <c r="W31" s="496">
        <f t="shared" ref="W31:AH31" si="7">$C$15+1+W30</f>
        <v>2022</v>
      </c>
      <c r="X31" s="496">
        <f t="shared" si="7"/>
        <v>2022</v>
      </c>
      <c r="Y31" s="496">
        <f t="shared" si="7"/>
        <v>2022</v>
      </c>
      <c r="Z31" s="496">
        <f t="shared" si="7"/>
        <v>2022</v>
      </c>
      <c r="AA31" s="496">
        <f t="shared" si="7"/>
        <v>2022</v>
      </c>
      <c r="AB31" s="496">
        <f t="shared" si="7"/>
        <v>2022</v>
      </c>
      <c r="AC31" s="496">
        <f t="shared" si="7"/>
        <v>2022</v>
      </c>
      <c r="AD31" s="496">
        <f t="shared" si="7"/>
        <v>2022</v>
      </c>
      <c r="AE31" s="496">
        <f t="shared" si="7"/>
        <v>2022</v>
      </c>
      <c r="AF31" s="496">
        <f t="shared" si="7"/>
        <v>2022</v>
      </c>
      <c r="AG31" s="496">
        <f t="shared" si="7"/>
        <v>2022</v>
      </c>
      <c r="AH31" s="496">
        <f t="shared" si="7"/>
        <v>2022</v>
      </c>
      <c r="AI31"/>
    </row>
    <row r="32" spans="1:35" s="496" customFormat="1" x14ac:dyDescent="0.25">
      <c r="A32" s="526">
        <v>10</v>
      </c>
      <c r="B32" s="524" t="s">
        <v>1066</v>
      </c>
      <c r="C32" s="525">
        <f>'Balances y Proyecciones'!N32</f>
        <v>750</v>
      </c>
      <c r="D32" s="521"/>
      <c r="E32" s="525">
        <f>'Balances y Proyecciones'!T32</f>
        <v>750</v>
      </c>
      <c r="F32" s="521"/>
      <c r="G32" s="528">
        <f t="shared" si="4"/>
        <v>62.5</v>
      </c>
      <c r="H32" s="528">
        <f t="shared" si="4"/>
        <v>62.5</v>
      </c>
      <c r="I32" s="528">
        <f t="shared" si="4"/>
        <v>62.5</v>
      </c>
      <c r="J32" s="528">
        <f t="shared" si="4"/>
        <v>62.5</v>
      </c>
      <c r="K32" s="528">
        <f t="shared" si="4"/>
        <v>62.5</v>
      </c>
      <c r="L32" s="528">
        <f t="shared" si="4"/>
        <v>62.5</v>
      </c>
      <c r="M32" s="528">
        <f t="shared" si="4"/>
        <v>62.5</v>
      </c>
      <c r="N32" s="528">
        <f t="shared" si="4"/>
        <v>62.5</v>
      </c>
      <c r="O32" s="528">
        <f t="shared" si="4"/>
        <v>62.5</v>
      </c>
      <c r="P32" s="528">
        <f t="shared" si="4"/>
        <v>62.5</v>
      </c>
      <c r="Q32" s="528">
        <f t="shared" si="4"/>
        <v>62.5</v>
      </c>
      <c r="R32" s="528">
        <f t="shared" si="4"/>
        <v>62.5</v>
      </c>
      <c r="W32" s="496" t="str">
        <f t="shared" ref="W32:AH32" si="8">VLOOKUP(W29,$U$16:$V$27,2,0)</f>
        <v>Enero</v>
      </c>
      <c r="X32" s="496" t="str">
        <f t="shared" si="8"/>
        <v>Febrero</v>
      </c>
      <c r="Y32" s="496" t="str">
        <f t="shared" si="8"/>
        <v>Marzo</v>
      </c>
      <c r="Z32" s="496" t="str">
        <f t="shared" si="8"/>
        <v>Abril</v>
      </c>
      <c r="AA32" s="496" t="str">
        <f t="shared" si="8"/>
        <v>Mayo</v>
      </c>
      <c r="AB32" s="496" t="str">
        <f t="shared" si="8"/>
        <v>Junio</v>
      </c>
      <c r="AC32" s="496" t="str">
        <f t="shared" si="8"/>
        <v>Julio</v>
      </c>
      <c r="AD32" s="496" t="str">
        <f t="shared" si="8"/>
        <v>Agosto</v>
      </c>
      <c r="AE32" s="496" t="str">
        <f t="shared" si="8"/>
        <v>Septiembre</v>
      </c>
      <c r="AF32" s="496" t="str">
        <f t="shared" si="8"/>
        <v>Octubre</v>
      </c>
      <c r="AG32" s="496" t="str">
        <f t="shared" si="8"/>
        <v>Noviembre</v>
      </c>
      <c r="AH32" s="496" t="str">
        <f t="shared" si="8"/>
        <v>Diciembre</v>
      </c>
      <c r="AI32"/>
    </row>
    <row r="33" spans="1:35" s="496" customFormat="1" x14ac:dyDescent="0.25">
      <c r="A33" s="537">
        <v>11</v>
      </c>
      <c r="B33" s="530" t="s">
        <v>665</v>
      </c>
      <c r="C33" s="527">
        <f>'Balances y Proyecciones'!N33</f>
        <v>90</v>
      </c>
      <c r="D33" s="521"/>
      <c r="E33" s="527">
        <f>'Balances y Proyecciones'!T33</f>
        <v>90</v>
      </c>
      <c r="F33" s="521"/>
      <c r="G33" s="531">
        <f t="shared" si="4"/>
        <v>7.5</v>
      </c>
      <c r="H33" s="531">
        <f t="shared" si="4"/>
        <v>7.5</v>
      </c>
      <c r="I33" s="531">
        <f t="shared" si="4"/>
        <v>7.5</v>
      </c>
      <c r="J33" s="531">
        <f t="shared" si="4"/>
        <v>7.5</v>
      </c>
      <c r="K33" s="531">
        <f t="shared" si="4"/>
        <v>7.5</v>
      </c>
      <c r="L33" s="531">
        <f t="shared" si="4"/>
        <v>7.5</v>
      </c>
      <c r="M33" s="531">
        <f t="shared" si="4"/>
        <v>7.5</v>
      </c>
      <c r="N33" s="531">
        <f t="shared" si="4"/>
        <v>7.5</v>
      </c>
      <c r="O33" s="531">
        <f t="shared" si="4"/>
        <v>7.5</v>
      </c>
      <c r="P33" s="531">
        <f t="shared" si="4"/>
        <v>7.5</v>
      </c>
      <c r="Q33" s="531">
        <f t="shared" si="4"/>
        <v>7.5</v>
      </c>
      <c r="R33" s="531">
        <f t="shared" si="4"/>
        <v>7.5</v>
      </c>
      <c r="AG33"/>
      <c r="AH33"/>
      <c r="AI33"/>
    </row>
    <row r="34" spans="1:35" s="496" customFormat="1" x14ac:dyDescent="0.25">
      <c r="A34" s="507"/>
      <c r="B34" s="538" t="s">
        <v>1067</v>
      </c>
      <c r="C34" s="539">
        <f>'Balances y Proyecciones'!N34</f>
        <v>3870</v>
      </c>
      <c r="D34" s="521"/>
      <c r="E34" s="539">
        <f>'Balances y Proyecciones'!T34</f>
        <v>4789.6999999999989</v>
      </c>
      <c r="F34" s="521"/>
      <c r="G34" s="540">
        <f t="shared" ref="G34:R34" si="9">SUM(G26:G32)</f>
        <v>399.14166666666659</v>
      </c>
      <c r="H34" s="540">
        <f t="shared" si="9"/>
        <v>399.14166666666659</v>
      </c>
      <c r="I34" s="540">
        <f t="shared" si="9"/>
        <v>399.14166666666659</v>
      </c>
      <c r="J34" s="540">
        <f t="shared" si="9"/>
        <v>399.14166666666659</v>
      </c>
      <c r="K34" s="540">
        <f t="shared" si="9"/>
        <v>399.14166666666659</v>
      </c>
      <c r="L34" s="540">
        <f t="shared" si="9"/>
        <v>399.14166666666659</v>
      </c>
      <c r="M34" s="540">
        <f t="shared" si="9"/>
        <v>399.14166666666659</v>
      </c>
      <c r="N34" s="540">
        <f t="shared" si="9"/>
        <v>399.14166666666659</v>
      </c>
      <c r="O34" s="540">
        <f t="shared" si="9"/>
        <v>399.14166666666659</v>
      </c>
      <c r="P34" s="540">
        <f t="shared" si="9"/>
        <v>399.14166666666659</v>
      </c>
      <c r="Q34" s="540">
        <f t="shared" si="9"/>
        <v>399.14166666666659</v>
      </c>
      <c r="R34" s="540">
        <f t="shared" si="9"/>
        <v>399.14166666666659</v>
      </c>
      <c r="AG34"/>
      <c r="AH34"/>
      <c r="AI34"/>
    </row>
    <row r="35" spans="1:35" s="496" customFormat="1" x14ac:dyDescent="0.25">
      <c r="A35" s="507"/>
      <c r="B35" s="538" t="s">
        <v>1068</v>
      </c>
      <c r="C35" s="539">
        <f>'Balances y Proyecciones'!N35</f>
        <v>3960</v>
      </c>
      <c r="D35" s="521"/>
      <c r="E35" s="539">
        <f>'Balances y Proyecciones'!T35</f>
        <v>4879.6999999999989</v>
      </c>
      <c r="F35" s="521"/>
      <c r="G35" s="540">
        <f t="shared" ref="G35:R35" si="10">G33+G34</f>
        <v>406.64166666666659</v>
      </c>
      <c r="H35" s="540">
        <f t="shared" si="10"/>
        <v>406.64166666666659</v>
      </c>
      <c r="I35" s="540">
        <f t="shared" si="10"/>
        <v>406.64166666666659</v>
      </c>
      <c r="J35" s="540">
        <f t="shared" si="10"/>
        <v>406.64166666666659</v>
      </c>
      <c r="K35" s="540">
        <f t="shared" si="10"/>
        <v>406.64166666666659</v>
      </c>
      <c r="L35" s="540">
        <f t="shared" si="10"/>
        <v>406.64166666666659</v>
      </c>
      <c r="M35" s="540">
        <f t="shared" si="10"/>
        <v>406.64166666666659</v>
      </c>
      <c r="N35" s="540">
        <f t="shared" si="10"/>
        <v>406.64166666666659</v>
      </c>
      <c r="O35" s="540">
        <f t="shared" si="10"/>
        <v>406.64166666666659</v>
      </c>
      <c r="P35" s="540">
        <f t="shared" si="10"/>
        <v>406.64166666666659</v>
      </c>
      <c r="Q35" s="540">
        <f t="shared" si="10"/>
        <v>406.64166666666659</v>
      </c>
      <c r="R35" s="540">
        <f t="shared" si="10"/>
        <v>406.64166666666659</v>
      </c>
      <c r="AG35"/>
      <c r="AH35"/>
      <c r="AI35"/>
    </row>
    <row r="36" spans="1:35" s="496" customFormat="1" x14ac:dyDescent="0.25">
      <c r="A36" s="518">
        <v>12</v>
      </c>
      <c r="B36" s="534" t="s">
        <v>1069</v>
      </c>
      <c r="C36" s="535">
        <f>'Balances y Proyecciones'!N36</f>
        <v>10</v>
      </c>
      <c r="D36" s="521"/>
      <c r="E36" s="535">
        <f>'Balances y Proyecciones'!T36</f>
        <v>0</v>
      </c>
      <c r="F36" s="521"/>
      <c r="G36" s="541">
        <f t="shared" ref="G36:R47" si="11">IF($G$12=1,"Error %",$E36*G$13)</f>
        <v>0</v>
      </c>
      <c r="H36" s="541">
        <f t="shared" si="11"/>
        <v>0</v>
      </c>
      <c r="I36" s="541">
        <f t="shared" si="11"/>
        <v>0</v>
      </c>
      <c r="J36" s="541">
        <f t="shared" si="11"/>
        <v>0</v>
      </c>
      <c r="K36" s="541">
        <f t="shared" si="11"/>
        <v>0</v>
      </c>
      <c r="L36" s="541">
        <f t="shared" si="11"/>
        <v>0</v>
      </c>
      <c r="M36" s="541">
        <f t="shared" si="11"/>
        <v>0</v>
      </c>
      <c r="N36" s="541">
        <f t="shared" si="11"/>
        <v>0</v>
      </c>
      <c r="O36" s="541">
        <f t="shared" si="11"/>
        <v>0</v>
      </c>
      <c r="P36" s="541">
        <f t="shared" si="11"/>
        <v>0</v>
      </c>
      <c r="Q36" s="541">
        <f t="shared" si="11"/>
        <v>0</v>
      </c>
      <c r="R36" s="541">
        <f t="shared" si="11"/>
        <v>0</v>
      </c>
      <c r="AG36"/>
      <c r="AH36"/>
      <c r="AI36"/>
    </row>
    <row r="37" spans="1:35" s="496" customFormat="1" x14ac:dyDescent="0.25">
      <c r="A37" s="523" t="s">
        <v>1070</v>
      </c>
      <c r="B37" s="524" t="s">
        <v>1071</v>
      </c>
      <c r="C37" s="525"/>
      <c r="D37" s="521"/>
      <c r="E37" s="525">
        <f>'Balances y Proyecciones'!T37</f>
        <v>0</v>
      </c>
      <c r="F37" s="521"/>
      <c r="G37" s="525">
        <f t="shared" si="11"/>
        <v>0</v>
      </c>
      <c r="H37" s="525">
        <f t="shared" si="11"/>
        <v>0</v>
      </c>
      <c r="I37" s="525">
        <f t="shared" si="11"/>
        <v>0</v>
      </c>
      <c r="J37" s="525">
        <f t="shared" si="11"/>
        <v>0</v>
      </c>
      <c r="K37" s="525">
        <f t="shared" si="11"/>
        <v>0</v>
      </c>
      <c r="L37" s="525">
        <f t="shared" si="11"/>
        <v>0</v>
      </c>
      <c r="M37" s="525">
        <f t="shared" si="11"/>
        <v>0</v>
      </c>
      <c r="N37" s="525">
        <f t="shared" si="11"/>
        <v>0</v>
      </c>
      <c r="O37" s="525">
        <f t="shared" si="11"/>
        <v>0</v>
      </c>
      <c r="P37" s="525">
        <f t="shared" si="11"/>
        <v>0</v>
      </c>
      <c r="Q37" s="525">
        <f t="shared" si="11"/>
        <v>0</v>
      </c>
      <c r="R37" s="525">
        <f t="shared" si="11"/>
        <v>0</v>
      </c>
      <c r="AG37"/>
      <c r="AH37"/>
      <c r="AI37"/>
    </row>
    <row r="38" spans="1:35" s="496" customFormat="1" x14ac:dyDescent="0.25">
      <c r="A38" s="523" t="s">
        <v>1072</v>
      </c>
      <c r="B38" s="524" t="s">
        <v>1073</v>
      </c>
      <c r="C38" s="525">
        <f>'Balances y Proyecciones'!N38</f>
        <v>10</v>
      </c>
      <c r="D38" s="521"/>
      <c r="E38" s="525">
        <f>'Balances y Proyecciones'!T38</f>
        <v>0</v>
      </c>
      <c r="F38" s="521"/>
      <c r="G38" s="525">
        <f t="shared" si="11"/>
        <v>0</v>
      </c>
      <c r="H38" s="525">
        <f t="shared" si="11"/>
        <v>0</v>
      </c>
      <c r="I38" s="525">
        <f t="shared" si="11"/>
        <v>0</v>
      </c>
      <c r="J38" s="525">
        <f t="shared" si="11"/>
        <v>0</v>
      </c>
      <c r="K38" s="525">
        <f t="shared" si="11"/>
        <v>0</v>
      </c>
      <c r="L38" s="525">
        <f t="shared" si="11"/>
        <v>0</v>
      </c>
      <c r="M38" s="525">
        <f t="shared" si="11"/>
        <v>0</v>
      </c>
      <c r="N38" s="525">
        <f t="shared" si="11"/>
        <v>0</v>
      </c>
      <c r="O38" s="525">
        <f t="shared" si="11"/>
        <v>0</v>
      </c>
      <c r="P38" s="525">
        <f t="shared" si="11"/>
        <v>0</v>
      </c>
      <c r="Q38" s="525">
        <f t="shared" si="11"/>
        <v>0</v>
      </c>
      <c r="R38" s="525">
        <f t="shared" si="11"/>
        <v>0</v>
      </c>
      <c r="AG38"/>
      <c r="AH38"/>
      <c r="AI38"/>
    </row>
    <row r="39" spans="1:35" s="496" customFormat="1" x14ac:dyDescent="0.25">
      <c r="A39" s="523" t="s">
        <v>1074</v>
      </c>
      <c r="B39" s="524" t="s">
        <v>1075</v>
      </c>
      <c r="C39" s="525"/>
      <c r="D39" s="521"/>
      <c r="E39" s="525">
        <f>'Balances y Proyecciones'!T39</f>
        <v>0</v>
      </c>
      <c r="F39" s="521"/>
      <c r="G39" s="525">
        <f t="shared" si="11"/>
        <v>0</v>
      </c>
      <c r="H39" s="525">
        <f t="shared" si="11"/>
        <v>0</v>
      </c>
      <c r="I39" s="525">
        <f t="shared" si="11"/>
        <v>0</v>
      </c>
      <c r="J39" s="525">
        <f t="shared" si="11"/>
        <v>0</v>
      </c>
      <c r="K39" s="525">
        <f t="shared" si="11"/>
        <v>0</v>
      </c>
      <c r="L39" s="525">
        <f t="shared" si="11"/>
        <v>0</v>
      </c>
      <c r="M39" s="525">
        <f t="shared" si="11"/>
        <v>0</v>
      </c>
      <c r="N39" s="525">
        <f t="shared" si="11"/>
        <v>0</v>
      </c>
      <c r="O39" s="525">
        <f t="shared" si="11"/>
        <v>0</v>
      </c>
      <c r="P39" s="525">
        <f t="shared" si="11"/>
        <v>0</v>
      </c>
      <c r="Q39" s="525">
        <f t="shared" si="11"/>
        <v>0</v>
      </c>
      <c r="R39" s="525">
        <f t="shared" si="11"/>
        <v>0</v>
      </c>
      <c r="AG39"/>
      <c r="AH39"/>
      <c r="AI39"/>
    </row>
    <row r="40" spans="1:35" s="496" customFormat="1" x14ac:dyDescent="0.25">
      <c r="A40" s="526">
        <v>14</v>
      </c>
      <c r="B40" s="524" t="s">
        <v>685</v>
      </c>
      <c r="C40" s="525">
        <f>'Balances y Proyecciones'!N40</f>
        <v>30</v>
      </c>
      <c r="D40" s="521"/>
      <c r="E40" s="525">
        <f>'Balances y Proyecciones'!T40</f>
        <v>30.000000000000004</v>
      </c>
      <c r="F40" s="521"/>
      <c r="G40" s="525">
        <f t="shared" si="11"/>
        <v>2.5</v>
      </c>
      <c r="H40" s="525">
        <f t="shared" si="11"/>
        <v>2.5</v>
      </c>
      <c r="I40" s="525">
        <f t="shared" si="11"/>
        <v>2.5</v>
      </c>
      <c r="J40" s="525">
        <f t="shared" si="11"/>
        <v>2.5</v>
      </c>
      <c r="K40" s="525">
        <f t="shared" si="11"/>
        <v>2.5</v>
      </c>
      <c r="L40" s="525">
        <f t="shared" si="11"/>
        <v>2.5</v>
      </c>
      <c r="M40" s="525">
        <f t="shared" si="11"/>
        <v>2.5</v>
      </c>
      <c r="N40" s="525">
        <f t="shared" si="11"/>
        <v>2.5</v>
      </c>
      <c r="O40" s="525">
        <f t="shared" si="11"/>
        <v>2.5</v>
      </c>
      <c r="P40" s="525">
        <f t="shared" si="11"/>
        <v>2.5</v>
      </c>
      <c r="Q40" s="525">
        <f t="shared" si="11"/>
        <v>2.5</v>
      </c>
      <c r="R40" s="525">
        <f t="shared" si="11"/>
        <v>2.5</v>
      </c>
      <c r="AG40"/>
      <c r="AH40"/>
      <c r="AI40"/>
    </row>
    <row r="41" spans="1:35" s="496" customFormat="1" x14ac:dyDescent="0.25">
      <c r="A41" s="526">
        <v>15</v>
      </c>
      <c r="B41" s="524" t="s">
        <v>1076</v>
      </c>
      <c r="C41" s="525">
        <f>'Balances y Proyecciones'!N41</f>
        <v>60</v>
      </c>
      <c r="D41" s="521"/>
      <c r="E41" s="525">
        <f>'Balances y Proyecciones'!T41</f>
        <v>60</v>
      </c>
      <c r="F41" s="521"/>
      <c r="G41" s="525">
        <f t="shared" si="11"/>
        <v>5</v>
      </c>
      <c r="H41" s="525">
        <f t="shared" si="11"/>
        <v>5</v>
      </c>
      <c r="I41" s="525">
        <f t="shared" si="11"/>
        <v>5</v>
      </c>
      <c r="J41" s="525">
        <f t="shared" si="11"/>
        <v>5</v>
      </c>
      <c r="K41" s="525">
        <f t="shared" si="11"/>
        <v>5</v>
      </c>
      <c r="L41" s="525">
        <f t="shared" si="11"/>
        <v>5</v>
      </c>
      <c r="M41" s="525">
        <f t="shared" si="11"/>
        <v>5</v>
      </c>
      <c r="N41" s="525">
        <f t="shared" si="11"/>
        <v>5</v>
      </c>
      <c r="O41" s="525">
        <f t="shared" si="11"/>
        <v>5</v>
      </c>
      <c r="P41" s="525">
        <f t="shared" si="11"/>
        <v>5</v>
      </c>
      <c r="Q41" s="525">
        <f t="shared" si="11"/>
        <v>5</v>
      </c>
      <c r="R41" s="525">
        <f t="shared" si="11"/>
        <v>5</v>
      </c>
      <c r="AG41"/>
      <c r="AH41"/>
      <c r="AI41"/>
    </row>
    <row r="42" spans="1:35" s="496" customFormat="1" x14ac:dyDescent="0.25">
      <c r="A42" s="526">
        <v>16</v>
      </c>
      <c r="B42" s="524" t="s">
        <v>1077</v>
      </c>
      <c r="C42" s="525">
        <f>'Balances y Proyecciones'!N42</f>
        <v>40</v>
      </c>
      <c r="D42" s="521"/>
      <c r="E42" s="525">
        <f>'Balances y Proyecciones'!T42</f>
        <v>40</v>
      </c>
      <c r="F42" s="521"/>
      <c r="G42" s="527">
        <f t="shared" si="11"/>
        <v>3.333333333333333</v>
      </c>
      <c r="H42" s="527">
        <f t="shared" si="11"/>
        <v>3.333333333333333</v>
      </c>
      <c r="I42" s="527">
        <f t="shared" si="11"/>
        <v>3.333333333333333</v>
      </c>
      <c r="J42" s="527">
        <f t="shared" si="11"/>
        <v>3.333333333333333</v>
      </c>
      <c r="K42" s="527">
        <f t="shared" si="11"/>
        <v>3.333333333333333</v>
      </c>
      <c r="L42" s="527">
        <f t="shared" si="11"/>
        <v>3.333333333333333</v>
      </c>
      <c r="M42" s="527">
        <f t="shared" si="11"/>
        <v>3.333333333333333</v>
      </c>
      <c r="N42" s="527">
        <f t="shared" si="11"/>
        <v>3.333333333333333</v>
      </c>
      <c r="O42" s="527">
        <f t="shared" si="11"/>
        <v>3.333333333333333</v>
      </c>
      <c r="P42" s="527">
        <f t="shared" si="11"/>
        <v>3.333333333333333</v>
      </c>
      <c r="Q42" s="527">
        <f t="shared" si="11"/>
        <v>3.333333333333333</v>
      </c>
      <c r="R42" s="527">
        <f t="shared" si="11"/>
        <v>3.333333333333333</v>
      </c>
      <c r="AG42"/>
      <c r="AH42"/>
      <c r="AI42"/>
    </row>
    <row r="43" spans="1:35" s="496" customFormat="1" x14ac:dyDescent="0.25">
      <c r="A43" s="526">
        <v>17</v>
      </c>
      <c r="B43" s="524" t="s">
        <v>1078</v>
      </c>
      <c r="C43" s="525">
        <f>'Balances y Proyecciones'!N43</f>
        <v>40</v>
      </c>
      <c r="D43" s="521"/>
      <c r="E43" s="525">
        <f>'Balances y Proyecciones'!T43</f>
        <v>40</v>
      </c>
      <c r="F43" s="521"/>
      <c r="G43" s="542">
        <f t="shared" si="11"/>
        <v>3.333333333333333</v>
      </c>
      <c r="H43" s="542">
        <f t="shared" si="11"/>
        <v>3.333333333333333</v>
      </c>
      <c r="I43" s="542">
        <f t="shared" si="11"/>
        <v>3.333333333333333</v>
      </c>
      <c r="J43" s="542">
        <f t="shared" si="11"/>
        <v>3.333333333333333</v>
      </c>
      <c r="K43" s="542">
        <f t="shared" si="11"/>
        <v>3.333333333333333</v>
      </c>
      <c r="L43" s="542">
        <f t="shared" si="11"/>
        <v>3.333333333333333</v>
      </c>
      <c r="M43" s="542">
        <f t="shared" si="11"/>
        <v>3.333333333333333</v>
      </c>
      <c r="N43" s="542">
        <f t="shared" si="11"/>
        <v>3.333333333333333</v>
      </c>
      <c r="O43" s="542">
        <f t="shared" si="11"/>
        <v>3.333333333333333</v>
      </c>
      <c r="P43" s="542">
        <f t="shared" si="11"/>
        <v>3.333333333333333</v>
      </c>
      <c r="Q43" s="542">
        <f t="shared" si="11"/>
        <v>3.333333333333333</v>
      </c>
      <c r="R43" s="542">
        <f t="shared" si="11"/>
        <v>3.333333333333333</v>
      </c>
      <c r="AG43"/>
      <c r="AH43"/>
      <c r="AI43"/>
    </row>
    <row r="44" spans="1:35" s="496" customFormat="1" x14ac:dyDescent="0.25">
      <c r="A44" s="526">
        <v>18</v>
      </c>
      <c r="B44" s="524" t="s">
        <v>689</v>
      </c>
      <c r="C44" s="525">
        <f>'Balances y Proyecciones'!N44</f>
        <v>120</v>
      </c>
      <c r="D44" s="521"/>
      <c r="E44" s="525">
        <f>'Balances y Proyecciones'!T44</f>
        <v>120.00000000000003</v>
      </c>
      <c r="F44" s="521"/>
      <c r="G44" s="543">
        <f t="shared" si="11"/>
        <v>10.000000000000002</v>
      </c>
      <c r="H44" s="543">
        <f t="shared" si="11"/>
        <v>10.000000000000002</v>
      </c>
      <c r="I44" s="543">
        <f t="shared" si="11"/>
        <v>10.000000000000002</v>
      </c>
      <c r="J44" s="543">
        <f t="shared" si="11"/>
        <v>10.000000000000002</v>
      </c>
      <c r="K44" s="543">
        <f t="shared" si="11"/>
        <v>10.000000000000002</v>
      </c>
      <c r="L44" s="543">
        <f t="shared" si="11"/>
        <v>10.000000000000002</v>
      </c>
      <c r="M44" s="543">
        <f t="shared" si="11"/>
        <v>10.000000000000002</v>
      </c>
      <c r="N44" s="543">
        <f t="shared" si="11"/>
        <v>10.000000000000002</v>
      </c>
      <c r="O44" s="543">
        <f t="shared" si="11"/>
        <v>10.000000000000002</v>
      </c>
      <c r="P44" s="543">
        <f t="shared" si="11"/>
        <v>10.000000000000002</v>
      </c>
      <c r="Q44" s="543">
        <f t="shared" si="11"/>
        <v>10.000000000000002</v>
      </c>
      <c r="R44" s="543">
        <f t="shared" si="11"/>
        <v>10.000000000000002</v>
      </c>
      <c r="AG44"/>
      <c r="AH44"/>
      <c r="AI44"/>
    </row>
    <row r="45" spans="1:35" s="496" customFormat="1" x14ac:dyDescent="0.25">
      <c r="A45" s="526">
        <v>19</v>
      </c>
      <c r="B45" s="524" t="s">
        <v>1079</v>
      </c>
      <c r="C45" s="525">
        <f>'Balances y Proyecciones'!N45</f>
        <v>20</v>
      </c>
      <c r="D45" s="521"/>
      <c r="E45" s="525">
        <f>'Balances y Proyecciones'!T45</f>
        <v>20</v>
      </c>
      <c r="F45" s="521"/>
      <c r="G45" s="542">
        <f t="shared" si="11"/>
        <v>1.6666666666666665</v>
      </c>
      <c r="H45" s="542">
        <f t="shared" si="11"/>
        <v>1.6666666666666665</v>
      </c>
      <c r="I45" s="542">
        <f t="shared" si="11"/>
        <v>1.6666666666666665</v>
      </c>
      <c r="J45" s="542">
        <f t="shared" si="11"/>
        <v>1.6666666666666665</v>
      </c>
      <c r="K45" s="542">
        <f t="shared" si="11"/>
        <v>1.6666666666666665</v>
      </c>
      <c r="L45" s="542">
        <f t="shared" si="11"/>
        <v>1.6666666666666665</v>
      </c>
      <c r="M45" s="542">
        <f t="shared" si="11"/>
        <v>1.6666666666666665</v>
      </c>
      <c r="N45" s="542">
        <f t="shared" si="11"/>
        <v>1.6666666666666665</v>
      </c>
      <c r="O45" s="542">
        <f t="shared" si="11"/>
        <v>1.6666666666666665</v>
      </c>
      <c r="P45" s="542">
        <f t="shared" si="11"/>
        <v>1.6666666666666665</v>
      </c>
      <c r="Q45" s="542">
        <f t="shared" si="11"/>
        <v>1.6666666666666665</v>
      </c>
      <c r="R45" s="542">
        <f t="shared" si="11"/>
        <v>1.6666666666666665</v>
      </c>
      <c r="AG45"/>
      <c r="AH45"/>
      <c r="AI45"/>
    </row>
    <row r="46" spans="1:35" s="496" customFormat="1" x14ac:dyDescent="0.25">
      <c r="A46" s="523" t="s">
        <v>1080</v>
      </c>
      <c r="B46" s="524" t="s">
        <v>717</v>
      </c>
      <c r="C46" s="525">
        <f>'Balances y Proyecciones'!N46</f>
        <v>90</v>
      </c>
      <c r="D46" s="521"/>
      <c r="E46" s="525">
        <f>'Balances y Proyecciones'!T46</f>
        <v>90.000000000000014</v>
      </c>
      <c r="F46" s="521"/>
      <c r="G46" s="543">
        <f t="shared" si="11"/>
        <v>7.5000000000000009</v>
      </c>
      <c r="H46" s="543">
        <f t="shared" si="11"/>
        <v>7.5000000000000009</v>
      </c>
      <c r="I46" s="543">
        <f t="shared" si="11"/>
        <v>7.5000000000000009</v>
      </c>
      <c r="J46" s="543">
        <f t="shared" si="11"/>
        <v>7.5000000000000009</v>
      </c>
      <c r="K46" s="543">
        <f t="shared" si="11"/>
        <v>7.5000000000000009</v>
      </c>
      <c r="L46" s="543">
        <f t="shared" si="11"/>
        <v>7.5000000000000009</v>
      </c>
      <c r="M46" s="543">
        <f t="shared" si="11"/>
        <v>7.5000000000000009</v>
      </c>
      <c r="N46" s="543">
        <f t="shared" si="11"/>
        <v>7.5000000000000009</v>
      </c>
      <c r="O46" s="543">
        <f t="shared" si="11"/>
        <v>7.5000000000000009</v>
      </c>
      <c r="P46" s="543">
        <f t="shared" si="11"/>
        <v>7.5000000000000009</v>
      </c>
      <c r="Q46" s="543">
        <f t="shared" si="11"/>
        <v>7.5000000000000009</v>
      </c>
      <c r="R46" s="543">
        <f t="shared" si="11"/>
        <v>7.5000000000000009</v>
      </c>
      <c r="AG46"/>
      <c r="AH46"/>
      <c r="AI46"/>
    </row>
    <row r="47" spans="1:35" s="496" customFormat="1" x14ac:dyDescent="0.25">
      <c r="A47" s="529" t="s">
        <v>1081</v>
      </c>
      <c r="B47" s="530" t="s">
        <v>1057</v>
      </c>
      <c r="C47" s="527">
        <f>'Balances y Proyecciones'!N47</f>
        <v>50</v>
      </c>
      <c r="D47" s="521"/>
      <c r="E47" s="527">
        <f>'Balances y Proyecciones'!T47</f>
        <v>50</v>
      </c>
      <c r="F47" s="521"/>
      <c r="G47" s="544">
        <f t="shared" si="11"/>
        <v>4.1666666666666661</v>
      </c>
      <c r="H47" s="544">
        <f t="shared" si="11"/>
        <v>4.1666666666666661</v>
      </c>
      <c r="I47" s="544">
        <f t="shared" si="11"/>
        <v>4.1666666666666661</v>
      </c>
      <c r="J47" s="544">
        <f t="shared" si="11"/>
        <v>4.1666666666666661</v>
      </c>
      <c r="K47" s="544">
        <f t="shared" si="11"/>
        <v>4.1666666666666661</v>
      </c>
      <c r="L47" s="544">
        <f t="shared" si="11"/>
        <v>4.1666666666666661</v>
      </c>
      <c r="M47" s="544">
        <f t="shared" si="11"/>
        <v>4.1666666666666661</v>
      </c>
      <c r="N47" s="544">
        <f t="shared" si="11"/>
        <v>4.1666666666666661</v>
      </c>
      <c r="O47" s="544">
        <f t="shared" si="11"/>
        <v>4.1666666666666661</v>
      </c>
      <c r="P47" s="544">
        <f t="shared" si="11"/>
        <v>4.1666666666666661</v>
      </c>
      <c r="Q47" s="544">
        <f t="shared" si="11"/>
        <v>4.1666666666666661</v>
      </c>
      <c r="R47" s="544">
        <f t="shared" si="11"/>
        <v>4.1666666666666661</v>
      </c>
      <c r="AG47"/>
      <c r="AH47"/>
      <c r="AI47"/>
    </row>
    <row r="48" spans="1:35" s="496" customFormat="1" x14ac:dyDescent="0.25">
      <c r="A48" s="507"/>
      <c r="B48" s="508" t="s">
        <v>679</v>
      </c>
      <c r="C48" s="532">
        <f>'Balances y Proyecciones'!N48</f>
        <v>480</v>
      </c>
      <c r="D48" s="521"/>
      <c r="E48" s="532">
        <f>'Balances y Proyecciones'!T48</f>
        <v>450</v>
      </c>
      <c r="F48" s="521"/>
      <c r="G48" s="533">
        <f t="shared" ref="G48:R48" si="12">SUM(G36:G47)</f>
        <v>37.5</v>
      </c>
      <c r="H48" s="533">
        <f t="shared" si="12"/>
        <v>37.5</v>
      </c>
      <c r="I48" s="533">
        <f t="shared" si="12"/>
        <v>37.5</v>
      </c>
      <c r="J48" s="533">
        <f t="shared" si="12"/>
        <v>37.5</v>
      </c>
      <c r="K48" s="533">
        <f t="shared" si="12"/>
        <v>37.5</v>
      </c>
      <c r="L48" s="533">
        <f t="shared" si="12"/>
        <v>37.5</v>
      </c>
      <c r="M48" s="533">
        <f t="shared" si="12"/>
        <v>37.5</v>
      </c>
      <c r="N48" s="533">
        <f t="shared" si="12"/>
        <v>37.5</v>
      </c>
      <c r="O48" s="533">
        <f t="shared" si="12"/>
        <v>37.5</v>
      </c>
      <c r="P48" s="533">
        <f t="shared" si="12"/>
        <v>37.5</v>
      </c>
      <c r="Q48" s="533">
        <f t="shared" si="12"/>
        <v>37.5</v>
      </c>
      <c r="R48" s="533">
        <f t="shared" si="12"/>
        <v>37.5</v>
      </c>
      <c r="AG48"/>
      <c r="AH48"/>
      <c r="AI48"/>
    </row>
    <row r="49" spans="1:35" s="496" customFormat="1" x14ac:dyDescent="0.25">
      <c r="A49" s="545" t="s">
        <v>1082</v>
      </c>
      <c r="B49" s="534" t="s">
        <v>741</v>
      </c>
      <c r="C49" s="535">
        <f>'Balances y Proyecciones'!N49</f>
        <v>10</v>
      </c>
      <c r="D49" s="521"/>
      <c r="E49" s="535">
        <f>'Balances y Proyecciones'!T49</f>
        <v>20</v>
      </c>
      <c r="F49" s="521"/>
      <c r="G49" s="535">
        <f t="shared" ref="G49:R57" si="13">IF($G$12=1,"Error %",$E49*G$13)</f>
        <v>1.6666666666666665</v>
      </c>
      <c r="H49" s="535">
        <f t="shared" si="13"/>
        <v>1.6666666666666665</v>
      </c>
      <c r="I49" s="535">
        <f t="shared" si="13"/>
        <v>1.6666666666666665</v>
      </c>
      <c r="J49" s="535">
        <f t="shared" si="13"/>
        <v>1.6666666666666665</v>
      </c>
      <c r="K49" s="535">
        <f t="shared" si="13"/>
        <v>1.6666666666666665</v>
      </c>
      <c r="L49" s="535">
        <f t="shared" si="13"/>
        <v>1.6666666666666665</v>
      </c>
      <c r="M49" s="535">
        <f t="shared" si="13"/>
        <v>1.6666666666666665</v>
      </c>
      <c r="N49" s="535">
        <f t="shared" si="13"/>
        <v>1.6666666666666665</v>
      </c>
      <c r="O49" s="535">
        <f t="shared" si="13"/>
        <v>1.6666666666666665</v>
      </c>
      <c r="P49" s="535">
        <f t="shared" si="13"/>
        <v>1.6666666666666665</v>
      </c>
      <c r="Q49" s="535">
        <f t="shared" si="13"/>
        <v>1.6666666666666665</v>
      </c>
      <c r="R49" s="535">
        <f t="shared" si="13"/>
        <v>1.6666666666666665</v>
      </c>
      <c r="AG49"/>
      <c r="AH49"/>
      <c r="AI49"/>
    </row>
    <row r="50" spans="1:35" s="496" customFormat="1" x14ac:dyDescent="0.25">
      <c r="A50" s="523" t="s">
        <v>1083</v>
      </c>
      <c r="B50" s="524" t="s">
        <v>1084</v>
      </c>
      <c r="C50" s="525">
        <f>'Balances y Proyecciones'!N50</f>
        <v>10</v>
      </c>
      <c r="D50" s="521"/>
      <c r="E50" s="525">
        <f>'Balances y Proyecciones'!T50</f>
        <v>20</v>
      </c>
      <c r="F50" s="521"/>
      <c r="G50" s="525">
        <f t="shared" si="13"/>
        <v>1.6666666666666665</v>
      </c>
      <c r="H50" s="525">
        <f t="shared" si="13"/>
        <v>1.6666666666666665</v>
      </c>
      <c r="I50" s="525">
        <f t="shared" si="13"/>
        <v>1.6666666666666665</v>
      </c>
      <c r="J50" s="525">
        <f t="shared" si="13"/>
        <v>1.6666666666666665</v>
      </c>
      <c r="K50" s="525">
        <f t="shared" si="13"/>
        <v>1.6666666666666665</v>
      </c>
      <c r="L50" s="525">
        <f t="shared" si="13"/>
        <v>1.6666666666666665</v>
      </c>
      <c r="M50" s="525">
        <f t="shared" si="13"/>
        <v>1.6666666666666665</v>
      </c>
      <c r="N50" s="525">
        <f t="shared" si="13"/>
        <v>1.6666666666666665</v>
      </c>
      <c r="O50" s="525">
        <f t="shared" si="13"/>
        <v>1.6666666666666665</v>
      </c>
      <c r="P50" s="525">
        <f t="shared" si="13"/>
        <v>1.6666666666666665</v>
      </c>
      <c r="Q50" s="525">
        <f t="shared" si="13"/>
        <v>1.6666666666666665</v>
      </c>
      <c r="R50" s="525">
        <f t="shared" si="13"/>
        <v>1.6666666666666665</v>
      </c>
      <c r="AG50"/>
      <c r="AH50"/>
      <c r="AI50"/>
    </row>
    <row r="51" spans="1:35" s="496" customFormat="1" x14ac:dyDescent="0.25">
      <c r="A51" s="523" t="s">
        <v>1085</v>
      </c>
      <c r="B51" s="524" t="s">
        <v>1086</v>
      </c>
      <c r="C51" s="525"/>
      <c r="D51" s="521"/>
      <c r="E51" s="525">
        <f>'Balances y Proyecciones'!T51</f>
        <v>0</v>
      </c>
      <c r="F51" s="521"/>
      <c r="G51" s="527">
        <f t="shared" si="13"/>
        <v>0</v>
      </c>
      <c r="H51" s="527">
        <f t="shared" si="13"/>
        <v>0</v>
      </c>
      <c r="I51" s="527">
        <f t="shared" si="13"/>
        <v>0</v>
      </c>
      <c r="J51" s="527">
        <f t="shared" si="13"/>
        <v>0</v>
      </c>
      <c r="K51" s="527">
        <f t="shared" si="13"/>
        <v>0</v>
      </c>
      <c r="L51" s="527">
        <f t="shared" si="13"/>
        <v>0</v>
      </c>
      <c r="M51" s="527">
        <f t="shared" si="13"/>
        <v>0</v>
      </c>
      <c r="N51" s="527">
        <f t="shared" si="13"/>
        <v>0</v>
      </c>
      <c r="O51" s="527">
        <f t="shared" si="13"/>
        <v>0</v>
      </c>
      <c r="P51" s="527">
        <f t="shared" si="13"/>
        <v>0</v>
      </c>
      <c r="Q51" s="527">
        <f t="shared" si="13"/>
        <v>0</v>
      </c>
      <c r="R51" s="527">
        <f t="shared" si="13"/>
        <v>0</v>
      </c>
      <c r="AG51"/>
      <c r="AH51"/>
      <c r="AI51"/>
    </row>
    <row r="52" spans="1:35" s="496" customFormat="1" x14ac:dyDescent="0.25">
      <c r="A52" s="523" t="s">
        <v>1087</v>
      </c>
      <c r="B52" s="524" t="s">
        <v>1088</v>
      </c>
      <c r="C52" s="525">
        <f>'Balances y Proyecciones'!N52</f>
        <v>60</v>
      </c>
      <c r="D52" s="521"/>
      <c r="E52" s="525">
        <f>'Balances y Proyecciones'!T52</f>
        <v>60</v>
      </c>
      <c r="F52" s="521"/>
      <c r="G52" s="528">
        <f t="shared" si="13"/>
        <v>5</v>
      </c>
      <c r="H52" s="528">
        <f t="shared" si="13"/>
        <v>5</v>
      </c>
      <c r="I52" s="528">
        <f t="shared" si="13"/>
        <v>5</v>
      </c>
      <c r="J52" s="528">
        <f t="shared" si="13"/>
        <v>5</v>
      </c>
      <c r="K52" s="528">
        <f t="shared" si="13"/>
        <v>5</v>
      </c>
      <c r="L52" s="528">
        <f t="shared" si="13"/>
        <v>5</v>
      </c>
      <c r="M52" s="528">
        <f t="shared" si="13"/>
        <v>5</v>
      </c>
      <c r="N52" s="528">
        <f t="shared" si="13"/>
        <v>5</v>
      </c>
      <c r="O52" s="528">
        <f t="shared" si="13"/>
        <v>5</v>
      </c>
      <c r="P52" s="528">
        <f t="shared" si="13"/>
        <v>5</v>
      </c>
      <c r="Q52" s="528">
        <f t="shared" si="13"/>
        <v>5</v>
      </c>
      <c r="R52" s="528">
        <f t="shared" si="13"/>
        <v>5</v>
      </c>
      <c r="AG52"/>
      <c r="AH52"/>
      <c r="AI52"/>
    </row>
    <row r="53" spans="1:35" s="496" customFormat="1" x14ac:dyDescent="0.25">
      <c r="A53" s="523" t="s">
        <v>1089</v>
      </c>
      <c r="B53" s="524" t="s">
        <v>1090</v>
      </c>
      <c r="C53" s="525">
        <f>'Balances y Proyecciones'!N53</f>
        <v>10</v>
      </c>
      <c r="D53" s="521"/>
      <c r="E53" s="525">
        <f>'Balances y Proyecciones'!T53</f>
        <v>10</v>
      </c>
      <c r="F53" s="521"/>
      <c r="G53" s="546">
        <f t="shared" si="13"/>
        <v>0.83333333333333326</v>
      </c>
      <c r="H53" s="546">
        <f t="shared" si="13"/>
        <v>0.83333333333333326</v>
      </c>
      <c r="I53" s="546">
        <f t="shared" si="13"/>
        <v>0.83333333333333326</v>
      </c>
      <c r="J53" s="546">
        <f t="shared" si="13"/>
        <v>0.83333333333333326</v>
      </c>
      <c r="K53" s="546">
        <f t="shared" si="13"/>
        <v>0.83333333333333326</v>
      </c>
      <c r="L53" s="546">
        <f t="shared" si="13"/>
        <v>0.83333333333333326</v>
      </c>
      <c r="M53" s="546">
        <f t="shared" si="13"/>
        <v>0.83333333333333326</v>
      </c>
      <c r="N53" s="546">
        <f t="shared" si="13"/>
        <v>0.83333333333333326</v>
      </c>
      <c r="O53" s="546">
        <f t="shared" si="13"/>
        <v>0.83333333333333326</v>
      </c>
      <c r="P53" s="546">
        <f t="shared" si="13"/>
        <v>0.83333333333333326</v>
      </c>
      <c r="Q53" s="546">
        <f t="shared" si="13"/>
        <v>0.83333333333333326</v>
      </c>
      <c r="R53" s="546">
        <f t="shared" si="13"/>
        <v>0.83333333333333326</v>
      </c>
      <c r="AG53"/>
      <c r="AH53"/>
      <c r="AI53"/>
    </row>
    <row r="54" spans="1:35" s="496" customFormat="1" x14ac:dyDescent="0.25">
      <c r="A54" s="526">
        <v>23</v>
      </c>
      <c r="B54" s="524" t="s">
        <v>1091</v>
      </c>
      <c r="C54" s="525">
        <f>'Balances y Proyecciones'!N54</f>
        <v>20</v>
      </c>
      <c r="D54" s="521"/>
      <c r="E54" s="525">
        <f>'Balances y Proyecciones'!T54</f>
        <v>20</v>
      </c>
      <c r="F54" s="521"/>
      <c r="G54" s="546">
        <f t="shared" si="13"/>
        <v>1.6666666666666665</v>
      </c>
      <c r="H54" s="546">
        <f t="shared" si="13"/>
        <v>1.6666666666666665</v>
      </c>
      <c r="I54" s="546">
        <f t="shared" si="13"/>
        <v>1.6666666666666665</v>
      </c>
      <c r="J54" s="546">
        <f t="shared" si="13"/>
        <v>1.6666666666666665</v>
      </c>
      <c r="K54" s="546">
        <f t="shared" si="13"/>
        <v>1.6666666666666665</v>
      </c>
      <c r="L54" s="546">
        <f t="shared" si="13"/>
        <v>1.6666666666666665</v>
      </c>
      <c r="M54" s="546">
        <f t="shared" si="13"/>
        <v>1.6666666666666665</v>
      </c>
      <c r="N54" s="546">
        <f t="shared" si="13"/>
        <v>1.6666666666666665</v>
      </c>
      <c r="O54" s="546">
        <f t="shared" si="13"/>
        <v>1.6666666666666665</v>
      </c>
      <c r="P54" s="546">
        <f t="shared" si="13"/>
        <v>1.6666666666666665</v>
      </c>
      <c r="Q54" s="546">
        <f t="shared" si="13"/>
        <v>1.6666666666666665</v>
      </c>
      <c r="R54" s="546">
        <f t="shared" si="13"/>
        <v>1.6666666666666665</v>
      </c>
      <c r="T54" s="547"/>
      <c r="U54" s="547"/>
      <c r="V54" s="547"/>
      <c r="AG54"/>
      <c r="AH54"/>
      <c r="AI54"/>
    </row>
    <row r="55" spans="1:35" s="496" customFormat="1" x14ac:dyDescent="0.25">
      <c r="A55" s="526">
        <v>24</v>
      </c>
      <c r="B55" s="524" t="s">
        <v>1092</v>
      </c>
      <c r="C55" s="525">
        <f>'Balances y Proyecciones'!N55</f>
        <v>40</v>
      </c>
      <c r="D55" s="521"/>
      <c r="E55" s="525">
        <f>'Balances y Proyecciones'!T55</f>
        <v>40</v>
      </c>
      <c r="F55" s="521"/>
      <c r="G55" s="546">
        <f t="shared" si="13"/>
        <v>3.333333333333333</v>
      </c>
      <c r="H55" s="546">
        <f t="shared" si="13"/>
        <v>3.333333333333333</v>
      </c>
      <c r="I55" s="546">
        <f t="shared" si="13"/>
        <v>3.333333333333333</v>
      </c>
      <c r="J55" s="546">
        <f t="shared" si="13"/>
        <v>3.333333333333333</v>
      </c>
      <c r="K55" s="546">
        <f t="shared" si="13"/>
        <v>3.333333333333333</v>
      </c>
      <c r="L55" s="546">
        <f t="shared" si="13"/>
        <v>3.333333333333333</v>
      </c>
      <c r="M55" s="546">
        <f t="shared" si="13"/>
        <v>3.333333333333333</v>
      </c>
      <c r="N55" s="546">
        <f t="shared" si="13"/>
        <v>3.333333333333333</v>
      </c>
      <c r="O55" s="546">
        <f t="shared" si="13"/>
        <v>3.333333333333333</v>
      </c>
      <c r="P55" s="546">
        <f t="shared" si="13"/>
        <v>3.333333333333333</v>
      </c>
      <c r="Q55" s="546">
        <f t="shared" si="13"/>
        <v>3.333333333333333</v>
      </c>
      <c r="R55" s="546">
        <f t="shared" si="13"/>
        <v>3.333333333333333</v>
      </c>
      <c r="T55" s="547"/>
      <c r="U55" s="547"/>
      <c r="V55" s="547"/>
      <c r="AG55"/>
      <c r="AH55"/>
      <c r="AI55"/>
    </row>
    <row r="56" spans="1:35" s="496" customFormat="1" x14ac:dyDescent="0.25">
      <c r="A56" s="523" t="s">
        <v>1093</v>
      </c>
      <c r="B56" s="524" t="s">
        <v>1094</v>
      </c>
      <c r="C56" s="525">
        <f>'Balances y Proyecciones'!N56</f>
        <v>80</v>
      </c>
      <c r="D56" s="521"/>
      <c r="E56" s="525">
        <f>'Balances y Proyecciones'!T56</f>
        <v>80</v>
      </c>
      <c r="F56" s="521"/>
      <c r="G56" s="546">
        <f t="shared" si="13"/>
        <v>6.6666666666666661</v>
      </c>
      <c r="H56" s="546">
        <f t="shared" si="13"/>
        <v>6.6666666666666661</v>
      </c>
      <c r="I56" s="546">
        <f t="shared" si="13"/>
        <v>6.6666666666666661</v>
      </c>
      <c r="J56" s="546">
        <f t="shared" si="13"/>
        <v>6.6666666666666661</v>
      </c>
      <c r="K56" s="546">
        <f t="shared" si="13"/>
        <v>6.6666666666666661</v>
      </c>
      <c r="L56" s="546">
        <f t="shared" si="13"/>
        <v>6.6666666666666661</v>
      </c>
      <c r="M56" s="546">
        <f t="shared" si="13"/>
        <v>6.6666666666666661</v>
      </c>
      <c r="N56" s="546">
        <f t="shared" si="13"/>
        <v>6.6666666666666661</v>
      </c>
      <c r="O56" s="546">
        <f t="shared" si="13"/>
        <v>6.6666666666666661</v>
      </c>
      <c r="P56" s="546">
        <f t="shared" si="13"/>
        <v>6.6666666666666661</v>
      </c>
      <c r="Q56" s="546">
        <f t="shared" si="13"/>
        <v>6.6666666666666661</v>
      </c>
      <c r="R56" s="546">
        <f t="shared" si="13"/>
        <v>6.6666666666666661</v>
      </c>
      <c r="AG56"/>
      <c r="AH56"/>
      <c r="AI56"/>
    </row>
    <row r="57" spans="1:35" s="496" customFormat="1" x14ac:dyDescent="0.25">
      <c r="A57" s="529" t="s">
        <v>1095</v>
      </c>
      <c r="B57" s="548" t="s">
        <v>1096</v>
      </c>
      <c r="C57" s="527">
        <f>'Balances y Proyecciones'!N57</f>
        <v>220</v>
      </c>
      <c r="D57" s="521"/>
      <c r="E57" s="527">
        <f>'Balances y Proyecciones'!T57</f>
        <v>220.00000000000003</v>
      </c>
      <c r="F57" s="521"/>
      <c r="G57" s="531">
        <f t="shared" si="13"/>
        <v>18.333333333333336</v>
      </c>
      <c r="H57" s="531">
        <f t="shared" si="13"/>
        <v>18.333333333333336</v>
      </c>
      <c r="I57" s="531">
        <f t="shared" si="13"/>
        <v>18.333333333333336</v>
      </c>
      <c r="J57" s="531">
        <f t="shared" si="13"/>
        <v>18.333333333333336</v>
      </c>
      <c r="K57" s="531">
        <f t="shared" si="13"/>
        <v>18.333333333333336</v>
      </c>
      <c r="L57" s="531">
        <f t="shared" si="13"/>
        <v>18.333333333333336</v>
      </c>
      <c r="M57" s="531">
        <f t="shared" si="13"/>
        <v>18.333333333333336</v>
      </c>
      <c r="N57" s="531">
        <f t="shared" si="13"/>
        <v>18.333333333333336</v>
      </c>
      <c r="O57" s="531">
        <f t="shared" si="13"/>
        <v>18.333333333333336</v>
      </c>
      <c r="P57" s="531">
        <f t="shared" si="13"/>
        <v>18.333333333333336</v>
      </c>
      <c r="Q57" s="531">
        <f t="shared" si="13"/>
        <v>18.333333333333336</v>
      </c>
      <c r="R57" s="531">
        <f t="shared" si="13"/>
        <v>18.333333333333336</v>
      </c>
      <c r="AG57"/>
      <c r="AH57"/>
      <c r="AI57"/>
    </row>
    <row r="58" spans="1:35" s="496" customFormat="1" x14ac:dyDescent="0.25">
      <c r="A58" s="507"/>
      <c r="B58" s="508" t="s">
        <v>1097</v>
      </c>
      <c r="C58" s="532">
        <f>'Balances y Proyecciones'!N58</f>
        <v>450</v>
      </c>
      <c r="D58" s="521"/>
      <c r="E58" s="532">
        <f>'Balances y Proyecciones'!T58</f>
        <v>470</v>
      </c>
      <c r="F58" s="521"/>
      <c r="G58" s="533">
        <f t="shared" ref="G58:R58" si="14">SUM(G49:G57)</f>
        <v>39.166666666666664</v>
      </c>
      <c r="H58" s="533">
        <f t="shared" si="14"/>
        <v>39.166666666666664</v>
      </c>
      <c r="I58" s="533">
        <f t="shared" si="14"/>
        <v>39.166666666666664</v>
      </c>
      <c r="J58" s="533">
        <f t="shared" si="14"/>
        <v>39.166666666666664</v>
      </c>
      <c r="K58" s="533">
        <f t="shared" si="14"/>
        <v>39.166666666666664</v>
      </c>
      <c r="L58" s="533">
        <f t="shared" si="14"/>
        <v>39.166666666666664</v>
      </c>
      <c r="M58" s="533">
        <f t="shared" si="14"/>
        <v>39.166666666666664</v>
      </c>
      <c r="N58" s="533">
        <f t="shared" si="14"/>
        <v>39.166666666666664</v>
      </c>
      <c r="O58" s="533">
        <f t="shared" si="14"/>
        <v>39.166666666666664</v>
      </c>
      <c r="P58" s="533">
        <f t="shared" si="14"/>
        <v>39.166666666666664</v>
      </c>
      <c r="Q58" s="533">
        <f t="shared" si="14"/>
        <v>39.166666666666664</v>
      </c>
      <c r="R58" s="533">
        <f t="shared" si="14"/>
        <v>39.166666666666664</v>
      </c>
      <c r="AG58"/>
      <c r="AH58"/>
      <c r="AI58"/>
    </row>
    <row r="59" spans="1:35" s="496" customFormat="1" x14ac:dyDescent="0.25">
      <c r="A59" s="507"/>
      <c r="B59" s="538" t="s">
        <v>1098</v>
      </c>
      <c r="C59" s="539">
        <f>'Balances y Proyecciones'!N59</f>
        <v>930</v>
      </c>
      <c r="D59" s="521"/>
      <c r="E59" s="539">
        <f>'Balances y Proyecciones'!T59</f>
        <v>920</v>
      </c>
      <c r="F59" s="521"/>
      <c r="G59" s="540">
        <f t="shared" ref="G59:R59" si="15">G58+G48</f>
        <v>76.666666666666657</v>
      </c>
      <c r="H59" s="540">
        <f t="shared" si="15"/>
        <v>76.666666666666657</v>
      </c>
      <c r="I59" s="540">
        <f t="shared" si="15"/>
        <v>76.666666666666657</v>
      </c>
      <c r="J59" s="540">
        <f t="shared" si="15"/>
        <v>76.666666666666657</v>
      </c>
      <c r="K59" s="540">
        <f t="shared" si="15"/>
        <v>76.666666666666657</v>
      </c>
      <c r="L59" s="540">
        <f t="shared" si="15"/>
        <v>76.666666666666657</v>
      </c>
      <c r="M59" s="540">
        <f t="shared" si="15"/>
        <v>76.666666666666657</v>
      </c>
      <c r="N59" s="540">
        <f t="shared" si="15"/>
        <v>76.666666666666657</v>
      </c>
      <c r="O59" s="540">
        <f t="shared" si="15"/>
        <v>76.666666666666657</v>
      </c>
      <c r="P59" s="540">
        <f t="shared" si="15"/>
        <v>76.666666666666657</v>
      </c>
      <c r="Q59" s="540">
        <f t="shared" si="15"/>
        <v>76.666666666666657</v>
      </c>
      <c r="R59" s="540">
        <f t="shared" si="15"/>
        <v>76.666666666666657</v>
      </c>
      <c r="AG59"/>
      <c r="AH59"/>
      <c r="AI59"/>
    </row>
    <row r="60" spans="1:35" s="496" customFormat="1" x14ac:dyDescent="0.25">
      <c r="A60" s="518">
        <v>26</v>
      </c>
      <c r="B60" s="534" t="s">
        <v>938</v>
      </c>
      <c r="C60" s="535">
        <f>'Balances y Proyecciones'!N60</f>
        <v>70</v>
      </c>
      <c r="D60" s="521"/>
      <c r="E60" s="535">
        <f>'Balances y Proyecciones'!T60</f>
        <v>70</v>
      </c>
      <c r="F60" s="521"/>
      <c r="G60" s="549">
        <f t="shared" ref="G60:R66" si="16">IF($G$12=1,"Error %",$E60*G$13)</f>
        <v>5.833333333333333</v>
      </c>
      <c r="H60" s="549">
        <f t="shared" si="16"/>
        <v>5.833333333333333</v>
      </c>
      <c r="I60" s="549">
        <f t="shared" si="16"/>
        <v>5.833333333333333</v>
      </c>
      <c r="J60" s="549">
        <f t="shared" si="16"/>
        <v>5.833333333333333</v>
      </c>
      <c r="K60" s="549">
        <f t="shared" si="16"/>
        <v>5.833333333333333</v>
      </c>
      <c r="L60" s="549">
        <f t="shared" si="16"/>
        <v>5.833333333333333</v>
      </c>
      <c r="M60" s="549">
        <f t="shared" si="16"/>
        <v>5.833333333333333</v>
      </c>
      <c r="N60" s="549">
        <f t="shared" si="16"/>
        <v>5.833333333333333</v>
      </c>
      <c r="O60" s="549">
        <f t="shared" si="16"/>
        <v>5.833333333333333</v>
      </c>
      <c r="P60" s="549">
        <f t="shared" si="16"/>
        <v>5.833333333333333</v>
      </c>
      <c r="Q60" s="549">
        <f t="shared" si="16"/>
        <v>5.833333333333333</v>
      </c>
      <c r="R60" s="549">
        <f t="shared" si="16"/>
        <v>5.833333333333333</v>
      </c>
      <c r="AG60"/>
      <c r="AH60"/>
      <c r="AI60"/>
    </row>
    <row r="61" spans="1:35" s="496" customFormat="1" x14ac:dyDescent="0.25">
      <c r="A61" s="526">
        <v>27</v>
      </c>
      <c r="B61" s="524" t="s">
        <v>1099</v>
      </c>
      <c r="C61" s="525">
        <f>'Balances y Proyecciones'!N61</f>
        <v>50</v>
      </c>
      <c r="D61" s="521"/>
      <c r="E61" s="525">
        <f>'Balances y Proyecciones'!T61</f>
        <v>50</v>
      </c>
      <c r="F61" s="521"/>
      <c r="G61" s="525">
        <f t="shared" si="16"/>
        <v>4.1666666666666661</v>
      </c>
      <c r="H61" s="525">
        <f t="shared" si="16"/>
        <v>4.1666666666666661</v>
      </c>
      <c r="I61" s="525">
        <f t="shared" si="16"/>
        <v>4.1666666666666661</v>
      </c>
      <c r="J61" s="525">
        <f t="shared" si="16"/>
        <v>4.1666666666666661</v>
      </c>
      <c r="K61" s="525">
        <f t="shared" si="16"/>
        <v>4.1666666666666661</v>
      </c>
      <c r="L61" s="525">
        <f t="shared" si="16"/>
        <v>4.1666666666666661</v>
      </c>
      <c r="M61" s="525">
        <f t="shared" si="16"/>
        <v>4.1666666666666661</v>
      </c>
      <c r="N61" s="525">
        <f t="shared" si="16"/>
        <v>4.1666666666666661</v>
      </c>
      <c r="O61" s="525">
        <f t="shared" si="16"/>
        <v>4.1666666666666661</v>
      </c>
      <c r="P61" s="525">
        <f t="shared" si="16"/>
        <v>4.1666666666666661</v>
      </c>
      <c r="Q61" s="525">
        <f t="shared" si="16"/>
        <v>4.1666666666666661</v>
      </c>
      <c r="R61" s="525">
        <f t="shared" si="16"/>
        <v>4.1666666666666661</v>
      </c>
      <c r="AG61"/>
      <c r="AH61"/>
      <c r="AI61"/>
    </row>
    <row r="62" spans="1:35" s="496" customFormat="1" x14ac:dyDescent="0.25">
      <c r="A62" s="526">
        <v>28</v>
      </c>
      <c r="B62" s="524" t="s">
        <v>940</v>
      </c>
      <c r="C62" s="525">
        <f>'Balances y Proyecciones'!N62</f>
        <v>10</v>
      </c>
      <c r="D62" s="521"/>
      <c r="E62" s="525">
        <f>'Balances y Proyecciones'!T62</f>
        <v>35</v>
      </c>
      <c r="F62" s="521"/>
      <c r="G62" s="525">
        <f t="shared" si="16"/>
        <v>2.9166666666666665</v>
      </c>
      <c r="H62" s="525">
        <f t="shared" si="16"/>
        <v>2.9166666666666665</v>
      </c>
      <c r="I62" s="525">
        <f t="shared" si="16"/>
        <v>2.9166666666666665</v>
      </c>
      <c r="J62" s="525">
        <f t="shared" si="16"/>
        <v>2.9166666666666665</v>
      </c>
      <c r="K62" s="525">
        <f t="shared" si="16"/>
        <v>2.9166666666666665</v>
      </c>
      <c r="L62" s="525">
        <f t="shared" si="16"/>
        <v>2.9166666666666665</v>
      </c>
      <c r="M62" s="525">
        <f t="shared" si="16"/>
        <v>2.9166666666666665</v>
      </c>
      <c r="N62" s="525">
        <f t="shared" si="16"/>
        <v>2.9166666666666665</v>
      </c>
      <c r="O62" s="525">
        <f t="shared" si="16"/>
        <v>2.9166666666666665</v>
      </c>
      <c r="P62" s="525">
        <f t="shared" si="16"/>
        <v>2.9166666666666665</v>
      </c>
      <c r="Q62" s="525">
        <f t="shared" si="16"/>
        <v>2.9166666666666665</v>
      </c>
      <c r="R62" s="525">
        <f t="shared" si="16"/>
        <v>2.9166666666666665</v>
      </c>
      <c r="AG62"/>
      <c r="AH62"/>
      <c r="AI62"/>
    </row>
    <row r="63" spans="1:35" s="496" customFormat="1" x14ac:dyDescent="0.25">
      <c r="A63" s="526">
        <v>29</v>
      </c>
      <c r="B63" s="524" t="s">
        <v>1100</v>
      </c>
      <c r="C63" s="525">
        <f>'Balances y Proyecciones'!N63</f>
        <v>10</v>
      </c>
      <c r="D63" s="521"/>
      <c r="E63" s="525">
        <f>'Balances y Proyecciones'!T63</f>
        <v>912.29999999999984</v>
      </c>
      <c r="F63" s="521"/>
      <c r="G63" s="550">
        <f t="shared" si="16"/>
        <v>76.024999999999977</v>
      </c>
      <c r="H63" s="525">
        <f t="shared" si="16"/>
        <v>76.024999999999977</v>
      </c>
      <c r="I63" s="525">
        <f t="shared" si="16"/>
        <v>76.024999999999977</v>
      </c>
      <c r="J63" s="525">
        <f t="shared" si="16"/>
        <v>76.024999999999977</v>
      </c>
      <c r="K63" s="525">
        <f t="shared" si="16"/>
        <v>76.024999999999977</v>
      </c>
      <c r="L63" s="525">
        <f t="shared" si="16"/>
        <v>76.024999999999977</v>
      </c>
      <c r="M63" s="525">
        <f t="shared" si="16"/>
        <v>76.024999999999977</v>
      </c>
      <c r="N63" s="525">
        <f t="shared" si="16"/>
        <v>76.024999999999977</v>
      </c>
      <c r="O63" s="525">
        <f t="shared" si="16"/>
        <v>76.024999999999977</v>
      </c>
      <c r="P63" s="525">
        <f t="shared" si="16"/>
        <v>76.024999999999977</v>
      </c>
      <c r="Q63" s="525">
        <f t="shared" si="16"/>
        <v>76.024999999999977</v>
      </c>
      <c r="R63" s="525">
        <f t="shared" si="16"/>
        <v>76.024999999999977</v>
      </c>
      <c r="AG63"/>
      <c r="AH63"/>
      <c r="AI63"/>
    </row>
    <row r="64" spans="1:35" s="496" customFormat="1" x14ac:dyDescent="0.25">
      <c r="A64" s="526">
        <v>30</v>
      </c>
      <c r="B64" s="524" t="s">
        <v>943</v>
      </c>
      <c r="C64" s="525">
        <f>'Balances y Proyecciones'!N64</f>
        <v>2810</v>
      </c>
      <c r="D64" s="521"/>
      <c r="E64" s="525">
        <f>'Balances y Proyecciones'!T64</f>
        <v>2812.4</v>
      </c>
      <c r="F64" s="521"/>
      <c r="G64" s="525">
        <f t="shared" si="16"/>
        <v>234.36666666666667</v>
      </c>
      <c r="H64" s="525">
        <f t="shared" si="16"/>
        <v>234.36666666666667</v>
      </c>
      <c r="I64" s="525">
        <f t="shared" si="16"/>
        <v>234.36666666666667</v>
      </c>
      <c r="J64" s="525">
        <f t="shared" si="16"/>
        <v>234.36666666666667</v>
      </c>
      <c r="K64" s="525">
        <f t="shared" si="16"/>
        <v>234.36666666666667</v>
      </c>
      <c r="L64" s="525">
        <f t="shared" si="16"/>
        <v>234.36666666666667</v>
      </c>
      <c r="M64" s="525">
        <f t="shared" si="16"/>
        <v>234.36666666666667</v>
      </c>
      <c r="N64" s="525">
        <f t="shared" si="16"/>
        <v>234.36666666666667</v>
      </c>
      <c r="O64" s="525">
        <f t="shared" si="16"/>
        <v>234.36666666666667</v>
      </c>
      <c r="P64" s="525">
        <f t="shared" si="16"/>
        <v>234.36666666666667</v>
      </c>
      <c r="Q64" s="525">
        <f t="shared" si="16"/>
        <v>234.36666666666667</v>
      </c>
      <c r="R64" s="525">
        <f t="shared" si="16"/>
        <v>234.36666666666667</v>
      </c>
      <c r="AG64"/>
      <c r="AH64"/>
      <c r="AI64"/>
    </row>
    <row r="65" spans="1:35" s="496" customFormat="1" x14ac:dyDescent="0.25">
      <c r="A65" s="526">
        <v>31</v>
      </c>
      <c r="B65" s="524" t="s">
        <v>945</v>
      </c>
      <c r="C65" s="525">
        <f>'Balances y Proyecciones'!N65</f>
        <v>40</v>
      </c>
      <c r="D65" s="521"/>
      <c r="E65" s="525">
        <f>'Balances y Proyecciones'!T65</f>
        <v>40</v>
      </c>
      <c r="F65" s="521"/>
      <c r="G65" s="525">
        <f t="shared" si="16"/>
        <v>3.333333333333333</v>
      </c>
      <c r="H65" s="525">
        <f t="shared" si="16"/>
        <v>3.333333333333333</v>
      </c>
      <c r="I65" s="525">
        <f t="shared" si="16"/>
        <v>3.333333333333333</v>
      </c>
      <c r="J65" s="525">
        <f t="shared" si="16"/>
        <v>3.333333333333333</v>
      </c>
      <c r="K65" s="525">
        <f t="shared" si="16"/>
        <v>3.333333333333333</v>
      </c>
      <c r="L65" s="525">
        <f t="shared" si="16"/>
        <v>3.333333333333333</v>
      </c>
      <c r="M65" s="525">
        <f t="shared" si="16"/>
        <v>3.333333333333333</v>
      </c>
      <c r="N65" s="525">
        <f t="shared" si="16"/>
        <v>3.333333333333333</v>
      </c>
      <c r="O65" s="525">
        <f t="shared" si="16"/>
        <v>3.333333333333333</v>
      </c>
      <c r="P65" s="525">
        <f t="shared" si="16"/>
        <v>3.333333333333333</v>
      </c>
      <c r="Q65" s="525">
        <f t="shared" si="16"/>
        <v>3.333333333333333</v>
      </c>
      <c r="R65" s="525">
        <f t="shared" si="16"/>
        <v>3.333333333333333</v>
      </c>
      <c r="AG65"/>
      <c r="AH65"/>
      <c r="AI65"/>
    </row>
    <row r="66" spans="1:35" s="496" customFormat="1" x14ac:dyDescent="0.25">
      <c r="A66" s="537">
        <v>32</v>
      </c>
      <c r="B66" s="530" t="s">
        <v>946</v>
      </c>
      <c r="C66" s="527">
        <f>'Balances y Proyecciones'!N66</f>
        <v>40</v>
      </c>
      <c r="D66" s="521"/>
      <c r="E66" s="527">
        <f>'Balances y Proyecciones'!T66</f>
        <v>40</v>
      </c>
      <c r="F66" s="521"/>
      <c r="G66" s="551">
        <f t="shared" si="16"/>
        <v>3.333333333333333</v>
      </c>
      <c r="H66" s="551">
        <f t="shared" si="16"/>
        <v>3.333333333333333</v>
      </c>
      <c r="I66" s="551">
        <f t="shared" si="16"/>
        <v>3.333333333333333</v>
      </c>
      <c r="J66" s="551">
        <f t="shared" si="16"/>
        <v>3.333333333333333</v>
      </c>
      <c r="K66" s="551">
        <f t="shared" si="16"/>
        <v>3.333333333333333</v>
      </c>
      <c r="L66" s="551">
        <f t="shared" si="16"/>
        <v>3.333333333333333</v>
      </c>
      <c r="M66" s="551">
        <f t="shared" si="16"/>
        <v>3.333333333333333</v>
      </c>
      <c r="N66" s="551">
        <f t="shared" si="16"/>
        <v>3.333333333333333</v>
      </c>
      <c r="O66" s="551">
        <f t="shared" si="16"/>
        <v>3.333333333333333</v>
      </c>
      <c r="P66" s="551">
        <f t="shared" si="16"/>
        <v>3.333333333333333</v>
      </c>
      <c r="Q66" s="551">
        <f t="shared" si="16"/>
        <v>3.333333333333333</v>
      </c>
      <c r="R66" s="551">
        <f t="shared" si="16"/>
        <v>3.333333333333333</v>
      </c>
      <c r="AG66"/>
      <c r="AH66"/>
      <c r="AI66"/>
    </row>
    <row r="67" spans="1:35" s="496" customFormat="1" x14ac:dyDescent="0.25">
      <c r="A67" s="507"/>
      <c r="B67" s="538" t="s">
        <v>764</v>
      </c>
      <c r="C67" s="539">
        <f>'Balances y Proyecciones'!N67</f>
        <v>3030</v>
      </c>
      <c r="D67" s="521"/>
      <c r="E67" s="539">
        <f>'Balances y Proyecciones'!T67</f>
        <v>3959.7</v>
      </c>
      <c r="F67" s="521"/>
      <c r="G67" s="540">
        <f t="shared" ref="G67:R67" si="17">SUM(G60:G66)</f>
        <v>329.97499999999997</v>
      </c>
      <c r="H67" s="540">
        <f t="shared" si="17"/>
        <v>329.97499999999997</v>
      </c>
      <c r="I67" s="540">
        <f t="shared" si="17"/>
        <v>329.97499999999997</v>
      </c>
      <c r="J67" s="540">
        <f t="shared" si="17"/>
        <v>329.97499999999997</v>
      </c>
      <c r="K67" s="540">
        <f t="shared" si="17"/>
        <v>329.97499999999997</v>
      </c>
      <c r="L67" s="540">
        <f t="shared" si="17"/>
        <v>329.97499999999997</v>
      </c>
      <c r="M67" s="540">
        <f t="shared" si="17"/>
        <v>329.97499999999997</v>
      </c>
      <c r="N67" s="540">
        <f t="shared" si="17"/>
        <v>329.97499999999997</v>
      </c>
      <c r="O67" s="540">
        <f t="shared" si="17"/>
        <v>329.97499999999997</v>
      </c>
      <c r="P67" s="540">
        <f t="shared" si="17"/>
        <v>329.97499999999997</v>
      </c>
      <c r="Q67" s="540">
        <f t="shared" si="17"/>
        <v>329.97499999999997</v>
      </c>
      <c r="R67" s="540">
        <f t="shared" si="17"/>
        <v>329.97499999999997</v>
      </c>
      <c r="AG67"/>
      <c r="AH67"/>
      <c r="AI67"/>
    </row>
    <row r="68" spans="1:35" s="496" customFormat="1" x14ac:dyDescent="0.25">
      <c r="A68" s="518">
        <v>33</v>
      </c>
      <c r="B68" s="552" t="s">
        <v>672</v>
      </c>
      <c r="C68" s="553">
        <f>'Balances y Proyecciones'!N68</f>
        <v>0</v>
      </c>
      <c r="D68" s="521"/>
      <c r="E68" s="553">
        <f>'Balances y Proyecciones'!T68</f>
        <v>0</v>
      </c>
      <c r="F68" s="521"/>
      <c r="G68" s="554">
        <f t="shared" ref="G68:R69" si="18">IF($G$12=1,"Error %",$E68*G$13)</f>
        <v>0</v>
      </c>
      <c r="H68" s="554">
        <f t="shared" si="18"/>
        <v>0</v>
      </c>
      <c r="I68" s="554">
        <f t="shared" si="18"/>
        <v>0</v>
      </c>
      <c r="J68" s="554">
        <f t="shared" si="18"/>
        <v>0</v>
      </c>
      <c r="K68" s="554">
        <f t="shared" si="18"/>
        <v>0</v>
      </c>
      <c r="L68" s="554">
        <f t="shared" si="18"/>
        <v>0</v>
      </c>
      <c r="M68" s="554">
        <f t="shared" si="18"/>
        <v>0</v>
      </c>
      <c r="N68" s="554">
        <f t="shared" si="18"/>
        <v>0</v>
      </c>
      <c r="O68" s="554">
        <f t="shared" si="18"/>
        <v>0</v>
      </c>
      <c r="P68" s="554">
        <f t="shared" si="18"/>
        <v>0</v>
      </c>
      <c r="Q68" s="554">
        <f t="shared" si="18"/>
        <v>0</v>
      </c>
      <c r="R68" s="554">
        <f t="shared" si="18"/>
        <v>0</v>
      </c>
      <c r="AG68"/>
      <c r="AH68"/>
      <c r="AI68"/>
    </row>
    <row r="69" spans="1:35" s="496" customFormat="1" x14ac:dyDescent="0.25">
      <c r="A69" s="537">
        <v>34</v>
      </c>
      <c r="B69" s="555" t="s">
        <v>1101</v>
      </c>
      <c r="C69" s="556">
        <f>'Balances y Proyecciones'!N69</f>
        <v>0</v>
      </c>
      <c r="D69" s="521"/>
      <c r="E69" s="556">
        <f>'Balances y Proyecciones'!T69</f>
        <v>0</v>
      </c>
      <c r="F69" s="521"/>
      <c r="G69" s="557">
        <f t="shared" si="18"/>
        <v>0</v>
      </c>
      <c r="H69" s="557">
        <f t="shared" si="18"/>
        <v>0</v>
      </c>
      <c r="I69" s="557">
        <f t="shared" si="18"/>
        <v>0</v>
      </c>
      <c r="J69" s="557">
        <f t="shared" si="18"/>
        <v>0</v>
      </c>
      <c r="K69" s="557">
        <f t="shared" si="18"/>
        <v>0</v>
      </c>
      <c r="L69" s="557">
        <f t="shared" si="18"/>
        <v>0</v>
      </c>
      <c r="M69" s="557">
        <f t="shared" si="18"/>
        <v>0</v>
      </c>
      <c r="N69" s="557">
        <f t="shared" si="18"/>
        <v>0</v>
      </c>
      <c r="O69" s="557">
        <f t="shared" si="18"/>
        <v>0</v>
      </c>
      <c r="P69" s="557">
        <f t="shared" si="18"/>
        <v>0</v>
      </c>
      <c r="Q69" s="557">
        <f t="shared" si="18"/>
        <v>0</v>
      </c>
      <c r="R69" s="557">
        <f t="shared" si="18"/>
        <v>0</v>
      </c>
      <c r="AG69"/>
      <c r="AH69"/>
      <c r="AI69"/>
    </row>
    <row r="70" spans="1:35" s="496" customFormat="1" x14ac:dyDescent="0.25">
      <c r="A70" s="507"/>
      <c r="B70" s="558" t="s">
        <v>1102</v>
      </c>
      <c r="C70" s="559">
        <f>'Balances y Proyecciones'!N70</f>
        <v>-90</v>
      </c>
      <c r="D70" s="521"/>
      <c r="E70" s="559">
        <f>'Balances y Proyecciones'!T70</f>
        <v>90.000000000000909</v>
      </c>
      <c r="F70" s="560"/>
      <c r="G70" s="561">
        <f t="shared" ref="G70:R70" si="19">-G34+G59+G67</f>
        <v>7.5000000000000568</v>
      </c>
      <c r="H70" s="561">
        <f t="shared" si="19"/>
        <v>7.5000000000000568</v>
      </c>
      <c r="I70" s="561">
        <f t="shared" si="19"/>
        <v>7.5000000000000568</v>
      </c>
      <c r="J70" s="561">
        <f t="shared" si="19"/>
        <v>7.5000000000000568</v>
      </c>
      <c r="K70" s="561">
        <f t="shared" si="19"/>
        <v>7.5000000000000568</v>
      </c>
      <c r="L70" s="561">
        <f t="shared" si="19"/>
        <v>7.5000000000000568</v>
      </c>
      <c r="M70" s="561">
        <f t="shared" si="19"/>
        <v>7.5000000000000568</v>
      </c>
      <c r="N70" s="561">
        <f t="shared" si="19"/>
        <v>7.5000000000000568</v>
      </c>
      <c r="O70" s="561">
        <f t="shared" si="19"/>
        <v>7.5000000000000568</v>
      </c>
      <c r="P70" s="561">
        <f t="shared" si="19"/>
        <v>7.5000000000000568</v>
      </c>
      <c r="Q70" s="561">
        <f t="shared" si="19"/>
        <v>7.5000000000000568</v>
      </c>
      <c r="R70" s="561">
        <f t="shared" si="19"/>
        <v>7.5000000000000568</v>
      </c>
      <c r="AG70"/>
      <c r="AH70"/>
      <c r="AI70"/>
    </row>
    <row r="71" spans="1:35" s="496" customFormat="1" x14ac:dyDescent="0.25">
      <c r="A71" s="518">
        <v>35</v>
      </c>
      <c r="B71" s="534" t="s">
        <v>1103</v>
      </c>
      <c r="C71" s="535">
        <f>'Balances y Proyecciones'!N71</f>
        <v>3610</v>
      </c>
      <c r="D71" s="560"/>
      <c r="E71" s="535">
        <f>'Balances y Proyecciones'!T71</f>
        <v>3610</v>
      </c>
      <c r="F71" s="521"/>
      <c r="G71" s="535">
        <f t="shared" ref="G71:R72" si="20">IF($G$12=1,"Error %",$E71*G$13)</f>
        <v>300.83333333333331</v>
      </c>
      <c r="H71" s="535">
        <f t="shared" si="20"/>
        <v>300.83333333333331</v>
      </c>
      <c r="I71" s="535">
        <f t="shared" si="20"/>
        <v>300.83333333333331</v>
      </c>
      <c r="J71" s="535">
        <f t="shared" si="20"/>
        <v>300.83333333333331</v>
      </c>
      <c r="K71" s="535">
        <f t="shared" si="20"/>
        <v>300.83333333333331</v>
      </c>
      <c r="L71" s="535">
        <f t="shared" si="20"/>
        <v>300.83333333333331</v>
      </c>
      <c r="M71" s="535">
        <f t="shared" si="20"/>
        <v>300.83333333333331</v>
      </c>
      <c r="N71" s="535">
        <f t="shared" si="20"/>
        <v>300.83333333333331</v>
      </c>
      <c r="O71" s="535">
        <f t="shared" si="20"/>
        <v>300.83333333333331</v>
      </c>
      <c r="P71" s="535">
        <f t="shared" si="20"/>
        <v>300.83333333333331</v>
      </c>
      <c r="Q71" s="535">
        <f t="shared" si="20"/>
        <v>300.83333333333331</v>
      </c>
      <c r="R71" s="535">
        <f t="shared" si="20"/>
        <v>300.83333333333331</v>
      </c>
      <c r="AG71"/>
      <c r="AH71"/>
      <c r="AI71"/>
    </row>
    <row r="72" spans="1:35" s="496" customFormat="1" x14ac:dyDescent="0.25">
      <c r="A72" s="537">
        <v>36</v>
      </c>
      <c r="B72" s="530" t="s">
        <v>875</v>
      </c>
      <c r="C72" s="527">
        <f>'Balances y Proyecciones'!N72</f>
        <v>500</v>
      </c>
      <c r="D72" s="521"/>
      <c r="E72" s="527">
        <f>'Balances y Proyecciones'!T72</f>
        <v>500.00000000000006</v>
      </c>
      <c r="F72" s="521"/>
      <c r="G72" s="527">
        <f t="shared" si="20"/>
        <v>41.666666666666671</v>
      </c>
      <c r="H72" s="527">
        <f t="shared" si="20"/>
        <v>41.666666666666671</v>
      </c>
      <c r="I72" s="527">
        <f t="shared" si="20"/>
        <v>41.666666666666671</v>
      </c>
      <c r="J72" s="527">
        <f t="shared" si="20"/>
        <v>41.666666666666671</v>
      </c>
      <c r="K72" s="527">
        <f t="shared" si="20"/>
        <v>41.666666666666671</v>
      </c>
      <c r="L72" s="527">
        <f t="shared" si="20"/>
        <v>41.666666666666671</v>
      </c>
      <c r="M72" s="527">
        <f t="shared" si="20"/>
        <v>41.666666666666671</v>
      </c>
      <c r="N72" s="527">
        <f t="shared" si="20"/>
        <v>41.666666666666671</v>
      </c>
      <c r="O72" s="527">
        <f t="shared" si="20"/>
        <v>41.666666666666671</v>
      </c>
      <c r="P72" s="527">
        <f t="shared" si="20"/>
        <v>41.666666666666671</v>
      </c>
      <c r="Q72" s="527">
        <f t="shared" si="20"/>
        <v>41.666666666666671</v>
      </c>
      <c r="R72" s="527">
        <f t="shared" si="20"/>
        <v>41.666666666666671</v>
      </c>
      <c r="AG72"/>
      <c r="AH72"/>
      <c r="AI72"/>
    </row>
    <row r="73" spans="1:35" s="496" customFormat="1" x14ac:dyDescent="0.25">
      <c r="A73" s="507"/>
      <c r="B73" s="538" t="s">
        <v>807</v>
      </c>
      <c r="C73" s="539">
        <f>'Balances y Proyecciones'!N73</f>
        <v>3110</v>
      </c>
      <c r="D73" s="521"/>
      <c r="E73" s="539">
        <f>'Balances y Proyecciones'!T73</f>
        <v>3110</v>
      </c>
      <c r="F73" s="521"/>
      <c r="G73" s="540">
        <f t="shared" ref="G73:R73" si="21">G71-G72</f>
        <v>259.16666666666663</v>
      </c>
      <c r="H73" s="540">
        <f t="shared" si="21"/>
        <v>259.16666666666663</v>
      </c>
      <c r="I73" s="540">
        <f t="shared" si="21"/>
        <v>259.16666666666663</v>
      </c>
      <c r="J73" s="540">
        <f t="shared" si="21"/>
        <v>259.16666666666663</v>
      </c>
      <c r="K73" s="540">
        <f t="shared" si="21"/>
        <v>259.16666666666663</v>
      </c>
      <c r="L73" s="540">
        <f t="shared" si="21"/>
        <v>259.16666666666663</v>
      </c>
      <c r="M73" s="540">
        <f t="shared" si="21"/>
        <v>259.16666666666663</v>
      </c>
      <c r="N73" s="540">
        <f t="shared" si="21"/>
        <v>259.16666666666663</v>
      </c>
      <c r="O73" s="540">
        <f t="shared" si="21"/>
        <v>259.16666666666663</v>
      </c>
      <c r="P73" s="540">
        <f t="shared" si="21"/>
        <v>259.16666666666663</v>
      </c>
      <c r="Q73" s="540">
        <f t="shared" si="21"/>
        <v>259.16666666666663</v>
      </c>
      <c r="R73" s="540">
        <f t="shared" si="21"/>
        <v>259.16666666666663</v>
      </c>
      <c r="AG73"/>
      <c r="AH73"/>
      <c r="AI73"/>
    </row>
    <row r="74" spans="1:35" s="496" customFormat="1" x14ac:dyDescent="0.25">
      <c r="A74" s="562">
        <v>37</v>
      </c>
      <c r="B74" s="563" t="s">
        <v>1104</v>
      </c>
      <c r="C74" s="543">
        <f>'Balances y Proyecciones'!N74</f>
        <v>300</v>
      </c>
      <c r="D74" s="521"/>
      <c r="E74" s="543">
        <f>'Balances y Proyecciones'!T74</f>
        <v>300</v>
      </c>
      <c r="F74" s="521"/>
      <c r="G74" s="543">
        <f t="shared" ref="G74:R74" si="22">IF($G$12=1,"Error %",$E74*G$13)</f>
        <v>25</v>
      </c>
      <c r="H74" s="543">
        <f t="shared" si="22"/>
        <v>25</v>
      </c>
      <c r="I74" s="543">
        <f t="shared" si="22"/>
        <v>25</v>
      </c>
      <c r="J74" s="543">
        <f t="shared" si="22"/>
        <v>25</v>
      </c>
      <c r="K74" s="543">
        <f t="shared" si="22"/>
        <v>25</v>
      </c>
      <c r="L74" s="543">
        <f t="shared" si="22"/>
        <v>25</v>
      </c>
      <c r="M74" s="543">
        <f t="shared" si="22"/>
        <v>25</v>
      </c>
      <c r="N74" s="543">
        <f t="shared" si="22"/>
        <v>25</v>
      </c>
      <c r="O74" s="543">
        <f t="shared" si="22"/>
        <v>25</v>
      </c>
      <c r="P74" s="543">
        <f t="shared" si="22"/>
        <v>25</v>
      </c>
      <c r="Q74" s="543">
        <f t="shared" si="22"/>
        <v>25</v>
      </c>
      <c r="R74" s="543">
        <f t="shared" si="22"/>
        <v>25</v>
      </c>
      <c r="AG74"/>
      <c r="AH74"/>
      <c r="AI74"/>
    </row>
    <row r="75" spans="1:35" s="496" customFormat="1" x14ac:dyDescent="0.25">
      <c r="A75" s="507"/>
      <c r="B75" s="538" t="s">
        <v>1105</v>
      </c>
      <c r="C75" s="539">
        <f>'Balances y Proyecciones'!N75</f>
        <v>2810</v>
      </c>
      <c r="D75" s="521"/>
      <c r="E75" s="539">
        <f>'Balances y Proyecciones'!T75</f>
        <v>2810</v>
      </c>
      <c r="F75" s="521"/>
      <c r="G75" s="540">
        <f t="shared" ref="G75:R75" si="23">G73-G74</f>
        <v>234.16666666666663</v>
      </c>
      <c r="H75" s="540">
        <f t="shared" si="23"/>
        <v>234.16666666666663</v>
      </c>
      <c r="I75" s="540">
        <f t="shared" si="23"/>
        <v>234.16666666666663</v>
      </c>
      <c r="J75" s="540">
        <f t="shared" si="23"/>
        <v>234.16666666666663</v>
      </c>
      <c r="K75" s="540">
        <f t="shared" si="23"/>
        <v>234.16666666666663</v>
      </c>
      <c r="L75" s="540">
        <f t="shared" si="23"/>
        <v>234.16666666666663</v>
      </c>
      <c r="M75" s="540">
        <f t="shared" si="23"/>
        <v>234.16666666666663</v>
      </c>
      <c r="N75" s="540">
        <f t="shared" si="23"/>
        <v>234.16666666666663</v>
      </c>
      <c r="O75" s="540">
        <f t="shared" si="23"/>
        <v>234.16666666666663</v>
      </c>
      <c r="P75" s="540">
        <f t="shared" si="23"/>
        <v>234.16666666666663</v>
      </c>
      <c r="Q75" s="540">
        <f t="shared" si="23"/>
        <v>234.16666666666663</v>
      </c>
      <c r="R75" s="540">
        <f t="shared" si="23"/>
        <v>234.16666666666663</v>
      </c>
      <c r="AG75"/>
      <c r="AH75"/>
      <c r="AI75"/>
    </row>
    <row r="76" spans="1:35" s="568" customFormat="1" x14ac:dyDescent="0.25">
      <c r="A76" s="564">
        <v>38</v>
      </c>
      <c r="B76" s="565" t="s">
        <v>1106</v>
      </c>
      <c r="C76" s="566">
        <f>'Balances y Proyecciones'!N76</f>
        <v>10</v>
      </c>
      <c r="D76" s="521"/>
      <c r="E76" s="566">
        <f>'Balances y Proyecciones'!T76</f>
        <v>7.6000000000000014</v>
      </c>
      <c r="F76" s="521"/>
      <c r="G76" s="567">
        <f t="shared" ref="G76:R86" si="24">IF($G$12=1,"Error %",$E76*G$13)</f>
        <v>0.63333333333333341</v>
      </c>
      <c r="H76" s="567">
        <f t="shared" si="24"/>
        <v>0.63333333333333341</v>
      </c>
      <c r="I76" s="567">
        <f t="shared" si="24"/>
        <v>0.63333333333333341</v>
      </c>
      <c r="J76" s="567">
        <f t="shared" si="24"/>
        <v>0.63333333333333341</v>
      </c>
      <c r="K76" s="567">
        <f t="shared" si="24"/>
        <v>0.63333333333333341</v>
      </c>
      <c r="L76" s="567">
        <f t="shared" si="24"/>
        <v>0.63333333333333341</v>
      </c>
      <c r="M76" s="567">
        <f t="shared" si="24"/>
        <v>0.63333333333333341</v>
      </c>
      <c r="N76" s="567">
        <f t="shared" si="24"/>
        <v>0.63333333333333341</v>
      </c>
      <c r="O76" s="567">
        <f t="shared" si="24"/>
        <v>0.63333333333333341</v>
      </c>
      <c r="P76" s="567">
        <f t="shared" si="24"/>
        <v>0.63333333333333341</v>
      </c>
      <c r="Q76" s="567">
        <f t="shared" si="24"/>
        <v>0.63333333333333341</v>
      </c>
      <c r="R76" s="567">
        <f t="shared" si="24"/>
        <v>0.63333333333333341</v>
      </c>
      <c r="AG76"/>
      <c r="AH76"/>
      <c r="AI76"/>
    </row>
    <row r="77" spans="1:35" s="496" customFormat="1" x14ac:dyDescent="0.25">
      <c r="A77" s="526">
        <v>39</v>
      </c>
      <c r="B77" s="524" t="s">
        <v>1107</v>
      </c>
      <c r="C77" s="525">
        <f>'Balances y Proyecciones'!N77</f>
        <v>0</v>
      </c>
      <c r="D77" s="521"/>
      <c r="E77" s="525">
        <f>'Balances y Proyecciones'!T77</f>
        <v>0</v>
      </c>
      <c r="F77" s="521"/>
      <c r="G77" s="542">
        <f t="shared" si="24"/>
        <v>0</v>
      </c>
      <c r="H77" s="542">
        <f t="shared" si="24"/>
        <v>0</v>
      </c>
      <c r="I77" s="542">
        <f t="shared" si="24"/>
        <v>0</v>
      </c>
      <c r="J77" s="542">
        <f t="shared" si="24"/>
        <v>0</v>
      </c>
      <c r="K77" s="542">
        <f t="shared" si="24"/>
        <v>0</v>
      </c>
      <c r="L77" s="542">
        <f t="shared" si="24"/>
        <v>0</v>
      </c>
      <c r="M77" s="542">
        <f t="shared" si="24"/>
        <v>0</v>
      </c>
      <c r="N77" s="542">
        <f t="shared" si="24"/>
        <v>0</v>
      </c>
      <c r="O77" s="542">
        <f t="shared" si="24"/>
        <v>0</v>
      </c>
      <c r="P77" s="542">
        <f t="shared" si="24"/>
        <v>0</v>
      </c>
      <c r="Q77" s="542">
        <f t="shared" si="24"/>
        <v>0</v>
      </c>
      <c r="R77" s="542">
        <f t="shared" si="24"/>
        <v>0</v>
      </c>
      <c r="AG77"/>
      <c r="AH77"/>
      <c r="AI77"/>
    </row>
    <row r="78" spans="1:35" s="496" customFormat="1" x14ac:dyDescent="0.25">
      <c r="A78" s="526">
        <v>40</v>
      </c>
      <c r="B78" s="524" t="s">
        <v>1108</v>
      </c>
      <c r="C78" s="525">
        <f>'Balances y Proyecciones'!N78</f>
        <v>0</v>
      </c>
      <c r="D78" s="521"/>
      <c r="E78" s="525">
        <f>'Balances y Proyecciones'!T78</f>
        <v>0</v>
      </c>
      <c r="F78" s="521"/>
      <c r="G78" s="543">
        <f t="shared" si="24"/>
        <v>0</v>
      </c>
      <c r="H78" s="543">
        <f t="shared" si="24"/>
        <v>0</v>
      </c>
      <c r="I78" s="543">
        <f t="shared" si="24"/>
        <v>0</v>
      </c>
      <c r="J78" s="543">
        <f t="shared" si="24"/>
        <v>0</v>
      </c>
      <c r="K78" s="543">
        <f t="shared" si="24"/>
        <v>0</v>
      </c>
      <c r="L78" s="543">
        <f t="shared" si="24"/>
        <v>0</v>
      </c>
      <c r="M78" s="543">
        <f t="shared" si="24"/>
        <v>0</v>
      </c>
      <c r="N78" s="543">
        <f t="shared" si="24"/>
        <v>0</v>
      </c>
      <c r="O78" s="543">
        <f t="shared" si="24"/>
        <v>0</v>
      </c>
      <c r="P78" s="543">
        <f t="shared" si="24"/>
        <v>0</v>
      </c>
      <c r="Q78" s="543">
        <f t="shared" si="24"/>
        <v>0</v>
      </c>
      <c r="R78" s="543">
        <f t="shared" si="24"/>
        <v>0</v>
      </c>
      <c r="AG78"/>
      <c r="AH78"/>
      <c r="AI78"/>
    </row>
    <row r="79" spans="1:35" s="496" customFormat="1" x14ac:dyDescent="0.25">
      <c r="A79" s="523" t="s">
        <v>1109</v>
      </c>
      <c r="B79" s="569" t="s">
        <v>1110</v>
      </c>
      <c r="C79" s="525"/>
      <c r="D79" s="521"/>
      <c r="E79" s="525">
        <f>'Balances y Proyecciones'!T79</f>
        <v>0</v>
      </c>
      <c r="F79" s="521"/>
      <c r="G79" s="528">
        <f t="shared" si="24"/>
        <v>0</v>
      </c>
      <c r="H79" s="528">
        <f t="shared" si="24"/>
        <v>0</v>
      </c>
      <c r="I79" s="528">
        <f t="shared" si="24"/>
        <v>0</v>
      </c>
      <c r="J79" s="528">
        <f t="shared" si="24"/>
        <v>0</v>
      </c>
      <c r="K79" s="528">
        <f t="shared" si="24"/>
        <v>0</v>
      </c>
      <c r="L79" s="528">
        <f t="shared" si="24"/>
        <v>0</v>
      </c>
      <c r="M79" s="528">
        <f t="shared" si="24"/>
        <v>0</v>
      </c>
      <c r="N79" s="528">
        <f t="shared" si="24"/>
        <v>0</v>
      </c>
      <c r="O79" s="528">
        <f t="shared" si="24"/>
        <v>0</v>
      </c>
      <c r="P79" s="528">
        <f t="shared" si="24"/>
        <v>0</v>
      </c>
      <c r="Q79" s="528">
        <f t="shared" si="24"/>
        <v>0</v>
      </c>
      <c r="R79" s="528">
        <f t="shared" si="24"/>
        <v>0</v>
      </c>
      <c r="AG79"/>
      <c r="AH79"/>
      <c r="AI79"/>
    </row>
    <row r="80" spans="1:35" s="496" customFormat="1" x14ac:dyDescent="0.25">
      <c r="A80" s="523" t="s">
        <v>1111</v>
      </c>
      <c r="B80" s="569" t="s">
        <v>1112</v>
      </c>
      <c r="C80" s="525"/>
      <c r="D80" s="521"/>
      <c r="E80" s="525">
        <f>'Balances y Proyecciones'!T80</f>
        <v>0</v>
      </c>
      <c r="F80" s="521"/>
      <c r="G80" s="570">
        <f t="shared" si="24"/>
        <v>0</v>
      </c>
      <c r="H80" s="570">
        <f t="shared" si="24"/>
        <v>0</v>
      </c>
      <c r="I80" s="570">
        <f t="shared" si="24"/>
        <v>0</v>
      </c>
      <c r="J80" s="570">
        <f t="shared" si="24"/>
        <v>0</v>
      </c>
      <c r="K80" s="570">
        <f t="shared" si="24"/>
        <v>0</v>
      </c>
      <c r="L80" s="570">
        <f t="shared" si="24"/>
        <v>0</v>
      </c>
      <c r="M80" s="570">
        <f t="shared" si="24"/>
        <v>0</v>
      </c>
      <c r="N80" s="570">
        <f t="shared" si="24"/>
        <v>0</v>
      </c>
      <c r="O80" s="570">
        <f t="shared" si="24"/>
        <v>0</v>
      </c>
      <c r="P80" s="570">
        <f t="shared" si="24"/>
        <v>0</v>
      </c>
      <c r="Q80" s="570">
        <f t="shared" si="24"/>
        <v>0</v>
      </c>
      <c r="R80" s="570">
        <f t="shared" si="24"/>
        <v>0</v>
      </c>
      <c r="AG80"/>
      <c r="AH80"/>
      <c r="AI80"/>
    </row>
    <row r="81" spans="1:35" s="496" customFormat="1" x14ac:dyDescent="0.25">
      <c r="A81" s="523" t="s">
        <v>1113</v>
      </c>
      <c r="B81" s="524" t="s">
        <v>1114</v>
      </c>
      <c r="C81" s="571">
        <f>'Balances y Proyecciones'!N81</f>
        <v>20</v>
      </c>
      <c r="D81" s="521"/>
      <c r="E81" s="571">
        <f>'Balances y Proyecciones'!T81</f>
        <v>20</v>
      </c>
      <c r="F81" s="521"/>
      <c r="G81" s="535">
        <f t="shared" si="24"/>
        <v>1.6666666666666665</v>
      </c>
      <c r="H81" s="535">
        <f t="shared" si="24"/>
        <v>1.6666666666666665</v>
      </c>
      <c r="I81" s="535">
        <f t="shared" si="24"/>
        <v>1.6666666666666665</v>
      </c>
      <c r="J81" s="535">
        <f t="shared" si="24"/>
        <v>1.6666666666666665</v>
      </c>
      <c r="K81" s="535">
        <f t="shared" si="24"/>
        <v>1.6666666666666665</v>
      </c>
      <c r="L81" s="535">
        <f t="shared" si="24"/>
        <v>1.6666666666666665</v>
      </c>
      <c r="M81" s="535">
        <f t="shared" si="24"/>
        <v>1.6666666666666665</v>
      </c>
      <c r="N81" s="535">
        <f t="shared" si="24"/>
        <v>1.6666666666666665</v>
      </c>
      <c r="O81" s="535">
        <f t="shared" si="24"/>
        <v>1.6666666666666665</v>
      </c>
      <c r="P81" s="535">
        <f t="shared" si="24"/>
        <v>1.6666666666666665</v>
      </c>
      <c r="Q81" s="535">
        <f t="shared" si="24"/>
        <v>1.6666666666666665</v>
      </c>
      <c r="R81" s="535">
        <f t="shared" si="24"/>
        <v>1.6666666666666665</v>
      </c>
      <c r="AG81"/>
      <c r="AH81"/>
      <c r="AI81"/>
    </row>
    <row r="82" spans="1:35" s="496" customFormat="1" x14ac:dyDescent="0.25">
      <c r="A82" s="523" t="s">
        <v>1115</v>
      </c>
      <c r="B82" s="524" t="s">
        <v>1116</v>
      </c>
      <c r="C82" s="525">
        <f>'Balances y Proyecciones'!N82</f>
        <v>0</v>
      </c>
      <c r="D82" s="521"/>
      <c r="E82" s="525">
        <f>'Balances y Proyecciones'!T82</f>
        <v>0</v>
      </c>
      <c r="F82" s="521"/>
      <c r="G82" s="525">
        <f t="shared" si="24"/>
        <v>0</v>
      </c>
      <c r="H82" s="525">
        <f t="shared" si="24"/>
        <v>0</v>
      </c>
      <c r="I82" s="525">
        <f t="shared" si="24"/>
        <v>0</v>
      </c>
      <c r="J82" s="525">
        <f t="shared" si="24"/>
        <v>0</v>
      </c>
      <c r="K82" s="525">
        <f t="shared" si="24"/>
        <v>0</v>
      </c>
      <c r="L82" s="525">
        <f t="shared" si="24"/>
        <v>0</v>
      </c>
      <c r="M82" s="525">
        <f t="shared" si="24"/>
        <v>0</v>
      </c>
      <c r="N82" s="525">
        <f t="shared" si="24"/>
        <v>0</v>
      </c>
      <c r="O82" s="525">
        <f t="shared" si="24"/>
        <v>0</v>
      </c>
      <c r="P82" s="525">
        <f t="shared" si="24"/>
        <v>0</v>
      </c>
      <c r="Q82" s="525">
        <f t="shared" si="24"/>
        <v>0</v>
      </c>
      <c r="R82" s="525">
        <f t="shared" si="24"/>
        <v>0</v>
      </c>
      <c r="AG82"/>
      <c r="AH82"/>
      <c r="AI82"/>
    </row>
    <row r="83" spans="1:35" s="496" customFormat="1" x14ac:dyDescent="0.25">
      <c r="A83" s="523" t="s">
        <v>1117</v>
      </c>
      <c r="B83" s="524" t="s">
        <v>1118</v>
      </c>
      <c r="C83" s="525">
        <f>'Balances y Proyecciones'!N83</f>
        <v>0</v>
      </c>
      <c r="D83" s="521"/>
      <c r="E83" s="525">
        <f>'Balances y Proyecciones'!T83</f>
        <v>0</v>
      </c>
      <c r="F83" s="521"/>
      <c r="G83" s="525">
        <f t="shared" si="24"/>
        <v>0</v>
      </c>
      <c r="H83" s="525">
        <f t="shared" si="24"/>
        <v>0</v>
      </c>
      <c r="I83" s="525">
        <f t="shared" si="24"/>
        <v>0</v>
      </c>
      <c r="J83" s="525">
        <f t="shared" si="24"/>
        <v>0</v>
      </c>
      <c r="K83" s="525">
        <f t="shared" si="24"/>
        <v>0</v>
      </c>
      <c r="L83" s="525">
        <f t="shared" si="24"/>
        <v>0</v>
      </c>
      <c r="M83" s="525">
        <f t="shared" si="24"/>
        <v>0</v>
      </c>
      <c r="N83" s="525">
        <f t="shared" si="24"/>
        <v>0</v>
      </c>
      <c r="O83" s="525">
        <f t="shared" si="24"/>
        <v>0</v>
      </c>
      <c r="P83" s="525">
        <f t="shared" si="24"/>
        <v>0</v>
      </c>
      <c r="Q83" s="525">
        <f t="shared" si="24"/>
        <v>0</v>
      </c>
      <c r="R83" s="525">
        <f t="shared" si="24"/>
        <v>0</v>
      </c>
      <c r="AG83"/>
      <c r="AH83"/>
      <c r="AI83"/>
    </row>
    <row r="84" spans="1:35" s="496" customFormat="1" x14ac:dyDescent="0.25">
      <c r="A84" s="523" t="s">
        <v>1119</v>
      </c>
      <c r="B84" s="524" t="s">
        <v>1120</v>
      </c>
      <c r="C84" s="525">
        <f>'Balances y Proyecciones'!N84</f>
        <v>0</v>
      </c>
      <c r="D84" s="521"/>
      <c r="E84" s="525">
        <f>'Balances y Proyecciones'!T84</f>
        <v>0</v>
      </c>
      <c r="F84" s="521"/>
      <c r="G84" s="525">
        <f t="shared" si="24"/>
        <v>0</v>
      </c>
      <c r="H84" s="525">
        <f t="shared" si="24"/>
        <v>0</v>
      </c>
      <c r="I84" s="525">
        <f t="shared" si="24"/>
        <v>0</v>
      </c>
      <c r="J84" s="525">
        <f t="shared" si="24"/>
        <v>0</v>
      </c>
      <c r="K84" s="525">
        <f t="shared" si="24"/>
        <v>0</v>
      </c>
      <c r="L84" s="525">
        <f t="shared" si="24"/>
        <v>0</v>
      </c>
      <c r="M84" s="525">
        <f t="shared" si="24"/>
        <v>0</v>
      </c>
      <c r="N84" s="525">
        <f t="shared" si="24"/>
        <v>0</v>
      </c>
      <c r="O84" s="525">
        <f t="shared" si="24"/>
        <v>0</v>
      </c>
      <c r="P84" s="525">
        <f t="shared" si="24"/>
        <v>0</v>
      </c>
      <c r="Q84" s="525">
        <f t="shared" si="24"/>
        <v>0</v>
      </c>
      <c r="R84" s="525">
        <f t="shared" si="24"/>
        <v>0</v>
      </c>
      <c r="AG84"/>
      <c r="AH84"/>
      <c r="AI84"/>
    </row>
    <row r="85" spans="1:35" s="496" customFormat="1" x14ac:dyDescent="0.25">
      <c r="A85" s="523" t="s">
        <v>1121</v>
      </c>
      <c r="B85" s="524" t="s">
        <v>1122</v>
      </c>
      <c r="C85" s="572">
        <f>'Balances y Proyecciones'!N85</f>
        <v>60</v>
      </c>
      <c r="D85" s="521"/>
      <c r="E85" s="572">
        <f>'Balances y Proyecciones'!T85</f>
        <v>60</v>
      </c>
      <c r="F85" s="521"/>
      <c r="G85" s="525">
        <f t="shared" si="24"/>
        <v>5</v>
      </c>
      <c r="H85" s="525">
        <f t="shared" si="24"/>
        <v>5</v>
      </c>
      <c r="I85" s="525">
        <f t="shared" si="24"/>
        <v>5</v>
      </c>
      <c r="J85" s="525">
        <f t="shared" si="24"/>
        <v>5</v>
      </c>
      <c r="K85" s="525">
        <f t="shared" si="24"/>
        <v>5</v>
      </c>
      <c r="L85" s="525">
        <f t="shared" si="24"/>
        <v>5</v>
      </c>
      <c r="M85" s="525">
        <f t="shared" si="24"/>
        <v>5</v>
      </c>
      <c r="N85" s="525">
        <f t="shared" si="24"/>
        <v>5</v>
      </c>
      <c r="O85" s="525">
        <f t="shared" si="24"/>
        <v>5</v>
      </c>
      <c r="P85" s="525">
        <f t="shared" si="24"/>
        <v>5</v>
      </c>
      <c r="Q85" s="525">
        <f t="shared" si="24"/>
        <v>5</v>
      </c>
      <c r="R85" s="525">
        <f t="shared" si="24"/>
        <v>5</v>
      </c>
      <c r="AG85"/>
      <c r="AH85"/>
      <c r="AI85"/>
    </row>
    <row r="86" spans="1:35" s="568" customFormat="1" x14ac:dyDescent="0.25">
      <c r="A86" s="573" t="s">
        <v>1123</v>
      </c>
      <c r="B86" s="574" t="s">
        <v>1124</v>
      </c>
      <c r="C86" s="527">
        <f>'Balances y Proyecciones'!N86</f>
        <v>70</v>
      </c>
      <c r="D86" s="521"/>
      <c r="E86" s="527">
        <f>'Balances y Proyecciones'!T86</f>
        <v>70.000000000000014</v>
      </c>
      <c r="F86" s="521"/>
      <c r="G86" s="575">
        <f t="shared" si="24"/>
        <v>5.8333333333333339</v>
      </c>
      <c r="H86" s="575">
        <f t="shared" si="24"/>
        <v>5.8333333333333339</v>
      </c>
      <c r="I86" s="575">
        <f t="shared" si="24"/>
        <v>5.8333333333333339</v>
      </c>
      <c r="J86" s="575">
        <f t="shared" si="24"/>
        <v>5.8333333333333339</v>
      </c>
      <c r="K86" s="575">
        <f t="shared" si="24"/>
        <v>5.8333333333333339</v>
      </c>
      <c r="L86" s="575">
        <f t="shared" si="24"/>
        <v>5.8333333333333339</v>
      </c>
      <c r="M86" s="575">
        <f t="shared" si="24"/>
        <v>5.8333333333333339</v>
      </c>
      <c r="N86" s="575">
        <f t="shared" si="24"/>
        <v>5.8333333333333339</v>
      </c>
      <c r="O86" s="575">
        <f t="shared" si="24"/>
        <v>5.8333333333333339</v>
      </c>
      <c r="P86" s="575">
        <f t="shared" si="24"/>
        <v>5.8333333333333339</v>
      </c>
      <c r="Q86" s="575">
        <f t="shared" si="24"/>
        <v>5.8333333333333339</v>
      </c>
      <c r="R86" s="575">
        <f t="shared" si="24"/>
        <v>5.8333333333333339</v>
      </c>
      <c r="AG86"/>
      <c r="AH86"/>
      <c r="AI86"/>
    </row>
    <row r="87" spans="1:35" s="496" customFormat="1" ht="12.75" x14ac:dyDescent="0.25">
      <c r="A87" s="507"/>
      <c r="B87" s="508" t="s">
        <v>1125</v>
      </c>
      <c r="C87" s="533">
        <f>'Balances y Proyecciones'!N87</f>
        <v>2810</v>
      </c>
      <c r="D87" s="521"/>
      <c r="E87" s="533">
        <f>'Balances y Proyecciones'!T87</f>
        <v>2812.4</v>
      </c>
      <c r="F87" s="521"/>
      <c r="G87" s="533">
        <f t="shared" ref="G87:R87" si="25">G75-G76+G77+G78+G79-G80+G81+G82+G83+G84+G85-G86</f>
        <v>234.36666666666662</v>
      </c>
      <c r="H87" s="533">
        <f t="shared" si="25"/>
        <v>234.36666666666662</v>
      </c>
      <c r="I87" s="533">
        <f t="shared" si="25"/>
        <v>234.36666666666662</v>
      </c>
      <c r="J87" s="533">
        <f t="shared" si="25"/>
        <v>234.36666666666662</v>
      </c>
      <c r="K87" s="533">
        <f t="shared" si="25"/>
        <v>234.36666666666662</v>
      </c>
      <c r="L87" s="533">
        <f t="shared" si="25"/>
        <v>234.36666666666662</v>
      </c>
      <c r="M87" s="533">
        <f t="shared" si="25"/>
        <v>234.36666666666662</v>
      </c>
      <c r="N87" s="533">
        <f t="shared" si="25"/>
        <v>234.36666666666662</v>
      </c>
      <c r="O87" s="533">
        <f t="shared" si="25"/>
        <v>234.36666666666662</v>
      </c>
      <c r="P87" s="533">
        <f t="shared" si="25"/>
        <v>234.36666666666662</v>
      </c>
      <c r="Q87" s="533">
        <f t="shared" si="25"/>
        <v>234.36666666666662</v>
      </c>
      <c r="R87" s="533">
        <f t="shared" si="25"/>
        <v>234.36666666666662</v>
      </c>
    </row>
    <row r="88" spans="1:35" s="496" customFormat="1" ht="12.75" x14ac:dyDescent="0.25">
      <c r="A88" s="562">
        <v>42</v>
      </c>
      <c r="B88" s="563" t="s">
        <v>1126</v>
      </c>
      <c r="C88" s="543">
        <f>'Balances y Proyecciones'!N88</f>
        <v>0</v>
      </c>
      <c r="D88" s="521"/>
      <c r="E88" s="543">
        <f>'Balances y Proyecciones'!T88</f>
        <v>0</v>
      </c>
      <c r="F88" s="521"/>
      <c r="G88" s="543">
        <f t="shared" ref="G88:R88" si="26">IF($G$12=1,"Error %",$E88*G$13)</f>
        <v>0</v>
      </c>
      <c r="H88" s="543">
        <f t="shared" si="26"/>
        <v>0</v>
      </c>
      <c r="I88" s="543">
        <f t="shared" si="26"/>
        <v>0</v>
      </c>
      <c r="J88" s="543">
        <f t="shared" si="26"/>
        <v>0</v>
      </c>
      <c r="K88" s="543">
        <f t="shared" si="26"/>
        <v>0</v>
      </c>
      <c r="L88" s="543">
        <f t="shared" si="26"/>
        <v>0</v>
      </c>
      <c r="M88" s="543">
        <f t="shared" si="26"/>
        <v>0</v>
      </c>
      <c r="N88" s="543">
        <f t="shared" si="26"/>
        <v>0</v>
      </c>
      <c r="O88" s="543">
        <f t="shared" si="26"/>
        <v>0</v>
      </c>
      <c r="P88" s="543">
        <f t="shared" si="26"/>
        <v>0</v>
      </c>
      <c r="Q88" s="543">
        <f t="shared" si="26"/>
        <v>0</v>
      </c>
      <c r="R88" s="543">
        <f t="shared" si="26"/>
        <v>0</v>
      </c>
    </row>
    <row r="89" spans="1:35" s="496" customFormat="1" ht="12.75" x14ac:dyDescent="0.2">
      <c r="A89" s="507"/>
      <c r="B89" s="538" t="s">
        <v>850</v>
      </c>
      <c r="C89" s="539">
        <f>'Balances y Proyecciones'!N89</f>
        <v>2810</v>
      </c>
      <c r="D89" s="521"/>
      <c r="E89" s="539">
        <f>'Balances y Proyecciones'!T89</f>
        <v>2812.4</v>
      </c>
      <c r="F89" s="521"/>
      <c r="G89" s="540">
        <f t="shared" ref="G89:R89" si="27">G87-G88</f>
        <v>234.36666666666662</v>
      </c>
      <c r="H89" s="540">
        <f t="shared" si="27"/>
        <v>234.36666666666662</v>
      </c>
      <c r="I89" s="540">
        <f t="shared" si="27"/>
        <v>234.36666666666662</v>
      </c>
      <c r="J89" s="540">
        <f t="shared" si="27"/>
        <v>234.36666666666662</v>
      </c>
      <c r="K89" s="540">
        <f t="shared" si="27"/>
        <v>234.36666666666662</v>
      </c>
      <c r="L89" s="540">
        <f t="shared" si="27"/>
        <v>234.36666666666662</v>
      </c>
      <c r="M89" s="540">
        <f t="shared" si="27"/>
        <v>234.36666666666662</v>
      </c>
      <c r="N89" s="540">
        <f t="shared" si="27"/>
        <v>234.36666666666662</v>
      </c>
      <c r="O89" s="540">
        <f t="shared" si="27"/>
        <v>234.36666666666662</v>
      </c>
      <c r="P89" s="540">
        <f t="shared" si="27"/>
        <v>234.36666666666662</v>
      </c>
      <c r="Q89" s="540">
        <f t="shared" si="27"/>
        <v>234.36666666666662</v>
      </c>
      <c r="R89" s="540">
        <f t="shared" si="27"/>
        <v>234.36666666666662</v>
      </c>
      <c r="S89" s="497"/>
      <c r="T89" s="497"/>
    </row>
    <row r="90" spans="1:35" s="496" customFormat="1" ht="12.75" x14ac:dyDescent="0.2">
      <c r="A90" s="518">
        <v>43</v>
      </c>
      <c r="B90" s="534" t="s">
        <v>1127</v>
      </c>
      <c r="C90" s="576">
        <f>'Balances y Proyecciones'!N90</f>
        <v>40</v>
      </c>
      <c r="D90" s="521"/>
      <c r="E90" s="576">
        <f>'Balances y Proyecciones'!T90</f>
        <v>53.2</v>
      </c>
      <c r="F90" s="577"/>
      <c r="G90" s="535">
        <f t="shared" ref="G90:R92" si="28">IF($G$12=1,"Error %",$E90*G$13)</f>
        <v>4.4333333333333336</v>
      </c>
      <c r="H90" s="535">
        <f t="shared" si="28"/>
        <v>4.4333333333333336</v>
      </c>
      <c r="I90" s="535">
        <f t="shared" si="28"/>
        <v>4.4333333333333336</v>
      </c>
      <c r="J90" s="535">
        <f t="shared" si="28"/>
        <v>4.4333333333333336</v>
      </c>
      <c r="K90" s="535">
        <f t="shared" si="28"/>
        <v>4.4333333333333336</v>
      </c>
      <c r="L90" s="535">
        <f t="shared" si="28"/>
        <v>4.4333333333333336</v>
      </c>
      <c r="M90" s="535">
        <f t="shared" si="28"/>
        <v>4.4333333333333336</v>
      </c>
      <c r="N90" s="535">
        <f t="shared" si="28"/>
        <v>4.4333333333333336</v>
      </c>
      <c r="O90" s="535">
        <f t="shared" si="28"/>
        <v>4.4333333333333336</v>
      </c>
      <c r="P90" s="535">
        <f t="shared" si="28"/>
        <v>4.4333333333333336</v>
      </c>
      <c r="Q90" s="535">
        <f t="shared" si="28"/>
        <v>4.4333333333333336</v>
      </c>
      <c r="R90" s="535">
        <f t="shared" si="28"/>
        <v>4.4333333333333336</v>
      </c>
      <c r="S90" s="497"/>
      <c r="T90" s="497"/>
    </row>
    <row r="91" spans="1:35" s="496" customFormat="1" ht="12.75" x14ac:dyDescent="0.2">
      <c r="A91" s="526">
        <v>44</v>
      </c>
      <c r="B91" s="524" t="s">
        <v>1128</v>
      </c>
      <c r="C91" s="578">
        <f>'Balances y Proyecciones'!N91</f>
        <v>0</v>
      </c>
      <c r="D91" s="577"/>
      <c r="E91" s="578">
        <f>'Balances y Proyecciones'!T91</f>
        <v>0</v>
      </c>
      <c r="F91" s="577"/>
      <c r="G91" s="525">
        <f t="shared" si="28"/>
        <v>0</v>
      </c>
      <c r="H91" s="525">
        <f t="shared" si="28"/>
        <v>0</v>
      </c>
      <c r="I91" s="525">
        <f t="shared" si="28"/>
        <v>0</v>
      </c>
      <c r="J91" s="525">
        <f t="shared" si="28"/>
        <v>0</v>
      </c>
      <c r="K91" s="525">
        <f t="shared" si="28"/>
        <v>0</v>
      </c>
      <c r="L91" s="525">
        <f t="shared" si="28"/>
        <v>0</v>
      </c>
      <c r="M91" s="525">
        <f t="shared" si="28"/>
        <v>0</v>
      </c>
      <c r="N91" s="525">
        <f t="shared" si="28"/>
        <v>0</v>
      </c>
      <c r="O91" s="525">
        <f t="shared" si="28"/>
        <v>0</v>
      </c>
      <c r="P91" s="525">
        <f t="shared" si="28"/>
        <v>0</v>
      </c>
      <c r="Q91" s="525">
        <f t="shared" si="28"/>
        <v>0</v>
      </c>
      <c r="R91" s="525">
        <f t="shared" si="28"/>
        <v>0</v>
      </c>
      <c r="S91" s="497"/>
      <c r="T91" s="497"/>
    </row>
    <row r="92" spans="1:35" s="496" customFormat="1" ht="12.75" x14ac:dyDescent="0.2">
      <c r="A92" s="526">
        <v>45</v>
      </c>
      <c r="B92" s="530" t="s">
        <v>1129</v>
      </c>
      <c r="C92" s="579">
        <f>'Balances y Proyecciones'!N92</f>
        <v>0</v>
      </c>
      <c r="D92" s="577"/>
      <c r="E92" s="579">
        <f>'Balances y Proyecciones'!T92</f>
        <v>0</v>
      </c>
      <c r="F92" s="577"/>
      <c r="G92" s="527">
        <f t="shared" si="28"/>
        <v>0</v>
      </c>
      <c r="H92" s="527">
        <f t="shared" si="28"/>
        <v>0</v>
      </c>
      <c r="I92" s="527">
        <f t="shared" si="28"/>
        <v>0</v>
      </c>
      <c r="J92" s="527">
        <f t="shared" si="28"/>
        <v>0</v>
      </c>
      <c r="K92" s="527">
        <f t="shared" si="28"/>
        <v>0</v>
      </c>
      <c r="L92" s="527">
        <f t="shared" si="28"/>
        <v>0</v>
      </c>
      <c r="M92" s="527">
        <f t="shared" si="28"/>
        <v>0</v>
      </c>
      <c r="N92" s="527">
        <f t="shared" si="28"/>
        <v>0</v>
      </c>
      <c r="O92" s="527">
        <f t="shared" si="28"/>
        <v>0</v>
      </c>
      <c r="P92" s="527">
        <f t="shared" si="28"/>
        <v>0</v>
      </c>
      <c r="Q92" s="527">
        <f t="shared" si="28"/>
        <v>0</v>
      </c>
      <c r="R92" s="527">
        <f t="shared" si="28"/>
        <v>0</v>
      </c>
      <c r="S92" s="497"/>
      <c r="T92" s="497"/>
    </row>
    <row r="93" spans="1:35" s="496" customFormat="1" ht="12.75" x14ac:dyDescent="0.2">
      <c r="A93" s="537">
        <v>46</v>
      </c>
      <c r="B93" s="580" t="s">
        <v>881</v>
      </c>
      <c r="C93" s="581">
        <f>'Balances y Proyecciones'!N93</f>
        <v>2850</v>
      </c>
      <c r="D93" s="577"/>
      <c r="E93" s="582">
        <f>'Balances y Proyecciones'!T93</f>
        <v>2863.2</v>
      </c>
      <c r="F93" s="521"/>
      <c r="G93" s="581">
        <f t="shared" ref="G93:R93" si="29">G75+SUM(G90:G92)</f>
        <v>238.59999999999997</v>
      </c>
      <c r="H93" s="581">
        <f t="shared" si="29"/>
        <v>238.59999999999997</v>
      </c>
      <c r="I93" s="581">
        <f t="shared" si="29"/>
        <v>238.59999999999997</v>
      </c>
      <c r="J93" s="581">
        <f t="shared" si="29"/>
        <v>238.59999999999997</v>
      </c>
      <c r="K93" s="581">
        <f t="shared" si="29"/>
        <v>238.59999999999997</v>
      </c>
      <c r="L93" s="581">
        <f t="shared" si="29"/>
        <v>238.59999999999997</v>
      </c>
      <c r="M93" s="581">
        <f t="shared" si="29"/>
        <v>238.59999999999997</v>
      </c>
      <c r="N93" s="581">
        <f t="shared" si="29"/>
        <v>238.59999999999997</v>
      </c>
      <c r="O93" s="581">
        <f t="shared" si="29"/>
        <v>238.59999999999997</v>
      </c>
      <c r="P93" s="581">
        <f t="shared" si="29"/>
        <v>238.59999999999997</v>
      </c>
      <c r="Q93" s="581">
        <f t="shared" si="29"/>
        <v>238.59999999999997</v>
      </c>
      <c r="R93" s="581">
        <f t="shared" si="29"/>
        <v>238.59999999999997</v>
      </c>
      <c r="S93" s="497"/>
      <c r="T93" s="497"/>
    </row>
    <row r="94" spans="1:35" s="496" customFormat="1" ht="12.75" x14ac:dyDescent="0.25">
      <c r="A94" s="583"/>
      <c r="B94" s="508" t="s">
        <v>1130</v>
      </c>
      <c r="C94" s="533">
        <f>'Balances y Proyecciones'!N94</f>
        <v>40</v>
      </c>
      <c r="D94" s="521"/>
      <c r="E94" s="584">
        <f>'Balances y Proyecciones'!T94</f>
        <v>257.73400000000009</v>
      </c>
      <c r="F94" s="521"/>
      <c r="G94" s="533">
        <f t="shared" ref="G94:R94" si="30">(G28-G114+G29+G115)-(C28-C114+C29+C115)+G90-(C114-C115)</f>
        <v>-528.52216666666675</v>
      </c>
      <c r="H94" s="533">
        <f t="shared" si="30"/>
        <v>71.477833333333336</v>
      </c>
      <c r="I94" s="533">
        <f t="shared" si="30"/>
        <v>-733.05616666666685</v>
      </c>
      <c r="J94" s="533">
        <f t="shared" si="30"/>
        <v>71.477833333333336</v>
      </c>
      <c r="K94" s="533">
        <f t="shared" si="30"/>
        <v>4.4333333333333336</v>
      </c>
      <c r="L94" s="533">
        <f t="shared" si="30"/>
        <v>4.4333333333333336</v>
      </c>
      <c r="M94" s="533">
        <f t="shared" si="30"/>
        <v>4.4333333333333336</v>
      </c>
      <c r="N94" s="533">
        <f t="shared" si="30"/>
        <v>4.4333333333333336</v>
      </c>
      <c r="O94" s="533">
        <f t="shared" si="30"/>
        <v>4.4333333333333336</v>
      </c>
      <c r="P94" s="533">
        <f t="shared" si="30"/>
        <v>4.4333333333333336</v>
      </c>
      <c r="Q94" s="533">
        <f t="shared" si="30"/>
        <v>4.4333333333333336</v>
      </c>
      <c r="R94" s="533">
        <f t="shared" si="30"/>
        <v>4.4333333333333336</v>
      </c>
    </row>
    <row r="95" spans="1:35" s="496" customFormat="1" ht="12.75" x14ac:dyDescent="0.25">
      <c r="A95" s="583"/>
      <c r="B95" s="508" t="s">
        <v>1131</v>
      </c>
      <c r="C95" s="533">
        <f>'Balances y Proyecciones'!N95</f>
        <v>0</v>
      </c>
      <c r="D95" s="521"/>
      <c r="E95" s="585">
        <f>'Balances y Proyecciones'!T95</f>
        <v>178.20000000000005</v>
      </c>
      <c r="F95" s="521"/>
      <c r="G95" s="533">
        <f t="shared" ref="G95:R95" si="31">(G28-G114)-(C28-C114)-(C114-C115)</f>
        <v>-480.15</v>
      </c>
      <c r="H95" s="533">
        <f t="shared" si="31"/>
        <v>59.85</v>
      </c>
      <c r="I95" s="533">
        <f t="shared" si="31"/>
        <v>-658.35</v>
      </c>
      <c r="J95" s="533">
        <f t="shared" si="31"/>
        <v>59.85</v>
      </c>
      <c r="K95" s="533">
        <f t="shared" si="31"/>
        <v>0</v>
      </c>
      <c r="L95" s="533">
        <f t="shared" si="31"/>
        <v>0</v>
      </c>
      <c r="M95" s="533">
        <f t="shared" si="31"/>
        <v>0</v>
      </c>
      <c r="N95" s="533">
        <f t="shared" si="31"/>
        <v>0</v>
      </c>
      <c r="O95" s="533">
        <f t="shared" si="31"/>
        <v>0</v>
      </c>
      <c r="P95" s="533">
        <f t="shared" si="31"/>
        <v>0</v>
      </c>
      <c r="Q95" s="533">
        <f t="shared" si="31"/>
        <v>0</v>
      </c>
      <c r="R95" s="533">
        <f t="shared" si="31"/>
        <v>0</v>
      </c>
    </row>
    <row r="96" spans="1:35" s="496" customFormat="1" ht="12.75" x14ac:dyDescent="0.2">
      <c r="A96" s="507"/>
      <c r="B96" s="586"/>
      <c r="C96" s="587"/>
      <c r="D96" s="521"/>
      <c r="E96" s="587"/>
      <c r="F96" s="500"/>
      <c r="G96" s="588"/>
      <c r="I96" s="495"/>
      <c r="J96" s="495"/>
      <c r="K96" s="495"/>
      <c r="L96" s="495"/>
      <c r="M96" s="495"/>
      <c r="N96" s="495"/>
      <c r="O96" s="495"/>
      <c r="P96" s="495"/>
      <c r="Q96" s="495"/>
      <c r="R96" s="589"/>
      <c r="S96" s="497"/>
      <c r="T96" s="497"/>
    </row>
    <row r="97" spans="1:18" s="496" customFormat="1" ht="12.75" x14ac:dyDescent="0.25">
      <c r="A97" s="498"/>
      <c r="B97" s="590" t="s">
        <v>1132</v>
      </c>
      <c r="C97" s="591"/>
      <c r="D97" s="500"/>
      <c r="E97" s="592"/>
      <c r="F97" s="593"/>
      <c r="G97" s="588"/>
    </row>
    <row r="98" spans="1:18" s="496" customFormat="1" ht="12.75" x14ac:dyDescent="0.25">
      <c r="A98" s="498"/>
      <c r="B98" s="590" t="s">
        <v>1133</v>
      </c>
      <c r="C98" s="591"/>
      <c r="D98" s="593"/>
      <c r="E98" s="592"/>
      <c r="F98" s="593"/>
      <c r="G98" s="588"/>
    </row>
    <row r="99" spans="1:18" s="496" customFormat="1" ht="12.75" x14ac:dyDescent="0.25">
      <c r="A99" s="498" t="s">
        <v>1134</v>
      </c>
      <c r="B99" s="594"/>
      <c r="C99" s="502"/>
      <c r="D99" s="593"/>
      <c r="E99" s="502"/>
      <c r="G99" s="588"/>
      <c r="I99" s="495"/>
      <c r="J99" s="495"/>
      <c r="K99" s="495"/>
      <c r="L99" s="495"/>
      <c r="M99" s="495"/>
      <c r="N99" s="495"/>
      <c r="O99" s="495"/>
      <c r="P99" s="495"/>
      <c r="Q99" s="495"/>
      <c r="R99" s="595"/>
    </row>
    <row r="100" spans="1:18" s="496" customFormat="1" ht="12.75" x14ac:dyDescent="0.25">
      <c r="A100" s="498"/>
      <c r="B100" s="586" t="s">
        <v>1135</v>
      </c>
      <c r="C100" s="502"/>
      <c r="E100" s="502"/>
      <c r="G100" s="588"/>
      <c r="R100" s="595"/>
    </row>
    <row r="101" spans="1:18" s="496" customFormat="1" ht="12.75" x14ac:dyDescent="0.25">
      <c r="A101" s="498"/>
      <c r="B101" s="586"/>
      <c r="C101" s="502"/>
      <c r="E101" s="502"/>
      <c r="G101" s="588"/>
      <c r="R101" s="595"/>
    </row>
    <row r="102" spans="1:18" s="496" customFormat="1" ht="12.75" x14ac:dyDescent="0.25">
      <c r="A102" s="498"/>
      <c r="B102" s="586"/>
      <c r="C102" s="502"/>
      <c r="E102" s="502"/>
      <c r="G102" s="588"/>
      <c r="I102" s="495"/>
      <c r="J102" s="495"/>
      <c r="K102" s="495"/>
      <c r="L102" s="495"/>
      <c r="M102" s="495"/>
      <c r="N102" s="495"/>
      <c r="O102" s="495"/>
      <c r="P102" s="495"/>
      <c r="Q102" s="495"/>
      <c r="R102" s="595"/>
    </row>
    <row r="103" spans="1:18" s="496" customFormat="1" ht="12.75" x14ac:dyDescent="0.25">
      <c r="A103" s="498"/>
      <c r="B103" s="586"/>
      <c r="C103" s="502"/>
      <c r="E103" s="502"/>
      <c r="G103" s="588"/>
      <c r="I103" s="495"/>
      <c r="J103" s="495"/>
      <c r="K103" s="495"/>
      <c r="L103" s="495"/>
      <c r="M103" s="495"/>
      <c r="N103" s="495"/>
      <c r="O103" s="495"/>
      <c r="P103" s="495"/>
      <c r="Q103" s="495"/>
      <c r="R103" s="595"/>
    </row>
    <row r="104" spans="1:18" s="496" customFormat="1" ht="12.75" x14ac:dyDescent="0.25">
      <c r="A104" s="498"/>
      <c r="B104" s="586"/>
      <c r="C104" s="502"/>
      <c r="E104" s="502"/>
      <c r="G104" s="588"/>
      <c r="I104" s="495"/>
      <c r="J104" s="495"/>
      <c r="K104" s="495"/>
      <c r="L104" s="495"/>
      <c r="M104" s="495"/>
      <c r="N104" s="495"/>
      <c r="O104" s="495"/>
      <c r="P104" s="495"/>
      <c r="Q104" s="495"/>
      <c r="R104" s="595"/>
    </row>
    <row r="105" spans="1:18" s="496" customFormat="1" ht="12.75" x14ac:dyDescent="0.25">
      <c r="A105" s="498"/>
      <c r="B105" s="586"/>
      <c r="C105" s="596"/>
      <c r="E105" s="596"/>
      <c r="G105" s="588"/>
      <c r="I105" s="495"/>
      <c r="J105" s="495"/>
      <c r="K105" s="495"/>
      <c r="L105" s="495"/>
      <c r="M105" s="495"/>
      <c r="N105" s="495"/>
      <c r="O105" s="495"/>
      <c r="P105" s="495"/>
      <c r="Q105" s="495"/>
      <c r="R105" s="595"/>
    </row>
    <row r="106" spans="1:18" s="496" customFormat="1" ht="12.75" x14ac:dyDescent="0.25">
      <c r="A106" s="498"/>
      <c r="B106" s="586"/>
      <c r="C106" s="502"/>
      <c r="E106" s="502"/>
      <c r="G106" s="588"/>
      <c r="I106" s="495"/>
      <c r="J106" s="495"/>
      <c r="K106" s="495"/>
      <c r="L106" s="495"/>
      <c r="M106" s="495"/>
      <c r="N106" s="495"/>
      <c r="O106" s="495"/>
      <c r="P106" s="495"/>
      <c r="Q106" s="495"/>
      <c r="R106" s="595"/>
    </row>
    <row r="107" spans="1:18" s="496" customFormat="1" ht="12.75" x14ac:dyDescent="0.25">
      <c r="A107" s="498"/>
      <c r="B107" s="586"/>
      <c r="C107" s="502"/>
      <c r="E107" s="502"/>
      <c r="G107" s="588"/>
      <c r="I107" s="495"/>
      <c r="J107" s="495"/>
      <c r="K107" s="495"/>
      <c r="L107" s="495"/>
      <c r="M107" s="495"/>
      <c r="N107" s="495"/>
      <c r="O107" s="495"/>
      <c r="P107" s="495"/>
      <c r="Q107" s="495"/>
      <c r="R107" s="595"/>
    </row>
    <row r="108" spans="1:18" s="496" customFormat="1" ht="12.75" x14ac:dyDescent="0.25">
      <c r="A108" s="498"/>
      <c r="B108" s="586"/>
      <c r="C108" s="502"/>
      <c r="E108" s="502"/>
      <c r="G108" s="588"/>
      <c r="I108" s="495"/>
      <c r="J108" s="495"/>
      <c r="K108" s="495"/>
      <c r="L108" s="495"/>
      <c r="M108" s="495"/>
      <c r="N108" s="495"/>
      <c r="O108" s="495"/>
      <c r="P108" s="495"/>
      <c r="Q108" s="495"/>
      <c r="R108" s="595"/>
    </row>
    <row r="109" spans="1:18" s="496" customFormat="1" ht="12.75" x14ac:dyDescent="0.25">
      <c r="A109" s="498"/>
      <c r="B109" s="586"/>
      <c r="C109" s="502"/>
      <c r="E109" s="597" t="str">
        <f>'Balances y Proyecciones'!T109</f>
        <v>PAAG PROYECTADO</v>
      </c>
      <c r="G109" s="598" t="s">
        <v>1136</v>
      </c>
      <c r="H109" s="599"/>
      <c r="I109" s="600"/>
      <c r="J109" s="600"/>
      <c r="K109" s="600"/>
      <c r="L109" s="600"/>
      <c r="M109" s="600"/>
      <c r="N109" s="600"/>
      <c r="O109" s="600"/>
      <c r="P109" s="600"/>
      <c r="Q109" s="600"/>
      <c r="R109" s="595"/>
    </row>
    <row r="110" spans="1:18" s="496" customFormat="1" ht="12.75" x14ac:dyDescent="0.25">
      <c r="A110" s="498"/>
      <c r="B110" s="586"/>
      <c r="C110" s="502"/>
      <c r="E110" s="601"/>
      <c r="G110" s="602"/>
      <c r="H110" s="602"/>
      <c r="I110" s="602"/>
      <c r="J110" s="602"/>
      <c r="K110" s="602"/>
      <c r="L110" s="602"/>
      <c r="M110" s="602"/>
      <c r="N110" s="602"/>
      <c r="O110" s="602"/>
      <c r="P110" s="602"/>
      <c r="Q110" s="602"/>
      <c r="R110" s="602"/>
    </row>
    <row r="111" spans="1:18" s="496" customFormat="1" ht="12.75" x14ac:dyDescent="0.25">
      <c r="A111" s="498"/>
      <c r="B111" s="603"/>
      <c r="E111" s="604"/>
      <c r="G111" s="588"/>
      <c r="I111" s="495"/>
      <c r="J111" s="495"/>
      <c r="K111" s="495"/>
      <c r="L111" s="495"/>
      <c r="M111" s="495"/>
      <c r="N111" s="495"/>
      <c r="O111" s="495"/>
      <c r="P111" s="495"/>
      <c r="Q111" s="495"/>
      <c r="R111" s="495"/>
    </row>
    <row r="112" spans="1:18" s="609" customFormat="1" x14ac:dyDescent="0.25">
      <c r="A112" s="605"/>
      <c r="B112" s="606" t="s">
        <v>1137</v>
      </c>
      <c r="C112" s="607">
        <f>'Balances y Proyecciones'!N112</f>
        <v>2021</v>
      </c>
      <c r="D112" s="496"/>
      <c r="E112" s="608">
        <f>'Balances y Proyecciones'!T112</f>
        <v>2022</v>
      </c>
      <c r="F112" s="500"/>
      <c r="G112" s="509">
        <f t="shared" ref="G112:R112" si="32">G15</f>
        <v>2022</v>
      </c>
      <c r="H112" s="509">
        <f t="shared" si="32"/>
        <v>2022</v>
      </c>
      <c r="I112" s="509">
        <f t="shared" si="32"/>
        <v>2022</v>
      </c>
      <c r="J112" s="509">
        <f t="shared" si="32"/>
        <v>2022</v>
      </c>
      <c r="K112" s="509">
        <f t="shared" si="32"/>
        <v>2022</v>
      </c>
      <c r="L112" s="509">
        <f t="shared" si="32"/>
        <v>2022</v>
      </c>
      <c r="M112" s="509">
        <f t="shared" si="32"/>
        <v>2022</v>
      </c>
      <c r="N112" s="509">
        <f t="shared" si="32"/>
        <v>2022</v>
      </c>
      <c r="O112" s="509">
        <f t="shared" si="32"/>
        <v>2022</v>
      </c>
      <c r="P112" s="509">
        <f t="shared" si="32"/>
        <v>2022</v>
      </c>
      <c r="Q112" s="509">
        <f t="shared" si="32"/>
        <v>2022</v>
      </c>
      <c r="R112" s="509">
        <f t="shared" si="32"/>
        <v>2022</v>
      </c>
    </row>
    <row r="113" spans="1:20" s="496" customFormat="1" ht="12.75" x14ac:dyDescent="0.2">
      <c r="A113" s="498"/>
      <c r="B113" s="610" t="s">
        <v>1138</v>
      </c>
      <c r="C113" s="520">
        <f>'Balances y Proyecciones'!N113</f>
        <v>0</v>
      </c>
      <c r="D113" s="500"/>
      <c r="E113" s="611">
        <f>'Balances y Proyecciones'!T113</f>
        <v>0</v>
      </c>
      <c r="F113" s="500"/>
      <c r="G113" s="612"/>
      <c r="H113" s="612"/>
      <c r="I113" s="612"/>
      <c r="J113" s="612"/>
      <c r="K113" s="612"/>
      <c r="L113" s="612"/>
      <c r="M113" s="612"/>
      <c r="N113" s="612"/>
      <c r="O113" s="612"/>
      <c r="P113" s="612"/>
      <c r="Q113" s="612"/>
      <c r="R113" s="612"/>
      <c r="S113" s="497"/>
      <c r="T113" s="497"/>
    </row>
    <row r="114" spans="1:20" s="496" customFormat="1" ht="12.75" x14ac:dyDescent="0.2">
      <c r="A114" s="498"/>
      <c r="B114" s="569" t="s">
        <v>1139</v>
      </c>
      <c r="C114" s="613">
        <f>'Balances y Proyecciones'!N114</f>
        <v>0</v>
      </c>
      <c r="D114" s="500"/>
      <c r="E114" s="611">
        <f>'Balances y Proyecciones'!T114</f>
        <v>0</v>
      </c>
      <c r="F114" s="500"/>
      <c r="G114" s="614"/>
      <c r="H114" s="614"/>
      <c r="I114" s="614"/>
      <c r="J114" s="614"/>
      <c r="K114" s="614"/>
      <c r="L114" s="614"/>
      <c r="M114" s="614"/>
      <c r="N114" s="614"/>
      <c r="O114" s="614"/>
      <c r="P114" s="614"/>
      <c r="Q114" s="614"/>
      <c r="R114" s="614"/>
      <c r="S114" s="497"/>
      <c r="T114" s="497"/>
    </row>
    <row r="115" spans="1:20" s="496" customFormat="1" ht="12.75" x14ac:dyDescent="0.2">
      <c r="A115" s="498"/>
      <c r="B115" s="569" t="s">
        <v>1140</v>
      </c>
      <c r="C115" s="613">
        <f>'Balances y Proyecciones'!N115</f>
        <v>0</v>
      </c>
      <c r="D115" s="500"/>
      <c r="E115" s="611">
        <f>'Balances y Proyecciones'!T115</f>
        <v>0</v>
      </c>
      <c r="F115" s="500"/>
      <c r="G115" s="614"/>
      <c r="H115" s="614"/>
      <c r="I115" s="614"/>
      <c r="J115" s="614"/>
      <c r="K115" s="614"/>
      <c r="L115" s="614"/>
      <c r="M115" s="614"/>
      <c r="N115" s="614"/>
      <c r="O115" s="614"/>
      <c r="P115" s="614"/>
      <c r="Q115" s="614"/>
      <c r="R115" s="614"/>
      <c r="S115" s="497"/>
      <c r="T115" s="497"/>
    </row>
    <row r="116" spans="1:20" s="496" customFormat="1" ht="12.75" x14ac:dyDescent="0.2">
      <c r="A116" s="498"/>
      <c r="B116" s="524" t="s">
        <v>1141</v>
      </c>
      <c r="C116" s="613">
        <f>'Balances y Proyecciones'!N116</f>
        <v>0</v>
      </c>
      <c r="D116" s="500"/>
      <c r="E116" s="611">
        <f>'Balances y Proyecciones'!T116</f>
        <v>0</v>
      </c>
      <c r="F116" s="500"/>
      <c r="G116" s="614"/>
      <c r="H116" s="614"/>
      <c r="I116" s="614"/>
      <c r="J116" s="614"/>
      <c r="K116" s="614"/>
      <c r="L116" s="614"/>
      <c r="M116" s="614"/>
      <c r="N116" s="614"/>
      <c r="O116" s="614"/>
      <c r="P116" s="614"/>
      <c r="Q116" s="614"/>
      <c r="R116" s="614"/>
      <c r="S116" s="497"/>
      <c r="T116" s="497"/>
    </row>
    <row r="117" spans="1:20" s="496" customFormat="1" ht="12.75" x14ac:dyDescent="0.2">
      <c r="A117" s="498"/>
      <c r="B117" s="524" t="s">
        <v>1142</v>
      </c>
      <c r="C117" s="613">
        <f>'Balances y Proyecciones'!N117</f>
        <v>0</v>
      </c>
      <c r="D117" s="500"/>
      <c r="E117" s="611">
        <f>'Balances y Proyecciones'!T117</f>
        <v>0</v>
      </c>
      <c r="F117" s="500"/>
      <c r="G117" s="614"/>
      <c r="H117" s="614"/>
      <c r="I117" s="614"/>
      <c r="J117" s="614"/>
      <c r="K117" s="614"/>
      <c r="L117" s="614"/>
      <c r="M117" s="614"/>
      <c r="N117" s="614"/>
      <c r="O117" s="614"/>
      <c r="P117" s="614"/>
      <c r="Q117" s="614"/>
      <c r="R117" s="614"/>
      <c r="S117" s="497"/>
      <c r="T117" s="497"/>
    </row>
    <row r="118" spans="1:20" s="496" customFormat="1" ht="12.75" x14ac:dyDescent="0.2">
      <c r="A118" s="498"/>
      <c r="B118" s="569" t="s">
        <v>1143</v>
      </c>
      <c r="C118" s="613">
        <f>'Balances y Proyecciones'!N118</f>
        <v>0</v>
      </c>
      <c r="D118" s="500"/>
      <c r="E118" s="611">
        <f>'Balances y Proyecciones'!T118</f>
        <v>0</v>
      </c>
      <c r="F118" s="500"/>
      <c r="G118" s="614"/>
      <c r="H118" s="614"/>
      <c r="I118" s="614"/>
      <c r="J118" s="614"/>
      <c r="K118" s="614"/>
      <c r="L118" s="614"/>
      <c r="M118" s="614"/>
      <c r="N118" s="614"/>
      <c r="O118" s="614"/>
      <c r="P118" s="614"/>
      <c r="Q118" s="614"/>
      <c r="R118" s="614"/>
      <c r="S118" s="497"/>
      <c r="T118" s="497"/>
    </row>
    <row r="119" spans="1:20" s="496" customFormat="1" ht="12.75" x14ac:dyDescent="0.2">
      <c r="A119" s="498"/>
      <c r="B119" s="524" t="s">
        <v>1144</v>
      </c>
      <c r="C119" s="613">
        <f>'Balances y Proyecciones'!N119</f>
        <v>0</v>
      </c>
      <c r="D119" s="500"/>
      <c r="E119" s="611">
        <f>'Balances y Proyecciones'!T119</f>
        <v>0</v>
      </c>
      <c r="F119" s="500"/>
      <c r="G119" s="614"/>
      <c r="H119" s="614"/>
      <c r="I119" s="614"/>
      <c r="J119" s="614"/>
      <c r="K119" s="614"/>
      <c r="L119" s="614"/>
      <c r="M119" s="614"/>
      <c r="N119" s="614"/>
      <c r="O119" s="614"/>
      <c r="P119" s="614"/>
      <c r="Q119" s="614"/>
      <c r="R119" s="614"/>
      <c r="S119" s="497"/>
      <c r="T119" s="497"/>
    </row>
    <row r="120" spans="1:20" s="496" customFormat="1" ht="12.75" x14ac:dyDescent="0.2">
      <c r="A120" s="498"/>
      <c r="B120" s="524" t="s">
        <v>1145</v>
      </c>
      <c r="C120" s="613">
        <f>'Balances y Proyecciones'!N120</f>
        <v>0</v>
      </c>
      <c r="D120" s="500"/>
      <c r="E120" s="611">
        <f>'Balances y Proyecciones'!T120</f>
        <v>0</v>
      </c>
      <c r="F120" s="500"/>
      <c r="G120" s="614"/>
      <c r="H120" s="614"/>
      <c r="I120" s="614"/>
      <c r="J120" s="614"/>
      <c r="K120" s="614"/>
      <c r="L120" s="614"/>
      <c r="M120" s="614"/>
      <c r="N120" s="614"/>
      <c r="O120" s="614"/>
      <c r="P120" s="614"/>
      <c r="Q120" s="614"/>
      <c r="R120" s="614"/>
      <c r="S120" s="497"/>
      <c r="T120" s="497"/>
    </row>
    <row r="121" spans="1:20" s="496" customFormat="1" ht="12.75" x14ac:dyDescent="0.2">
      <c r="A121" s="498"/>
      <c r="B121" s="569" t="s">
        <v>1146</v>
      </c>
      <c r="C121" s="613">
        <f>'Balances y Proyecciones'!N121</f>
        <v>0</v>
      </c>
      <c r="D121" s="500"/>
      <c r="E121" s="611">
        <f>'Balances y Proyecciones'!T121</f>
        <v>0</v>
      </c>
      <c r="F121" s="500"/>
      <c r="G121" s="614"/>
      <c r="H121" s="614"/>
      <c r="I121" s="614"/>
      <c r="J121" s="614"/>
      <c r="K121" s="614"/>
      <c r="L121" s="614"/>
      <c r="M121" s="614"/>
      <c r="N121" s="614"/>
      <c r="O121" s="614"/>
      <c r="P121" s="614"/>
      <c r="Q121" s="614"/>
      <c r="R121" s="614"/>
      <c r="S121" s="497"/>
      <c r="T121" s="497"/>
    </row>
    <row r="122" spans="1:20" s="496" customFormat="1" ht="12.75" x14ac:dyDescent="0.2">
      <c r="A122" s="498"/>
      <c r="B122" s="569" t="s">
        <v>1147</v>
      </c>
      <c r="C122" s="613">
        <f>'Balances y Proyecciones'!N122</f>
        <v>0</v>
      </c>
      <c r="D122" s="500"/>
      <c r="E122" s="611">
        <f>'Balances y Proyecciones'!T122</f>
        <v>0</v>
      </c>
      <c r="F122" s="500"/>
      <c r="G122" s="614"/>
      <c r="H122" s="614"/>
      <c r="I122" s="614"/>
      <c r="J122" s="614"/>
      <c r="K122" s="614"/>
      <c r="L122" s="614"/>
      <c r="M122" s="614"/>
      <c r="N122" s="614"/>
      <c r="O122" s="614"/>
      <c r="P122" s="614"/>
      <c r="Q122" s="614"/>
      <c r="R122" s="614"/>
      <c r="S122" s="497"/>
      <c r="T122" s="497"/>
    </row>
    <row r="123" spans="1:20" s="496" customFormat="1" ht="12.75" x14ac:dyDescent="0.2">
      <c r="A123" s="498"/>
      <c r="B123" s="615" t="s">
        <v>945</v>
      </c>
      <c r="C123" s="616">
        <f>'Balances y Proyecciones'!N123</f>
        <v>0</v>
      </c>
      <c r="D123" s="500"/>
      <c r="E123" s="611">
        <f>'Balances y Proyecciones'!T123</f>
        <v>0</v>
      </c>
      <c r="F123" s="500"/>
      <c r="G123" s="616">
        <f>IF($G$12=1,"Error %",$E123*G$13)</f>
        <v>0</v>
      </c>
      <c r="H123" s="616">
        <f t="shared" ref="H123:R123" si="33">IF(G123=0,0,H228)</f>
        <v>0</v>
      </c>
      <c r="I123" s="616">
        <f t="shared" si="33"/>
        <v>0</v>
      </c>
      <c r="J123" s="616">
        <f t="shared" si="33"/>
        <v>0</v>
      </c>
      <c r="K123" s="616">
        <f t="shared" si="33"/>
        <v>0</v>
      </c>
      <c r="L123" s="616">
        <f t="shared" si="33"/>
        <v>0</v>
      </c>
      <c r="M123" s="616">
        <f t="shared" si="33"/>
        <v>0</v>
      </c>
      <c r="N123" s="616">
        <f t="shared" si="33"/>
        <v>0</v>
      </c>
      <c r="O123" s="616">
        <f t="shared" si="33"/>
        <v>0</v>
      </c>
      <c r="P123" s="616">
        <f t="shared" si="33"/>
        <v>0</v>
      </c>
      <c r="Q123" s="616">
        <f t="shared" si="33"/>
        <v>0</v>
      </c>
      <c r="R123" s="616">
        <f t="shared" si="33"/>
        <v>0</v>
      </c>
      <c r="S123" s="497"/>
      <c r="T123" s="497"/>
    </row>
    <row r="124" spans="1:20" s="609" customFormat="1" ht="12.75" x14ac:dyDescent="0.25">
      <c r="A124" s="605"/>
      <c r="B124" s="617" t="s">
        <v>1107</v>
      </c>
      <c r="C124" s="617">
        <f>'Balances y Proyecciones'!N124</f>
        <v>0</v>
      </c>
      <c r="D124" s="500"/>
      <c r="E124" s="618">
        <f>'Balances y Proyecciones'!T124</f>
        <v>0</v>
      </c>
      <c r="F124" s="500"/>
      <c r="G124" s="617">
        <f t="shared" ref="G124:R124" si="34">G113+G114-G115+G116-G117+G118+G119-G120+G121-G122-G123</f>
        <v>0</v>
      </c>
      <c r="H124" s="617">
        <f t="shared" si="34"/>
        <v>0</v>
      </c>
      <c r="I124" s="617">
        <f t="shared" si="34"/>
        <v>0</v>
      </c>
      <c r="J124" s="617">
        <f t="shared" si="34"/>
        <v>0</v>
      </c>
      <c r="K124" s="617">
        <f t="shared" si="34"/>
        <v>0</v>
      </c>
      <c r="L124" s="617">
        <f t="shared" si="34"/>
        <v>0</v>
      </c>
      <c r="M124" s="617">
        <f t="shared" si="34"/>
        <v>0</v>
      </c>
      <c r="N124" s="617">
        <f t="shared" si="34"/>
        <v>0</v>
      </c>
      <c r="O124" s="617">
        <f t="shared" si="34"/>
        <v>0</v>
      </c>
      <c r="P124" s="617">
        <f t="shared" si="34"/>
        <v>0</v>
      </c>
      <c r="Q124" s="617">
        <f t="shared" si="34"/>
        <v>0</v>
      </c>
      <c r="R124" s="617">
        <f t="shared" si="34"/>
        <v>0</v>
      </c>
    </row>
    <row r="125" spans="1:20" s="496" customFormat="1" ht="12.75" x14ac:dyDescent="0.2">
      <c r="A125" s="498"/>
      <c r="B125" s="619" t="s">
        <v>1148</v>
      </c>
      <c r="C125" s="619">
        <f>'Balances y Proyecciones'!N125</f>
        <v>0</v>
      </c>
      <c r="D125" s="500"/>
      <c r="E125" s="620">
        <f>'Balances y Proyecciones'!T125</f>
        <v>0</v>
      </c>
      <c r="F125" s="500"/>
      <c r="G125" s="619">
        <f t="shared" ref="G125:R125" si="35">G124</f>
        <v>0</v>
      </c>
      <c r="H125" s="619">
        <f t="shared" si="35"/>
        <v>0</v>
      </c>
      <c r="I125" s="619">
        <f t="shared" si="35"/>
        <v>0</v>
      </c>
      <c r="J125" s="619">
        <f t="shared" si="35"/>
        <v>0</v>
      </c>
      <c r="K125" s="619">
        <f t="shared" si="35"/>
        <v>0</v>
      </c>
      <c r="L125" s="619">
        <f t="shared" si="35"/>
        <v>0</v>
      </c>
      <c r="M125" s="619">
        <f t="shared" si="35"/>
        <v>0</v>
      </c>
      <c r="N125" s="619">
        <f t="shared" si="35"/>
        <v>0</v>
      </c>
      <c r="O125" s="619">
        <f t="shared" si="35"/>
        <v>0</v>
      </c>
      <c r="P125" s="619">
        <f t="shared" si="35"/>
        <v>0</v>
      </c>
      <c r="Q125" s="619">
        <f t="shared" si="35"/>
        <v>0</v>
      </c>
      <c r="R125" s="619">
        <f t="shared" si="35"/>
        <v>0</v>
      </c>
      <c r="S125" s="497"/>
      <c r="T125" s="497"/>
    </row>
    <row r="126" spans="1:20" s="496" customFormat="1" ht="12.75" x14ac:dyDescent="0.2">
      <c r="A126" s="498"/>
      <c r="B126" s="621" t="s">
        <v>1149</v>
      </c>
      <c r="C126" s="622">
        <f>'Balances y Proyecciones'!N126</f>
        <v>0</v>
      </c>
      <c r="D126" s="500"/>
      <c r="E126" s="623">
        <f>'Balances y Proyecciones'!T126</f>
        <v>0</v>
      </c>
      <c r="F126" s="500"/>
      <c r="G126" s="622">
        <f t="shared" ref="G126:R126" si="36">G124-G77</f>
        <v>0</v>
      </c>
      <c r="H126" s="622">
        <f t="shared" si="36"/>
        <v>0</v>
      </c>
      <c r="I126" s="622">
        <f t="shared" si="36"/>
        <v>0</v>
      </c>
      <c r="J126" s="622">
        <f t="shared" si="36"/>
        <v>0</v>
      </c>
      <c r="K126" s="622">
        <f t="shared" si="36"/>
        <v>0</v>
      </c>
      <c r="L126" s="622">
        <f t="shared" si="36"/>
        <v>0</v>
      </c>
      <c r="M126" s="622">
        <f t="shared" si="36"/>
        <v>0</v>
      </c>
      <c r="N126" s="622">
        <f t="shared" si="36"/>
        <v>0</v>
      </c>
      <c r="O126" s="622">
        <f t="shared" si="36"/>
        <v>0</v>
      </c>
      <c r="P126" s="622">
        <f t="shared" si="36"/>
        <v>0</v>
      </c>
      <c r="Q126" s="622">
        <f t="shared" si="36"/>
        <v>0</v>
      </c>
      <c r="R126" s="622">
        <f t="shared" si="36"/>
        <v>0</v>
      </c>
      <c r="S126" s="497"/>
      <c r="T126" s="497"/>
    </row>
    <row r="127" spans="1:20" s="496" customFormat="1" ht="12.75" x14ac:dyDescent="0.2">
      <c r="A127" s="498"/>
      <c r="B127" s="603"/>
      <c r="D127" s="500"/>
      <c r="F127" s="500"/>
      <c r="G127" s="588"/>
      <c r="I127" s="495"/>
      <c r="J127" s="495"/>
      <c r="K127" s="495"/>
      <c r="L127" s="495"/>
      <c r="M127" s="495"/>
      <c r="N127" s="495"/>
      <c r="O127" s="495"/>
      <c r="P127" s="495"/>
      <c r="Q127" s="495"/>
      <c r="R127" s="589"/>
      <c r="S127" s="497"/>
      <c r="T127" s="497"/>
    </row>
    <row r="128" spans="1:20" s="496" customFormat="1" ht="12.75" x14ac:dyDescent="0.2">
      <c r="A128" s="498"/>
      <c r="B128" s="603"/>
      <c r="C128" s="495"/>
      <c r="D128" s="500"/>
      <c r="E128" s="495"/>
      <c r="F128" s="500"/>
      <c r="G128" s="624"/>
      <c r="S128" s="497"/>
      <c r="T128" s="497"/>
    </row>
    <row r="129" spans="1:18" s="496" customFormat="1" ht="12.75" x14ac:dyDescent="0.25">
      <c r="A129" s="498"/>
      <c r="B129" s="507"/>
      <c r="C129" s="625"/>
      <c r="D129" s="500"/>
      <c r="E129" s="625"/>
      <c r="F129" s="500"/>
      <c r="G129" s="626"/>
      <c r="H129" s="625"/>
      <c r="I129" s="627"/>
      <c r="J129" s="627"/>
      <c r="K129" s="627"/>
      <c r="L129" s="627"/>
      <c r="M129" s="627"/>
      <c r="N129" s="627"/>
      <c r="O129" s="627"/>
      <c r="P129" s="627"/>
      <c r="Q129" s="627"/>
    </row>
    <row r="130" spans="1:18" s="496" customFormat="1" ht="12.75" x14ac:dyDescent="0.25">
      <c r="A130" s="498"/>
      <c r="B130" s="507"/>
      <c r="C130" s="625"/>
      <c r="D130" s="500"/>
      <c r="E130" s="625"/>
      <c r="F130" s="500"/>
      <c r="G130" s="626"/>
      <c r="H130" s="625"/>
      <c r="I130" s="627"/>
      <c r="J130" s="627"/>
      <c r="K130" s="627"/>
      <c r="L130" s="627"/>
      <c r="M130" s="627"/>
      <c r="N130" s="627"/>
      <c r="O130" s="627"/>
      <c r="P130" s="627"/>
      <c r="Q130" s="627"/>
    </row>
    <row r="131" spans="1:18" s="496" customFormat="1" ht="12.75" x14ac:dyDescent="0.25">
      <c r="A131" s="498"/>
      <c r="B131" s="603"/>
      <c r="D131" s="500"/>
      <c r="F131" s="500"/>
      <c r="G131" s="588"/>
      <c r="I131" s="495"/>
      <c r="J131" s="495"/>
      <c r="K131" s="495"/>
      <c r="L131" s="495"/>
      <c r="M131" s="495"/>
      <c r="N131" s="495"/>
      <c r="O131" s="495"/>
      <c r="P131" s="495"/>
      <c r="Q131" s="495"/>
    </row>
    <row r="132" spans="1:18" s="496" customFormat="1" x14ac:dyDescent="0.25">
      <c r="A132" s="498"/>
      <c r="B132" s="628" t="str">
        <f>B14</f>
        <v>Prueba Da 27.08.23</v>
      </c>
      <c r="D132" s="500"/>
      <c r="F132" s="500"/>
      <c r="G132" s="629">
        <f>IF($J$241="SI","ESCENARIO "&amp;$I$242,0)</f>
        <v>0</v>
      </c>
      <c r="I132" s="495"/>
      <c r="J132" s="495"/>
      <c r="K132" s="495"/>
      <c r="L132" s="495"/>
      <c r="M132" s="495"/>
      <c r="N132" s="495"/>
      <c r="O132" s="495"/>
      <c r="P132" s="495"/>
      <c r="Q132" s="495"/>
      <c r="R132" s="630"/>
    </row>
    <row r="133" spans="1:18" s="496" customFormat="1" ht="12.75" x14ac:dyDescent="0.25">
      <c r="A133" s="498"/>
      <c r="B133" s="631">
        <f ca="1">NOW()</f>
        <v>45165.397987962962</v>
      </c>
      <c r="C133" s="632"/>
      <c r="D133" s="500"/>
      <c r="E133" s="633" t="str">
        <f>'Balances y Proyecciones'!T133</f>
        <v>PROYECTADO</v>
      </c>
      <c r="F133" s="500"/>
      <c r="G133" s="634" t="s">
        <v>1044</v>
      </c>
      <c r="H133" s="634" t="s">
        <v>1044</v>
      </c>
      <c r="I133" s="634" t="s">
        <v>1044</v>
      </c>
      <c r="J133" s="634" t="s">
        <v>1044</v>
      </c>
      <c r="K133" s="634" t="s">
        <v>1044</v>
      </c>
      <c r="L133" s="634" t="s">
        <v>1044</v>
      </c>
      <c r="M133" s="634" t="s">
        <v>1044</v>
      </c>
      <c r="N133" s="634" t="s">
        <v>1044</v>
      </c>
      <c r="O133" s="634" t="s">
        <v>1044</v>
      </c>
      <c r="P133" s="634" t="s">
        <v>1044</v>
      </c>
      <c r="Q133" s="634" t="s">
        <v>1044</v>
      </c>
      <c r="R133" s="634" t="s">
        <v>1044</v>
      </c>
    </row>
    <row r="134" spans="1:18" s="496" customFormat="1" x14ac:dyDescent="0.25">
      <c r="A134" s="498"/>
      <c r="B134" s="635" t="e">
        <f>"FLUJO DE CAJA "&amp;IF(#REF!&lt;&gt;#REF!," - CORTE "&amp;#REF!,0)</f>
        <v>#REF!</v>
      </c>
      <c r="C134" s="636">
        <f>'Balances y Proyecciones'!N134</f>
        <v>2021</v>
      </c>
      <c r="D134" s="500"/>
      <c r="E134" s="637">
        <f>'Balances y Proyecciones'!T134</f>
        <v>2022</v>
      </c>
      <c r="F134" s="500"/>
      <c r="G134" s="638">
        <f t="shared" ref="G134:R134" si="37">G15</f>
        <v>2022</v>
      </c>
      <c r="H134" s="638">
        <f t="shared" si="37"/>
        <v>2022</v>
      </c>
      <c r="I134" s="638">
        <f t="shared" si="37"/>
        <v>2022</v>
      </c>
      <c r="J134" s="638">
        <f t="shared" si="37"/>
        <v>2022</v>
      </c>
      <c r="K134" s="638">
        <f t="shared" si="37"/>
        <v>2022</v>
      </c>
      <c r="L134" s="638">
        <f t="shared" si="37"/>
        <v>2022</v>
      </c>
      <c r="M134" s="638">
        <f t="shared" si="37"/>
        <v>2022</v>
      </c>
      <c r="N134" s="638">
        <f t="shared" si="37"/>
        <v>2022</v>
      </c>
      <c r="O134" s="638">
        <f t="shared" si="37"/>
        <v>2022</v>
      </c>
      <c r="P134" s="638">
        <f t="shared" si="37"/>
        <v>2022</v>
      </c>
      <c r="Q134" s="638">
        <f t="shared" si="37"/>
        <v>2022</v>
      </c>
      <c r="R134" s="638">
        <f t="shared" si="37"/>
        <v>2022</v>
      </c>
    </row>
    <row r="135" spans="1:18" s="496" customFormat="1" x14ac:dyDescent="0.25">
      <c r="A135" s="498"/>
      <c r="B135" s="639" t="s">
        <v>871</v>
      </c>
      <c r="C135" s="638">
        <f>'Balances y Proyecciones'!N135</f>
        <v>360</v>
      </c>
      <c r="D135" s="500"/>
      <c r="E135" s="637">
        <f>'Balances y Proyecciones'!T135</f>
        <v>360</v>
      </c>
      <c r="F135" s="500"/>
      <c r="G135" s="638">
        <f t="shared" ref="G135:R135" si="38">G17</f>
        <v>360</v>
      </c>
      <c r="H135" s="638">
        <f t="shared" si="38"/>
        <v>360</v>
      </c>
      <c r="I135" s="638">
        <f t="shared" si="38"/>
        <v>360</v>
      </c>
      <c r="J135" s="638">
        <f t="shared" si="38"/>
        <v>360</v>
      </c>
      <c r="K135" s="638">
        <f t="shared" si="38"/>
        <v>360</v>
      </c>
      <c r="L135" s="638">
        <f t="shared" si="38"/>
        <v>360</v>
      </c>
      <c r="M135" s="638">
        <f t="shared" si="38"/>
        <v>360</v>
      </c>
      <c r="N135" s="638">
        <f t="shared" si="38"/>
        <v>360</v>
      </c>
      <c r="O135" s="638">
        <f t="shared" si="38"/>
        <v>360</v>
      </c>
      <c r="P135" s="638">
        <f t="shared" si="38"/>
        <v>360</v>
      </c>
      <c r="Q135" s="638">
        <f t="shared" si="38"/>
        <v>360</v>
      </c>
      <c r="R135" s="638">
        <f t="shared" si="38"/>
        <v>360</v>
      </c>
    </row>
    <row r="136" spans="1:18" s="496" customFormat="1" ht="12.75" x14ac:dyDescent="0.25">
      <c r="A136" s="640">
        <v>1</v>
      </c>
      <c r="B136" s="641" t="s">
        <v>826</v>
      </c>
      <c r="C136" s="642">
        <f>'Balances y Proyecciones'!N136</f>
        <v>2810</v>
      </c>
      <c r="D136" s="500"/>
      <c r="E136" s="643">
        <f>'Balances y Proyecciones'!T136</f>
        <v>2810</v>
      </c>
      <c r="F136" s="500"/>
      <c r="G136" s="644">
        <f t="shared" ref="G136:G167" si="39">IF($G$12=1,"Error %",$E136*G$13)</f>
        <v>234.16666666666666</v>
      </c>
      <c r="H136" s="644">
        <f t="shared" ref="H136:R136" si="40">H75</f>
        <v>234.16666666666663</v>
      </c>
      <c r="I136" s="644">
        <f t="shared" si="40"/>
        <v>234.16666666666663</v>
      </c>
      <c r="J136" s="644">
        <f t="shared" si="40"/>
        <v>234.16666666666663</v>
      </c>
      <c r="K136" s="644">
        <f t="shared" si="40"/>
        <v>234.16666666666663</v>
      </c>
      <c r="L136" s="644">
        <f t="shared" si="40"/>
        <v>234.16666666666663</v>
      </c>
      <c r="M136" s="644">
        <f t="shared" si="40"/>
        <v>234.16666666666663</v>
      </c>
      <c r="N136" s="644">
        <f t="shared" si="40"/>
        <v>234.16666666666663</v>
      </c>
      <c r="O136" s="644">
        <f t="shared" si="40"/>
        <v>234.16666666666663</v>
      </c>
      <c r="P136" s="644">
        <f t="shared" si="40"/>
        <v>234.16666666666663</v>
      </c>
      <c r="Q136" s="644">
        <f t="shared" si="40"/>
        <v>234.16666666666663</v>
      </c>
      <c r="R136" s="644">
        <f t="shared" si="40"/>
        <v>234.16666666666663</v>
      </c>
    </row>
    <row r="137" spans="1:18" s="496" customFormat="1" ht="12.75" x14ac:dyDescent="0.25">
      <c r="A137" s="645">
        <v>2</v>
      </c>
      <c r="B137" s="646" t="s">
        <v>1150</v>
      </c>
      <c r="C137" s="647">
        <f>'Balances y Proyecciones'!N137</f>
        <v>40</v>
      </c>
      <c r="D137" s="500"/>
      <c r="E137" s="643">
        <f>'Balances y Proyecciones'!T137</f>
        <v>53.2</v>
      </c>
      <c r="F137" s="500"/>
      <c r="G137" s="648">
        <f t="shared" si="39"/>
        <v>4.4333333333333336</v>
      </c>
      <c r="H137" s="648">
        <f t="shared" ref="H137:R137" si="41">SUM(H90:H92)</f>
        <v>4.4333333333333336</v>
      </c>
      <c r="I137" s="648">
        <f t="shared" si="41"/>
        <v>4.4333333333333336</v>
      </c>
      <c r="J137" s="648">
        <f t="shared" si="41"/>
        <v>4.4333333333333336</v>
      </c>
      <c r="K137" s="648">
        <f t="shared" si="41"/>
        <v>4.4333333333333336</v>
      </c>
      <c r="L137" s="648">
        <f t="shared" si="41"/>
        <v>4.4333333333333336</v>
      </c>
      <c r="M137" s="648">
        <f t="shared" si="41"/>
        <v>4.4333333333333336</v>
      </c>
      <c r="N137" s="648">
        <f t="shared" si="41"/>
        <v>4.4333333333333336</v>
      </c>
      <c r="O137" s="648">
        <f t="shared" si="41"/>
        <v>4.4333333333333336</v>
      </c>
      <c r="P137" s="648">
        <f t="shared" si="41"/>
        <v>4.4333333333333336</v>
      </c>
      <c r="Q137" s="648">
        <f t="shared" si="41"/>
        <v>4.4333333333333336</v>
      </c>
      <c r="R137" s="648">
        <f t="shared" si="41"/>
        <v>4.4333333333333336</v>
      </c>
    </row>
    <row r="138" spans="1:18" s="655" customFormat="1" ht="12.75" x14ac:dyDescent="0.25">
      <c r="A138" s="649"/>
      <c r="B138" s="650" t="s">
        <v>881</v>
      </c>
      <c r="C138" s="651">
        <f>'Balances y Proyecciones'!N138</f>
        <v>2850</v>
      </c>
      <c r="D138" s="500"/>
      <c r="E138" s="652">
        <f>'Balances y Proyecciones'!T138</f>
        <v>2863.2</v>
      </c>
      <c r="F138" s="653"/>
      <c r="G138" s="654">
        <f t="shared" si="39"/>
        <v>238.59999999999997</v>
      </c>
      <c r="H138" s="654">
        <f t="shared" ref="H138:R138" si="42">H136+H137</f>
        <v>238.59999999999997</v>
      </c>
      <c r="I138" s="654">
        <f t="shared" si="42"/>
        <v>238.59999999999997</v>
      </c>
      <c r="J138" s="654">
        <f t="shared" si="42"/>
        <v>238.59999999999997</v>
      </c>
      <c r="K138" s="654">
        <f t="shared" si="42"/>
        <v>238.59999999999997</v>
      </c>
      <c r="L138" s="654">
        <f t="shared" si="42"/>
        <v>238.59999999999997</v>
      </c>
      <c r="M138" s="654">
        <f t="shared" si="42"/>
        <v>238.59999999999997</v>
      </c>
      <c r="N138" s="654">
        <f t="shared" si="42"/>
        <v>238.59999999999997</v>
      </c>
      <c r="O138" s="654">
        <f t="shared" si="42"/>
        <v>238.59999999999997</v>
      </c>
      <c r="P138" s="654">
        <f t="shared" si="42"/>
        <v>238.59999999999997</v>
      </c>
      <c r="Q138" s="654">
        <f t="shared" si="42"/>
        <v>238.59999999999997</v>
      </c>
      <c r="R138" s="654">
        <f t="shared" si="42"/>
        <v>238.59999999999997</v>
      </c>
    </row>
    <row r="139" spans="1:18" s="655" customFormat="1" ht="12.75" x14ac:dyDescent="0.25">
      <c r="A139" s="640">
        <v>3</v>
      </c>
      <c r="B139" s="656" t="s">
        <v>1151</v>
      </c>
      <c r="C139" s="644">
        <f>'Balances y Proyecciones'!N139</f>
        <v>0</v>
      </c>
      <c r="D139" s="653"/>
      <c r="E139" s="657">
        <f>'Balances y Proyecciones'!T139</f>
        <v>0</v>
      </c>
      <c r="F139" s="653"/>
      <c r="G139" s="644">
        <f t="shared" si="39"/>
        <v>0</v>
      </c>
      <c r="H139" s="644">
        <f t="shared" ref="H139:R139" si="43">-G88</f>
        <v>0</v>
      </c>
      <c r="I139" s="644">
        <f t="shared" si="43"/>
        <v>0</v>
      </c>
      <c r="J139" s="644">
        <f t="shared" si="43"/>
        <v>0</v>
      </c>
      <c r="K139" s="644">
        <f t="shared" si="43"/>
        <v>0</v>
      </c>
      <c r="L139" s="644">
        <f t="shared" si="43"/>
        <v>0</v>
      </c>
      <c r="M139" s="644">
        <f t="shared" si="43"/>
        <v>0</v>
      </c>
      <c r="N139" s="644">
        <f t="shared" si="43"/>
        <v>0</v>
      </c>
      <c r="O139" s="644">
        <f t="shared" si="43"/>
        <v>0</v>
      </c>
      <c r="P139" s="644">
        <f t="shared" si="43"/>
        <v>0</v>
      </c>
      <c r="Q139" s="644">
        <f t="shared" si="43"/>
        <v>0</v>
      </c>
      <c r="R139" s="644">
        <f t="shared" si="43"/>
        <v>0</v>
      </c>
    </row>
    <row r="140" spans="1:18" s="632" customFormat="1" ht="12" x14ac:dyDescent="0.25">
      <c r="A140" s="645">
        <v>4</v>
      </c>
      <c r="B140" s="658" t="e">
        <f>"-  DIVIDENDOS PAGADOS "&amp;IF(AND(#REF!=#REF!,#REF!&lt;&gt;0),CONCATENATE("+ RESULTADO ",LEFT(#REF!,3),". '",RIGHT(TEXT(#REF!,"0.00"),2)," A ",LEFT(C16,3),". '",RIGHT(TEXT(C15,"0.00"),2)," (PARA EL FLUJO DE ",LEFT(#REF!,3),". '",RIGHT(TEXT(#REF!,"0.00"),2),")"),0)</f>
        <v>#REF!</v>
      </c>
      <c r="C140" s="648">
        <f>'Balances y Proyecciones'!N140</f>
        <v>-2810</v>
      </c>
      <c r="D140" s="653"/>
      <c r="E140" s="657">
        <f>'Balances y Proyecciones'!T140</f>
        <v>-1882.7000000000003</v>
      </c>
      <c r="F140" s="659"/>
      <c r="G140" s="648">
        <f t="shared" si="39"/>
        <v>-156.89166666666668</v>
      </c>
      <c r="H140" s="648">
        <f t="shared" ref="H140:R140" si="44">-H233</f>
        <v>-234.36666666666667</v>
      </c>
      <c r="I140" s="648">
        <f t="shared" si="44"/>
        <v>-234.36666666666667</v>
      </c>
      <c r="J140" s="648">
        <f t="shared" si="44"/>
        <v>-234.36666666666667</v>
      </c>
      <c r="K140" s="648">
        <f t="shared" si="44"/>
        <v>-234.36666666666667</v>
      </c>
      <c r="L140" s="648">
        <f t="shared" si="44"/>
        <v>-234.36666666666667</v>
      </c>
      <c r="M140" s="648">
        <f t="shared" si="44"/>
        <v>-234.36666666666667</v>
      </c>
      <c r="N140" s="648">
        <f t="shared" si="44"/>
        <v>-234.36666666666667</v>
      </c>
      <c r="O140" s="648">
        <f t="shared" si="44"/>
        <v>-234.36666666666667</v>
      </c>
      <c r="P140" s="648">
        <f t="shared" si="44"/>
        <v>-234.36666666666667</v>
      </c>
      <c r="Q140" s="648">
        <f t="shared" si="44"/>
        <v>-234.36666666666667</v>
      </c>
      <c r="R140" s="648">
        <f t="shared" si="44"/>
        <v>-234.36666666666667</v>
      </c>
    </row>
    <row r="141" spans="1:18" s="632" customFormat="1" ht="12" x14ac:dyDescent="0.25">
      <c r="A141" s="660"/>
      <c r="B141" s="661" t="s">
        <v>1152</v>
      </c>
      <c r="C141" s="662">
        <f>'Balances y Proyecciones'!N141</f>
        <v>40</v>
      </c>
      <c r="D141" s="659"/>
      <c r="E141" s="663">
        <f>'Balances y Proyecciones'!T141</f>
        <v>980.49999999999955</v>
      </c>
      <c r="F141" s="664"/>
      <c r="G141" s="662">
        <f t="shared" si="39"/>
        <v>81.708333333333286</v>
      </c>
      <c r="H141" s="662">
        <f t="shared" ref="H141:R141" si="45">H138+H139+H140</f>
        <v>4.2333333333332916</v>
      </c>
      <c r="I141" s="662">
        <f t="shared" si="45"/>
        <v>4.2333333333332916</v>
      </c>
      <c r="J141" s="662">
        <f t="shared" si="45"/>
        <v>4.2333333333332916</v>
      </c>
      <c r="K141" s="662">
        <f t="shared" si="45"/>
        <v>4.2333333333332916</v>
      </c>
      <c r="L141" s="662">
        <f t="shared" si="45"/>
        <v>4.2333333333332916</v>
      </c>
      <c r="M141" s="662">
        <f t="shared" si="45"/>
        <v>4.2333333333332916</v>
      </c>
      <c r="N141" s="662">
        <f t="shared" si="45"/>
        <v>4.2333333333332916</v>
      </c>
      <c r="O141" s="662">
        <f t="shared" si="45"/>
        <v>4.2333333333332916</v>
      </c>
      <c r="P141" s="662">
        <f t="shared" si="45"/>
        <v>4.2333333333332916</v>
      </c>
      <c r="Q141" s="662">
        <f t="shared" si="45"/>
        <v>4.2333333333332916</v>
      </c>
      <c r="R141" s="662">
        <f t="shared" si="45"/>
        <v>4.2333333333332916</v>
      </c>
    </row>
    <row r="142" spans="1:18" s="496" customFormat="1" ht="12.75" x14ac:dyDescent="0.25">
      <c r="A142" s="640">
        <v>5</v>
      </c>
      <c r="B142" s="656" t="s">
        <v>1153</v>
      </c>
      <c r="C142" s="642">
        <f>'Balances y Proyecciones'!N142</f>
        <v>0</v>
      </c>
      <c r="D142" s="664"/>
      <c r="E142" s="643">
        <f>'Balances y Proyecciones'!T142</f>
        <v>0</v>
      </c>
      <c r="F142" s="500"/>
      <c r="G142" s="644">
        <f t="shared" si="39"/>
        <v>0</v>
      </c>
      <c r="H142" s="644">
        <f t="shared" ref="H142:R142" si="46">-(H19-G19)</f>
        <v>0</v>
      </c>
      <c r="I142" s="644">
        <f t="shared" si="46"/>
        <v>0</v>
      </c>
      <c r="J142" s="644">
        <f t="shared" si="46"/>
        <v>0</v>
      </c>
      <c r="K142" s="644">
        <f t="shared" si="46"/>
        <v>0</v>
      </c>
      <c r="L142" s="644">
        <f t="shared" si="46"/>
        <v>0</v>
      </c>
      <c r="M142" s="644">
        <f t="shared" si="46"/>
        <v>0</v>
      </c>
      <c r="N142" s="644">
        <f t="shared" si="46"/>
        <v>0</v>
      </c>
      <c r="O142" s="644">
        <f t="shared" si="46"/>
        <v>0</v>
      </c>
      <c r="P142" s="644">
        <f t="shared" si="46"/>
        <v>0</v>
      </c>
      <c r="Q142" s="644">
        <f t="shared" si="46"/>
        <v>0</v>
      </c>
      <c r="R142" s="644">
        <f t="shared" si="46"/>
        <v>0</v>
      </c>
    </row>
    <row r="143" spans="1:18" s="496" customFormat="1" ht="12.75" x14ac:dyDescent="0.25">
      <c r="A143" s="665">
        <v>6</v>
      </c>
      <c r="B143" s="666" t="s">
        <v>1154</v>
      </c>
      <c r="C143" s="667">
        <f>'Balances y Proyecciones'!N143</f>
        <v>0</v>
      </c>
      <c r="D143" s="500"/>
      <c r="E143" s="643">
        <f>'Balances y Proyecciones'!T143</f>
        <v>-5.6843418860808015E-14</v>
      </c>
      <c r="F143" s="500"/>
      <c r="G143" s="668">
        <f t="shared" si="39"/>
        <v>-4.736951571734001E-15</v>
      </c>
      <c r="H143" s="668">
        <f t="shared" ref="H143:R143" si="47">-(H21-H113-G21+G113)</f>
        <v>0</v>
      </c>
      <c r="I143" s="668">
        <f t="shared" si="47"/>
        <v>0</v>
      </c>
      <c r="J143" s="668">
        <f t="shared" si="47"/>
        <v>0</v>
      </c>
      <c r="K143" s="668">
        <f t="shared" si="47"/>
        <v>0</v>
      </c>
      <c r="L143" s="668">
        <f t="shared" si="47"/>
        <v>0</v>
      </c>
      <c r="M143" s="668">
        <f t="shared" si="47"/>
        <v>0</v>
      </c>
      <c r="N143" s="668">
        <f t="shared" si="47"/>
        <v>0</v>
      </c>
      <c r="O143" s="668">
        <f t="shared" si="47"/>
        <v>0</v>
      </c>
      <c r="P143" s="668">
        <f t="shared" si="47"/>
        <v>0</v>
      </c>
      <c r="Q143" s="668">
        <f t="shared" si="47"/>
        <v>0</v>
      </c>
      <c r="R143" s="668">
        <f t="shared" si="47"/>
        <v>0</v>
      </c>
    </row>
    <row r="144" spans="1:18" s="496" customFormat="1" ht="12.75" x14ac:dyDescent="0.25">
      <c r="A144" s="665">
        <v>7</v>
      </c>
      <c r="B144" s="666" t="s">
        <v>1155</v>
      </c>
      <c r="C144" s="667">
        <f>'Balances y Proyecciones'!N144</f>
        <v>0</v>
      </c>
      <c r="D144" s="500"/>
      <c r="E144" s="643">
        <f>'Balances y Proyecciones'!T144</f>
        <v>-1.4210854715202004E-14</v>
      </c>
      <c r="F144" s="500"/>
      <c r="G144" s="668">
        <f t="shared" si="39"/>
        <v>-1.1842378929335002E-15</v>
      </c>
      <c r="H144" s="668">
        <f t="shared" ref="H144:R144" si="48">-(H23-G23)</f>
        <v>0</v>
      </c>
      <c r="I144" s="668">
        <f t="shared" si="48"/>
        <v>0</v>
      </c>
      <c r="J144" s="668">
        <f t="shared" si="48"/>
        <v>0</v>
      </c>
      <c r="K144" s="668">
        <f t="shared" si="48"/>
        <v>0</v>
      </c>
      <c r="L144" s="668">
        <f t="shared" si="48"/>
        <v>0</v>
      </c>
      <c r="M144" s="668">
        <f t="shared" si="48"/>
        <v>0</v>
      </c>
      <c r="N144" s="668">
        <f t="shared" si="48"/>
        <v>0</v>
      </c>
      <c r="O144" s="668">
        <f t="shared" si="48"/>
        <v>0</v>
      </c>
      <c r="P144" s="668">
        <f t="shared" si="48"/>
        <v>0</v>
      </c>
      <c r="Q144" s="668">
        <f t="shared" si="48"/>
        <v>0</v>
      </c>
      <c r="R144" s="668">
        <f t="shared" si="48"/>
        <v>0</v>
      </c>
    </row>
    <row r="145" spans="1:18" s="496" customFormat="1" ht="12.75" x14ac:dyDescent="0.25">
      <c r="A145" s="665">
        <v>8</v>
      </c>
      <c r="B145" s="666" t="s">
        <v>1156</v>
      </c>
      <c r="C145" s="667">
        <f>'Balances y Proyecciones'!N145</f>
        <v>0</v>
      </c>
      <c r="D145" s="500"/>
      <c r="E145" s="643">
        <f>'Balances y Proyecciones'!T145</f>
        <v>0</v>
      </c>
      <c r="F145" s="500"/>
      <c r="G145" s="668">
        <f t="shared" si="39"/>
        <v>0</v>
      </c>
      <c r="H145" s="668">
        <f t="shared" ref="H145:R145" si="49">H40-G40</f>
        <v>0</v>
      </c>
      <c r="I145" s="668">
        <f t="shared" si="49"/>
        <v>0</v>
      </c>
      <c r="J145" s="668">
        <f t="shared" si="49"/>
        <v>0</v>
      </c>
      <c r="K145" s="668">
        <f t="shared" si="49"/>
        <v>0</v>
      </c>
      <c r="L145" s="668">
        <f t="shared" si="49"/>
        <v>0</v>
      </c>
      <c r="M145" s="668">
        <f t="shared" si="49"/>
        <v>0</v>
      </c>
      <c r="N145" s="668">
        <f t="shared" si="49"/>
        <v>0</v>
      </c>
      <c r="O145" s="668">
        <f t="shared" si="49"/>
        <v>0</v>
      </c>
      <c r="P145" s="668">
        <f t="shared" si="49"/>
        <v>0</v>
      </c>
      <c r="Q145" s="668">
        <f t="shared" si="49"/>
        <v>0</v>
      </c>
      <c r="R145" s="668">
        <f t="shared" si="49"/>
        <v>0</v>
      </c>
    </row>
    <row r="146" spans="1:18" s="675" customFormat="1" ht="12.75" x14ac:dyDescent="0.25">
      <c r="A146" s="669" t="s">
        <v>1157</v>
      </c>
      <c r="B146" s="670" t="s">
        <v>1158</v>
      </c>
      <c r="C146" s="671">
        <f>'Balances y Proyecciones'!N146</f>
        <v>0</v>
      </c>
      <c r="D146" s="500"/>
      <c r="E146" s="672">
        <f>'Balances y Proyecciones'!T146</f>
        <v>0</v>
      </c>
      <c r="F146" s="673"/>
      <c r="G146" s="674">
        <f t="shared" si="39"/>
        <v>0</v>
      </c>
      <c r="H146" s="674">
        <f t="shared" ref="H146:R146" si="50">H41-G41</f>
        <v>0</v>
      </c>
      <c r="I146" s="674">
        <f t="shared" si="50"/>
        <v>0</v>
      </c>
      <c r="J146" s="674">
        <f t="shared" si="50"/>
        <v>0</v>
      </c>
      <c r="K146" s="674">
        <f t="shared" si="50"/>
        <v>0</v>
      </c>
      <c r="L146" s="674">
        <f t="shared" si="50"/>
        <v>0</v>
      </c>
      <c r="M146" s="674">
        <f t="shared" si="50"/>
        <v>0</v>
      </c>
      <c r="N146" s="674">
        <f t="shared" si="50"/>
        <v>0</v>
      </c>
      <c r="O146" s="674">
        <f t="shared" si="50"/>
        <v>0</v>
      </c>
      <c r="P146" s="674">
        <f t="shared" si="50"/>
        <v>0</v>
      </c>
      <c r="Q146" s="674">
        <f t="shared" si="50"/>
        <v>0</v>
      </c>
      <c r="R146" s="674">
        <f t="shared" si="50"/>
        <v>0</v>
      </c>
    </row>
    <row r="147" spans="1:18" s="675" customFormat="1" ht="12.75" x14ac:dyDescent="0.25">
      <c r="A147" s="669" t="s">
        <v>1159</v>
      </c>
      <c r="B147" s="670" t="s">
        <v>1160</v>
      </c>
      <c r="C147" s="671">
        <f>'Balances y Proyecciones'!N147</f>
        <v>0</v>
      </c>
      <c r="D147" s="673"/>
      <c r="E147" s="672">
        <f>'Balances y Proyecciones'!T147</f>
        <v>0</v>
      </c>
      <c r="F147" s="676"/>
      <c r="G147" s="674">
        <f t="shared" si="39"/>
        <v>0</v>
      </c>
      <c r="H147" s="674">
        <f t="shared" ref="H147:R147" si="51">H42-G42-(H88-G88)</f>
        <v>0</v>
      </c>
      <c r="I147" s="674">
        <f t="shared" si="51"/>
        <v>0</v>
      </c>
      <c r="J147" s="674">
        <f t="shared" si="51"/>
        <v>0</v>
      </c>
      <c r="K147" s="674">
        <f t="shared" si="51"/>
        <v>0</v>
      </c>
      <c r="L147" s="674">
        <f t="shared" si="51"/>
        <v>0</v>
      </c>
      <c r="M147" s="674">
        <f t="shared" si="51"/>
        <v>0</v>
      </c>
      <c r="N147" s="674">
        <f t="shared" si="51"/>
        <v>0</v>
      </c>
      <c r="O147" s="674">
        <f t="shared" si="51"/>
        <v>0</v>
      </c>
      <c r="P147" s="674">
        <f t="shared" si="51"/>
        <v>0</v>
      </c>
      <c r="Q147" s="674">
        <f t="shared" si="51"/>
        <v>0</v>
      </c>
      <c r="R147" s="674">
        <f t="shared" si="51"/>
        <v>0</v>
      </c>
    </row>
    <row r="148" spans="1:18" s="675" customFormat="1" ht="12.75" x14ac:dyDescent="0.25">
      <c r="A148" s="669" t="s">
        <v>1161</v>
      </c>
      <c r="B148" s="670" t="s">
        <v>1162</v>
      </c>
      <c r="C148" s="671">
        <f>'Balances y Proyecciones'!N148</f>
        <v>0</v>
      </c>
      <c r="D148" s="676"/>
      <c r="E148" s="672">
        <f>'Balances y Proyecciones'!T148</f>
        <v>0</v>
      </c>
      <c r="F148" s="673"/>
      <c r="G148" s="674">
        <f t="shared" si="39"/>
        <v>0</v>
      </c>
      <c r="H148" s="674">
        <f t="shared" ref="H148:R148" si="52">H44-G44</f>
        <v>0</v>
      </c>
      <c r="I148" s="674">
        <f t="shared" si="52"/>
        <v>0</v>
      </c>
      <c r="J148" s="674">
        <f t="shared" si="52"/>
        <v>0</v>
      </c>
      <c r="K148" s="674">
        <f t="shared" si="52"/>
        <v>0</v>
      </c>
      <c r="L148" s="674">
        <f t="shared" si="52"/>
        <v>0</v>
      </c>
      <c r="M148" s="674">
        <f t="shared" si="52"/>
        <v>0</v>
      </c>
      <c r="N148" s="674">
        <f t="shared" si="52"/>
        <v>0</v>
      </c>
      <c r="O148" s="674">
        <f t="shared" si="52"/>
        <v>0</v>
      </c>
      <c r="P148" s="674">
        <f t="shared" si="52"/>
        <v>0</v>
      </c>
      <c r="Q148" s="674">
        <f t="shared" si="52"/>
        <v>0</v>
      </c>
      <c r="R148" s="674">
        <f t="shared" si="52"/>
        <v>0</v>
      </c>
    </row>
    <row r="149" spans="1:18" s="655" customFormat="1" ht="12.75" x14ac:dyDescent="0.25">
      <c r="A149" s="645">
        <v>9</v>
      </c>
      <c r="B149" s="677" t="s">
        <v>1163</v>
      </c>
      <c r="C149" s="678">
        <f>'Balances y Proyecciones'!N149</f>
        <v>0</v>
      </c>
      <c r="D149" s="673"/>
      <c r="E149" s="679">
        <f>'Balances y Proyecciones'!T149</f>
        <v>0</v>
      </c>
      <c r="F149" s="680"/>
      <c r="G149" s="681">
        <f t="shared" si="39"/>
        <v>0</v>
      </c>
      <c r="H149" s="681">
        <f t="shared" ref="H149:R149" si="53">SUM(H146:H148)</f>
        <v>0</v>
      </c>
      <c r="I149" s="681">
        <f t="shared" si="53"/>
        <v>0</v>
      </c>
      <c r="J149" s="681">
        <f t="shared" si="53"/>
        <v>0</v>
      </c>
      <c r="K149" s="681">
        <f t="shared" si="53"/>
        <v>0</v>
      </c>
      <c r="L149" s="681">
        <f t="shared" si="53"/>
        <v>0</v>
      </c>
      <c r="M149" s="681">
        <f t="shared" si="53"/>
        <v>0</v>
      </c>
      <c r="N149" s="681">
        <f t="shared" si="53"/>
        <v>0</v>
      </c>
      <c r="O149" s="681">
        <f t="shared" si="53"/>
        <v>0</v>
      </c>
      <c r="P149" s="681">
        <f t="shared" si="53"/>
        <v>0</v>
      </c>
      <c r="Q149" s="681">
        <f t="shared" si="53"/>
        <v>0</v>
      </c>
      <c r="R149" s="681">
        <f t="shared" si="53"/>
        <v>0</v>
      </c>
    </row>
    <row r="150" spans="1:18" s="686" customFormat="1" ht="12.75" x14ac:dyDescent="0.25">
      <c r="A150" s="682"/>
      <c r="B150" s="661" t="s">
        <v>1164</v>
      </c>
      <c r="C150" s="683">
        <f>'Balances y Proyecciones'!N150</f>
        <v>0</v>
      </c>
      <c r="D150" s="680"/>
      <c r="E150" s="684">
        <f>'Balances y Proyecciones'!T150</f>
        <v>-7.1054273576010019E-14</v>
      </c>
      <c r="F150" s="685"/>
      <c r="G150" s="662">
        <f t="shared" si="39"/>
        <v>-5.921189464667501E-15</v>
      </c>
      <c r="H150" s="662">
        <f t="shared" ref="H150:R150" si="54">SUM(H142:H145)+H149</f>
        <v>0</v>
      </c>
      <c r="I150" s="662">
        <f t="shared" si="54"/>
        <v>0</v>
      </c>
      <c r="J150" s="662">
        <f t="shared" si="54"/>
        <v>0</v>
      </c>
      <c r="K150" s="662">
        <f t="shared" si="54"/>
        <v>0</v>
      </c>
      <c r="L150" s="662">
        <f t="shared" si="54"/>
        <v>0</v>
      </c>
      <c r="M150" s="662">
        <f t="shared" si="54"/>
        <v>0</v>
      </c>
      <c r="N150" s="662">
        <f t="shared" si="54"/>
        <v>0</v>
      </c>
      <c r="O150" s="662">
        <f t="shared" si="54"/>
        <v>0</v>
      </c>
      <c r="P150" s="662">
        <f t="shared" si="54"/>
        <v>0</v>
      </c>
      <c r="Q150" s="662">
        <f t="shared" si="54"/>
        <v>0</v>
      </c>
      <c r="R150" s="662">
        <f t="shared" si="54"/>
        <v>0</v>
      </c>
    </row>
    <row r="151" spans="1:18" s="496" customFormat="1" ht="12.75" x14ac:dyDescent="0.25">
      <c r="A151" s="498"/>
      <c r="B151" s="687" t="s">
        <v>1165</v>
      </c>
      <c r="C151" s="688">
        <f>'Balances y Proyecciones'!N151</f>
        <v>40</v>
      </c>
      <c r="D151" s="685"/>
      <c r="E151" s="689">
        <f>'Balances y Proyecciones'!T151</f>
        <v>980.49999999999943</v>
      </c>
      <c r="F151" s="500"/>
      <c r="G151" s="690">
        <f t="shared" si="39"/>
        <v>81.708333333333286</v>
      </c>
      <c r="H151" s="690">
        <f t="shared" ref="H151:R151" si="55">H141+H150</f>
        <v>4.2333333333332916</v>
      </c>
      <c r="I151" s="690">
        <f t="shared" si="55"/>
        <v>4.2333333333332916</v>
      </c>
      <c r="J151" s="690">
        <f t="shared" si="55"/>
        <v>4.2333333333332916</v>
      </c>
      <c r="K151" s="690">
        <f t="shared" si="55"/>
        <v>4.2333333333332916</v>
      </c>
      <c r="L151" s="690">
        <f t="shared" si="55"/>
        <v>4.2333333333332916</v>
      </c>
      <c r="M151" s="690">
        <f t="shared" si="55"/>
        <v>4.2333333333332916</v>
      </c>
      <c r="N151" s="690">
        <f t="shared" si="55"/>
        <v>4.2333333333332916</v>
      </c>
      <c r="O151" s="690">
        <f t="shared" si="55"/>
        <v>4.2333333333332916</v>
      </c>
      <c r="P151" s="690">
        <f t="shared" si="55"/>
        <v>4.2333333333332916</v>
      </c>
      <c r="Q151" s="690">
        <f t="shared" si="55"/>
        <v>4.2333333333332916</v>
      </c>
      <c r="R151" s="690">
        <f t="shared" si="55"/>
        <v>4.2333333333332916</v>
      </c>
    </row>
    <row r="152" spans="1:18" s="632" customFormat="1" ht="12" x14ac:dyDescent="0.25">
      <c r="A152" s="691" t="s">
        <v>1166</v>
      </c>
      <c r="B152" s="692" t="s">
        <v>1167</v>
      </c>
      <c r="C152" s="644">
        <f>'Balances y Proyecciones'!N152</f>
        <v>0</v>
      </c>
      <c r="D152" s="500"/>
      <c r="E152" s="657">
        <f>'Balances y Proyecciones'!T152</f>
        <v>-10</v>
      </c>
      <c r="F152" s="664"/>
      <c r="G152" s="693">
        <f t="shared" si="39"/>
        <v>-0.83333333333333326</v>
      </c>
      <c r="H152" s="644">
        <f t="shared" ref="H152:R152" si="56">IF(H36-G36&lt;0,H36-G36,0)</f>
        <v>0</v>
      </c>
      <c r="I152" s="644">
        <f t="shared" si="56"/>
        <v>0</v>
      </c>
      <c r="J152" s="644">
        <f t="shared" si="56"/>
        <v>0</v>
      </c>
      <c r="K152" s="644">
        <f t="shared" si="56"/>
        <v>0</v>
      </c>
      <c r="L152" s="644">
        <f t="shared" si="56"/>
        <v>0</v>
      </c>
      <c r="M152" s="644">
        <f t="shared" si="56"/>
        <v>0</v>
      </c>
      <c r="N152" s="644">
        <f t="shared" si="56"/>
        <v>0</v>
      </c>
      <c r="O152" s="644">
        <f t="shared" si="56"/>
        <v>0</v>
      </c>
      <c r="P152" s="644">
        <f t="shared" si="56"/>
        <v>0</v>
      </c>
      <c r="Q152" s="644">
        <f t="shared" si="56"/>
        <v>0</v>
      </c>
      <c r="R152" s="644">
        <f t="shared" si="56"/>
        <v>0</v>
      </c>
    </row>
    <row r="153" spans="1:18" s="632" customFormat="1" ht="12" x14ac:dyDescent="0.25">
      <c r="A153" s="669" t="s">
        <v>1168</v>
      </c>
      <c r="B153" s="694" t="s">
        <v>1169</v>
      </c>
      <c r="C153" s="668">
        <f>'Balances y Proyecciones'!N153</f>
        <v>0</v>
      </c>
      <c r="D153" s="664"/>
      <c r="E153" s="657">
        <f>'Balances y Proyecciones'!T153</f>
        <v>0</v>
      </c>
      <c r="F153" s="664"/>
      <c r="G153" s="695">
        <f t="shared" si="39"/>
        <v>0</v>
      </c>
      <c r="H153" s="668">
        <f>-SUM($H$249,$H$261,$H$275,$H$313,$H$323,$H$333)</f>
        <v>0</v>
      </c>
      <c r="I153" s="668">
        <f>-SUM($I$249,$I$261,$I$275,$I$313,$I$323,$I$333)</f>
        <v>0</v>
      </c>
      <c r="J153" s="668">
        <f>-SUM($J$249,$J$261,$J$275,$J$313,$J$323,$J$333)</f>
        <v>0</v>
      </c>
      <c r="K153" s="668">
        <f>-SUM($K$249,$K$261,$K$275,$K$313,$K$323,$K$333)</f>
        <v>0</v>
      </c>
      <c r="L153" s="668">
        <f>-SUM($L$249,$L$261,$L$275,$L$313,$L$323,$L$333)</f>
        <v>0</v>
      </c>
      <c r="M153" s="668">
        <f>-SUM($M$249,$M$261,$M$275,$M$313,$M$323,$M$333)</f>
        <v>0</v>
      </c>
      <c r="N153" s="668">
        <f>-SUM($N$249,$N$261,$N$275,$N$313,$N$323,$N$333)</f>
        <v>0</v>
      </c>
      <c r="O153" s="668">
        <f>-SUM($O$249,$O$261,$O$275,$O$313,$O$323,$O$333)</f>
        <v>0</v>
      </c>
      <c r="P153" s="668">
        <f>-SUM($P$249,$P$261,$P$275,$P$313,$P$323,$P$333)</f>
        <v>0</v>
      </c>
      <c r="Q153" s="668">
        <f>-SUM($Q$249,$Q$261,$Q$275,$Q$313,$Q$323,$Q$333)</f>
        <v>0</v>
      </c>
      <c r="R153" s="668">
        <f>-SUM($Q$249,$Q$261,$Q$275,$Q$313,$Q$323,$Q$333)</f>
        <v>0</v>
      </c>
    </row>
    <row r="154" spans="1:18" s="632" customFormat="1" ht="12" x14ac:dyDescent="0.25">
      <c r="A154" s="669" t="s">
        <v>1170</v>
      </c>
      <c r="B154" s="694" t="s">
        <v>1171</v>
      </c>
      <c r="C154" s="668">
        <f>'Balances y Proyecciones'!N154</f>
        <v>0</v>
      </c>
      <c r="D154" s="664"/>
      <c r="E154" s="657">
        <f>'Balances y Proyecciones'!T154</f>
        <v>0</v>
      </c>
      <c r="F154" s="664"/>
      <c r="G154" s="695">
        <f t="shared" si="39"/>
        <v>0</v>
      </c>
      <c r="H154" s="668">
        <f>-SUM($H$353,$H$363,$H$373)</f>
        <v>0</v>
      </c>
      <c r="I154" s="668">
        <f>-SUM($I$353,$I$363,$I$373)</f>
        <v>0</v>
      </c>
      <c r="J154" s="668">
        <f>-SUM($J$353,$J$363,$J$373)</f>
        <v>0</v>
      </c>
      <c r="K154" s="668">
        <f>-SUM($K$353,$K$363,$K$373)</f>
        <v>0</v>
      </c>
      <c r="L154" s="668">
        <f>-SUM($L$353,$L$363,$L$373)</f>
        <v>0</v>
      </c>
      <c r="M154" s="668">
        <f>-SUM($M$353,$M$363,$M$373)</f>
        <v>0</v>
      </c>
      <c r="N154" s="668">
        <f>-SUM($N$353,$N$363,$N$373)</f>
        <v>0</v>
      </c>
      <c r="O154" s="668">
        <f>-SUM($O$353,$O$363,$O$373)</f>
        <v>0</v>
      </c>
      <c r="P154" s="668">
        <f>-SUM($P$353,$P$363,$P$373)</f>
        <v>0</v>
      </c>
      <c r="Q154" s="668">
        <f>-SUM($Q$353,$Q$363,$Q$373)</f>
        <v>0</v>
      </c>
      <c r="R154" s="668">
        <f>-SUM($Q$353,$Q$363,$Q$373)</f>
        <v>0</v>
      </c>
    </row>
    <row r="155" spans="1:18" s="632" customFormat="1" ht="12" x14ac:dyDescent="0.25">
      <c r="A155" s="669" t="s">
        <v>1172</v>
      </c>
      <c r="B155" s="670" t="s">
        <v>1173</v>
      </c>
      <c r="C155" s="668">
        <f>'Balances y Proyecciones'!N155</f>
        <v>-10</v>
      </c>
      <c r="D155" s="664"/>
      <c r="E155" s="657">
        <f>'Balances y Proyecciones'!T155</f>
        <v>-7.6000000000000014</v>
      </c>
      <c r="F155" s="664"/>
      <c r="G155" s="668">
        <f t="shared" si="39"/>
        <v>-0.63333333333333341</v>
      </c>
      <c r="H155" s="668">
        <f t="shared" ref="H155:R155" si="57">-H76</f>
        <v>-0.63333333333333341</v>
      </c>
      <c r="I155" s="668">
        <f t="shared" si="57"/>
        <v>-0.63333333333333341</v>
      </c>
      <c r="J155" s="668">
        <f t="shared" si="57"/>
        <v>-0.63333333333333341</v>
      </c>
      <c r="K155" s="668">
        <f t="shared" si="57"/>
        <v>-0.63333333333333341</v>
      </c>
      <c r="L155" s="668">
        <f t="shared" si="57"/>
        <v>-0.63333333333333341</v>
      </c>
      <c r="M155" s="668">
        <f t="shared" si="57"/>
        <v>-0.63333333333333341</v>
      </c>
      <c r="N155" s="668">
        <f t="shared" si="57"/>
        <v>-0.63333333333333341</v>
      </c>
      <c r="O155" s="668">
        <f t="shared" si="57"/>
        <v>-0.63333333333333341</v>
      </c>
      <c r="P155" s="668">
        <f t="shared" si="57"/>
        <v>-0.63333333333333341</v>
      </c>
      <c r="Q155" s="668">
        <f t="shared" si="57"/>
        <v>-0.63333333333333341</v>
      </c>
      <c r="R155" s="668">
        <f t="shared" si="57"/>
        <v>-0.63333333333333341</v>
      </c>
    </row>
    <row r="156" spans="1:18" s="698" customFormat="1" ht="12" x14ac:dyDescent="0.25">
      <c r="A156" s="645">
        <v>10</v>
      </c>
      <c r="B156" s="677" t="s">
        <v>1174</v>
      </c>
      <c r="C156" s="681">
        <f>'Balances y Proyecciones'!N156</f>
        <v>-10</v>
      </c>
      <c r="D156" s="664"/>
      <c r="E156" s="696">
        <f>'Balances y Proyecciones'!T156</f>
        <v>-17.600000000000001</v>
      </c>
      <c r="F156" s="697"/>
      <c r="G156" s="681">
        <f t="shared" si="39"/>
        <v>-1.4666666666666668</v>
      </c>
      <c r="H156" s="681">
        <f t="shared" ref="H156:R156" si="58">SUM(H152:H155)</f>
        <v>-0.63333333333333341</v>
      </c>
      <c r="I156" s="681">
        <f t="shared" si="58"/>
        <v>-0.63333333333333341</v>
      </c>
      <c r="J156" s="681">
        <f t="shared" si="58"/>
        <v>-0.63333333333333341</v>
      </c>
      <c r="K156" s="681">
        <f t="shared" si="58"/>
        <v>-0.63333333333333341</v>
      </c>
      <c r="L156" s="681">
        <f t="shared" si="58"/>
        <v>-0.63333333333333341</v>
      </c>
      <c r="M156" s="681">
        <f t="shared" si="58"/>
        <v>-0.63333333333333341</v>
      </c>
      <c r="N156" s="681">
        <f t="shared" si="58"/>
        <v>-0.63333333333333341</v>
      </c>
      <c r="O156" s="681">
        <f t="shared" si="58"/>
        <v>-0.63333333333333341</v>
      </c>
      <c r="P156" s="681">
        <f t="shared" si="58"/>
        <v>-0.63333333333333341</v>
      </c>
      <c r="Q156" s="681">
        <f t="shared" si="58"/>
        <v>-0.63333333333333341</v>
      </c>
      <c r="R156" s="681">
        <f t="shared" si="58"/>
        <v>-0.63333333333333341</v>
      </c>
    </row>
    <row r="157" spans="1:18" s="702" customFormat="1" ht="12" x14ac:dyDescent="0.25">
      <c r="A157" s="699"/>
      <c r="B157" s="687" t="s">
        <v>1175</v>
      </c>
      <c r="C157" s="690">
        <f>'Balances y Proyecciones'!N157</f>
        <v>30</v>
      </c>
      <c r="D157" s="697"/>
      <c r="E157" s="700">
        <f>'Balances y Proyecciones'!T157</f>
        <v>962.89999999999941</v>
      </c>
      <c r="F157" s="701"/>
      <c r="G157" s="690">
        <f t="shared" si="39"/>
        <v>80.241666666666617</v>
      </c>
      <c r="H157" s="690">
        <f t="shared" ref="H157:R157" si="59">H151+H156</f>
        <v>3.5999999999999583</v>
      </c>
      <c r="I157" s="690">
        <f t="shared" si="59"/>
        <v>3.5999999999999583</v>
      </c>
      <c r="J157" s="690">
        <f t="shared" si="59"/>
        <v>3.5999999999999583</v>
      </c>
      <c r="K157" s="690">
        <f t="shared" si="59"/>
        <v>3.5999999999999583</v>
      </c>
      <c r="L157" s="690">
        <f t="shared" si="59"/>
        <v>3.5999999999999583</v>
      </c>
      <c r="M157" s="690">
        <f t="shared" si="59"/>
        <v>3.5999999999999583</v>
      </c>
      <c r="N157" s="690">
        <f t="shared" si="59"/>
        <v>3.5999999999999583</v>
      </c>
      <c r="O157" s="690">
        <f t="shared" si="59"/>
        <v>3.5999999999999583</v>
      </c>
      <c r="P157" s="690">
        <f t="shared" si="59"/>
        <v>3.5999999999999583</v>
      </c>
      <c r="Q157" s="690">
        <f t="shared" si="59"/>
        <v>3.5999999999999583</v>
      </c>
      <c r="R157" s="690">
        <f t="shared" si="59"/>
        <v>3.5999999999999583</v>
      </c>
    </row>
    <row r="158" spans="1:18" s="496" customFormat="1" ht="12.75" x14ac:dyDescent="0.25">
      <c r="A158" s="640">
        <v>11</v>
      </c>
      <c r="B158" s="656" t="s">
        <v>1176</v>
      </c>
      <c r="C158" s="642">
        <f>'Balances y Proyecciones'!N158</f>
        <v>0</v>
      </c>
      <c r="D158" s="701"/>
      <c r="E158" s="643">
        <f>'Balances y Proyecciones'!T158</f>
        <v>0</v>
      </c>
      <c r="F158" s="500"/>
      <c r="G158" s="644">
        <f t="shared" si="39"/>
        <v>0</v>
      </c>
      <c r="H158" s="644">
        <f t="shared" ref="H158:R158" si="60">IF(H36-G36&gt;=0,H36-G36,0)</f>
        <v>0</v>
      </c>
      <c r="I158" s="644">
        <f t="shared" si="60"/>
        <v>0</v>
      </c>
      <c r="J158" s="644">
        <f t="shared" si="60"/>
        <v>0</v>
      </c>
      <c r="K158" s="644">
        <f t="shared" si="60"/>
        <v>0</v>
      </c>
      <c r="L158" s="644">
        <f t="shared" si="60"/>
        <v>0</v>
      </c>
      <c r="M158" s="644">
        <f t="shared" si="60"/>
        <v>0</v>
      </c>
      <c r="N158" s="644">
        <f t="shared" si="60"/>
        <v>0</v>
      </c>
      <c r="O158" s="644">
        <f t="shared" si="60"/>
        <v>0</v>
      </c>
      <c r="P158" s="644">
        <f t="shared" si="60"/>
        <v>0</v>
      </c>
      <c r="Q158" s="644">
        <f t="shared" si="60"/>
        <v>0</v>
      </c>
      <c r="R158" s="644">
        <f t="shared" si="60"/>
        <v>0</v>
      </c>
    </row>
    <row r="159" spans="1:18" s="496" customFormat="1" ht="12.75" x14ac:dyDescent="0.25">
      <c r="A159" s="669" t="s">
        <v>1177</v>
      </c>
      <c r="B159" s="666" t="s">
        <v>1178</v>
      </c>
      <c r="C159" s="667">
        <f>'Balances y Proyecciones'!N159</f>
        <v>0</v>
      </c>
      <c r="D159" s="500"/>
      <c r="E159" s="643">
        <f>'Balances y Proyecciones'!T159</f>
        <v>0</v>
      </c>
      <c r="F159" s="500"/>
      <c r="G159" s="668">
        <f t="shared" si="39"/>
        <v>0</v>
      </c>
      <c r="H159" s="668" t="e">
        <f>$H$272+IF(AND(#REF!&lt;&gt;0,#REF!=H134),#REF!,0)+IF(AND(#REF!&lt;&gt;0,#REF!=H134),#REF!,0)+IF(AND(#REF!&lt;&gt;0,#REF!=H134),#REF!,0)</f>
        <v>#REF!</v>
      </c>
      <c r="I159" s="668" t="e">
        <f>$I$272+IF(AND(#REF!&lt;&gt;0,#REF!=I134),#REF!,0)+IF(AND(#REF!&lt;&gt;0,#REF!=I134),#REF!,0)+IF(AND(#REF!&lt;&gt;0,#REF!=I134),#REF!,0)</f>
        <v>#REF!</v>
      </c>
      <c r="J159" s="668" t="e">
        <f>$J$272+IF(AND(#REF!&lt;&gt;0,#REF!=J134),#REF!,0)+IF(AND(#REF!&lt;&gt;0,#REF!=J134),#REF!,0)+IF(AND(#REF!&lt;&gt;0,#REF!=J134),#REF!,0)</f>
        <v>#REF!</v>
      </c>
      <c r="K159" s="668" t="e">
        <f>$K$272+IF(AND(#REF!&lt;&gt;0,#REF!=K134),#REF!,0)+IF(AND(#REF!&lt;&gt;0,#REF!=K134),#REF!,0)+IF(AND(#REF!&lt;&gt;0,#REF!=K134),#REF!,0)</f>
        <v>#REF!</v>
      </c>
      <c r="L159" s="668" t="e">
        <f>$L$272+IF(AND(#REF!&lt;&gt;0,#REF!=L134),#REF!,0)+IF(AND(#REF!&lt;&gt;0,#REF!=L134),#REF!,0)+IF(AND(#REF!&lt;&gt;0,#REF!=L134),#REF!,0)</f>
        <v>#REF!</v>
      </c>
      <c r="M159" s="668" t="e">
        <f>$M$272+IF(AND(#REF!&lt;&gt;0,#REF!=M134),#REF!,0)+IF(AND(#REF!&lt;&gt;0,#REF!=M134),#REF!,0)+IF(AND(#REF!&lt;&gt;0,#REF!=M134),#REF!,0)</f>
        <v>#REF!</v>
      </c>
      <c r="N159" s="668" t="e">
        <f>$N$272+IF(AND(#REF!&lt;&gt;0,#REF!=N134),#REF!,0)+IF(AND(#REF!&lt;&gt;0,#REF!=N134),#REF!,0)+IF(AND(#REF!&lt;&gt;0,#REF!=N134),#REF!,0)</f>
        <v>#REF!</v>
      </c>
      <c r="O159" s="668" t="e">
        <f>$O$272+IF(AND(#REF!&lt;&gt;0,#REF!=O134),#REF!,0)+IF(AND(#REF!&lt;&gt;0,#REF!=O134),#REF!,0)+IF(AND(#REF!&lt;&gt;0,#REF!=O134),#REF!,0)</f>
        <v>#REF!</v>
      </c>
      <c r="P159" s="668" t="e">
        <f>$P$272+IF(AND(#REF!&lt;&gt;0,#REF!=P134),#REF!,0)+IF(AND(#REF!&lt;&gt;0,#REF!=P134),#REF!,0)+IF(AND(#REF!&lt;&gt;0,#REF!=P134),#REF!,0)</f>
        <v>#REF!</v>
      </c>
      <c r="Q159" s="668" t="e">
        <f>$Q$272+IF(AND(#REF!&lt;&gt;0,#REF!=Q134),#REF!,0)+IF(AND(#REF!&lt;&gt;0,#REF!=Q134),#REF!,0)+IF(AND(#REF!&lt;&gt;0,#REF!=Q134),#REF!,0)</f>
        <v>#REF!</v>
      </c>
      <c r="R159" s="668" t="e">
        <f>$R$272+IF(AND(#REF!&lt;&gt;0,#REF!=R134),#REF!,0)+IF(AND(#REF!&lt;&gt;0,#REF!=R134),#REF!,0)+IF(AND(#REF!&lt;&gt;0,#REF!=R134),#REF!,0)</f>
        <v>#REF!</v>
      </c>
    </row>
    <row r="160" spans="1:18" s="496" customFormat="1" ht="12.75" x14ac:dyDescent="0.25">
      <c r="A160" s="669" t="s">
        <v>1179</v>
      </c>
      <c r="B160" s="666" t="s">
        <v>1180</v>
      </c>
      <c r="C160" s="667">
        <f>'Balances y Proyecciones'!N160</f>
        <v>0</v>
      </c>
      <c r="D160" s="500"/>
      <c r="E160" s="643">
        <f>'Balances y Proyecciones'!T160</f>
        <v>0</v>
      </c>
      <c r="F160" s="500"/>
      <c r="G160" s="668">
        <f t="shared" si="39"/>
        <v>0</v>
      </c>
      <c r="H160" s="668" t="e">
        <f>IF(AND(#REF!&lt;&gt;0,#REF!=H134),#REF!,0)+IF(AND(#REF!&lt;&gt;0,#REF!=H134),#REF!,0)+IF(AND(#REF!&lt;&gt;0,#REF!=H134),#REF!,0)</f>
        <v>#REF!</v>
      </c>
      <c r="I160" s="668" t="e">
        <f>IF(AND(#REF!&lt;&gt;0,#REF!=I134),#REF!,0)+IF(AND(#REF!&lt;&gt;0,#REF!=I134),#REF!,0)+IF(AND(#REF!&lt;&gt;0,#REF!=I134),#REF!,0)</f>
        <v>#REF!</v>
      </c>
      <c r="J160" s="668" t="e">
        <f>IF(AND(#REF!&lt;&gt;0,#REF!=J134),#REF!,0)+IF(AND(#REF!&lt;&gt;0,#REF!=J134),#REF!,0)+IF(AND(#REF!&lt;&gt;0,#REF!=J134),#REF!,0)</f>
        <v>#REF!</v>
      </c>
      <c r="K160" s="668" t="e">
        <f>IF(AND(#REF!&lt;&gt;0,#REF!=K134),#REF!,0)+IF(AND(#REF!&lt;&gt;0,#REF!=K134),#REF!,0)+IF(AND(#REF!&lt;&gt;0,#REF!=K134),#REF!,0)</f>
        <v>#REF!</v>
      </c>
      <c r="L160" s="668" t="e">
        <f>IF(AND(#REF!&lt;&gt;0,#REF!=L134),#REF!,0)+IF(AND(#REF!&lt;&gt;0,#REF!=L134),#REF!,0)+IF(AND(#REF!&lt;&gt;0,#REF!=L134),#REF!,0)</f>
        <v>#REF!</v>
      </c>
      <c r="M160" s="668" t="e">
        <f>IF(AND(#REF!&lt;&gt;0,#REF!=M134),#REF!,0)+IF(AND(#REF!&lt;&gt;0,#REF!=M134),#REF!,0)+IF(AND(#REF!&lt;&gt;0,#REF!=M134),#REF!,0)</f>
        <v>#REF!</v>
      </c>
      <c r="N160" s="668" t="e">
        <f>IF(AND(#REF!&lt;&gt;0,#REF!=N134),#REF!,0)+IF(AND(#REF!&lt;&gt;0,#REF!=N134),#REF!,0)+IF(AND(#REF!&lt;&gt;0,#REF!=N134),#REF!,0)</f>
        <v>#REF!</v>
      </c>
      <c r="O160" s="668" t="e">
        <f>IF(AND(#REF!&lt;&gt;0,#REF!=O134),#REF!,0)+IF(AND(#REF!&lt;&gt;0,#REF!=O134),#REF!,0)+IF(AND(#REF!&lt;&gt;0,#REF!=O134),#REF!,0)</f>
        <v>#REF!</v>
      </c>
      <c r="P160" s="668" t="e">
        <f>IF(AND(#REF!&lt;&gt;0,#REF!=P134),#REF!,0)+IF(AND(#REF!&lt;&gt;0,#REF!=P134),#REF!,0)+IF(AND(#REF!&lt;&gt;0,#REF!=P134),#REF!,0)</f>
        <v>#REF!</v>
      </c>
      <c r="Q160" s="668" t="e">
        <f>IF(AND(#REF!&lt;&gt;0,#REF!=Q134),#REF!,0)+IF(AND(#REF!&lt;&gt;0,#REF!=Q134),#REF!,0)+IF(AND(#REF!&lt;&gt;0,#REF!=Q134),#REF!,0)</f>
        <v>#REF!</v>
      </c>
      <c r="R160" s="668" t="e">
        <f>IF(AND(#REF!&lt;&gt;0,#REF!=R134),#REF!,0)+IF(AND(#REF!&lt;&gt;0,#REF!=R134),#REF!,0)+IF(AND(#REF!&lt;&gt;0,#REF!=R134),#REF!,0)</f>
        <v>#REF!</v>
      </c>
    </row>
    <row r="161" spans="1:18" s="675" customFormat="1" ht="12.75" x14ac:dyDescent="0.25">
      <c r="A161" s="669" t="s">
        <v>1070</v>
      </c>
      <c r="B161" s="703" t="str">
        <f>"+ / - "&amp;B43</f>
        <v>+ / - PASIVOS DIFERIDOS C.P.</v>
      </c>
      <c r="C161" s="671">
        <f>'Balances y Proyecciones'!N161</f>
        <v>0</v>
      </c>
      <c r="D161" s="500"/>
      <c r="E161" s="672">
        <f>'Balances y Proyecciones'!T161</f>
        <v>0</v>
      </c>
      <c r="F161" s="676"/>
      <c r="G161" s="704">
        <f t="shared" si="39"/>
        <v>0</v>
      </c>
      <c r="H161" s="704">
        <f t="shared" ref="H161:R161" si="61">H43-G43</f>
        <v>0</v>
      </c>
      <c r="I161" s="704">
        <f t="shared" si="61"/>
        <v>0</v>
      </c>
      <c r="J161" s="704">
        <f t="shared" si="61"/>
        <v>0</v>
      </c>
      <c r="K161" s="704">
        <f t="shared" si="61"/>
        <v>0</v>
      </c>
      <c r="L161" s="704">
        <f t="shared" si="61"/>
        <v>0</v>
      </c>
      <c r="M161" s="704">
        <f t="shared" si="61"/>
        <v>0</v>
      </c>
      <c r="N161" s="704">
        <f t="shared" si="61"/>
        <v>0</v>
      </c>
      <c r="O161" s="704">
        <f t="shared" si="61"/>
        <v>0</v>
      </c>
      <c r="P161" s="704">
        <f t="shared" si="61"/>
        <v>0</v>
      </c>
      <c r="Q161" s="704">
        <f t="shared" si="61"/>
        <v>0</v>
      </c>
      <c r="R161" s="704">
        <f t="shared" si="61"/>
        <v>0</v>
      </c>
    </row>
    <row r="162" spans="1:18" s="675" customFormat="1" ht="12.75" x14ac:dyDescent="0.25">
      <c r="A162" s="669" t="s">
        <v>1072</v>
      </c>
      <c r="B162" s="703" t="str">
        <f>"+ / - "&amp;B45</f>
        <v>+ / - DEUDAS CON SOCIOS  C.P.</v>
      </c>
      <c r="C162" s="671">
        <f>'Balances y Proyecciones'!N162</f>
        <v>0</v>
      </c>
      <c r="D162" s="676"/>
      <c r="E162" s="672">
        <f>'Balances y Proyecciones'!T162</f>
        <v>0</v>
      </c>
      <c r="F162" s="676"/>
      <c r="G162" s="704">
        <f t="shared" si="39"/>
        <v>0</v>
      </c>
      <c r="H162" s="704">
        <f t="shared" ref="H162:R162" si="62">H45-G45</f>
        <v>0</v>
      </c>
      <c r="I162" s="704">
        <f t="shared" si="62"/>
        <v>0</v>
      </c>
      <c r="J162" s="704">
        <f t="shared" si="62"/>
        <v>0</v>
      </c>
      <c r="K162" s="704">
        <f t="shared" si="62"/>
        <v>0</v>
      </c>
      <c r="L162" s="704">
        <f t="shared" si="62"/>
        <v>0</v>
      </c>
      <c r="M162" s="704">
        <f t="shared" si="62"/>
        <v>0</v>
      </c>
      <c r="N162" s="704">
        <f t="shared" si="62"/>
        <v>0</v>
      </c>
      <c r="O162" s="704">
        <f t="shared" si="62"/>
        <v>0</v>
      </c>
      <c r="P162" s="704">
        <f t="shared" si="62"/>
        <v>0</v>
      </c>
      <c r="Q162" s="704">
        <f t="shared" si="62"/>
        <v>0</v>
      </c>
      <c r="R162" s="704">
        <f t="shared" si="62"/>
        <v>0</v>
      </c>
    </row>
    <row r="163" spans="1:18" s="675" customFormat="1" ht="12.75" x14ac:dyDescent="0.25">
      <c r="A163" s="669" t="s">
        <v>1074</v>
      </c>
      <c r="B163" s="703" t="str">
        <f>"+ / - "&amp;B46</f>
        <v>+ / - PASIVOS ESTIMADOS Y PROVISIONES</v>
      </c>
      <c r="C163" s="671">
        <f>'Balances y Proyecciones'!N163</f>
        <v>0</v>
      </c>
      <c r="D163" s="676"/>
      <c r="E163" s="672">
        <f>'Balances y Proyecciones'!T163</f>
        <v>0</v>
      </c>
      <c r="F163" s="676"/>
      <c r="G163" s="704">
        <f t="shared" si="39"/>
        <v>0</v>
      </c>
      <c r="H163" s="704">
        <f t="shared" ref="H163:R163" si="63">H46-G46</f>
        <v>0</v>
      </c>
      <c r="I163" s="704">
        <f t="shared" si="63"/>
        <v>0</v>
      </c>
      <c r="J163" s="704">
        <f t="shared" si="63"/>
        <v>0</v>
      </c>
      <c r="K163" s="704">
        <f t="shared" si="63"/>
        <v>0</v>
      </c>
      <c r="L163" s="704">
        <f t="shared" si="63"/>
        <v>0</v>
      </c>
      <c r="M163" s="704">
        <f t="shared" si="63"/>
        <v>0</v>
      </c>
      <c r="N163" s="704">
        <f t="shared" si="63"/>
        <v>0</v>
      </c>
      <c r="O163" s="704">
        <f t="shared" si="63"/>
        <v>0</v>
      </c>
      <c r="P163" s="704">
        <f t="shared" si="63"/>
        <v>0</v>
      </c>
      <c r="Q163" s="704">
        <f t="shared" si="63"/>
        <v>0</v>
      </c>
      <c r="R163" s="704">
        <f t="shared" si="63"/>
        <v>0</v>
      </c>
    </row>
    <row r="164" spans="1:18" s="675" customFormat="1" ht="12.75" x14ac:dyDescent="0.25">
      <c r="A164" s="669" t="s">
        <v>1181</v>
      </c>
      <c r="B164" s="703" t="str">
        <f>"+ / - "&amp;B47</f>
        <v>+ / - OTROS CORRIENTES</v>
      </c>
      <c r="C164" s="671">
        <f>'Balances y Proyecciones'!N164</f>
        <v>0</v>
      </c>
      <c r="D164" s="676"/>
      <c r="E164" s="672">
        <f>'Balances y Proyecciones'!T164</f>
        <v>0</v>
      </c>
      <c r="F164" s="676"/>
      <c r="G164" s="704">
        <f t="shared" si="39"/>
        <v>0</v>
      </c>
      <c r="H164" s="704">
        <f t="shared" ref="H164:R164" si="64">H47-G47</f>
        <v>0</v>
      </c>
      <c r="I164" s="704">
        <f t="shared" si="64"/>
        <v>0</v>
      </c>
      <c r="J164" s="704">
        <f t="shared" si="64"/>
        <v>0</v>
      </c>
      <c r="K164" s="704">
        <f t="shared" si="64"/>
        <v>0</v>
      </c>
      <c r="L164" s="704">
        <f t="shared" si="64"/>
        <v>0</v>
      </c>
      <c r="M164" s="704">
        <f t="shared" si="64"/>
        <v>0</v>
      </c>
      <c r="N164" s="704">
        <f t="shared" si="64"/>
        <v>0</v>
      </c>
      <c r="O164" s="704">
        <f t="shared" si="64"/>
        <v>0</v>
      </c>
      <c r="P164" s="704">
        <f t="shared" si="64"/>
        <v>0</v>
      </c>
      <c r="Q164" s="704">
        <f t="shared" si="64"/>
        <v>0</v>
      </c>
      <c r="R164" s="704">
        <f t="shared" si="64"/>
        <v>0</v>
      </c>
    </row>
    <row r="165" spans="1:18" s="655" customFormat="1" ht="12.75" x14ac:dyDescent="0.25">
      <c r="A165" s="665">
        <v>13</v>
      </c>
      <c r="B165" s="705" t="s">
        <v>1182</v>
      </c>
      <c r="C165" s="706">
        <f>'Balances y Proyecciones'!N165</f>
        <v>0</v>
      </c>
      <c r="D165" s="676"/>
      <c r="E165" s="679">
        <f>'Balances y Proyecciones'!T165</f>
        <v>0</v>
      </c>
      <c r="F165" s="653"/>
      <c r="G165" s="704">
        <f t="shared" si="39"/>
        <v>0</v>
      </c>
      <c r="H165" s="704">
        <f t="shared" ref="H165:R165" si="65">SUM(H161:H164)</f>
        <v>0</v>
      </c>
      <c r="I165" s="704">
        <f t="shared" si="65"/>
        <v>0</v>
      </c>
      <c r="J165" s="704">
        <f t="shared" si="65"/>
        <v>0</v>
      </c>
      <c r="K165" s="704">
        <f t="shared" si="65"/>
        <v>0</v>
      </c>
      <c r="L165" s="704">
        <f t="shared" si="65"/>
        <v>0</v>
      </c>
      <c r="M165" s="704">
        <f t="shared" si="65"/>
        <v>0</v>
      </c>
      <c r="N165" s="704">
        <f t="shared" si="65"/>
        <v>0</v>
      </c>
      <c r="O165" s="704">
        <f t="shared" si="65"/>
        <v>0</v>
      </c>
      <c r="P165" s="704">
        <f t="shared" si="65"/>
        <v>0</v>
      </c>
      <c r="Q165" s="704">
        <f t="shared" si="65"/>
        <v>0</v>
      </c>
      <c r="R165" s="704">
        <f t="shared" si="65"/>
        <v>0</v>
      </c>
    </row>
    <row r="166" spans="1:18" s="675" customFormat="1" ht="12.75" x14ac:dyDescent="0.25">
      <c r="A166" s="669" t="s">
        <v>1183</v>
      </c>
      <c r="B166" s="703" t="str">
        <f t="shared" ref="B166:B171" si="66">"+ / - "&amp;B52</f>
        <v>+ / - PRESTACIONES SOCIALES L.P.</v>
      </c>
      <c r="C166" s="671">
        <f>'Balances y Proyecciones'!N166</f>
        <v>0</v>
      </c>
      <c r="D166" s="653"/>
      <c r="E166" s="672">
        <f>'Balances y Proyecciones'!T166</f>
        <v>0</v>
      </c>
      <c r="F166" s="676"/>
      <c r="G166" s="674">
        <f t="shared" si="39"/>
        <v>0</v>
      </c>
      <c r="H166" s="674">
        <f t="shared" ref="H166:R166" si="67">H52-G52</f>
        <v>0</v>
      </c>
      <c r="I166" s="674">
        <f t="shared" si="67"/>
        <v>0</v>
      </c>
      <c r="J166" s="674">
        <f t="shared" si="67"/>
        <v>0</v>
      </c>
      <c r="K166" s="674">
        <f t="shared" si="67"/>
        <v>0</v>
      </c>
      <c r="L166" s="674">
        <f t="shared" si="67"/>
        <v>0</v>
      </c>
      <c r="M166" s="674">
        <f t="shared" si="67"/>
        <v>0</v>
      </c>
      <c r="N166" s="674">
        <f t="shared" si="67"/>
        <v>0</v>
      </c>
      <c r="O166" s="674">
        <f t="shared" si="67"/>
        <v>0</v>
      </c>
      <c r="P166" s="674">
        <f t="shared" si="67"/>
        <v>0</v>
      </c>
      <c r="Q166" s="674">
        <f t="shared" si="67"/>
        <v>0</v>
      </c>
      <c r="R166" s="674">
        <f t="shared" si="67"/>
        <v>0</v>
      </c>
    </row>
    <row r="167" spans="1:18" s="675" customFormat="1" ht="12.75" x14ac:dyDescent="0.25">
      <c r="A167" s="669" t="s">
        <v>1184</v>
      </c>
      <c r="B167" s="703" t="str">
        <f t="shared" si="66"/>
        <v>+ / - PENSIONES DE JUBILACIÓN</v>
      </c>
      <c r="C167" s="671">
        <f>'Balances y Proyecciones'!N167</f>
        <v>0</v>
      </c>
      <c r="D167" s="676"/>
      <c r="E167" s="672">
        <f>'Balances y Proyecciones'!T167</f>
        <v>0</v>
      </c>
      <c r="F167" s="676"/>
      <c r="G167" s="674">
        <f t="shared" si="39"/>
        <v>0</v>
      </c>
      <c r="H167" s="674">
        <f t="shared" ref="H167:R167" si="68">H53-G53</f>
        <v>0</v>
      </c>
      <c r="I167" s="674">
        <f t="shared" si="68"/>
        <v>0</v>
      </c>
      <c r="J167" s="674">
        <f t="shared" si="68"/>
        <v>0</v>
      </c>
      <c r="K167" s="674">
        <f t="shared" si="68"/>
        <v>0</v>
      </c>
      <c r="L167" s="674">
        <f t="shared" si="68"/>
        <v>0</v>
      </c>
      <c r="M167" s="674">
        <f t="shared" si="68"/>
        <v>0</v>
      </c>
      <c r="N167" s="674">
        <f t="shared" si="68"/>
        <v>0</v>
      </c>
      <c r="O167" s="674">
        <f t="shared" si="68"/>
        <v>0</v>
      </c>
      <c r="P167" s="674">
        <f t="shared" si="68"/>
        <v>0</v>
      </c>
      <c r="Q167" s="674">
        <f t="shared" si="68"/>
        <v>0</v>
      </c>
      <c r="R167" s="674">
        <f t="shared" si="68"/>
        <v>0</v>
      </c>
    </row>
    <row r="168" spans="1:18" s="675" customFormat="1" ht="12.75" x14ac:dyDescent="0.25">
      <c r="A168" s="669" t="s">
        <v>1185</v>
      </c>
      <c r="B168" s="703" t="str">
        <f t="shared" si="66"/>
        <v>+ / - DEUDAS CON SOCIOS L.P.</v>
      </c>
      <c r="C168" s="671">
        <f>'Balances y Proyecciones'!N168</f>
        <v>0</v>
      </c>
      <c r="D168" s="676"/>
      <c r="E168" s="672">
        <f>'Balances y Proyecciones'!T168</f>
        <v>0</v>
      </c>
      <c r="F168" s="676"/>
      <c r="G168" s="674">
        <f t="shared" ref="G168:G199" si="69">IF($G$12=1,"Error %",$E168*G$13)</f>
        <v>0</v>
      </c>
      <c r="H168" s="674">
        <f t="shared" ref="H168:R168" si="70">H54-G54</f>
        <v>0</v>
      </c>
      <c r="I168" s="674">
        <f t="shared" si="70"/>
        <v>0</v>
      </c>
      <c r="J168" s="674">
        <f t="shared" si="70"/>
        <v>0</v>
      </c>
      <c r="K168" s="674">
        <f t="shared" si="70"/>
        <v>0</v>
      </c>
      <c r="L168" s="674">
        <f t="shared" si="70"/>
        <v>0</v>
      </c>
      <c r="M168" s="674">
        <f t="shared" si="70"/>
        <v>0</v>
      </c>
      <c r="N168" s="674">
        <f t="shared" si="70"/>
        <v>0</v>
      </c>
      <c r="O168" s="674">
        <f t="shared" si="70"/>
        <v>0</v>
      </c>
      <c r="P168" s="674">
        <f t="shared" si="70"/>
        <v>0</v>
      </c>
      <c r="Q168" s="674">
        <f t="shared" si="70"/>
        <v>0</v>
      </c>
      <c r="R168" s="674">
        <f t="shared" si="70"/>
        <v>0</v>
      </c>
    </row>
    <row r="169" spans="1:18" s="675" customFormat="1" ht="12.75" x14ac:dyDescent="0.25">
      <c r="A169" s="669" t="s">
        <v>1186</v>
      </c>
      <c r="B169" s="703" t="str">
        <f t="shared" si="66"/>
        <v>+ / - IMPUESTOS DE L.P. (DIFERIDOS)</v>
      </c>
      <c r="C169" s="671">
        <f>'Balances y Proyecciones'!N169</f>
        <v>0</v>
      </c>
      <c r="D169" s="676"/>
      <c r="E169" s="672">
        <f>'Balances y Proyecciones'!T169</f>
        <v>0</v>
      </c>
      <c r="F169" s="676"/>
      <c r="G169" s="674">
        <f t="shared" si="69"/>
        <v>0</v>
      </c>
      <c r="H169" s="674">
        <f t="shared" ref="H169:R169" si="71">H55-G55</f>
        <v>0</v>
      </c>
      <c r="I169" s="674">
        <f t="shared" si="71"/>
        <v>0</v>
      </c>
      <c r="J169" s="674">
        <f t="shared" si="71"/>
        <v>0</v>
      </c>
      <c r="K169" s="674">
        <f t="shared" si="71"/>
        <v>0</v>
      </c>
      <c r="L169" s="674">
        <f t="shared" si="71"/>
        <v>0</v>
      </c>
      <c r="M169" s="674">
        <f t="shared" si="71"/>
        <v>0</v>
      </c>
      <c r="N169" s="674">
        <f t="shared" si="71"/>
        <v>0</v>
      </c>
      <c r="O169" s="674">
        <f t="shared" si="71"/>
        <v>0</v>
      </c>
      <c r="P169" s="674">
        <f t="shared" si="71"/>
        <v>0</v>
      </c>
      <c r="Q169" s="674">
        <f t="shared" si="71"/>
        <v>0</v>
      </c>
      <c r="R169" s="674">
        <f t="shared" si="71"/>
        <v>0</v>
      </c>
    </row>
    <row r="170" spans="1:18" s="675" customFormat="1" ht="12.75" x14ac:dyDescent="0.25">
      <c r="A170" s="669" t="s">
        <v>1187</v>
      </c>
      <c r="B170" s="707" t="str">
        <f t="shared" si="66"/>
        <v>+ / - PASIVOS ESTIMADOS Y PROVISIONES (DIFERIDOS)</v>
      </c>
      <c r="C170" s="671">
        <f>'Balances y Proyecciones'!N170</f>
        <v>0</v>
      </c>
      <c r="D170" s="676"/>
      <c r="E170" s="672">
        <f>'Balances y Proyecciones'!T170</f>
        <v>0</v>
      </c>
      <c r="F170" s="676"/>
      <c r="G170" s="674">
        <f t="shared" si="69"/>
        <v>0</v>
      </c>
      <c r="H170" s="674">
        <f t="shared" ref="H170:R170" si="72">H56-G56</f>
        <v>0</v>
      </c>
      <c r="I170" s="674">
        <f t="shared" si="72"/>
        <v>0</v>
      </c>
      <c r="J170" s="674">
        <f t="shared" si="72"/>
        <v>0</v>
      </c>
      <c r="K170" s="674">
        <f t="shared" si="72"/>
        <v>0</v>
      </c>
      <c r="L170" s="674">
        <f t="shared" si="72"/>
        <v>0</v>
      </c>
      <c r="M170" s="674">
        <f t="shared" si="72"/>
        <v>0</v>
      </c>
      <c r="N170" s="674">
        <f t="shared" si="72"/>
        <v>0</v>
      </c>
      <c r="O170" s="674">
        <f t="shared" si="72"/>
        <v>0</v>
      </c>
      <c r="P170" s="674">
        <f t="shared" si="72"/>
        <v>0</v>
      </c>
      <c r="Q170" s="674">
        <f t="shared" si="72"/>
        <v>0</v>
      </c>
      <c r="R170" s="674">
        <f t="shared" si="72"/>
        <v>0</v>
      </c>
    </row>
    <row r="171" spans="1:18" s="675" customFormat="1" ht="12.75" x14ac:dyDescent="0.25">
      <c r="A171" s="669" t="s">
        <v>1188</v>
      </c>
      <c r="B171" s="703" t="str">
        <f t="shared" si="66"/>
        <v xml:space="preserve">+ / - OTROS PASIVOS DE LARGO PLAZO </v>
      </c>
      <c r="C171" s="671">
        <f>'Balances y Proyecciones'!N171</f>
        <v>0</v>
      </c>
      <c r="D171" s="676"/>
      <c r="E171" s="672">
        <f>'Balances y Proyecciones'!T171</f>
        <v>2.8421709430404007E-14</v>
      </c>
      <c r="F171" s="676"/>
      <c r="G171" s="674">
        <f t="shared" si="69"/>
        <v>2.3684757858670005E-15</v>
      </c>
      <c r="H171" s="674">
        <f t="shared" ref="H171:R171" si="73">H57-H122-G57+G122</f>
        <v>0</v>
      </c>
      <c r="I171" s="674">
        <f t="shared" si="73"/>
        <v>0</v>
      </c>
      <c r="J171" s="674">
        <f t="shared" si="73"/>
        <v>0</v>
      </c>
      <c r="K171" s="674">
        <f t="shared" si="73"/>
        <v>0</v>
      </c>
      <c r="L171" s="674">
        <f t="shared" si="73"/>
        <v>0</v>
      </c>
      <c r="M171" s="674">
        <f t="shared" si="73"/>
        <v>0</v>
      </c>
      <c r="N171" s="674">
        <f t="shared" si="73"/>
        <v>0</v>
      </c>
      <c r="O171" s="674">
        <f t="shared" si="73"/>
        <v>0</v>
      </c>
      <c r="P171" s="674">
        <f t="shared" si="73"/>
        <v>0</v>
      </c>
      <c r="Q171" s="674">
        <f t="shared" si="73"/>
        <v>0</v>
      </c>
      <c r="R171" s="674">
        <f t="shared" si="73"/>
        <v>0</v>
      </c>
    </row>
    <row r="172" spans="1:18" s="655" customFormat="1" ht="12.75" x14ac:dyDescent="0.25">
      <c r="A172" s="665">
        <v>14</v>
      </c>
      <c r="B172" s="705" t="s">
        <v>1189</v>
      </c>
      <c r="C172" s="706">
        <f>'Balances y Proyecciones'!N172</f>
        <v>0</v>
      </c>
      <c r="D172" s="676"/>
      <c r="E172" s="679">
        <f>'Balances y Proyecciones'!T172</f>
        <v>2.8421709430404007E-14</v>
      </c>
      <c r="F172" s="653"/>
      <c r="G172" s="704">
        <f t="shared" si="69"/>
        <v>2.3684757858670005E-15</v>
      </c>
      <c r="H172" s="704">
        <f t="shared" ref="H172:R172" si="74">SUM(H166:H171)</f>
        <v>0</v>
      </c>
      <c r="I172" s="704">
        <f t="shared" si="74"/>
        <v>0</v>
      </c>
      <c r="J172" s="704">
        <f t="shared" si="74"/>
        <v>0</v>
      </c>
      <c r="K172" s="704">
        <f t="shared" si="74"/>
        <v>0</v>
      </c>
      <c r="L172" s="704">
        <f t="shared" si="74"/>
        <v>0</v>
      </c>
      <c r="M172" s="704">
        <f t="shared" si="74"/>
        <v>0</v>
      </c>
      <c r="N172" s="704">
        <f t="shared" si="74"/>
        <v>0</v>
      </c>
      <c r="O172" s="704">
        <f t="shared" si="74"/>
        <v>0</v>
      </c>
      <c r="P172" s="704">
        <f t="shared" si="74"/>
        <v>0</v>
      </c>
      <c r="Q172" s="704">
        <f t="shared" si="74"/>
        <v>0</v>
      </c>
      <c r="R172" s="704">
        <f t="shared" si="74"/>
        <v>0</v>
      </c>
    </row>
    <row r="173" spans="1:18" s="496" customFormat="1" ht="12.75" x14ac:dyDescent="0.25">
      <c r="A173" s="665">
        <v>15</v>
      </c>
      <c r="B173" s="666" t="s">
        <v>1190</v>
      </c>
      <c r="C173" s="667">
        <f>'Balances y Proyecciones'!N173</f>
        <v>0</v>
      </c>
      <c r="D173" s="653"/>
      <c r="E173" s="643">
        <f>'Balances y Proyecciones'!T173</f>
        <v>0</v>
      </c>
      <c r="F173" s="500"/>
      <c r="G173" s="668">
        <f t="shared" si="69"/>
        <v>0</v>
      </c>
      <c r="H173" s="668">
        <f t="shared" ref="H173:R173" si="75">H232</f>
        <v>0</v>
      </c>
      <c r="I173" s="668">
        <f t="shared" si="75"/>
        <v>0</v>
      </c>
      <c r="J173" s="668">
        <f t="shared" si="75"/>
        <v>0</v>
      </c>
      <c r="K173" s="668">
        <f t="shared" si="75"/>
        <v>0</v>
      </c>
      <c r="L173" s="668">
        <f t="shared" si="75"/>
        <v>0</v>
      </c>
      <c r="M173" s="668">
        <f t="shared" si="75"/>
        <v>0</v>
      </c>
      <c r="N173" s="668">
        <f t="shared" si="75"/>
        <v>0</v>
      </c>
      <c r="O173" s="668">
        <f t="shared" si="75"/>
        <v>0</v>
      </c>
      <c r="P173" s="668">
        <f t="shared" si="75"/>
        <v>0</v>
      </c>
      <c r="Q173" s="668">
        <f t="shared" si="75"/>
        <v>0</v>
      </c>
      <c r="R173" s="668">
        <f t="shared" si="75"/>
        <v>0</v>
      </c>
    </row>
    <row r="174" spans="1:18" s="632" customFormat="1" ht="12" x14ac:dyDescent="0.25">
      <c r="A174" s="669" t="s">
        <v>1191</v>
      </c>
      <c r="B174" s="670" t="s">
        <v>1192</v>
      </c>
      <c r="C174" s="674">
        <f>'Balances y Proyecciones'!N174</f>
        <v>0</v>
      </c>
      <c r="D174" s="500"/>
      <c r="E174" s="708">
        <f>'Balances y Proyecciones'!T174</f>
        <v>0</v>
      </c>
      <c r="F174" s="664"/>
      <c r="G174" s="674">
        <f t="shared" si="69"/>
        <v>0</v>
      </c>
      <c r="H174" s="674">
        <f t="shared" ref="H174:R174" si="76">H79-H80</f>
        <v>0</v>
      </c>
      <c r="I174" s="674">
        <f t="shared" si="76"/>
        <v>0</v>
      </c>
      <c r="J174" s="674">
        <f t="shared" si="76"/>
        <v>0</v>
      </c>
      <c r="K174" s="674">
        <f t="shared" si="76"/>
        <v>0</v>
      </c>
      <c r="L174" s="674">
        <f t="shared" si="76"/>
        <v>0</v>
      </c>
      <c r="M174" s="674">
        <f t="shared" si="76"/>
        <v>0</v>
      </c>
      <c r="N174" s="674">
        <f t="shared" si="76"/>
        <v>0</v>
      </c>
      <c r="O174" s="674">
        <f t="shared" si="76"/>
        <v>0</v>
      </c>
      <c r="P174" s="674">
        <f t="shared" si="76"/>
        <v>0</v>
      </c>
      <c r="Q174" s="674">
        <f t="shared" si="76"/>
        <v>0</v>
      </c>
      <c r="R174" s="674">
        <f t="shared" si="76"/>
        <v>0</v>
      </c>
    </row>
    <row r="175" spans="1:18" s="675" customFormat="1" ht="12.75" x14ac:dyDescent="0.25">
      <c r="A175" s="709" t="s">
        <v>1193</v>
      </c>
      <c r="B175" s="703" t="str">
        <f>"+ / - "&amp;B81</f>
        <v>+ / - INGRESOS FINANCIEROS</v>
      </c>
      <c r="C175" s="671">
        <f>'Balances y Proyecciones'!N175</f>
        <v>20</v>
      </c>
      <c r="D175" s="664"/>
      <c r="E175" s="672">
        <f>'Balances y Proyecciones'!T175</f>
        <v>20</v>
      </c>
      <c r="F175" s="676"/>
      <c r="G175" s="674">
        <f t="shared" si="69"/>
        <v>1.6666666666666665</v>
      </c>
      <c r="H175" s="674">
        <f t="shared" ref="H175:R175" si="77">H81</f>
        <v>1.6666666666666665</v>
      </c>
      <c r="I175" s="674">
        <f t="shared" si="77"/>
        <v>1.6666666666666665</v>
      </c>
      <c r="J175" s="674">
        <f t="shared" si="77"/>
        <v>1.6666666666666665</v>
      </c>
      <c r="K175" s="674">
        <f t="shared" si="77"/>
        <v>1.6666666666666665</v>
      </c>
      <c r="L175" s="674">
        <f t="shared" si="77"/>
        <v>1.6666666666666665</v>
      </c>
      <c r="M175" s="674">
        <f t="shared" si="77"/>
        <v>1.6666666666666665</v>
      </c>
      <c r="N175" s="674">
        <f t="shared" si="77"/>
        <v>1.6666666666666665</v>
      </c>
      <c r="O175" s="674">
        <f t="shared" si="77"/>
        <v>1.6666666666666665</v>
      </c>
      <c r="P175" s="674">
        <f t="shared" si="77"/>
        <v>1.6666666666666665</v>
      </c>
      <c r="Q175" s="674">
        <f t="shared" si="77"/>
        <v>1.6666666666666665</v>
      </c>
      <c r="R175" s="674">
        <f t="shared" si="77"/>
        <v>1.6666666666666665</v>
      </c>
    </row>
    <row r="176" spans="1:18" s="675" customFormat="1" ht="12.75" x14ac:dyDescent="0.25">
      <c r="A176" s="669" t="s">
        <v>1194</v>
      </c>
      <c r="B176" s="703" t="str">
        <f>"+ / - "&amp;B82</f>
        <v>+ / - UTILIDAD (PÉRDIDA) EN VENTA DE ACTIVOS FIJOS</v>
      </c>
      <c r="C176" s="671">
        <f>'Balances y Proyecciones'!N176</f>
        <v>0</v>
      </c>
      <c r="D176" s="676"/>
      <c r="E176" s="672">
        <f>'Balances y Proyecciones'!T176</f>
        <v>0</v>
      </c>
      <c r="F176" s="676"/>
      <c r="G176" s="674">
        <f t="shared" si="69"/>
        <v>0</v>
      </c>
      <c r="H176" s="674">
        <f t="shared" ref="H176:R176" si="78">H82</f>
        <v>0</v>
      </c>
      <c r="I176" s="674">
        <f t="shared" si="78"/>
        <v>0</v>
      </c>
      <c r="J176" s="674">
        <f t="shared" si="78"/>
        <v>0</v>
      </c>
      <c r="K176" s="674">
        <f t="shared" si="78"/>
        <v>0</v>
      </c>
      <c r="L176" s="674">
        <f t="shared" si="78"/>
        <v>0</v>
      </c>
      <c r="M176" s="674">
        <f t="shared" si="78"/>
        <v>0</v>
      </c>
      <c r="N176" s="674">
        <f t="shared" si="78"/>
        <v>0</v>
      </c>
      <c r="O176" s="674">
        <f t="shared" si="78"/>
        <v>0</v>
      </c>
      <c r="P176" s="674">
        <f t="shared" si="78"/>
        <v>0</v>
      </c>
      <c r="Q176" s="674">
        <f t="shared" si="78"/>
        <v>0</v>
      </c>
      <c r="R176" s="674">
        <f t="shared" si="78"/>
        <v>0</v>
      </c>
    </row>
    <row r="177" spans="1:18" s="675" customFormat="1" ht="12.75" x14ac:dyDescent="0.25">
      <c r="A177" s="669" t="s">
        <v>1195</v>
      </c>
      <c r="B177" s="703" t="str">
        <f>"+ / - "&amp;B83</f>
        <v>+ / - UTILIDAD (PÉRDIDA) EN VENTA DE INVERSIONES</v>
      </c>
      <c r="C177" s="671">
        <f>'Balances y Proyecciones'!N177</f>
        <v>0</v>
      </c>
      <c r="D177" s="676"/>
      <c r="E177" s="672">
        <f>'Balances y Proyecciones'!T177</f>
        <v>0</v>
      </c>
      <c r="F177" s="676"/>
      <c r="G177" s="674">
        <f t="shared" si="69"/>
        <v>0</v>
      </c>
      <c r="H177" s="674">
        <f t="shared" ref="H177:R177" si="79">H83</f>
        <v>0</v>
      </c>
      <c r="I177" s="674">
        <f t="shared" si="79"/>
        <v>0</v>
      </c>
      <c r="J177" s="674">
        <f t="shared" si="79"/>
        <v>0</v>
      </c>
      <c r="K177" s="674">
        <f t="shared" si="79"/>
        <v>0</v>
      </c>
      <c r="L177" s="674">
        <f t="shared" si="79"/>
        <v>0</v>
      </c>
      <c r="M177" s="674">
        <f t="shared" si="79"/>
        <v>0</v>
      </c>
      <c r="N177" s="674">
        <f t="shared" si="79"/>
        <v>0</v>
      </c>
      <c r="O177" s="674">
        <f t="shared" si="79"/>
        <v>0</v>
      </c>
      <c r="P177" s="674">
        <f t="shared" si="79"/>
        <v>0</v>
      </c>
      <c r="Q177" s="674">
        <f t="shared" si="79"/>
        <v>0</v>
      </c>
      <c r="R177" s="674">
        <f t="shared" si="79"/>
        <v>0</v>
      </c>
    </row>
    <row r="178" spans="1:18" s="675" customFormat="1" ht="12.75" x14ac:dyDescent="0.25">
      <c r="A178" s="669" t="s">
        <v>1196</v>
      </c>
      <c r="B178" s="703" t="str">
        <f>"+ / - "&amp;B84</f>
        <v>+ / - INGRESOS (EGRESOS) POR MÉTODO DE PARTICIPACIÓN</v>
      </c>
      <c r="C178" s="671">
        <f>'Balances y Proyecciones'!N178</f>
        <v>0</v>
      </c>
      <c r="D178" s="676"/>
      <c r="E178" s="672">
        <f>'Balances y Proyecciones'!T178</f>
        <v>0</v>
      </c>
      <c r="F178" s="676"/>
      <c r="G178" s="674">
        <f t="shared" si="69"/>
        <v>0</v>
      </c>
      <c r="H178" s="674">
        <f t="shared" ref="H178:R178" si="80">H84</f>
        <v>0</v>
      </c>
      <c r="I178" s="674">
        <f t="shared" si="80"/>
        <v>0</v>
      </c>
      <c r="J178" s="674">
        <f t="shared" si="80"/>
        <v>0</v>
      </c>
      <c r="K178" s="674">
        <f t="shared" si="80"/>
        <v>0</v>
      </c>
      <c r="L178" s="674">
        <f t="shared" si="80"/>
        <v>0</v>
      </c>
      <c r="M178" s="674">
        <f t="shared" si="80"/>
        <v>0</v>
      </c>
      <c r="N178" s="674">
        <f t="shared" si="80"/>
        <v>0</v>
      </c>
      <c r="O178" s="674">
        <f t="shared" si="80"/>
        <v>0</v>
      </c>
      <c r="P178" s="674">
        <f t="shared" si="80"/>
        <v>0</v>
      </c>
      <c r="Q178" s="674">
        <f t="shared" si="80"/>
        <v>0</v>
      </c>
      <c r="R178" s="674">
        <f t="shared" si="80"/>
        <v>0</v>
      </c>
    </row>
    <row r="179" spans="1:18" s="675" customFormat="1" ht="12.75" x14ac:dyDescent="0.25">
      <c r="A179" s="669" t="s">
        <v>1197</v>
      </c>
      <c r="B179" s="710" t="s">
        <v>1198</v>
      </c>
      <c r="C179" s="671">
        <f>'Balances y Proyecciones'!N179</f>
        <v>-10</v>
      </c>
      <c r="D179" s="676"/>
      <c r="E179" s="672">
        <f>'Balances y Proyecciones'!T179</f>
        <v>-10.000000000000014</v>
      </c>
      <c r="F179" s="676"/>
      <c r="G179" s="674">
        <f t="shared" si="69"/>
        <v>-0.83333333333333448</v>
      </c>
      <c r="H179" s="674">
        <f t="shared" ref="H179:R179" si="81">IF(H78&gt;=0,H78+H85-H86,H85-H86)</f>
        <v>-0.83333333333333393</v>
      </c>
      <c r="I179" s="674">
        <f t="shared" si="81"/>
        <v>-0.83333333333333393</v>
      </c>
      <c r="J179" s="674">
        <f t="shared" si="81"/>
        <v>-0.83333333333333393</v>
      </c>
      <c r="K179" s="674">
        <f t="shared" si="81"/>
        <v>-0.83333333333333393</v>
      </c>
      <c r="L179" s="674">
        <f t="shared" si="81"/>
        <v>-0.83333333333333393</v>
      </c>
      <c r="M179" s="674">
        <f t="shared" si="81"/>
        <v>-0.83333333333333393</v>
      </c>
      <c r="N179" s="674">
        <f t="shared" si="81"/>
        <v>-0.83333333333333393</v>
      </c>
      <c r="O179" s="674">
        <f t="shared" si="81"/>
        <v>-0.83333333333333393</v>
      </c>
      <c r="P179" s="674">
        <f t="shared" si="81"/>
        <v>-0.83333333333333393</v>
      </c>
      <c r="Q179" s="674">
        <f t="shared" si="81"/>
        <v>-0.83333333333333393</v>
      </c>
      <c r="R179" s="674">
        <f t="shared" si="81"/>
        <v>-0.83333333333333393</v>
      </c>
    </row>
    <row r="180" spans="1:18" s="655" customFormat="1" ht="12.75" x14ac:dyDescent="0.25">
      <c r="A180" s="645">
        <v>16</v>
      </c>
      <c r="B180" s="711" t="s">
        <v>1199</v>
      </c>
      <c r="C180" s="678">
        <f>'Balances y Proyecciones'!N180</f>
        <v>10</v>
      </c>
      <c r="D180" s="676"/>
      <c r="E180" s="679">
        <f>'Balances y Proyecciones'!T180</f>
        <v>9.9999999999999858</v>
      </c>
      <c r="F180" s="653"/>
      <c r="G180" s="681">
        <f t="shared" si="69"/>
        <v>0.83333333333333215</v>
      </c>
      <c r="H180" s="681">
        <f t="shared" ref="H180:R180" si="82">SUM(H174:H179)</f>
        <v>0.83333333333333259</v>
      </c>
      <c r="I180" s="681">
        <f t="shared" si="82"/>
        <v>0.83333333333333259</v>
      </c>
      <c r="J180" s="681">
        <f t="shared" si="82"/>
        <v>0.83333333333333259</v>
      </c>
      <c r="K180" s="681">
        <f t="shared" si="82"/>
        <v>0.83333333333333259</v>
      </c>
      <c r="L180" s="681">
        <f t="shared" si="82"/>
        <v>0.83333333333333259</v>
      </c>
      <c r="M180" s="681">
        <f t="shared" si="82"/>
        <v>0.83333333333333259</v>
      </c>
      <c r="N180" s="681">
        <f t="shared" si="82"/>
        <v>0.83333333333333259</v>
      </c>
      <c r="O180" s="681">
        <f t="shared" si="82"/>
        <v>0.83333333333333259</v>
      </c>
      <c r="P180" s="681">
        <f t="shared" si="82"/>
        <v>0.83333333333333259</v>
      </c>
      <c r="Q180" s="681">
        <f t="shared" si="82"/>
        <v>0.83333333333333259</v>
      </c>
      <c r="R180" s="681">
        <f t="shared" si="82"/>
        <v>0.83333333333333259</v>
      </c>
    </row>
    <row r="181" spans="1:18" s="496" customFormat="1" ht="12.75" x14ac:dyDescent="0.25">
      <c r="A181" s="712"/>
      <c r="B181" s="661" t="s">
        <v>1200</v>
      </c>
      <c r="C181" s="683">
        <f>'Balances y Proyecciones'!N181</f>
        <v>10</v>
      </c>
      <c r="D181" s="653"/>
      <c r="E181" s="684">
        <f>'Balances y Proyecciones'!T181</f>
        <v>10.000000000000014</v>
      </c>
      <c r="F181" s="500"/>
      <c r="G181" s="662">
        <f t="shared" si="69"/>
        <v>0.83333333333333448</v>
      </c>
      <c r="H181" s="662" t="e">
        <f t="shared" ref="H181:R181" si="83">SUM(H158:H160)+H165+SUM(H172:H173)+H180</f>
        <v>#REF!</v>
      </c>
      <c r="I181" s="662" t="e">
        <f t="shared" si="83"/>
        <v>#REF!</v>
      </c>
      <c r="J181" s="662" t="e">
        <f t="shared" si="83"/>
        <v>#REF!</v>
      </c>
      <c r="K181" s="662" t="e">
        <f t="shared" si="83"/>
        <v>#REF!</v>
      </c>
      <c r="L181" s="662" t="e">
        <f t="shared" si="83"/>
        <v>#REF!</v>
      </c>
      <c r="M181" s="662" t="e">
        <f t="shared" si="83"/>
        <v>#REF!</v>
      </c>
      <c r="N181" s="662" t="e">
        <f t="shared" si="83"/>
        <v>#REF!</v>
      </c>
      <c r="O181" s="662" t="e">
        <f t="shared" si="83"/>
        <v>#REF!</v>
      </c>
      <c r="P181" s="662" t="e">
        <f t="shared" si="83"/>
        <v>#REF!</v>
      </c>
      <c r="Q181" s="662" t="e">
        <f t="shared" si="83"/>
        <v>#REF!</v>
      </c>
      <c r="R181" s="662" t="e">
        <f t="shared" si="83"/>
        <v>#REF!</v>
      </c>
    </row>
    <row r="182" spans="1:18" s="632" customFormat="1" ht="12" x14ac:dyDescent="0.25">
      <c r="A182" s="640">
        <v>17</v>
      </c>
      <c r="B182" s="656" t="s">
        <v>1201</v>
      </c>
      <c r="C182" s="642">
        <f>'Balances y Proyecciones'!N182</f>
        <v>0</v>
      </c>
      <c r="D182" s="500"/>
      <c r="E182" s="643">
        <f>'Balances y Proyecciones'!T182</f>
        <v>-178.20000000000005</v>
      </c>
      <c r="F182" s="664"/>
      <c r="G182" s="644">
        <f t="shared" si="69"/>
        <v>-14.850000000000003</v>
      </c>
      <c r="H182" s="644">
        <f t="shared" ref="H182:R182" si="84">-H95</f>
        <v>-59.85</v>
      </c>
      <c r="I182" s="644">
        <f t="shared" si="84"/>
        <v>658.35</v>
      </c>
      <c r="J182" s="644">
        <f t="shared" si="84"/>
        <v>-59.85</v>
      </c>
      <c r="K182" s="644">
        <f t="shared" si="84"/>
        <v>0</v>
      </c>
      <c r="L182" s="644">
        <f t="shared" si="84"/>
        <v>0</v>
      </c>
      <c r="M182" s="644">
        <f t="shared" si="84"/>
        <v>0</v>
      </c>
      <c r="N182" s="644">
        <f t="shared" si="84"/>
        <v>0</v>
      </c>
      <c r="O182" s="644">
        <f t="shared" si="84"/>
        <v>0</v>
      </c>
      <c r="P182" s="644">
        <f t="shared" si="84"/>
        <v>0</v>
      </c>
      <c r="Q182" s="644">
        <f t="shared" si="84"/>
        <v>0</v>
      </c>
      <c r="R182" s="644">
        <f t="shared" si="84"/>
        <v>0</v>
      </c>
    </row>
    <row r="183" spans="1:18" s="675" customFormat="1" ht="12.75" x14ac:dyDescent="0.25">
      <c r="A183" s="669" t="s">
        <v>1202</v>
      </c>
      <c r="B183" s="703" t="str">
        <f>"- / + "&amp;B24</f>
        <v>- / + DEUDORES VARIOS</v>
      </c>
      <c r="C183" s="706">
        <f>'Balances y Proyecciones'!N183</f>
        <v>0</v>
      </c>
      <c r="D183" s="664"/>
      <c r="E183" s="679">
        <f>'Balances y Proyecciones'!T183</f>
        <v>0</v>
      </c>
      <c r="F183" s="676"/>
      <c r="G183" s="704">
        <f t="shared" si="69"/>
        <v>0</v>
      </c>
      <c r="H183" s="704">
        <f t="shared" ref="H183:R183" si="85">-(H24-G24)</f>
        <v>0</v>
      </c>
      <c r="I183" s="704">
        <f t="shared" si="85"/>
        <v>0</v>
      </c>
      <c r="J183" s="704">
        <f t="shared" si="85"/>
        <v>0</v>
      </c>
      <c r="K183" s="704">
        <f t="shared" si="85"/>
        <v>0</v>
      </c>
      <c r="L183" s="704">
        <f t="shared" si="85"/>
        <v>0</v>
      </c>
      <c r="M183" s="704">
        <f t="shared" si="85"/>
        <v>0</v>
      </c>
      <c r="N183" s="704">
        <f t="shared" si="85"/>
        <v>0</v>
      </c>
      <c r="O183" s="704">
        <f t="shared" si="85"/>
        <v>0</v>
      </c>
      <c r="P183" s="704">
        <f t="shared" si="85"/>
        <v>0</v>
      </c>
      <c r="Q183" s="704">
        <f t="shared" si="85"/>
        <v>0</v>
      </c>
      <c r="R183" s="704">
        <f t="shared" si="85"/>
        <v>0</v>
      </c>
    </row>
    <row r="184" spans="1:18" s="675" customFormat="1" ht="12.75" x14ac:dyDescent="0.25">
      <c r="A184" s="669" t="s">
        <v>1203</v>
      </c>
      <c r="B184" s="703" t="str">
        <f>"- / + "&amp;B25</f>
        <v>- / + OTROS CORRIENTES</v>
      </c>
      <c r="C184" s="706">
        <f>'Balances y Proyecciones'!N184</f>
        <v>0</v>
      </c>
      <c r="D184" s="676"/>
      <c r="E184" s="679">
        <f>'Balances y Proyecciones'!T184</f>
        <v>0</v>
      </c>
      <c r="F184" s="676"/>
      <c r="G184" s="704">
        <f t="shared" si="69"/>
        <v>0</v>
      </c>
      <c r="H184" s="704">
        <f t="shared" ref="H184:R184" si="86">-(H25-G25)</f>
        <v>0</v>
      </c>
      <c r="I184" s="704">
        <f t="shared" si="86"/>
        <v>0</v>
      </c>
      <c r="J184" s="704">
        <f t="shared" si="86"/>
        <v>0</v>
      </c>
      <c r="K184" s="704">
        <f t="shared" si="86"/>
        <v>0</v>
      </c>
      <c r="L184" s="704">
        <f t="shared" si="86"/>
        <v>0</v>
      </c>
      <c r="M184" s="704">
        <f t="shared" si="86"/>
        <v>0</v>
      </c>
      <c r="N184" s="704">
        <f t="shared" si="86"/>
        <v>0</v>
      </c>
      <c r="O184" s="704">
        <f t="shared" si="86"/>
        <v>0</v>
      </c>
      <c r="P184" s="704">
        <f t="shared" si="86"/>
        <v>0</v>
      </c>
      <c r="Q184" s="704">
        <f t="shared" si="86"/>
        <v>0</v>
      </c>
      <c r="R184" s="704">
        <f t="shared" si="86"/>
        <v>0</v>
      </c>
    </row>
    <row r="185" spans="1:18" s="655" customFormat="1" ht="12.75" x14ac:dyDescent="0.25">
      <c r="A185" s="665">
        <v>18</v>
      </c>
      <c r="B185" s="705" t="s">
        <v>1204</v>
      </c>
      <c r="C185" s="706">
        <f>'Balances y Proyecciones'!N185</f>
        <v>0</v>
      </c>
      <c r="D185" s="676"/>
      <c r="E185" s="679">
        <f>'Balances y Proyecciones'!T185</f>
        <v>0</v>
      </c>
      <c r="F185" s="653"/>
      <c r="G185" s="704">
        <f t="shared" si="69"/>
        <v>0</v>
      </c>
      <c r="H185" s="704">
        <f t="shared" ref="H185:R185" si="87">SUM(H183:H184)</f>
        <v>0</v>
      </c>
      <c r="I185" s="704">
        <f t="shared" si="87"/>
        <v>0</v>
      </c>
      <c r="J185" s="704">
        <f t="shared" si="87"/>
        <v>0</v>
      </c>
      <c r="K185" s="704">
        <f t="shared" si="87"/>
        <v>0</v>
      </c>
      <c r="L185" s="704">
        <f t="shared" si="87"/>
        <v>0</v>
      </c>
      <c r="M185" s="704">
        <f t="shared" si="87"/>
        <v>0</v>
      </c>
      <c r="N185" s="704">
        <f t="shared" si="87"/>
        <v>0</v>
      </c>
      <c r="O185" s="704">
        <f t="shared" si="87"/>
        <v>0</v>
      </c>
      <c r="P185" s="704">
        <f t="shared" si="87"/>
        <v>0</v>
      </c>
      <c r="Q185" s="704">
        <f t="shared" si="87"/>
        <v>0</v>
      </c>
      <c r="R185" s="704">
        <f t="shared" si="87"/>
        <v>0</v>
      </c>
    </row>
    <row r="186" spans="1:18" s="714" customFormat="1" ht="12" x14ac:dyDescent="0.25">
      <c r="A186" s="669" t="s">
        <v>1205</v>
      </c>
      <c r="B186" s="703" t="str">
        <f>"- / + "&amp;B27</f>
        <v>- / + INVERSIONES EN FILIALES Y ASOCIADAS (PERMANENTES)</v>
      </c>
      <c r="C186" s="671">
        <f>'Balances y Proyecciones'!N186</f>
        <v>0</v>
      </c>
      <c r="D186" s="653"/>
      <c r="E186" s="672">
        <f>'Balances y Proyecciones'!T186</f>
        <v>0</v>
      </c>
      <c r="F186" s="713"/>
      <c r="G186" s="674">
        <f t="shared" si="69"/>
        <v>0</v>
      </c>
      <c r="H186" s="674">
        <f t="shared" ref="H186:R186" si="88">-(H27-H118-G27+G118)</f>
        <v>0</v>
      </c>
      <c r="I186" s="674">
        <f t="shared" si="88"/>
        <v>0</v>
      </c>
      <c r="J186" s="674">
        <f t="shared" si="88"/>
        <v>0</v>
      </c>
      <c r="K186" s="674">
        <f t="shared" si="88"/>
        <v>0</v>
      </c>
      <c r="L186" s="674">
        <f t="shared" si="88"/>
        <v>0</v>
      </c>
      <c r="M186" s="674">
        <f t="shared" si="88"/>
        <v>0</v>
      </c>
      <c r="N186" s="674">
        <f t="shared" si="88"/>
        <v>0</v>
      </c>
      <c r="O186" s="674">
        <f t="shared" si="88"/>
        <v>0</v>
      </c>
      <c r="P186" s="674">
        <f t="shared" si="88"/>
        <v>0</v>
      </c>
      <c r="Q186" s="674">
        <f t="shared" si="88"/>
        <v>0</v>
      </c>
      <c r="R186" s="674">
        <f t="shared" si="88"/>
        <v>0</v>
      </c>
    </row>
    <row r="187" spans="1:18" s="714" customFormat="1" ht="12" x14ac:dyDescent="0.25">
      <c r="A187" s="669" t="s">
        <v>1206</v>
      </c>
      <c r="B187" s="703" t="str">
        <f>"- / + "&amp;B30</f>
        <v>- / + INTANGIBLES NETO</v>
      </c>
      <c r="C187" s="671">
        <f>'Balances y Proyecciones'!N187</f>
        <v>0</v>
      </c>
      <c r="D187" s="713"/>
      <c r="E187" s="672">
        <f>'Balances y Proyecciones'!T187</f>
        <v>0</v>
      </c>
      <c r="F187" s="713"/>
      <c r="G187" s="674">
        <f t="shared" si="69"/>
        <v>0</v>
      </c>
      <c r="H187" s="674">
        <f t="shared" ref="H187:R187" si="89">-(H30-(H116-H117)-G30+(G116-G117)+H91)</f>
        <v>0</v>
      </c>
      <c r="I187" s="674">
        <f t="shared" si="89"/>
        <v>0</v>
      </c>
      <c r="J187" s="674">
        <f t="shared" si="89"/>
        <v>0</v>
      </c>
      <c r="K187" s="674">
        <f t="shared" si="89"/>
        <v>0</v>
      </c>
      <c r="L187" s="674">
        <f t="shared" si="89"/>
        <v>0</v>
      </c>
      <c r="M187" s="674">
        <f t="shared" si="89"/>
        <v>0</v>
      </c>
      <c r="N187" s="674">
        <f t="shared" si="89"/>
        <v>0</v>
      </c>
      <c r="O187" s="674">
        <f t="shared" si="89"/>
        <v>0</v>
      </c>
      <c r="P187" s="674">
        <f t="shared" si="89"/>
        <v>0</v>
      </c>
      <c r="Q187" s="674">
        <f t="shared" si="89"/>
        <v>0</v>
      </c>
      <c r="R187" s="674">
        <f t="shared" si="89"/>
        <v>0</v>
      </c>
    </row>
    <row r="188" spans="1:18" s="675" customFormat="1" ht="12.75" x14ac:dyDescent="0.25">
      <c r="A188" s="669" t="s">
        <v>1207</v>
      </c>
      <c r="B188" s="703" t="str">
        <f>"- / + "&amp;B31</f>
        <v>- / + CARGOS DIFERIDOS NETO</v>
      </c>
      <c r="C188" s="671">
        <f>'Balances y Proyecciones'!N188</f>
        <v>0</v>
      </c>
      <c r="D188" s="713"/>
      <c r="E188" s="672">
        <f>'Balances y Proyecciones'!T188</f>
        <v>0</v>
      </c>
      <c r="F188" s="673"/>
      <c r="G188" s="674">
        <f t="shared" si="69"/>
        <v>0</v>
      </c>
      <c r="H188" s="674">
        <f t="shared" ref="H188:R188" si="90">-(H31-(H119-H120)-G31+(G119-G120)+H92)</f>
        <v>0</v>
      </c>
      <c r="I188" s="674">
        <f t="shared" si="90"/>
        <v>0</v>
      </c>
      <c r="J188" s="674">
        <f t="shared" si="90"/>
        <v>0</v>
      </c>
      <c r="K188" s="674">
        <f t="shared" si="90"/>
        <v>0</v>
      </c>
      <c r="L188" s="674">
        <f t="shared" si="90"/>
        <v>0</v>
      </c>
      <c r="M188" s="674">
        <f t="shared" si="90"/>
        <v>0</v>
      </c>
      <c r="N188" s="674">
        <f t="shared" si="90"/>
        <v>0</v>
      </c>
      <c r="O188" s="674">
        <f t="shared" si="90"/>
        <v>0</v>
      </c>
      <c r="P188" s="674">
        <f t="shared" si="90"/>
        <v>0</v>
      </c>
      <c r="Q188" s="674">
        <f t="shared" si="90"/>
        <v>0</v>
      </c>
      <c r="R188" s="674">
        <f t="shared" si="90"/>
        <v>0</v>
      </c>
    </row>
    <row r="189" spans="1:18" s="675" customFormat="1" ht="12.75" x14ac:dyDescent="0.25">
      <c r="A189" s="669" t="s">
        <v>1208</v>
      </c>
      <c r="B189" s="703" t="str">
        <f>"- / + "&amp;B32</f>
        <v>- / + OTROS ACTIVOS L.P.</v>
      </c>
      <c r="C189" s="671">
        <f>'Balances y Proyecciones'!N189</f>
        <v>0</v>
      </c>
      <c r="D189" s="673"/>
      <c r="E189" s="672">
        <f>'Balances y Proyecciones'!T189</f>
        <v>0</v>
      </c>
      <c r="F189" s="676"/>
      <c r="G189" s="674">
        <f t="shared" si="69"/>
        <v>0</v>
      </c>
      <c r="H189" s="674">
        <f t="shared" ref="H189:R189" si="91">-(H32-H121-G32+G121)</f>
        <v>0</v>
      </c>
      <c r="I189" s="674">
        <f t="shared" si="91"/>
        <v>0</v>
      </c>
      <c r="J189" s="674">
        <f t="shared" si="91"/>
        <v>0</v>
      </c>
      <c r="K189" s="674">
        <f t="shared" si="91"/>
        <v>0</v>
      </c>
      <c r="L189" s="674">
        <f t="shared" si="91"/>
        <v>0</v>
      </c>
      <c r="M189" s="674">
        <f t="shared" si="91"/>
        <v>0</v>
      </c>
      <c r="N189" s="674">
        <f t="shared" si="91"/>
        <v>0</v>
      </c>
      <c r="O189" s="674">
        <f t="shared" si="91"/>
        <v>0</v>
      </c>
      <c r="P189" s="674">
        <f t="shared" si="91"/>
        <v>0</v>
      </c>
      <c r="Q189" s="674">
        <f t="shared" si="91"/>
        <v>0</v>
      </c>
      <c r="R189" s="674">
        <f t="shared" si="91"/>
        <v>0</v>
      </c>
    </row>
    <row r="190" spans="1:18" s="655" customFormat="1" ht="12.75" x14ac:dyDescent="0.25">
      <c r="A190" s="645">
        <v>19</v>
      </c>
      <c r="B190" s="677" t="s">
        <v>1209</v>
      </c>
      <c r="C190" s="678">
        <f>'Balances y Proyecciones'!N190</f>
        <v>0</v>
      </c>
      <c r="D190" s="676"/>
      <c r="E190" s="679">
        <f>'Balances y Proyecciones'!T190</f>
        <v>0</v>
      </c>
      <c r="F190" s="653"/>
      <c r="G190" s="681">
        <f t="shared" si="69"/>
        <v>0</v>
      </c>
      <c r="H190" s="681">
        <f t="shared" ref="H190:R190" si="92">SUM(H186:H189)</f>
        <v>0</v>
      </c>
      <c r="I190" s="681">
        <f t="shared" si="92"/>
        <v>0</v>
      </c>
      <c r="J190" s="681">
        <f t="shared" si="92"/>
        <v>0</v>
      </c>
      <c r="K190" s="681">
        <f t="shared" si="92"/>
        <v>0</v>
      </c>
      <c r="L190" s="681">
        <f t="shared" si="92"/>
        <v>0</v>
      </c>
      <c r="M190" s="681">
        <f t="shared" si="92"/>
        <v>0</v>
      </c>
      <c r="N190" s="681">
        <f t="shared" si="92"/>
        <v>0</v>
      </c>
      <c r="O190" s="681">
        <f t="shared" si="92"/>
        <v>0</v>
      </c>
      <c r="P190" s="681">
        <f t="shared" si="92"/>
        <v>0</v>
      </c>
      <c r="Q190" s="681">
        <f t="shared" si="92"/>
        <v>0</v>
      </c>
      <c r="R190" s="681">
        <f t="shared" si="92"/>
        <v>0</v>
      </c>
    </row>
    <row r="191" spans="1:18" s="496" customFormat="1" ht="12.75" x14ac:dyDescent="0.25">
      <c r="A191" s="498"/>
      <c r="B191" s="715" t="s">
        <v>1210</v>
      </c>
      <c r="C191" s="716">
        <f>'Balances y Proyecciones'!N191</f>
        <v>0</v>
      </c>
      <c r="D191" s="653"/>
      <c r="E191" s="717">
        <f>'Balances y Proyecciones'!T191</f>
        <v>-178.20000000000005</v>
      </c>
      <c r="F191" s="500"/>
      <c r="G191" s="718">
        <f t="shared" si="69"/>
        <v>-14.850000000000003</v>
      </c>
      <c r="H191" s="718">
        <f t="shared" ref="H191:R191" si="93">H182+H185+H190</f>
        <v>-59.85</v>
      </c>
      <c r="I191" s="718">
        <f t="shared" si="93"/>
        <v>658.35</v>
      </c>
      <c r="J191" s="718">
        <f t="shared" si="93"/>
        <v>-59.85</v>
      </c>
      <c r="K191" s="718">
        <f t="shared" si="93"/>
        <v>0</v>
      </c>
      <c r="L191" s="718">
        <f t="shared" si="93"/>
        <v>0</v>
      </c>
      <c r="M191" s="718">
        <f t="shared" si="93"/>
        <v>0</v>
      </c>
      <c r="N191" s="718">
        <f t="shared" si="93"/>
        <v>0</v>
      </c>
      <c r="O191" s="718">
        <f t="shared" si="93"/>
        <v>0</v>
      </c>
      <c r="P191" s="718">
        <f t="shared" si="93"/>
        <v>0</v>
      </c>
      <c r="Q191" s="718">
        <f t="shared" si="93"/>
        <v>0</v>
      </c>
      <c r="R191" s="718">
        <f t="shared" si="93"/>
        <v>0</v>
      </c>
    </row>
    <row r="192" spans="1:18" s="702" customFormat="1" ht="12" x14ac:dyDescent="0.25">
      <c r="A192" s="719" t="s">
        <v>1080</v>
      </c>
      <c r="B192" s="720" t="s">
        <v>1211</v>
      </c>
      <c r="C192" s="721">
        <f>'Balances y Proyecciones'!N192</f>
        <v>0</v>
      </c>
      <c r="D192" s="500"/>
      <c r="E192" s="708">
        <f>'Balances y Proyecciones'!T192</f>
        <v>-26.334000000000003</v>
      </c>
      <c r="F192" s="701"/>
      <c r="G192" s="721">
        <f t="shared" si="69"/>
        <v>-2.1945000000000001</v>
      </c>
      <c r="H192" s="721">
        <f t="shared" ref="H192:R192" si="94">-H29-H115+G29+G115</f>
        <v>0</v>
      </c>
      <c r="I192" s="721">
        <f t="shared" si="94"/>
        <v>0</v>
      </c>
      <c r="J192" s="721">
        <f t="shared" si="94"/>
        <v>0</v>
      </c>
      <c r="K192" s="721">
        <f t="shared" si="94"/>
        <v>0</v>
      </c>
      <c r="L192" s="721">
        <f t="shared" si="94"/>
        <v>0</v>
      </c>
      <c r="M192" s="721">
        <f t="shared" si="94"/>
        <v>0</v>
      </c>
      <c r="N192" s="721">
        <f t="shared" si="94"/>
        <v>0</v>
      </c>
      <c r="O192" s="721">
        <f t="shared" si="94"/>
        <v>0</v>
      </c>
      <c r="P192" s="721">
        <f t="shared" si="94"/>
        <v>0</v>
      </c>
      <c r="Q192" s="721">
        <f t="shared" si="94"/>
        <v>0</v>
      </c>
      <c r="R192" s="721">
        <f t="shared" si="94"/>
        <v>0</v>
      </c>
    </row>
    <row r="193" spans="1:18" s="675" customFormat="1" ht="12.75" x14ac:dyDescent="0.25">
      <c r="A193" s="719" t="s">
        <v>1081</v>
      </c>
      <c r="B193" s="710" t="s">
        <v>1212</v>
      </c>
      <c r="C193" s="671">
        <f>'Balances y Proyecciones'!N193</f>
        <v>0</v>
      </c>
      <c r="D193" s="701"/>
      <c r="E193" s="672">
        <f>'Balances y Proyecciones'!T193</f>
        <v>0</v>
      </c>
      <c r="F193" s="676"/>
      <c r="G193" s="674">
        <f t="shared" si="69"/>
        <v>0</v>
      </c>
      <c r="H193" s="674">
        <f t="shared" ref="H193:R193" si="95">-H20+G20</f>
        <v>0</v>
      </c>
      <c r="I193" s="674">
        <f t="shared" si="95"/>
        <v>0</v>
      </c>
      <c r="J193" s="674">
        <f t="shared" si="95"/>
        <v>0</v>
      </c>
      <c r="K193" s="674">
        <f t="shared" si="95"/>
        <v>0</v>
      </c>
      <c r="L193" s="674">
        <f t="shared" si="95"/>
        <v>0</v>
      </c>
      <c r="M193" s="674">
        <f t="shared" si="95"/>
        <v>0</v>
      </c>
      <c r="N193" s="674">
        <f t="shared" si="95"/>
        <v>0</v>
      </c>
      <c r="O193" s="674">
        <f t="shared" si="95"/>
        <v>0</v>
      </c>
      <c r="P193" s="674">
        <f t="shared" si="95"/>
        <v>0</v>
      </c>
      <c r="Q193" s="674">
        <f t="shared" si="95"/>
        <v>0</v>
      </c>
      <c r="R193" s="674">
        <f t="shared" si="95"/>
        <v>0</v>
      </c>
    </row>
    <row r="194" spans="1:18" s="675" customFormat="1" ht="12.75" x14ac:dyDescent="0.25">
      <c r="A194" s="719" t="s">
        <v>1213</v>
      </c>
      <c r="B194" s="710" t="s">
        <v>1214</v>
      </c>
      <c r="C194" s="671">
        <f>'Balances y Proyecciones'!N194</f>
        <v>0</v>
      </c>
      <c r="D194" s="676"/>
      <c r="E194" s="672">
        <f>'Balances y Proyecciones'!T194</f>
        <v>0</v>
      </c>
      <c r="F194" s="676"/>
      <c r="G194" s="674">
        <f t="shared" si="69"/>
        <v>0</v>
      </c>
      <c r="H194" s="674">
        <f t="shared" ref="H194:R194" si="96">-H22+G22</f>
        <v>0</v>
      </c>
      <c r="I194" s="674">
        <f t="shared" si="96"/>
        <v>0</v>
      </c>
      <c r="J194" s="674">
        <f t="shared" si="96"/>
        <v>0</v>
      </c>
      <c r="K194" s="674">
        <f t="shared" si="96"/>
        <v>0</v>
      </c>
      <c r="L194" s="674">
        <f t="shared" si="96"/>
        <v>0</v>
      </c>
      <c r="M194" s="674">
        <f t="shared" si="96"/>
        <v>0</v>
      </c>
      <c r="N194" s="674">
        <f t="shared" si="96"/>
        <v>0</v>
      </c>
      <c r="O194" s="674">
        <f t="shared" si="96"/>
        <v>0</v>
      </c>
      <c r="P194" s="674">
        <f t="shared" si="96"/>
        <v>0</v>
      </c>
      <c r="Q194" s="674">
        <f t="shared" si="96"/>
        <v>0</v>
      </c>
      <c r="R194" s="674">
        <f t="shared" si="96"/>
        <v>0</v>
      </c>
    </row>
    <row r="195" spans="1:18" s="675" customFormat="1" ht="12.75" x14ac:dyDescent="0.25">
      <c r="A195" s="719" t="s">
        <v>1215</v>
      </c>
      <c r="B195" s="670" t="s">
        <v>1216</v>
      </c>
      <c r="C195" s="671">
        <f>'Balances y Proyecciones'!N195</f>
        <v>-40</v>
      </c>
      <c r="D195" s="676"/>
      <c r="E195" s="672">
        <f>'Balances y Proyecciones'!T195</f>
        <v>-53.2</v>
      </c>
      <c r="F195" s="676"/>
      <c r="G195" s="674">
        <f t="shared" si="69"/>
        <v>-4.4333333333333336</v>
      </c>
      <c r="H195" s="674">
        <f t="shared" ref="H195:R195" si="97">-H90</f>
        <v>-4.4333333333333336</v>
      </c>
      <c r="I195" s="674">
        <f t="shared" si="97"/>
        <v>-4.4333333333333336</v>
      </c>
      <c r="J195" s="674">
        <f t="shared" si="97"/>
        <v>-4.4333333333333336</v>
      </c>
      <c r="K195" s="674">
        <f t="shared" si="97"/>
        <v>-4.4333333333333336</v>
      </c>
      <c r="L195" s="674">
        <f t="shared" si="97"/>
        <v>-4.4333333333333336</v>
      </c>
      <c r="M195" s="674">
        <f t="shared" si="97"/>
        <v>-4.4333333333333336</v>
      </c>
      <c r="N195" s="674">
        <f t="shared" si="97"/>
        <v>-4.4333333333333336</v>
      </c>
      <c r="O195" s="674">
        <f t="shared" si="97"/>
        <v>-4.4333333333333336</v>
      </c>
      <c r="P195" s="674">
        <f t="shared" si="97"/>
        <v>-4.4333333333333336</v>
      </c>
      <c r="Q195" s="674">
        <f t="shared" si="97"/>
        <v>-4.4333333333333336</v>
      </c>
      <c r="R195" s="674">
        <f t="shared" si="97"/>
        <v>-4.4333333333333336</v>
      </c>
    </row>
    <row r="196" spans="1:18" s="655" customFormat="1" ht="12.75" x14ac:dyDescent="0.25">
      <c r="A196" s="640">
        <v>20</v>
      </c>
      <c r="B196" s="705" t="s">
        <v>1217</v>
      </c>
      <c r="C196" s="706">
        <f>'Balances y Proyecciones'!N196</f>
        <v>-40</v>
      </c>
      <c r="D196" s="676"/>
      <c r="E196" s="679">
        <f>'Balances y Proyecciones'!T196</f>
        <v>-79.534000000000006</v>
      </c>
      <c r="F196" s="653"/>
      <c r="G196" s="704">
        <f t="shared" si="69"/>
        <v>-6.6278333333333332</v>
      </c>
      <c r="H196" s="704">
        <f t="shared" ref="H196:R196" si="98">SUM(H192:H195)</f>
        <v>-4.4333333333333336</v>
      </c>
      <c r="I196" s="704">
        <f t="shared" si="98"/>
        <v>-4.4333333333333336</v>
      </c>
      <c r="J196" s="704">
        <f t="shared" si="98"/>
        <v>-4.4333333333333336</v>
      </c>
      <c r="K196" s="704">
        <f t="shared" si="98"/>
        <v>-4.4333333333333336</v>
      </c>
      <c r="L196" s="704">
        <f t="shared" si="98"/>
        <v>-4.4333333333333336</v>
      </c>
      <c r="M196" s="704">
        <f t="shared" si="98"/>
        <v>-4.4333333333333336</v>
      </c>
      <c r="N196" s="704">
        <f t="shared" si="98"/>
        <v>-4.4333333333333336</v>
      </c>
      <c r="O196" s="704">
        <f t="shared" si="98"/>
        <v>-4.4333333333333336</v>
      </c>
      <c r="P196" s="704">
        <f t="shared" si="98"/>
        <v>-4.4333333333333336</v>
      </c>
      <c r="Q196" s="704">
        <f t="shared" si="98"/>
        <v>-4.4333333333333336</v>
      </c>
      <c r="R196" s="704">
        <f t="shared" si="98"/>
        <v>-4.4333333333333336</v>
      </c>
    </row>
    <row r="197" spans="1:18" s="675" customFormat="1" ht="12.75" x14ac:dyDescent="0.25">
      <c r="A197" s="669" t="s">
        <v>1082</v>
      </c>
      <c r="B197" s="670" t="s">
        <v>1218</v>
      </c>
      <c r="C197" s="671">
        <f>'Balances y Proyecciones'!N197</f>
        <v>0</v>
      </c>
      <c r="D197" s="653"/>
      <c r="E197" s="672">
        <f>'Balances y Proyecciones'!T197</f>
        <v>0</v>
      </c>
      <c r="F197" s="676"/>
      <c r="G197" s="671">
        <f t="shared" si="69"/>
        <v>0</v>
      </c>
      <c r="H197" s="674">
        <f t="shared" ref="H197:R197" si="99">-(H113-G113)</f>
        <v>0</v>
      </c>
      <c r="I197" s="674">
        <f t="shared" si="99"/>
        <v>0</v>
      </c>
      <c r="J197" s="674">
        <f t="shared" si="99"/>
        <v>0</v>
      </c>
      <c r="K197" s="674">
        <f t="shared" si="99"/>
        <v>0</v>
      </c>
      <c r="L197" s="674">
        <f t="shared" si="99"/>
        <v>0</v>
      </c>
      <c r="M197" s="674">
        <f t="shared" si="99"/>
        <v>0</v>
      </c>
      <c r="N197" s="674">
        <f t="shared" si="99"/>
        <v>0</v>
      </c>
      <c r="O197" s="674">
        <f t="shared" si="99"/>
        <v>0</v>
      </c>
      <c r="P197" s="674">
        <f t="shared" si="99"/>
        <v>0</v>
      </c>
      <c r="Q197" s="674">
        <f t="shared" si="99"/>
        <v>0</v>
      </c>
      <c r="R197" s="674">
        <f t="shared" si="99"/>
        <v>0</v>
      </c>
    </row>
    <row r="198" spans="1:18" s="675" customFormat="1" ht="12.75" x14ac:dyDescent="0.25">
      <c r="A198" s="669" t="s">
        <v>1083</v>
      </c>
      <c r="B198" s="710" t="s">
        <v>1219</v>
      </c>
      <c r="C198" s="671">
        <f>'Balances y Proyecciones'!N198</f>
        <v>0</v>
      </c>
      <c r="D198" s="676"/>
      <c r="E198" s="672">
        <f>'Balances y Proyecciones'!T198</f>
        <v>0</v>
      </c>
      <c r="F198" s="676"/>
      <c r="G198" s="671">
        <f t="shared" si="69"/>
        <v>0</v>
      </c>
      <c r="H198" s="674">
        <f t="shared" ref="H198:R198" si="100">-H114</f>
        <v>0</v>
      </c>
      <c r="I198" s="674">
        <f t="shared" si="100"/>
        <v>0</v>
      </c>
      <c r="J198" s="674">
        <f t="shared" si="100"/>
        <v>0</v>
      </c>
      <c r="K198" s="674">
        <f t="shared" si="100"/>
        <v>0</v>
      </c>
      <c r="L198" s="674">
        <f t="shared" si="100"/>
        <v>0</v>
      </c>
      <c r="M198" s="674">
        <f t="shared" si="100"/>
        <v>0</v>
      </c>
      <c r="N198" s="674">
        <f t="shared" si="100"/>
        <v>0</v>
      </c>
      <c r="O198" s="674">
        <f t="shared" si="100"/>
        <v>0</v>
      </c>
      <c r="P198" s="674">
        <f t="shared" si="100"/>
        <v>0</v>
      </c>
      <c r="Q198" s="674">
        <f t="shared" si="100"/>
        <v>0</v>
      </c>
      <c r="R198" s="674">
        <f t="shared" si="100"/>
        <v>0</v>
      </c>
    </row>
    <row r="199" spans="1:18" s="675" customFormat="1" ht="12.75" x14ac:dyDescent="0.25">
      <c r="A199" s="669" t="s">
        <v>1085</v>
      </c>
      <c r="B199" s="710" t="s">
        <v>1220</v>
      </c>
      <c r="C199" s="671">
        <f>'Balances y Proyecciones'!N199</f>
        <v>0</v>
      </c>
      <c r="D199" s="676"/>
      <c r="E199" s="672">
        <f>'Balances y Proyecciones'!T199</f>
        <v>0</v>
      </c>
      <c r="F199" s="676"/>
      <c r="G199" s="671">
        <f t="shared" si="69"/>
        <v>0</v>
      </c>
      <c r="H199" s="674">
        <f t="shared" ref="H199:R199" si="101">H115</f>
        <v>0</v>
      </c>
      <c r="I199" s="674">
        <f t="shared" si="101"/>
        <v>0</v>
      </c>
      <c r="J199" s="674">
        <f t="shared" si="101"/>
        <v>0</v>
      </c>
      <c r="K199" s="674">
        <f t="shared" si="101"/>
        <v>0</v>
      </c>
      <c r="L199" s="674">
        <f t="shared" si="101"/>
        <v>0</v>
      </c>
      <c r="M199" s="674">
        <f t="shared" si="101"/>
        <v>0</v>
      </c>
      <c r="N199" s="674">
        <f t="shared" si="101"/>
        <v>0</v>
      </c>
      <c r="O199" s="674">
        <f t="shared" si="101"/>
        <v>0</v>
      </c>
      <c r="P199" s="674">
        <f t="shared" si="101"/>
        <v>0</v>
      </c>
      <c r="Q199" s="674">
        <f t="shared" si="101"/>
        <v>0</v>
      </c>
      <c r="R199" s="674">
        <f t="shared" si="101"/>
        <v>0</v>
      </c>
    </row>
    <row r="200" spans="1:18" s="675" customFormat="1" ht="12.75" x14ac:dyDescent="0.25">
      <c r="A200" s="669" t="s">
        <v>1221</v>
      </c>
      <c r="B200" s="710" t="s">
        <v>1222</v>
      </c>
      <c r="C200" s="671">
        <f>'Balances y Proyecciones'!N200</f>
        <v>0</v>
      </c>
      <c r="D200" s="676"/>
      <c r="E200" s="672">
        <f>'Balances y Proyecciones'!T200</f>
        <v>0</v>
      </c>
      <c r="F200" s="676"/>
      <c r="G200" s="671">
        <f t="shared" ref="G200:G213" si="102">IF($G$12=1,"Error %",$E200*G$13)</f>
        <v>0</v>
      </c>
      <c r="H200" s="674">
        <f t="shared" ref="H200:R200" si="103">-(H118-G118)</f>
        <v>0</v>
      </c>
      <c r="I200" s="674">
        <f t="shared" si="103"/>
        <v>0</v>
      </c>
      <c r="J200" s="674">
        <f t="shared" si="103"/>
        <v>0</v>
      </c>
      <c r="K200" s="674">
        <f t="shared" si="103"/>
        <v>0</v>
      </c>
      <c r="L200" s="674">
        <f t="shared" si="103"/>
        <v>0</v>
      </c>
      <c r="M200" s="674">
        <f t="shared" si="103"/>
        <v>0</v>
      </c>
      <c r="N200" s="674">
        <f t="shared" si="103"/>
        <v>0</v>
      </c>
      <c r="O200" s="674">
        <f t="shared" si="103"/>
        <v>0</v>
      </c>
      <c r="P200" s="674">
        <f t="shared" si="103"/>
        <v>0</v>
      </c>
      <c r="Q200" s="674">
        <f t="shared" si="103"/>
        <v>0</v>
      </c>
      <c r="R200" s="674">
        <f t="shared" si="103"/>
        <v>0</v>
      </c>
    </row>
    <row r="201" spans="1:18" s="675" customFormat="1" ht="12.75" x14ac:dyDescent="0.25">
      <c r="A201" s="669" t="s">
        <v>1223</v>
      </c>
      <c r="B201" s="710" t="s">
        <v>1224</v>
      </c>
      <c r="C201" s="671">
        <f>'Balances y Proyecciones'!N201</f>
        <v>0</v>
      </c>
      <c r="D201" s="676"/>
      <c r="E201" s="672">
        <f>'Balances y Proyecciones'!T201</f>
        <v>0</v>
      </c>
      <c r="F201" s="676"/>
      <c r="G201" s="671">
        <f t="shared" si="102"/>
        <v>0</v>
      </c>
      <c r="H201" s="674">
        <f t="shared" ref="H201:R201" si="104">-(H116-G116)</f>
        <v>0</v>
      </c>
      <c r="I201" s="674">
        <f t="shared" si="104"/>
        <v>0</v>
      </c>
      <c r="J201" s="674">
        <f t="shared" si="104"/>
        <v>0</v>
      </c>
      <c r="K201" s="674">
        <f t="shared" si="104"/>
        <v>0</v>
      </c>
      <c r="L201" s="674">
        <f t="shared" si="104"/>
        <v>0</v>
      </c>
      <c r="M201" s="674">
        <f t="shared" si="104"/>
        <v>0</v>
      </c>
      <c r="N201" s="674">
        <f t="shared" si="104"/>
        <v>0</v>
      </c>
      <c r="O201" s="674">
        <f t="shared" si="104"/>
        <v>0</v>
      </c>
      <c r="P201" s="674">
        <f t="shared" si="104"/>
        <v>0</v>
      </c>
      <c r="Q201" s="674">
        <f t="shared" si="104"/>
        <v>0</v>
      </c>
      <c r="R201" s="674">
        <f t="shared" si="104"/>
        <v>0</v>
      </c>
    </row>
    <row r="202" spans="1:18" s="675" customFormat="1" ht="12.75" x14ac:dyDescent="0.25">
      <c r="A202" s="669" t="s">
        <v>1225</v>
      </c>
      <c r="B202" s="710" t="s">
        <v>1226</v>
      </c>
      <c r="C202" s="671">
        <f>'Balances y Proyecciones'!N202</f>
        <v>0</v>
      </c>
      <c r="D202" s="676"/>
      <c r="E202" s="672">
        <f>'Balances y Proyecciones'!T202</f>
        <v>0</v>
      </c>
      <c r="F202" s="676"/>
      <c r="G202" s="671">
        <f t="shared" si="102"/>
        <v>0</v>
      </c>
      <c r="H202" s="674">
        <f t="shared" ref="H202:R202" si="105">H117-G117</f>
        <v>0</v>
      </c>
      <c r="I202" s="674">
        <f t="shared" si="105"/>
        <v>0</v>
      </c>
      <c r="J202" s="674">
        <f t="shared" si="105"/>
        <v>0</v>
      </c>
      <c r="K202" s="674">
        <f t="shared" si="105"/>
        <v>0</v>
      </c>
      <c r="L202" s="674">
        <f t="shared" si="105"/>
        <v>0</v>
      </c>
      <c r="M202" s="674">
        <f t="shared" si="105"/>
        <v>0</v>
      </c>
      <c r="N202" s="674">
        <f t="shared" si="105"/>
        <v>0</v>
      </c>
      <c r="O202" s="674">
        <f t="shared" si="105"/>
        <v>0</v>
      </c>
      <c r="P202" s="674">
        <f t="shared" si="105"/>
        <v>0</v>
      </c>
      <c r="Q202" s="674">
        <f t="shared" si="105"/>
        <v>0</v>
      </c>
      <c r="R202" s="674">
        <f t="shared" si="105"/>
        <v>0</v>
      </c>
    </row>
    <row r="203" spans="1:18" s="675" customFormat="1" ht="12.75" x14ac:dyDescent="0.25">
      <c r="A203" s="669" t="s">
        <v>1227</v>
      </c>
      <c r="B203" s="710" t="s">
        <v>1228</v>
      </c>
      <c r="C203" s="671">
        <f>'Balances y Proyecciones'!N203</f>
        <v>0</v>
      </c>
      <c r="D203" s="676"/>
      <c r="E203" s="672">
        <f>'Balances y Proyecciones'!T203</f>
        <v>0</v>
      </c>
      <c r="F203" s="673"/>
      <c r="G203" s="671">
        <f t="shared" si="102"/>
        <v>0</v>
      </c>
      <c r="H203" s="674">
        <f t="shared" ref="H203:R203" si="106">-(H119-G119)</f>
        <v>0</v>
      </c>
      <c r="I203" s="674">
        <f t="shared" si="106"/>
        <v>0</v>
      </c>
      <c r="J203" s="674">
        <f t="shared" si="106"/>
        <v>0</v>
      </c>
      <c r="K203" s="674">
        <f t="shared" si="106"/>
        <v>0</v>
      </c>
      <c r="L203" s="674">
        <f t="shared" si="106"/>
        <v>0</v>
      </c>
      <c r="M203" s="674">
        <f t="shared" si="106"/>
        <v>0</v>
      </c>
      <c r="N203" s="674">
        <f t="shared" si="106"/>
        <v>0</v>
      </c>
      <c r="O203" s="674">
        <f t="shared" si="106"/>
        <v>0</v>
      </c>
      <c r="P203" s="674">
        <f t="shared" si="106"/>
        <v>0</v>
      </c>
      <c r="Q203" s="674">
        <f t="shared" si="106"/>
        <v>0</v>
      </c>
      <c r="R203" s="674">
        <f t="shared" si="106"/>
        <v>0</v>
      </c>
    </row>
    <row r="204" spans="1:18" s="675" customFormat="1" ht="12.75" x14ac:dyDescent="0.25">
      <c r="A204" s="669" t="s">
        <v>1229</v>
      </c>
      <c r="B204" s="710" t="s">
        <v>1230</v>
      </c>
      <c r="C204" s="671">
        <f>'Balances y Proyecciones'!N204</f>
        <v>0</v>
      </c>
      <c r="D204" s="673"/>
      <c r="E204" s="672">
        <f>'Balances y Proyecciones'!T204</f>
        <v>0</v>
      </c>
      <c r="F204" s="676"/>
      <c r="G204" s="671">
        <f t="shared" si="102"/>
        <v>0</v>
      </c>
      <c r="H204" s="674">
        <f t="shared" ref="H204:R204" si="107">H120-G120</f>
        <v>0</v>
      </c>
      <c r="I204" s="674">
        <f t="shared" si="107"/>
        <v>0</v>
      </c>
      <c r="J204" s="674">
        <f t="shared" si="107"/>
        <v>0</v>
      </c>
      <c r="K204" s="674">
        <f t="shared" si="107"/>
        <v>0</v>
      </c>
      <c r="L204" s="674">
        <f t="shared" si="107"/>
        <v>0</v>
      </c>
      <c r="M204" s="674">
        <f t="shared" si="107"/>
        <v>0</v>
      </c>
      <c r="N204" s="674">
        <f t="shared" si="107"/>
        <v>0</v>
      </c>
      <c r="O204" s="674">
        <f t="shared" si="107"/>
        <v>0</v>
      </c>
      <c r="P204" s="674">
        <f t="shared" si="107"/>
        <v>0</v>
      </c>
      <c r="Q204" s="674">
        <f t="shared" si="107"/>
        <v>0</v>
      </c>
      <c r="R204" s="674">
        <f t="shared" si="107"/>
        <v>0</v>
      </c>
    </row>
    <row r="205" spans="1:18" s="675" customFormat="1" ht="12.75" x14ac:dyDescent="0.25">
      <c r="A205" s="669" t="s">
        <v>1231</v>
      </c>
      <c r="B205" s="710" t="s">
        <v>1232</v>
      </c>
      <c r="C205" s="671">
        <f>'Balances y Proyecciones'!N205</f>
        <v>0</v>
      </c>
      <c r="D205" s="676"/>
      <c r="E205" s="672">
        <f>'Balances y Proyecciones'!T205</f>
        <v>0</v>
      </c>
      <c r="F205" s="676"/>
      <c r="G205" s="671">
        <f t="shared" si="102"/>
        <v>0</v>
      </c>
      <c r="H205" s="674">
        <f t="shared" ref="H205:R205" si="108">-(H121-G121)</f>
        <v>0</v>
      </c>
      <c r="I205" s="674">
        <f t="shared" si="108"/>
        <v>0</v>
      </c>
      <c r="J205" s="674">
        <f t="shared" si="108"/>
        <v>0</v>
      </c>
      <c r="K205" s="674">
        <f t="shared" si="108"/>
        <v>0</v>
      </c>
      <c r="L205" s="674">
        <f t="shared" si="108"/>
        <v>0</v>
      </c>
      <c r="M205" s="674">
        <f t="shared" si="108"/>
        <v>0</v>
      </c>
      <c r="N205" s="674">
        <f t="shared" si="108"/>
        <v>0</v>
      </c>
      <c r="O205" s="674">
        <f t="shared" si="108"/>
        <v>0</v>
      </c>
      <c r="P205" s="674">
        <f t="shared" si="108"/>
        <v>0</v>
      </c>
      <c r="Q205" s="674">
        <f t="shared" si="108"/>
        <v>0</v>
      </c>
      <c r="R205" s="674">
        <f t="shared" si="108"/>
        <v>0</v>
      </c>
    </row>
    <row r="206" spans="1:18" s="675" customFormat="1" ht="12.75" x14ac:dyDescent="0.25">
      <c r="A206" s="669" t="s">
        <v>1233</v>
      </c>
      <c r="B206" s="710" t="s">
        <v>1234</v>
      </c>
      <c r="C206" s="671">
        <f>'Balances y Proyecciones'!N206</f>
        <v>0</v>
      </c>
      <c r="D206" s="676"/>
      <c r="E206" s="672">
        <f>'Balances y Proyecciones'!T206</f>
        <v>0</v>
      </c>
      <c r="F206" s="676"/>
      <c r="G206" s="671">
        <f t="shared" si="102"/>
        <v>0</v>
      </c>
      <c r="H206" s="674">
        <f t="shared" ref="H206:R206" si="109">H122-G122</f>
        <v>0</v>
      </c>
      <c r="I206" s="674">
        <f t="shared" si="109"/>
        <v>0</v>
      </c>
      <c r="J206" s="674">
        <f t="shared" si="109"/>
        <v>0</v>
      </c>
      <c r="K206" s="674">
        <f t="shared" si="109"/>
        <v>0</v>
      </c>
      <c r="L206" s="674">
        <f t="shared" si="109"/>
        <v>0</v>
      </c>
      <c r="M206" s="674">
        <f t="shared" si="109"/>
        <v>0</v>
      </c>
      <c r="N206" s="674">
        <f t="shared" si="109"/>
        <v>0</v>
      </c>
      <c r="O206" s="674">
        <f t="shared" si="109"/>
        <v>0</v>
      </c>
      <c r="P206" s="674">
        <f t="shared" si="109"/>
        <v>0</v>
      </c>
      <c r="Q206" s="674">
        <f t="shared" si="109"/>
        <v>0</v>
      </c>
      <c r="R206" s="674">
        <f t="shared" si="109"/>
        <v>0</v>
      </c>
    </row>
    <row r="207" spans="1:18" s="675" customFormat="1" ht="12.75" x14ac:dyDescent="0.25">
      <c r="A207" s="669" t="s">
        <v>1235</v>
      </c>
      <c r="B207" s="710" t="s">
        <v>1236</v>
      </c>
      <c r="C207" s="671">
        <f>'Balances y Proyecciones'!N207</f>
        <v>0</v>
      </c>
      <c r="D207" s="676"/>
      <c r="E207" s="672">
        <f>'Balances y Proyecciones'!T207</f>
        <v>0</v>
      </c>
      <c r="F207" s="676"/>
      <c r="G207" s="671">
        <f t="shared" si="102"/>
        <v>0</v>
      </c>
      <c r="H207" s="674">
        <f t="shared" ref="H207:R207" si="110">H65-G65+H230</f>
        <v>0</v>
      </c>
      <c r="I207" s="674">
        <f t="shared" si="110"/>
        <v>0</v>
      </c>
      <c r="J207" s="674">
        <f t="shared" si="110"/>
        <v>0</v>
      </c>
      <c r="K207" s="674">
        <f t="shared" si="110"/>
        <v>0</v>
      </c>
      <c r="L207" s="674">
        <f t="shared" si="110"/>
        <v>0</v>
      </c>
      <c r="M207" s="674">
        <f t="shared" si="110"/>
        <v>0</v>
      </c>
      <c r="N207" s="674">
        <f t="shared" si="110"/>
        <v>0</v>
      </c>
      <c r="O207" s="674">
        <f t="shared" si="110"/>
        <v>0</v>
      </c>
      <c r="P207" s="674">
        <f t="shared" si="110"/>
        <v>0</v>
      </c>
      <c r="Q207" s="674">
        <f t="shared" si="110"/>
        <v>0</v>
      </c>
      <c r="R207" s="674">
        <f t="shared" si="110"/>
        <v>0</v>
      </c>
    </row>
    <row r="208" spans="1:18" s="675" customFormat="1" ht="12.75" x14ac:dyDescent="0.25">
      <c r="A208" s="669" t="s">
        <v>1237</v>
      </c>
      <c r="B208" s="710" t="s">
        <v>1238</v>
      </c>
      <c r="C208" s="671">
        <f>'Balances y Proyecciones'!N208</f>
        <v>0</v>
      </c>
      <c r="D208" s="676"/>
      <c r="E208" s="672">
        <f>'Balances y Proyecciones'!T208</f>
        <v>0</v>
      </c>
      <c r="F208" s="676"/>
      <c r="G208" s="671">
        <f t="shared" si="102"/>
        <v>0</v>
      </c>
      <c r="H208" s="674">
        <f t="shared" ref="H208:R208" si="111">H77</f>
        <v>0</v>
      </c>
      <c r="I208" s="674">
        <f t="shared" si="111"/>
        <v>0</v>
      </c>
      <c r="J208" s="674">
        <f t="shared" si="111"/>
        <v>0</v>
      </c>
      <c r="K208" s="674">
        <f t="shared" si="111"/>
        <v>0</v>
      </c>
      <c r="L208" s="674">
        <f t="shared" si="111"/>
        <v>0</v>
      </c>
      <c r="M208" s="674">
        <f t="shared" si="111"/>
        <v>0</v>
      </c>
      <c r="N208" s="674">
        <f t="shared" si="111"/>
        <v>0</v>
      </c>
      <c r="O208" s="674">
        <f t="shared" si="111"/>
        <v>0</v>
      </c>
      <c r="P208" s="674">
        <f t="shared" si="111"/>
        <v>0</v>
      </c>
      <c r="Q208" s="674">
        <f t="shared" si="111"/>
        <v>0</v>
      </c>
      <c r="R208" s="674">
        <f t="shared" si="111"/>
        <v>0</v>
      </c>
    </row>
    <row r="209" spans="1:18" s="655" customFormat="1" ht="12.75" x14ac:dyDescent="0.25">
      <c r="A209" s="645">
        <v>21</v>
      </c>
      <c r="B209" s="711" t="s">
        <v>1239</v>
      </c>
      <c r="C209" s="678">
        <f>'Balances y Proyecciones'!N209</f>
        <v>0</v>
      </c>
      <c r="D209" s="676"/>
      <c r="E209" s="679">
        <f>'Balances y Proyecciones'!T209</f>
        <v>0</v>
      </c>
      <c r="F209" s="653"/>
      <c r="G209" s="678">
        <f t="shared" si="102"/>
        <v>0</v>
      </c>
      <c r="H209" s="681">
        <f t="shared" ref="H209:R209" si="112">SUM(H197:H208)</f>
        <v>0</v>
      </c>
      <c r="I209" s="681">
        <f t="shared" si="112"/>
        <v>0</v>
      </c>
      <c r="J209" s="681">
        <f t="shared" si="112"/>
        <v>0</v>
      </c>
      <c r="K209" s="681">
        <f t="shared" si="112"/>
        <v>0</v>
      </c>
      <c r="L209" s="681">
        <f t="shared" si="112"/>
        <v>0</v>
      </c>
      <c r="M209" s="681">
        <f t="shared" si="112"/>
        <v>0</v>
      </c>
      <c r="N209" s="681">
        <f t="shared" si="112"/>
        <v>0</v>
      </c>
      <c r="O209" s="681">
        <f t="shared" si="112"/>
        <v>0</v>
      </c>
      <c r="P209" s="681">
        <f t="shared" si="112"/>
        <v>0</v>
      </c>
      <c r="Q209" s="681">
        <f t="shared" si="112"/>
        <v>0</v>
      </c>
      <c r="R209" s="681">
        <f t="shared" si="112"/>
        <v>0</v>
      </c>
    </row>
    <row r="210" spans="1:18" s="655" customFormat="1" ht="12.75" x14ac:dyDescent="0.25">
      <c r="A210" s="649"/>
      <c r="B210" s="722" t="s">
        <v>1240</v>
      </c>
      <c r="C210" s="683">
        <f>'Balances y Proyecciones'!N210</f>
        <v>-40</v>
      </c>
      <c r="D210" s="653"/>
      <c r="E210" s="684">
        <f>'Balances y Proyecciones'!T210</f>
        <v>-79.534000000000006</v>
      </c>
      <c r="F210" s="653"/>
      <c r="G210" s="662">
        <f t="shared" si="102"/>
        <v>-6.6278333333333332</v>
      </c>
      <c r="H210" s="662">
        <f t="shared" ref="H210:R210" si="113">H196+H209</f>
        <v>-4.4333333333333336</v>
      </c>
      <c r="I210" s="662">
        <f t="shared" si="113"/>
        <v>-4.4333333333333336</v>
      </c>
      <c r="J210" s="662">
        <f t="shared" si="113"/>
        <v>-4.4333333333333336</v>
      </c>
      <c r="K210" s="662">
        <f t="shared" si="113"/>
        <v>-4.4333333333333336</v>
      </c>
      <c r="L210" s="662">
        <f t="shared" si="113"/>
        <v>-4.4333333333333336</v>
      </c>
      <c r="M210" s="662">
        <f t="shared" si="113"/>
        <v>-4.4333333333333336</v>
      </c>
      <c r="N210" s="662">
        <f t="shared" si="113"/>
        <v>-4.4333333333333336</v>
      </c>
      <c r="O210" s="662">
        <f t="shared" si="113"/>
        <v>-4.4333333333333336</v>
      </c>
      <c r="P210" s="662">
        <f t="shared" si="113"/>
        <v>-4.4333333333333336</v>
      </c>
      <c r="Q210" s="662">
        <f t="shared" si="113"/>
        <v>-4.4333333333333336</v>
      </c>
      <c r="R210" s="662">
        <f t="shared" si="113"/>
        <v>-4.4333333333333336</v>
      </c>
    </row>
    <row r="211" spans="1:18" s="496" customFormat="1" ht="12.75" x14ac:dyDescent="0.25">
      <c r="A211" s="498"/>
      <c r="B211" s="715" t="s">
        <v>1241</v>
      </c>
      <c r="C211" s="716">
        <f>'Balances y Proyecciones'!N211</f>
        <v>0</v>
      </c>
      <c r="D211" s="653"/>
      <c r="E211" s="717">
        <f>'Balances y Proyecciones'!T211</f>
        <v>-715.16599999999937</v>
      </c>
      <c r="F211" s="500"/>
      <c r="G211" s="718">
        <f t="shared" si="102"/>
        <v>-59.59716666666661</v>
      </c>
      <c r="H211" s="718" t="e">
        <f t="shared" ref="H211:R211" si="114">-H157-H181-H191-H210</f>
        <v>#REF!</v>
      </c>
      <c r="I211" s="718" t="e">
        <f t="shared" si="114"/>
        <v>#REF!</v>
      </c>
      <c r="J211" s="718" t="e">
        <f t="shared" si="114"/>
        <v>#REF!</v>
      </c>
      <c r="K211" s="718" t="e">
        <f t="shared" si="114"/>
        <v>#REF!</v>
      </c>
      <c r="L211" s="718" t="e">
        <f t="shared" si="114"/>
        <v>#REF!</v>
      </c>
      <c r="M211" s="718" t="e">
        <f t="shared" si="114"/>
        <v>#REF!</v>
      </c>
      <c r="N211" s="718" t="e">
        <f t="shared" si="114"/>
        <v>#REF!</v>
      </c>
      <c r="O211" s="718" t="e">
        <f t="shared" si="114"/>
        <v>#REF!</v>
      </c>
      <c r="P211" s="718" t="e">
        <f t="shared" si="114"/>
        <v>#REF!</v>
      </c>
      <c r="Q211" s="718" t="e">
        <f t="shared" si="114"/>
        <v>#REF!</v>
      </c>
      <c r="R211" s="718" t="e">
        <f t="shared" si="114"/>
        <v>#REF!</v>
      </c>
    </row>
    <row r="212" spans="1:18" s="496" customFormat="1" ht="12.75" x14ac:dyDescent="0.25">
      <c r="A212" s="498"/>
      <c r="B212" s="715" t="s">
        <v>1242</v>
      </c>
      <c r="C212" s="716">
        <f>'Balances y Proyecciones'!N212</f>
        <v>0</v>
      </c>
      <c r="D212" s="500"/>
      <c r="E212" s="717">
        <f>'Balances y Proyecciones'!T212</f>
        <v>715.16599999999926</v>
      </c>
      <c r="F212" s="500"/>
      <c r="G212" s="718">
        <f t="shared" si="102"/>
        <v>59.597166666666602</v>
      </c>
      <c r="H212" s="718">
        <f t="shared" ref="H212:R212" si="115">H18-G18</f>
        <v>0</v>
      </c>
      <c r="I212" s="718">
        <f t="shared" si="115"/>
        <v>0</v>
      </c>
      <c r="J212" s="718">
        <f t="shared" si="115"/>
        <v>0</v>
      </c>
      <c r="K212" s="718">
        <f t="shared" si="115"/>
        <v>0</v>
      </c>
      <c r="L212" s="718">
        <f t="shared" si="115"/>
        <v>0</v>
      </c>
      <c r="M212" s="718">
        <f t="shared" si="115"/>
        <v>0</v>
      </c>
      <c r="N212" s="718">
        <f t="shared" si="115"/>
        <v>0</v>
      </c>
      <c r="O212" s="718">
        <f t="shared" si="115"/>
        <v>0</v>
      </c>
      <c r="P212" s="718">
        <f t="shared" si="115"/>
        <v>0</v>
      </c>
      <c r="Q212" s="718">
        <f t="shared" si="115"/>
        <v>0</v>
      </c>
      <c r="R212" s="718">
        <f t="shared" si="115"/>
        <v>0</v>
      </c>
    </row>
    <row r="213" spans="1:18" s="496" customFormat="1" ht="12.75" x14ac:dyDescent="0.25">
      <c r="A213" s="498"/>
      <c r="B213" s="723" t="s">
        <v>1243</v>
      </c>
      <c r="C213" s="621">
        <f>'Balances y Proyecciones'!N213</f>
        <v>0</v>
      </c>
      <c r="D213" s="500"/>
      <c r="E213" s="724">
        <f>'Balances y Proyecciones'!T213</f>
        <v>0</v>
      </c>
      <c r="F213" s="500"/>
      <c r="G213" s="622">
        <f t="shared" si="102"/>
        <v>0</v>
      </c>
      <c r="H213" s="622" t="e">
        <f t="shared" ref="H213:R213" si="116">H211+H212</f>
        <v>#REF!</v>
      </c>
      <c r="I213" s="622" t="e">
        <f t="shared" si="116"/>
        <v>#REF!</v>
      </c>
      <c r="J213" s="622" t="e">
        <f t="shared" si="116"/>
        <v>#REF!</v>
      </c>
      <c r="K213" s="622" t="e">
        <f t="shared" si="116"/>
        <v>#REF!</v>
      </c>
      <c r="L213" s="622" t="e">
        <f t="shared" si="116"/>
        <v>#REF!</v>
      </c>
      <c r="M213" s="622" t="e">
        <f t="shared" si="116"/>
        <v>#REF!</v>
      </c>
      <c r="N213" s="622" t="e">
        <f t="shared" si="116"/>
        <v>#REF!</v>
      </c>
      <c r="O213" s="622" t="e">
        <f t="shared" si="116"/>
        <v>#REF!</v>
      </c>
      <c r="P213" s="622" t="e">
        <f t="shared" si="116"/>
        <v>#REF!</v>
      </c>
      <c r="Q213" s="622" t="e">
        <f t="shared" si="116"/>
        <v>#REF!</v>
      </c>
      <c r="R213" s="622" t="e">
        <f t="shared" si="116"/>
        <v>#REF!</v>
      </c>
    </row>
    <row r="214" spans="1:18" s="500" customFormat="1" ht="11.25" x14ac:dyDescent="0.2">
      <c r="A214" s="725"/>
      <c r="B214" s="726" t="s">
        <v>1244</v>
      </c>
      <c r="C214" s="727"/>
      <c r="E214" s="727"/>
      <c r="G214" s="624"/>
      <c r="I214" s="728"/>
      <c r="J214" s="728"/>
      <c r="K214" s="728"/>
      <c r="L214" s="728"/>
      <c r="M214" s="728"/>
      <c r="N214" s="728"/>
      <c r="O214" s="728"/>
      <c r="P214" s="728"/>
      <c r="Q214" s="728"/>
      <c r="R214" s="729"/>
    </row>
    <row r="215" spans="1:18" s="500" customFormat="1" ht="11.25" x14ac:dyDescent="0.25">
      <c r="A215" s="725"/>
      <c r="B215" s="730" t="s">
        <v>1245</v>
      </c>
      <c r="C215" s="731">
        <f>'Balances y Proyecciones'!N215</f>
        <v>0</v>
      </c>
      <c r="E215" s="731"/>
      <c r="G215" s="624"/>
      <c r="I215" s="728"/>
      <c r="J215" s="728"/>
      <c r="K215" s="728"/>
      <c r="L215" s="728"/>
      <c r="M215" s="728"/>
      <c r="N215" s="728"/>
      <c r="O215" s="728"/>
      <c r="P215" s="728"/>
      <c r="Q215" s="728"/>
    </row>
    <row r="216" spans="1:18" s="500" customFormat="1" ht="11.25" x14ac:dyDescent="0.25">
      <c r="A216" s="725"/>
      <c r="B216" s="730" t="s">
        <v>1246</v>
      </c>
      <c r="C216" s="732">
        <f>'Balances y Proyecciones'!N216</f>
        <v>0</v>
      </c>
      <c r="E216" s="732"/>
      <c r="G216" s="624"/>
      <c r="I216" s="728"/>
      <c r="J216" s="728"/>
      <c r="K216" s="728"/>
      <c r="L216" s="728"/>
      <c r="M216" s="728"/>
      <c r="N216" s="728"/>
      <c r="O216" s="728"/>
      <c r="P216" s="728"/>
      <c r="Q216" s="728"/>
      <c r="R216" s="733"/>
    </row>
    <row r="217" spans="1:18" s="496" customFormat="1" ht="14.25" x14ac:dyDescent="0.25">
      <c r="A217" s="498"/>
      <c r="B217" s="603"/>
      <c r="C217" s="734"/>
      <c r="D217" s="500"/>
      <c r="E217" s="735" t="str">
        <f>'Balances y Proyecciones'!T217</f>
        <v>PROYECTADO</v>
      </c>
      <c r="F217" s="500"/>
      <c r="G217" s="634" t="s">
        <v>1044</v>
      </c>
      <c r="H217" s="634" t="s">
        <v>1044</v>
      </c>
      <c r="I217" s="634" t="s">
        <v>1044</v>
      </c>
      <c r="J217" s="634" t="s">
        <v>1044</v>
      </c>
      <c r="K217" s="634" t="s">
        <v>1044</v>
      </c>
      <c r="L217" s="634" t="s">
        <v>1044</v>
      </c>
      <c r="M217" s="634" t="s">
        <v>1044</v>
      </c>
      <c r="N217" s="634" t="s">
        <v>1044</v>
      </c>
      <c r="O217" s="634" t="s">
        <v>1044</v>
      </c>
      <c r="P217" s="634" t="s">
        <v>1044</v>
      </c>
      <c r="Q217" s="634" t="s">
        <v>1044</v>
      </c>
      <c r="R217" s="634" t="s">
        <v>1044</v>
      </c>
    </row>
    <row r="218" spans="1:18" s="740" customFormat="1" ht="15.75" x14ac:dyDescent="0.25">
      <c r="A218" s="736"/>
      <c r="B218" s="737" t="s">
        <v>1247</v>
      </c>
      <c r="C218" s="738">
        <f>'Balances y Proyecciones'!N218</f>
        <v>2021</v>
      </c>
      <c r="D218" s="500"/>
      <c r="E218" s="739">
        <f>'Balances y Proyecciones'!T218</f>
        <v>2022</v>
      </c>
      <c r="F218" s="500"/>
      <c r="G218" s="738">
        <f t="shared" ref="G218:R218" si="117">G15</f>
        <v>2022</v>
      </c>
      <c r="H218" s="738">
        <f t="shared" si="117"/>
        <v>2022</v>
      </c>
      <c r="I218" s="738">
        <f t="shared" si="117"/>
        <v>2022</v>
      </c>
      <c r="J218" s="738">
        <f t="shared" si="117"/>
        <v>2022</v>
      </c>
      <c r="K218" s="738">
        <f t="shared" si="117"/>
        <v>2022</v>
      </c>
      <c r="L218" s="738">
        <f t="shared" si="117"/>
        <v>2022</v>
      </c>
      <c r="M218" s="738">
        <f t="shared" si="117"/>
        <v>2022</v>
      </c>
      <c r="N218" s="738">
        <f t="shared" si="117"/>
        <v>2022</v>
      </c>
      <c r="O218" s="738">
        <f t="shared" si="117"/>
        <v>2022</v>
      </c>
      <c r="P218" s="738">
        <f t="shared" si="117"/>
        <v>2022</v>
      </c>
      <c r="Q218" s="738">
        <f t="shared" si="117"/>
        <v>2022</v>
      </c>
      <c r="R218" s="738">
        <f t="shared" si="117"/>
        <v>2022</v>
      </c>
    </row>
    <row r="219" spans="1:18" s="496" customFormat="1" ht="12.75" x14ac:dyDescent="0.25">
      <c r="A219" s="498"/>
      <c r="B219" s="741" t="s">
        <v>938</v>
      </c>
      <c r="C219" s="742">
        <f>'Balances y Proyecciones'!N219</f>
        <v>70</v>
      </c>
      <c r="D219" s="500"/>
      <c r="E219" s="620">
        <f>'Balances y Proyecciones'!T219</f>
        <v>70</v>
      </c>
      <c r="F219" s="500"/>
      <c r="G219" s="743">
        <f t="shared" ref="G219:G234" si="118">IF($G$12=1,"Error %",$E219*G$13)</f>
        <v>5.833333333333333</v>
      </c>
      <c r="H219" s="743">
        <f t="shared" ref="H219:R219" si="119">H60</f>
        <v>5.833333333333333</v>
      </c>
      <c r="I219" s="743">
        <f t="shared" si="119"/>
        <v>5.833333333333333</v>
      </c>
      <c r="J219" s="743">
        <f t="shared" si="119"/>
        <v>5.833333333333333</v>
      </c>
      <c r="K219" s="743">
        <f t="shared" si="119"/>
        <v>5.833333333333333</v>
      </c>
      <c r="L219" s="743">
        <f t="shared" si="119"/>
        <v>5.833333333333333</v>
      </c>
      <c r="M219" s="743">
        <f t="shared" si="119"/>
        <v>5.833333333333333</v>
      </c>
      <c r="N219" s="743">
        <f t="shared" si="119"/>
        <v>5.833333333333333</v>
      </c>
      <c r="O219" s="743">
        <f t="shared" si="119"/>
        <v>5.833333333333333</v>
      </c>
      <c r="P219" s="743">
        <f t="shared" si="119"/>
        <v>5.833333333333333</v>
      </c>
      <c r="Q219" s="743">
        <f t="shared" si="119"/>
        <v>5.833333333333333</v>
      </c>
      <c r="R219" s="743">
        <f t="shared" si="119"/>
        <v>5.833333333333333</v>
      </c>
    </row>
    <row r="220" spans="1:18" s="496" customFormat="1" ht="12.75" x14ac:dyDescent="0.25">
      <c r="A220" s="498"/>
      <c r="B220" s="744" t="s">
        <v>1248</v>
      </c>
      <c r="C220" s="745">
        <f>'Balances y Proyecciones'!N220</f>
        <v>50</v>
      </c>
      <c r="D220" s="500"/>
      <c r="E220" s="620">
        <f>'Balances y Proyecciones'!T220</f>
        <v>50</v>
      </c>
      <c r="F220" s="500"/>
      <c r="G220" s="746">
        <f t="shared" si="118"/>
        <v>4.1666666666666661</v>
      </c>
      <c r="H220" s="746">
        <f t="shared" ref="H220:R220" si="120">H61</f>
        <v>4.1666666666666661</v>
      </c>
      <c r="I220" s="746">
        <f t="shared" si="120"/>
        <v>4.1666666666666661</v>
      </c>
      <c r="J220" s="746">
        <f t="shared" si="120"/>
        <v>4.1666666666666661</v>
      </c>
      <c r="K220" s="746">
        <f t="shared" si="120"/>
        <v>4.1666666666666661</v>
      </c>
      <c r="L220" s="746">
        <f t="shared" si="120"/>
        <v>4.1666666666666661</v>
      </c>
      <c r="M220" s="746">
        <f t="shared" si="120"/>
        <v>4.1666666666666661</v>
      </c>
      <c r="N220" s="746">
        <f t="shared" si="120"/>
        <v>4.1666666666666661</v>
      </c>
      <c r="O220" s="746">
        <f t="shared" si="120"/>
        <v>4.1666666666666661</v>
      </c>
      <c r="P220" s="746">
        <f t="shared" si="120"/>
        <v>4.1666666666666661</v>
      </c>
      <c r="Q220" s="746">
        <f t="shared" si="120"/>
        <v>4.1666666666666661</v>
      </c>
      <c r="R220" s="746">
        <f t="shared" si="120"/>
        <v>4.1666666666666661</v>
      </c>
    </row>
    <row r="221" spans="1:18" s="740" customFormat="1" ht="12.75" x14ac:dyDescent="0.25">
      <c r="A221" s="736"/>
      <c r="B221" s="747" t="s">
        <v>1249</v>
      </c>
      <c r="C221" s="748">
        <f>'Balances y Proyecciones'!N221</f>
        <v>0</v>
      </c>
      <c r="D221" s="500"/>
      <c r="E221" s="748">
        <f>'Balances y Proyecciones'!T221</f>
        <v>0</v>
      </c>
      <c r="F221" s="500"/>
      <c r="G221" s="748">
        <f t="shared" si="118"/>
        <v>0</v>
      </c>
      <c r="H221" s="749">
        <f t="shared" ref="H221:R221" si="121">SUM(H219:H220)-SUM(G219:G220)</f>
        <v>0</v>
      </c>
      <c r="I221" s="749">
        <f t="shared" si="121"/>
        <v>0</v>
      </c>
      <c r="J221" s="749">
        <f t="shared" si="121"/>
        <v>0</v>
      </c>
      <c r="K221" s="749">
        <f t="shared" si="121"/>
        <v>0</v>
      </c>
      <c r="L221" s="749">
        <f t="shared" si="121"/>
        <v>0</v>
      </c>
      <c r="M221" s="749">
        <f t="shared" si="121"/>
        <v>0</v>
      </c>
      <c r="N221" s="749">
        <f t="shared" si="121"/>
        <v>0</v>
      </c>
      <c r="O221" s="749">
        <f t="shared" si="121"/>
        <v>0</v>
      </c>
      <c r="P221" s="749">
        <f t="shared" si="121"/>
        <v>0</v>
      </c>
      <c r="Q221" s="749">
        <f t="shared" si="121"/>
        <v>0</v>
      </c>
      <c r="R221" s="749">
        <f t="shared" si="121"/>
        <v>0</v>
      </c>
    </row>
    <row r="222" spans="1:18" s="496" customFormat="1" ht="12.75" x14ac:dyDescent="0.25">
      <c r="A222" s="498"/>
      <c r="B222" s="741" t="s">
        <v>940</v>
      </c>
      <c r="C222" s="742">
        <f>'Balances y Proyecciones'!N222</f>
        <v>10</v>
      </c>
      <c r="D222" s="500"/>
      <c r="E222" s="620">
        <f>'Balances y Proyecciones'!T222</f>
        <v>35</v>
      </c>
      <c r="F222" s="727"/>
      <c r="G222" s="743">
        <f t="shared" si="118"/>
        <v>2.9166666666666665</v>
      </c>
      <c r="H222" s="743">
        <f t="shared" ref="H222:R222" si="122">H62</f>
        <v>2.9166666666666665</v>
      </c>
      <c r="I222" s="743">
        <f t="shared" si="122"/>
        <v>2.9166666666666665</v>
      </c>
      <c r="J222" s="743">
        <f t="shared" si="122"/>
        <v>2.9166666666666665</v>
      </c>
      <c r="K222" s="743">
        <f t="shared" si="122"/>
        <v>2.9166666666666665</v>
      </c>
      <c r="L222" s="743">
        <f t="shared" si="122"/>
        <v>2.9166666666666665</v>
      </c>
      <c r="M222" s="743">
        <f t="shared" si="122"/>
        <v>2.9166666666666665</v>
      </c>
      <c r="N222" s="743">
        <f t="shared" si="122"/>
        <v>2.9166666666666665</v>
      </c>
      <c r="O222" s="743">
        <f t="shared" si="122"/>
        <v>2.9166666666666665</v>
      </c>
      <c r="P222" s="743">
        <f t="shared" si="122"/>
        <v>2.9166666666666665</v>
      </c>
      <c r="Q222" s="743">
        <f t="shared" si="122"/>
        <v>2.9166666666666665</v>
      </c>
      <c r="R222" s="743">
        <f t="shared" si="122"/>
        <v>2.9166666666666665</v>
      </c>
    </row>
    <row r="223" spans="1:18" s="496" customFormat="1" ht="12.75" x14ac:dyDescent="0.25">
      <c r="A223" s="498"/>
      <c r="B223" s="750" t="s">
        <v>1250</v>
      </c>
      <c r="C223" s="751">
        <f>'Balances y Proyecciones'!N223</f>
        <v>10</v>
      </c>
      <c r="D223" s="727"/>
      <c r="E223" s="620">
        <f>'Balances y Proyecciones'!T223</f>
        <v>912.29999999999984</v>
      </c>
      <c r="F223" s="500"/>
      <c r="G223" s="752">
        <f t="shared" si="118"/>
        <v>76.024999999999977</v>
      </c>
      <c r="H223" s="752">
        <f t="shared" ref="H223:R223" si="123">H63</f>
        <v>76.024999999999977</v>
      </c>
      <c r="I223" s="752">
        <f t="shared" si="123"/>
        <v>76.024999999999977</v>
      </c>
      <c r="J223" s="752">
        <f t="shared" si="123"/>
        <v>76.024999999999977</v>
      </c>
      <c r="K223" s="752">
        <f t="shared" si="123"/>
        <v>76.024999999999977</v>
      </c>
      <c r="L223" s="752">
        <f t="shared" si="123"/>
        <v>76.024999999999977</v>
      </c>
      <c r="M223" s="752">
        <f t="shared" si="123"/>
        <v>76.024999999999977</v>
      </c>
      <c r="N223" s="752">
        <f t="shared" si="123"/>
        <v>76.024999999999977</v>
      </c>
      <c r="O223" s="752">
        <f t="shared" si="123"/>
        <v>76.024999999999977</v>
      </c>
      <c r="P223" s="752">
        <f t="shared" si="123"/>
        <v>76.024999999999977</v>
      </c>
      <c r="Q223" s="752">
        <f t="shared" si="123"/>
        <v>76.024999999999977</v>
      </c>
      <c r="R223" s="752">
        <f t="shared" si="123"/>
        <v>76.024999999999977</v>
      </c>
    </row>
    <row r="224" spans="1:18" s="496" customFormat="1" ht="12.75" x14ac:dyDescent="0.25">
      <c r="A224" s="498"/>
      <c r="B224" s="750" t="str">
        <f>B66</f>
        <v>OTROS PATRIMONIO</v>
      </c>
      <c r="C224" s="751">
        <f>'Balances y Proyecciones'!N224</f>
        <v>40</v>
      </c>
      <c r="D224" s="500"/>
      <c r="E224" s="620">
        <f>'Balances y Proyecciones'!T224</f>
        <v>40</v>
      </c>
      <c r="F224" s="500"/>
      <c r="G224" s="752">
        <f t="shared" si="118"/>
        <v>3.333333333333333</v>
      </c>
      <c r="H224" s="752">
        <f t="shared" ref="H224:R224" si="124">H66</f>
        <v>3.333333333333333</v>
      </c>
      <c r="I224" s="752">
        <f t="shared" si="124"/>
        <v>3.333333333333333</v>
      </c>
      <c r="J224" s="752">
        <f t="shared" si="124"/>
        <v>3.333333333333333</v>
      </c>
      <c r="K224" s="752">
        <f t="shared" si="124"/>
        <v>3.333333333333333</v>
      </c>
      <c r="L224" s="752">
        <f t="shared" si="124"/>
        <v>3.333333333333333</v>
      </c>
      <c r="M224" s="752">
        <f t="shared" si="124"/>
        <v>3.333333333333333</v>
      </c>
      <c r="N224" s="752">
        <f t="shared" si="124"/>
        <v>3.333333333333333</v>
      </c>
      <c r="O224" s="752">
        <f t="shared" si="124"/>
        <v>3.333333333333333</v>
      </c>
      <c r="P224" s="752">
        <f t="shared" si="124"/>
        <v>3.333333333333333</v>
      </c>
      <c r="Q224" s="752">
        <f t="shared" si="124"/>
        <v>3.333333333333333</v>
      </c>
      <c r="R224" s="752">
        <f t="shared" si="124"/>
        <v>3.333333333333333</v>
      </c>
    </row>
    <row r="225" spans="1:79" s="496" customFormat="1" ht="12.75" x14ac:dyDescent="0.25">
      <c r="A225" s="498"/>
      <c r="B225" s="753" t="s">
        <v>943</v>
      </c>
      <c r="C225" s="754">
        <f>'Balances y Proyecciones'!N225</f>
        <v>2810</v>
      </c>
      <c r="D225" s="500"/>
      <c r="E225" s="620">
        <f>'Balances y Proyecciones'!T225</f>
        <v>2812.4</v>
      </c>
      <c r="F225" s="500"/>
      <c r="G225" s="755">
        <f t="shared" si="118"/>
        <v>234.36666666666667</v>
      </c>
      <c r="H225" s="755">
        <f t="shared" ref="H225:R225" si="125">H64</f>
        <v>234.36666666666667</v>
      </c>
      <c r="I225" s="755">
        <f t="shared" si="125"/>
        <v>234.36666666666667</v>
      </c>
      <c r="J225" s="755">
        <f t="shared" si="125"/>
        <v>234.36666666666667</v>
      </c>
      <c r="K225" s="755">
        <f t="shared" si="125"/>
        <v>234.36666666666667</v>
      </c>
      <c r="L225" s="755">
        <f t="shared" si="125"/>
        <v>234.36666666666667</v>
      </c>
      <c r="M225" s="755">
        <f t="shared" si="125"/>
        <v>234.36666666666667</v>
      </c>
      <c r="N225" s="755">
        <f t="shared" si="125"/>
        <v>234.36666666666667</v>
      </c>
      <c r="O225" s="755">
        <f t="shared" si="125"/>
        <v>234.36666666666667</v>
      </c>
      <c r="P225" s="755">
        <f t="shared" si="125"/>
        <v>234.36666666666667</v>
      </c>
      <c r="Q225" s="755">
        <f t="shared" si="125"/>
        <v>234.36666666666667</v>
      </c>
      <c r="R225" s="755">
        <f t="shared" si="125"/>
        <v>234.36666666666667</v>
      </c>
    </row>
    <row r="226" spans="1:79" s="758" customFormat="1" ht="11.25" x14ac:dyDescent="0.25">
      <c r="A226" s="756"/>
      <c r="B226" s="744" t="e">
        <f>CONCATENATE("RESULTADO ",LEFT(#REF!,3),". ",TEXT(#REF!,"0.00")," A ",LEFT(C16,3),". ",TEXT(C15,"0.00")," (SÓLO APLICA PARA CORTE ",LEFT(#REF!,3),". '",RIGHT(TEXT(#REF!,"0.00"),2),")")</f>
        <v>#REF!</v>
      </c>
      <c r="C226" s="746" t="str">
        <f>'Balances y Proyecciones'!N226</f>
        <v>N/A</v>
      </c>
      <c r="D226" s="500"/>
      <c r="E226" s="757">
        <f>'Balances y Proyecciones'!T226</f>
        <v>0</v>
      </c>
      <c r="F226" s="500"/>
      <c r="G226" s="746">
        <f t="shared" si="118"/>
        <v>0</v>
      </c>
      <c r="H226" s="746"/>
      <c r="I226" s="746"/>
      <c r="J226" s="746"/>
      <c r="K226" s="746"/>
      <c r="L226" s="746"/>
      <c r="M226" s="746"/>
      <c r="N226" s="746"/>
      <c r="O226" s="746"/>
      <c r="P226" s="746"/>
      <c r="Q226" s="746"/>
      <c r="R226" s="746"/>
    </row>
    <row r="227" spans="1:79" s="496" customFormat="1" ht="12.75" x14ac:dyDescent="0.25">
      <c r="A227" s="498"/>
      <c r="B227" s="759" t="s">
        <v>1251</v>
      </c>
      <c r="C227" s="760">
        <f>'Balances y Proyecciones'!N227</f>
        <v>2810</v>
      </c>
      <c r="D227" s="500"/>
      <c r="E227" s="761">
        <f>'Balances y Proyecciones'!T227</f>
        <v>1882.7000000000003</v>
      </c>
      <c r="F227" s="727"/>
      <c r="G227" s="760">
        <f t="shared" si="118"/>
        <v>156.89166666666668</v>
      </c>
      <c r="H227" s="762">
        <f t="shared" ref="H227:R227" si="126">IF(OR(SUM(G222:G225)&gt;=SUM(H222:H224),ABS(SUM(H222:H224)-SUM(G222:G225))&lt;0.5),SUM(G222:G225)-SUM(H222:H224),0)</f>
        <v>234.36666666666667</v>
      </c>
      <c r="I227" s="762">
        <f t="shared" si="126"/>
        <v>234.36666666666667</v>
      </c>
      <c r="J227" s="762">
        <f t="shared" si="126"/>
        <v>234.36666666666667</v>
      </c>
      <c r="K227" s="762">
        <f t="shared" si="126"/>
        <v>234.36666666666667</v>
      </c>
      <c r="L227" s="762">
        <f t="shared" si="126"/>
        <v>234.36666666666667</v>
      </c>
      <c r="M227" s="762">
        <f t="shared" si="126"/>
        <v>234.36666666666667</v>
      </c>
      <c r="N227" s="762">
        <f t="shared" si="126"/>
        <v>234.36666666666667</v>
      </c>
      <c r="O227" s="762">
        <f t="shared" si="126"/>
        <v>234.36666666666667</v>
      </c>
      <c r="P227" s="762">
        <f t="shared" si="126"/>
        <v>234.36666666666667</v>
      </c>
      <c r="Q227" s="762">
        <f t="shared" si="126"/>
        <v>234.36666666666667</v>
      </c>
      <c r="R227" s="762">
        <f t="shared" si="126"/>
        <v>234.36666666666667</v>
      </c>
    </row>
    <row r="228" spans="1:79" s="496" customFormat="1" ht="12.75" x14ac:dyDescent="0.25">
      <c r="A228" s="498"/>
      <c r="B228" s="763" t="s">
        <v>1252</v>
      </c>
      <c r="C228" s="764">
        <f>'Balances y Proyecciones'!N228</f>
        <v>0</v>
      </c>
      <c r="D228" s="727"/>
      <c r="E228" s="620">
        <f>'Balances y Proyecciones'!T228</f>
        <v>0</v>
      </c>
      <c r="F228" s="500"/>
      <c r="G228" s="765">
        <f t="shared" si="118"/>
        <v>0</v>
      </c>
      <c r="H228" s="765">
        <f t="shared" ref="H228:R228" si="127">H65-G65</f>
        <v>0</v>
      </c>
      <c r="I228" s="765">
        <f t="shared" si="127"/>
        <v>0</v>
      </c>
      <c r="J228" s="765">
        <f t="shared" si="127"/>
        <v>0</v>
      </c>
      <c r="K228" s="765">
        <f t="shared" si="127"/>
        <v>0</v>
      </c>
      <c r="L228" s="765">
        <f t="shared" si="127"/>
        <v>0</v>
      </c>
      <c r="M228" s="765">
        <f t="shared" si="127"/>
        <v>0</v>
      </c>
      <c r="N228" s="765">
        <f t="shared" si="127"/>
        <v>0</v>
      </c>
      <c r="O228" s="765">
        <f t="shared" si="127"/>
        <v>0</v>
      </c>
      <c r="P228" s="765">
        <f t="shared" si="127"/>
        <v>0</v>
      </c>
      <c r="Q228" s="765">
        <f t="shared" si="127"/>
        <v>0</v>
      </c>
      <c r="R228" s="765">
        <f t="shared" si="127"/>
        <v>0</v>
      </c>
    </row>
    <row r="229" spans="1:79" s="740" customFormat="1" ht="12.75" x14ac:dyDescent="0.25">
      <c r="A229" s="736"/>
      <c r="B229" s="766" t="s">
        <v>1253</v>
      </c>
      <c r="C229" s="767">
        <f>'Balances y Proyecciones'!N229</f>
        <v>0</v>
      </c>
      <c r="D229" s="500"/>
      <c r="E229" s="748">
        <f>'Balances y Proyecciones'!T229</f>
        <v>0</v>
      </c>
      <c r="F229" s="500"/>
      <c r="G229" s="768">
        <f t="shared" si="118"/>
        <v>0</v>
      </c>
      <c r="H229" s="768">
        <f t="shared" ref="H229:R229" si="128">IF(H228&gt;0,0,IF(AND(H228&lt;=0,G63&lt;0,H63&gt;G63,(H63-G63)&gt;(G63+G64)),0,IF(AND(H228&lt;=0,H221&gt;=0),-H228,0)))</f>
        <v>0</v>
      </c>
      <c r="I229" s="768">
        <f t="shared" si="128"/>
        <v>0</v>
      </c>
      <c r="J229" s="768">
        <f t="shared" si="128"/>
        <v>0</v>
      </c>
      <c r="K229" s="768">
        <f t="shared" si="128"/>
        <v>0</v>
      </c>
      <c r="L229" s="768">
        <f t="shared" si="128"/>
        <v>0</v>
      </c>
      <c r="M229" s="768">
        <f t="shared" si="128"/>
        <v>0</v>
      </c>
      <c r="N229" s="768">
        <f t="shared" si="128"/>
        <v>0</v>
      </c>
      <c r="O229" s="768">
        <f t="shared" si="128"/>
        <v>0</v>
      </c>
      <c r="P229" s="768">
        <f t="shared" si="128"/>
        <v>0</v>
      </c>
      <c r="Q229" s="768">
        <f t="shared" si="128"/>
        <v>0</v>
      </c>
      <c r="R229" s="768">
        <f t="shared" si="128"/>
        <v>0</v>
      </c>
    </row>
    <row r="230" spans="1:79" s="740" customFormat="1" ht="12.75" x14ac:dyDescent="0.25">
      <c r="A230" s="736"/>
      <c r="B230" s="741" t="s">
        <v>1253</v>
      </c>
      <c r="C230" s="742">
        <f>'Balances y Proyecciones'!N230</f>
        <v>0</v>
      </c>
      <c r="D230" s="500"/>
      <c r="E230" s="620">
        <f>'Balances y Proyecciones'!T230</f>
        <v>0</v>
      </c>
      <c r="F230" s="500"/>
      <c r="G230" s="743">
        <f t="shared" si="118"/>
        <v>0</v>
      </c>
      <c r="H230" s="743">
        <f t="shared" ref="H230:R230" si="129">IF(H221&gt;0,H229,0)</f>
        <v>0</v>
      </c>
      <c r="I230" s="743">
        <f t="shared" si="129"/>
        <v>0</v>
      </c>
      <c r="J230" s="743">
        <f t="shared" si="129"/>
        <v>0</v>
      </c>
      <c r="K230" s="743">
        <f t="shared" si="129"/>
        <v>0</v>
      </c>
      <c r="L230" s="743">
        <f t="shared" si="129"/>
        <v>0</v>
      </c>
      <c r="M230" s="743">
        <f t="shared" si="129"/>
        <v>0</v>
      </c>
      <c r="N230" s="743">
        <f t="shared" si="129"/>
        <v>0</v>
      </c>
      <c r="O230" s="743">
        <f t="shared" si="129"/>
        <v>0</v>
      </c>
      <c r="P230" s="743">
        <f t="shared" si="129"/>
        <v>0</v>
      </c>
      <c r="Q230" s="743">
        <f t="shared" si="129"/>
        <v>0</v>
      </c>
      <c r="R230" s="743">
        <f t="shared" si="129"/>
        <v>0</v>
      </c>
    </row>
    <row r="231" spans="1:79" s="496" customFormat="1" ht="12.75" x14ac:dyDescent="0.25">
      <c r="A231" s="498"/>
      <c r="B231" s="750" t="s">
        <v>1254</v>
      </c>
      <c r="C231" s="769">
        <f>'Balances y Proyecciones'!N231</f>
        <v>0</v>
      </c>
      <c r="D231" s="500"/>
      <c r="E231" s="770">
        <f>'Balances y Proyecciones'!T231</f>
        <v>0</v>
      </c>
      <c r="F231" s="500"/>
      <c r="G231" s="752">
        <f t="shared" si="118"/>
        <v>0</v>
      </c>
      <c r="H231" s="752">
        <f t="shared" ref="H231:R231" si="130">IF(AND(H221&gt;0,H221-H229&gt;0,H221-H229&gt;H227),H227,IF(H221&lt;0,0,H221-H229))</f>
        <v>0</v>
      </c>
      <c r="I231" s="752">
        <f t="shared" si="130"/>
        <v>0</v>
      </c>
      <c r="J231" s="752">
        <f t="shared" si="130"/>
        <v>0</v>
      </c>
      <c r="K231" s="752">
        <f t="shared" si="130"/>
        <v>0</v>
      </c>
      <c r="L231" s="752">
        <f t="shared" si="130"/>
        <v>0</v>
      </c>
      <c r="M231" s="752">
        <f t="shared" si="130"/>
        <v>0</v>
      </c>
      <c r="N231" s="752">
        <f t="shared" si="130"/>
        <v>0</v>
      </c>
      <c r="O231" s="752">
        <f t="shared" si="130"/>
        <v>0</v>
      </c>
      <c r="P231" s="752">
        <f t="shared" si="130"/>
        <v>0</v>
      </c>
      <c r="Q231" s="752">
        <f t="shared" si="130"/>
        <v>0</v>
      </c>
      <c r="R231" s="752">
        <f t="shared" si="130"/>
        <v>0</v>
      </c>
    </row>
    <row r="232" spans="1:79" s="496" customFormat="1" ht="12.75" x14ac:dyDescent="0.25">
      <c r="A232" s="498"/>
      <c r="B232" s="750" t="s">
        <v>1255</v>
      </c>
      <c r="C232" s="751">
        <f>'Balances y Proyecciones'!N232</f>
        <v>0</v>
      </c>
      <c r="D232" s="500"/>
      <c r="E232" s="620">
        <f>'Balances y Proyecciones'!T232</f>
        <v>0</v>
      </c>
      <c r="F232" s="500"/>
      <c r="G232" s="752">
        <f t="shared" si="118"/>
        <v>0</v>
      </c>
      <c r="H232" s="752">
        <f t="shared" ref="H232:R232" si="131">IF(H221-H230-H231&lt;&gt;0,H221-H230-H231-IF(H234&gt;0,H234,0),0)</f>
        <v>0</v>
      </c>
      <c r="I232" s="752">
        <f t="shared" si="131"/>
        <v>0</v>
      </c>
      <c r="J232" s="752">
        <f t="shared" si="131"/>
        <v>0</v>
      </c>
      <c r="K232" s="752">
        <f t="shared" si="131"/>
        <v>0</v>
      </c>
      <c r="L232" s="752">
        <f t="shared" si="131"/>
        <v>0</v>
      </c>
      <c r="M232" s="752">
        <f t="shared" si="131"/>
        <v>0</v>
      </c>
      <c r="N232" s="752">
        <f t="shared" si="131"/>
        <v>0</v>
      </c>
      <c r="O232" s="752">
        <f t="shared" si="131"/>
        <v>0</v>
      </c>
      <c r="P232" s="752">
        <f t="shared" si="131"/>
        <v>0</v>
      </c>
      <c r="Q232" s="752">
        <f t="shared" si="131"/>
        <v>0</v>
      </c>
      <c r="R232" s="752">
        <f t="shared" si="131"/>
        <v>0</v>
      </c>
    </row>
    <row r="233" spans="1:79" s="496" customFormat="1" ht="12.75" x14ac:dyDescent="0.25">
      <c r="A233" s="498"/>
      <c r="B233" s="753" t="s">
        <v>1256</v>
      </c>
      <c r="C233" s="754">
        <f>'Balances y Proyecciones'!N233</f>
        <v>2810</v>
      </c>
      <c r="D233" s="500"/>
      <c r="E233" s="620">
        <f>'Balances y Proyecciones'!T233</f>
        <v>1882.7000000000003</v>
      </c>
      <c r="F233" s="500"/>
      <c r="G233" s="755">
        <f t="shared" si="118"/>
        <v>156.89166666666668</v>
      </c>
      <c r="H233" s="755">
        <f t="shared" ref="H233:R233" si="132">IF(H227-H231&gt;0,H227-H231,0)</f>
        <v>234.36666666666667</v>
      </c>
      <c r="I233" s="755">
        <f t="shared" si="132"/>
        <v>234.36666666666667</v>
      </c>
      <c r="J233" s="755">
        <f t="shared" si="132"/>
        <v>234.36666666666667</v>
      </c>
      <c r="K233" s="755">
        <f t="shared" si="132"/>
        <v>234.36666666666667</v>
      </c>
      <c r="L233" s="755">
        <f t="shared" si="132"/>
        <v>234.36666666666667</v>
      </c>
      <c r="M233" s="755">
        <f t="shared" si="132"/>
        <v>234.36666666666667</v>
      </c>
      <c r="N233" s="755">
        <f t="shared" si="132"/>
        <v>234.36666666666667</v>
      </c>
      <c r="O233" s="755">
        <f t="shared" si="132"/>
        <v>234.36666666666667</v>
      </c>
      <c r="P233" s="755">
        <f t="shared" si="132"/>
        <v>234.36666666666667</v>
      </c>
      <c r="Q233" s="755">
        <f t="shared" si="132"/>
        <v>234.36666666666667</v>
      </c>
      <c r="R233" s="755">
        <f t="shared" si="132"/>
        <v>234.36666666666667</v>
      </c>
    </row>
    <row r="234" spans="1:79" s="500" customFormat="1" ht="11.25" x14ac:dyDescent="0.25">
      <c r="A234" s="725"/>
      <c r="B234" s="744" t="e">
        <f>CONCATENATE("HIST.: RESULT. ENTRE ",LEFT(#REF!,3),". ",RIGHT(TEXT(#REF!,"0.00"),2)," Y ",LEFT(C16,3),". ",RIGHT(TEXT(C15,"0.00"),2)," / PROY.: NUEVA DEUDA PARA CAPITALIZAR")</f>
        <v>#REF!</v>
      </c>
      <c r="C234" s="746" t="str">
        <f>'Balances y Proyecciones'!N234</f>
        <v>N/A</v>
      </c>
      <c r="E234" s="765">
        <f>'Balances y Proyecciones'!T234</f>
        <v>0</v>
      </c>
      <c r="G234" s="746">
        <f t="shared" si="118"/>
        <v>0</v>
      </c>
      <c r="H234" s="746" t="e">
        <f>SUM(IF(AND(#REF!=$B$456,#REF!&lt;&gt;0,#REF!=H218,#REF!&gt;0),#REF!,0),IF(AND(#REF!=$B$456,#REF!&lt;&gt;0,#REF!=H218,#REF!&gt;0),#REF!,0),IF(AND(#REF!=$B$456,#REF!&lt;&gt;0,#REF!=H218,#REF!&gt;0),#REF!,0),IF(AND(#REF!=$B$456,#REF!&lt;&gt;0,#REF!=H218,#REF!&gt;0),#REF!,0),IF(AND(#REF!=$B$456,#REF!&lt;&gt;0,#REF!=H218,#REF!&gt;0),#REF!,0),IF(AND(#REF!=$B$456,#REF!&lt;&gt;0,#REF!=H218,#REF!&gt;0),#REF!,0))</f>
        <v>#REF!</v>
      </c>
      <c r="I234" s="746" t="e">
        <f>SUM(IF(AND(#REF!=$B$456,#REF!&lt;&gt;0,#REF!=I218,#REF!&gt;0),#REF!,0),IF(AND(#REF!=$B$456,#REF!&lt;&gt;0,#REF!=I218,#REF!&gt;0),#REF!,0),IF(AND(#REF!=$B$456,#REF!&lt;&gt;0,#REF!=I218,#REF!&gt;0),#REF!,0),IF(AND(#REF!=$B$456,#REF!&lt;&gt;0,#REF!=I218,#REF!&gt;0),#REF!,0),IF(AND(#REF!=$B$456,#REF!&lt;&gt;0,#REF!=I218,#REF!&gt;0),#REF!,0),IF(AND(#REF!=$B$456,#REF!&lt;&gt;0,#REF!=I218,#REF!&gt;0),#REF!,0))</f>
        <v>#REF!</v>
      </c>
      <c r="J234" s="746" t="e">
        <f>SUM(IF(AND(#REF!=$B$456,#REF!&lt;&gt;0,#REF!=J218,#REF!&gt;0),#REF!,0),IF(AND(#REF!=$B$456,#REF!&lt;&gt;0,#REF!=J218,#REF!&gt;0),#REF!,0),IF(AND(#REF!=$B$456,#REF!&lt;&gt;0,#REF!=J218,#REF!&gt;0),#REF!,0),IF(AND(#REF!=$B$456,#REF!&lt;&gt;0,#REF!=J218,#REF!&gt;0),#REF!,0),IF(AND(#REF!=$B$456,#REF!&lt;&gt;0,#REF!=J218,#REF!&gt;0),#REF!,0),IF(AND(#REF!=$B$456,#REF!&lt;&gt;0,#REF!=J218,#REF!&gt;0),#REF!,0))</f>
        <v>#REF!</v>
      </c>
      <c r="K234" s="746" t="e">
        <f>SUM(IF(AND(#REF!=$B$456,#REF!&lt;&gt;0,#REF!=K218,#REF!&gt;0),#REF!,0),IF(AND(#REF!=$B$456,#REF!&lt;&gt;0,#REF!=K218,#REF!&gt;0),#REF!,0),IF(AND(#REF!=$B$456,#REF!&lt;&gt;0,#REF!=K218,#REF!&gt;0),#REF!,0),IF(AND(#REF!=$B$456,#REF!&lt;&gt;0,#REF!=K218,#REF!&gt;0),#REF!,0),IF(AND(#REF!=$B$456,#REF!&lt;&gt;0,#REF!=K218,#REF!&gt;0),#REF!,0),IF(AND(#REF!=$B$456,#REF!&lt;&gt;0,#REF!=K218,#REF!&gt;0),#REF!,0))</f>
        <v>#REF!</v>
      </c>
      <c r="L234" s="746" t="e">
        <f>SUM(IF(AND(#REF!=$B$456,#REF!&lt;&gt;0,#REF!=L218,#REF!&gt;0),#REF!,0),IF(AND(#REF!=$B$456,#REF!&lt;&gt;0,#REF!=L218,#REF!&gt;0),#REF!,0),IF(AND(#REF!=$B$456,#REF!&lt;&gt;0,#REF!=L218,#REF!&gt;0),#REF!,0),IF(AND(#REF!=$B$456,#REF!&lt;&gt;0,#REF!=L218,#REF!&gt;0),#REF!,0),IF(AND(#REF!=$B$456,#REF!&lt;&gt;0,#REF!=L218,#REF!&gt;0),#REF!,0),IF(AND(#REF!=$B$456,#REF!&lt;&gt;0,#REF!=L218,#REF!&gt;0),#REF!,0))</f>
        <v>#REF!</v>
      </c>
      <c r="M234" s="746" t="e">
        <f>SUM(IF(AND(#REF!=$B$456,#REF!&lt;&gt;0,#REF!=M218,#REF!&gt;0),#REF!,0),IF(AND(#REF!=$B$456,#REF!&lt;&gt;0,#REF!=M218,#REF!&gt;0),#REF!,0),IF(AND(#REF!=$B$456,#REF!&lt;&gt;0,#REF!=M218,#REF!&gt;0),#REF!,0),IF(AND(#REF!=$B$456,#REF!&lt;&gt;0,#REF!=M218,#REF!&gt;0),#REF!,0),IF(AND(#REF!=$B$456,#REF!&lt;&gt;0,#REF!=M218,#REF!&gt;0),#REF!,0),IF(AND(#REF!=$B$456,#REF!&lt;&gt;0,#REF!=M218,#REF!&gt;0),#REF!,0))</f>
        <v>#REF!</v>
      </c>
      <c r="N234" s="746" t="e">
        <f>SUM(IF(AND(#REF!=$B$456,#REF!&lt;&gt;0,#REF!=N218,#REF!&gt;0),#REF!,0),IF(AND(#REF!=$B$456,#REF!&lt;&gt;0,#REF!=N218,#REF!&gt;0),#REF!,0),IF(AND(#REF!=$B$456,#REF!&lt;&gt;0,#REF!=N218,#REF!&gt;0),#REF!,0),IF(AND(#REF!=$B$456,#REF!&lt;&gt;0,#REF!=N218,#REF!&gt;0),#REF!,0),IF(AND(#REF!=$B$456,#REF!&lt;&gt;0,#REF!=N218,#REF!&gt;0),#REF!,0),IF(AND(#REF!=$B$456,#REF!&lt;&gt;0,#REF!=N218,#REF!&gt;0),#REF!,0))</f>
        <v>#REF!</v>
      </c>
      <c r="O234" s="746" t="e">
        <f>SUM(IF(AND(#REF!=$B$456,#REF!&lt;&gt;0,#REF!=O218,#REF!&gt;0),#REF!,0),IF(AND(#REF!=$B$456,#REF!&lt;&gt;0,#REF!=O218,#REF!&gt;0),#REF!,0),IF(AND(#REF!=$B$456,#REF!&lt;&gt;0,#REF!=O218,#REF!&gt;0),#REF!,0),IF(AND(#REF!=$B$456,#REF!&lt;&gt;0,#REF!=O218,#REF!&gt;0),#REF!,0),IF(AND(#REF!=$B$456,#REF!&lt;&gt;0,#REF!=O218,#REF!&gt;0),#REF!,0),IF(AND(#REF!=$B$456,#REF!&lt;&gt;0,#REF!=O218,#REF!&gt;0),#REF!,0))</f>
        <v>#REF!</v>
      </c>
      <c r="P234" s="746" t="e">
        <f>SUM(IF(AND(#REF!=$B$456,#REF!&lt;&gt;0,#REF!=P218,#REF!&gt;0),#REF!,0),IF(AND(#REF!=$B$456,#REF!&lt;&gt;0,#REF!=P218,#REF!&gt;0),#REF!,0),IF(AND(#REF!=$B$456,#REF!&lt;&gt;0,#REF!=P218,#REF!&gt;0),#REF!,0),IF(AND(#REF!=$B$456,#REF!&lt;&gt;0,#REF!=P218,#REF!&gt;0),#REF!,0),IF(AND(#REF!=$B$456,#REF!&lt;&gt;0,#REF!=P218,#REF!&gt;0),#REF!,0),IF(AND(#REF!=$B$456,#REF!&lt;&gt;0,#REF!=P218,#REF!&gt;0),#REF!,0))</f>
        <v>#REF!</v>
      </c>
      <c r="Q234" s="746" t="e">
        <f>SUM(IF(AND(#REF!=$B$456,#REF!&lt;&gt;0,#REF!=Q218,#REF!&gt;0),#REF!,0),IF(AND(#REF!=$B$456,#REF!&lt;&gt;0,#REF!=Q218,#REF!&gt;0),#REF!,0),IF(AND(#REF!=$B$456,#REF!&lt;&gt;0,#REF!=Q218,#REF!&gt;0),#REF!,0),IF(AND(#REF!=$B$456,#REF!&lt;&gt;0,#REF!=Q218,#REF!&gt;0),#REF!,0),IF(AND(#REF!=$B$456,#REF!&lt;&gt;0,#REF!=Q218,#REF!&gt;0),#REF!,0),IF(AND(#REF!=$B$456,#REF!&lt;&gt;0,#REF!=Q218,#REF!&gt;0),#REF!,0))</f>
        <v>#REF!</v>
      </c>
      <c r="R234" s="746" t="e">
        <f>SUM(IF(AND(#REF!=$B$456,#REF!&lt;&gt;0,#REF!=R218,#REF!&gt;0),#REF!,0),IF(AND(#REF!=$B$456,#REF!&lt;&gt;0,#REF!=R218,#REF!&gt;0),#REF!,0),IF(AND(#REF!=$B$456,#REF!&lt;&gt;0,#REF!=R218,#REF!&gt;0),#REF!,0),IF(AND(#REF!=$B$456,#REF!&lt;&gt;0,#REF!=R218,#REF!&gt;0),#REF!,0),IF(AND(#REF!=$B$456,#REF!&lt;&gt;0,#REF!=R218,#REF!&gt;0),#REF!,0),IF(AND(#REF!=$B$456,#REF!&lt;&gt;0,#REF!=R218,#REF!&gt;0),#REF!,0))</f>
        <v>#REF!</v>
      </c>
    </row>
    <row r="235" spans="1:79" s="776" customFormat="1" ht="13.5" thickBot="1" x14ac:dyDescent="0.3">
      <c r="A235" s="771"/>
      <c r="B235" s="772"/>
      <c r="C235" s="773"/>
      <c r="D235" s="500"/>
      <c r="E235" s="773"/>
      <c r="F235" s="500"/>
      <c r="G235" s="774"/>
      <c r="H235" s="773"/>
      <c r="I235" s="775"/>
      <c r="J235" s="775"/>
      <c r="K235" s="775"/>
      <c r="L235" s="775"/>
      <c r="M235" s="775"/>
      <c r="N235" s="775"/>
      <c r="O235" s="775"/>
      <c r="P235" s="775"/>
      <c r="Q235" s="775"/>
      <c r="S235" s="496"/>
      <c r="T235" s="496"/>
      <c r="U235" s="496"/>
      <c r="V235" s="496"/>
      <c r="W235" s="496"/>
      <c r="X235" s="496"/>
      <c r="Y235" s="496"/>
      <c r="Z235" s="496"/>
      <c r="AA235" s="496"/>
      <c r="AB235" s="496"/>
      <c r="AC235" s="496"/>
      <c r="AD235" s="496"/>
      <c r="AE235" s="496"/>
      <c r="AF235" s="496"/>
      <c r="AG235" s="496"/>
      <c r="AH235" s="496"/>
      <c r="AI235" s="496"/>
      <c r="AJ235" s="496"/>
      <c r="AK235" s="496"/>
      <c r="AL235" s="496"/>
      <c r="AM235" s="496"/>
      <c r="AN235" s="496"/>
      <c r="AO235" s="496"/>
      <c r="AP235" s="496"/>
      <c r="AQ235" s="496"/>
      <c r="AR235" s="496"/>
      <c r="AS235" s="496"/>
      <c r="AT235" s="496"/>
      <c r="AU235" s="496"/>
      <c r="AV235" s="496"/>
      <c r="AW235" s="496"/>
      <c r="AX235" s="496"/>
      <c r="AY235" s="496"/>
      <c r="AZ235" s="496"/>
      <c r="BA235" s="496"/>
      <c r="BB235" s="496"/>
      <c r="BC235" s="496"/>
      <c r="BD235" s="496"/>
      <c r="BE235" s="496"/>
      <c r="BF235" s="496"/>
      <c r="BG235" s="496"/>
      <c r="BH235" s="496"/>
      <c r="BI235" s="496"/>
      <c r="BJ235" s="496"/>
      <c r="BK235" s="496"/>
      <c r="BL235" s="496"/>
      <c r="BM235" s="496"/>
      <c r="BN235" s="496"/>
      <c r="BO235" s="496"/>
      <c r="BP235" s="496"/>
      <c r="BQ235" s="496"/>
      <c r="BR235" s="496"/>
      <c r="BS235" s="496"/>
      <c r="BT235" s="496"/>
      <c r="BU235" s="496"/>
      <c r="BV235" s="496"/>
      <c r="BW235" s="496"/>
      <c r="BX235" s="496"/>
      <c r="BY235" s="496"/>
      <c r="BZ235" s="496"/>
      <c r="CA235" s="496"/>
    </row>
    <row r="236" spans="1:79" ht="15.75" thickTop="1" x14ac:dyDescent="0.25"/>
    <row r="237" spans="1:79" x14ac:dyDescent="0.25"/>
    <row r="238" spans="1:79" x14ac:dyDescent="0.25"/>
    <row r="239" spans="1:79" x14ac:dyDescent="0.25"/>
    <row r="240" spans="1:79"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x14ac:dyDescent="0.25"/>
    <row r="850" x14ac:dyDescent="0.25"/>
    <row r="851" x14ac:dyDescent="0.25"/>
    <row r="852" x14ac:dyDescent="0.25"/>
    <row r="853" x14ac:dyDescent="0.25"/>
    <row r="854" x14ac:dyDescent="0.25"/>
    <row r="855" x14ac:dyDescent="0.25"/>
    <row r="856" x14ac:dyDescent="0.25"/>
    <row r="857" x14ac:dyDescent="0.25"/>
    <row r="858" x14ac:dyDescent="0.25"/>
    <row r="859" x14ac:dyDescent="0.25"/>
    <row r="860" x14ac:dyDescent="0.25"/>
    <row r="861" x14ac:dyDescent="0.25"/>
    <row r="862" x14ac:dyDescent="0.25"/>
    <row r="863" x14ac:dyDescent="0.25"/>
    <row r="864" x14ac:dyDescent="0.25"/>
    <row r="865" x14ac:dyDescent="0.25"/>
    <row r="866" x14ac:dyDescent="0.25"/>
    <row r="867" x14ac:dyDescent="0.25"/>
    <row r="868" x14ac:dyDescent="0.25"/>
    <row r="869" x14ac:dyDescent="0.25"/>
    <row r="870" x14ac:dyDescent="0.25"/>
    <row r="871" x14ac:dyDescent="0.25"/>
    <row r="872" x14ac:dyDescent="0.25"/>
    <row r="873" x14ac:dyDescent="0.25"/>
    <row r="874" x14ac:dyDescent="0.25"/>
    <row r="875" x14ac:dyDescent="0.25"/>
    <row r="876" x14ac:dyDescent="0.25"/>
    <row r="877" x14ac:dyDescent="0.25"/>
    <row r="878" x14ac:dyDescent="0.25"/>
    <row r="879" x14ac:dyDescent="0.25"/>
    <row r="880"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row r="1001" x14ac:dyDescent="0.25"/>
    <row r="1002" x14ac:dyDescent="0.25"/>
    <row r="1003" x14ac:dyDescent="0.25"/>
    <row r="1004" x14ac:dyDescent="0.25"/>
    <row r="1005" x14ac:dyDescent="0.25"/>
    <row r="1006" x14ac:dyDescent="0.25"/>
    <row r="1007" x14ac:dyDescent="0.25"/>
    <row r="1008" x14ac:dyDescent="0.25"/>
    <row r="1009" x14ac:dyDescent="0.25"/>
    <row r="1010" x14ac:dyDescent="0.25"/>
    <row r="1011" x14ac:dyDescent="0.25"/>
    <row r="1012" x14ac:dyDescent="0.25"/>
    <row r="1013" x14ac:dyDescent="0.25"/>
    <row r="1014" x14ac:dyDescent="0.25"/>
    <row r="1015" x14ac:dyDescent="0.25"/>
    <row r="1016" x14ac:dyDescent="0.25"/>
    <row r="1017" x14ac:dyDescent="0.25"/>
    <row r="1018" x14ac:dyDescent="0.25"/>
    <row r="1019" x14ac:dyDescent="0.25"/>
    <row r="1020" x14ac:dyDescent="0.25"/>
    <row r="1021" x14ac:dyDescent="0.25"/>
    <row r="1022" x14ac:dyDescent="0.25"/>
    <row r="1023" x14ac:dyDescent="0.25"/>
    <row r="1024" x14ac:dyDescent="0.25"/>
    <row r="1025" x14ac:dyDescent="0.25"/>
    <row r="1026" x14ac:dyDescent="0.25"/>
    <row r="1027" x14ac:dyDescent="0.25"/>
    <row r="1028" x14ac:dyDescent="0.25"/>
    <row r="1029" x14ac:dyDescent="0.25"/>
    <row r="1030" x14ac:dyDescent="0.25"/>
    <row r="1031" x14ac:dyDescent="0.25"/>
    <row r="1032" x14ac:dyDescent="0.25"/>
    <row r="1033" x14ac:dyDescent="0.25"/>
    <row r="1034" x14ac:dyDescent="0.25"/>
    <row r="1035" x14ac:dyDescent="0.25"/>
    <row r="1036" x14ac:dyDescent="0.25"/>
    <row r="1037" x14ac:dyDescent="0.25"/>
    <row r="1038" x14ac:dyDescent="0.25"/>
    <row r="1039" x14ac:dyDescent="0.25"/>
    <row r="1040" x14ac:dyDescent="0.25"/>
    <row r="1041" x14ac:dyDescent="0.25"/>
    <row r="1042" x14ac:dyDescent="0.25"/>
    <row r="1043" x14ac:dyDescent="0.25"/>
    <row r="1044" x14ac:dyDescent="0.25"/>
    <row r="1045" x14ac:dyDescent="0.25"/>
  </sheetData>
  <sheetProtection password="D5B5" sheet="1" objects="1" scenarios="1"/>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1"/>
  <dimension ref="A1:DZ1045"/>
  <sheetViews>
    <sheetView showGridLines="0" showRowColHeaders="0" zoomScale="70" zoomScaleNormal="70" workbookViewId="0">
      <pane ySplit="17" topLeftCell="A34" activePane="bottomLeft" state="frozen"/>
      <selection pane="bottomLeft" activeCell="H34" sqref="A34:XFD34"/>
    </sheetView>
  </sheetViews>
  <sheetFormatPr baseColWidth="10" defaultColWidth="0" defaultRowHeight="12.95" customHeight="1" zeroHeight="1" x14ac:dyDescent="0.2"/>
  <cols>
    <col min="1" max="1" width="5.5703125" style="507" customWidth="1"/>
    <col min="2" max="2" width="76.5703125" style="603" customWidth="1"/>
    <col min="3" max="3" width="15.28515625" style="603" customWidth="1"/>
    <col min="4" max="4" width="8.28515625" style="603" customWidth="1"/>
    <col min="5" max="5" width="15.28515625" style="603" customWidth="1"/>
    <col min="6" max="7" width="8.28515625" style="603" customWidth="1"/>
    <col min="8" max="8" width="15.140625" style="603" customWidth="1"/>
    <col min="9" max="10" width="8.28515625" style="2216" customWidth="1"/>
    <col min="11" max="11" width="15.28515625" style="2216" customWidth="1"/>
    <col min="12" max="12" width="8.28515625" style="603" customWidth="1"/>
    <col min="13" max="13" width="8.28515625" style="2217" customWidth="1"/>
    <col min="14" max="14" width="15.28515625" style="2216" customWidth="1"/>
    <col min="15" max="15" width="16.85546875" style="603" customWidth="1"/>
    <col min="16" max="16" width="8.28515625" style="2217" customWidth="1"/>
    <col min="17" max="17" width="15.28515625" style="2217" customWidth="1"/>
    <col min="18" max="18" width="8.28515625" style="603" customWidth="1"/>
    <col min="19" max="19" width="9.28515625" style="603" customWidth="1"/>
    <col min="20" max="26" width="15.28515625" style="603" customWidth="1"/>
    <col min="27" max="33" width="15.140625" style="603" customWidth="1"/>
    <col min="34" max="34" width="16.42578125" style="603" customWidth="1"/>
    <col min="35" max="35" width="15.140625" style="603" customWidth="1"/>
    <col min="36" max="36" width="8.140625" style="603" customWidth="1"/>
    <col min="37" max="37" width="13.85546875" style="2218" customWidth="1"/>
    <col min="38" max="38" width="6.85546875" style="2218" bestFit="1" customWidth="1"/>
    <col min="39" max="39" width="86.42578125" style="2218" bestFit="1" customWidth="1"/>
    <col min="40" max="40" width="8" style="2218" bestFit="1" customWidth="1"/>
    <col min="41" max="41" width="4" style="603" bestFit="1" customWidth="1"/>
    <col min="42" max="42" width="11.7109375" style="603" customWidth="1"/>
    <col min="43" max="43" width="4" style="603" bestFit="1" customWidth="1"/>
    <col min="44" max="44" width="4.28515625" style="603" bestFit="1" customWidth="1"/>
    <col min="45" max="45" width="12.140625" style="603" bestFit="1" customWidth="1"/>
    <col min="46" max="46" width="4" style="603" bestFit="1" customWidth="1"/>
    <col min="47" max="47" width="9.42578125" style="603" customWidth="1"/>
    <col min="48" max="48" width="11.42578125" style="603" customWidth="1"/>
    <col min="49" max="49" width="4" style="603" bestFit="1" customWidth="1"/>
    <col min="50" max="50" width="6.140625" style="603" customWidth="1"/>
    <col min="51" max="51" width="12.28515625" style="603" customWidth="1"/>
    <col min="52" max="52" width="6.7109375" style="603" customWidth="1"/>
    <col min="53" max="53" width="53.42578125" style="603" bestFit="1" customWidth="1"/>
    <col min="54" max="54" width="18.28515625" style="603" bestFit="1" customWidth="1"/>
    <col min="55" max="55" width="4" style="603" bestFit="1" customWidth="1"/>
    <col min="56" max="56" width="8" style="603" bestFit="1" customWidth="1"/>
    <col min="57" max="72" width="14.7109375" style="603" bestFit="1" customWidth="1"/>
    <col min="73" max="77" width="13.85546875" style="603" customWidth="1"/>
    <col min="78" max="78" width="69.7109375" style="603" bestFit="1" customWidth="1"/>
    <col min="79" max="79" width="19" style="603" customWidth="1"/>
    <col min="80" max="80" width="10" style="603" customWidth="1"/>
    <col min="81" max="82" width="18.5703125" style="603" bestFit="1" customWidth="1"/>
    <col min="83" max="83" width="9" style="603" bestFit="1" customWidth="1"/>
    <col min="84" max="84" width="19" style="603" customWidth="1"/>
    <col min="85" max="85" width="12.85546875" style="603" customWidth="1"/>
    <col min="86" max="86" width="12.5703125" style="603" customWidth="1"/>
    <col min="87" max="87" width="16.140625" style="603" customWidth="1"/>
    <col min="88" max="89" width="9" style="603" bestFit="1" customWidth="1"/>
    <col min="90" max="90" width="16.28515625" style="603" customWidth="1"/>
    <col min="91" max="92" width="9" style="603" bestFit="1" customWidth="1"/>
    <col min="93" max="93" width="15.5703125" style="603" bestFit="1" customWidth="1"/>
    <col min="94" max="95" width="10.85546875" style="603" bestFit="1" customWidth="1"/>
    <col min="96" max="96" width="15.5703125" style="603" bestFit="1" customWidth="1"/>
    <col min="97" max="98" width="10.85546875" style="603" bestFit="1" customWidth="1"/>
    <col min="99" max="99" width="15.5703125" style="603" bestFit="1" customWidth="1"/>
    <col min="100" max="101" width="10.85546875" style="603" bestFit="1" customWidth="1"/>
    <col min="102" max="102" width="15.5703125" style="603" bestFit="1" customWidth="1"/>
    <col min="103" max="104" width="10.85546875" style="603" bestFit="1" customWidth="1"/>
    <col min="105" max="105" width="15.5703125" style="603" bestFit="1" customWidth="1"/>
    <col min="106" max="107" width="10.85546875" style="603" bestFit="1" customWidth="1"/>
    <col min="108" max="108" width="15.5703125" style="603" bestFit="1" customWidth="1"/>
    <col min="109" max="110" width="10.85546875" style="603" bestFit="1" customWidth="1"/>
    <col min="111" max="111" width="16.85546875" style="603" bestFit="1" customWidth="1"/>
    <col min="112" max="113" width="10.85546875" style="603" bestFit="1" customWidth="1"/>
    <col min="114" max="114" width="16.28515625" style="603" bestFit="1" customWidth="1"/>
    <col min="115" max="116" width="10.85546875" style="603" bestFit="1" customWidth="1"/>
    <col min="117" max="117" width="16.85546875" style="603" bestFit="1" customWidth="1"/>
    <col min="118" max="119" width="10.85546875" style="603" bestFit="1" customWidth="1"/>
    <col min="120" max="120" width="16.28515625" style="603" bestFit="1" customWidth="1"/>
    <col min="121" max="121" width="10.85546875" style="603" bestFit="1" customWidth="1"/>
    <col min="122" max="122" width="8.42578125" style="603" bestFit="1" customWidth="1"/>
    <col min="123" max="123" width="16.85546875" style="603" bestFit="1" customWidth="1"/>
    <col min="124" max="125" width="10.85546875" style="603" bestFit="1" customWidth="1"/>
    <col min="126" max="126" width="16.85546875" style="603" bestFit="1" customWidth="1"/>
    <col min="127" max="128" width="10.85546875" style="603" bestFit="1" customWidth="1"/>
    <col min="129" max="130" width="13.85546875" style="603" customWidth="1"/>
    <col min="131" max="16384" width="11.42578125" style="603" hidden="1"/>
  </cols>
  <sheetData>
    <row r="1" spans="1:59" s="496" customFormat="1" ht="15" x14ac:dyDescent="0.25">
      <c r="A1"/>
      <c r="B1"/>
      <c r="C1" s="568"/>
      <c r="D1" s="777"/>
      <c r="I1" s="495"/>
      <c r="J1" s="495"/>
      <c r="K1" s="495"/>
      <c r="M1" s="500"/>
      <c r="N1" s="495"/>
      <c r="P1" s="500"/>
      <c r="AD1" s="497"/>
      <c r="AE1" s="497"/>
      <c r="AJ1" s="778"/>
      <c r="AK1" s="497"/>
      <c r="AL1" s="497"/>
      <c r="BD1"/>
      <c r="BE1"/>
      <c r="BF1"/>
    </row>
    <row r="2" spans="1:59" s="496" customFormat="1" ht="15" x14ac:dyDescent="0.25">
      <c r="A2"/>
      <c r="B2"/>
      <c r="C2" s="779" t="str">
        <f>IF(Resumen!$K$5=Resumen!$A$88,"FLUJO "&amp;LEFT(Q16,3)&amp;". "&amp;TEXT(Q15,"0.00")&amp;" CONTRA:",IF(OR(AND(Q18=0,Q71=0),AND(Q18=0,Q71=0),AND(K18=0,K71=0),AND(K18=0,K71=0)),0,"FLUJO "&amp;LEFT(Q16,3)&amp;". "&amp;TEXT(Q15,"0.00")&amp;" CONTRA:"))</f>
        <v>FLUJO Jun. 2.021 CONTRA:</v>
      </c>
      <c r="D2" s="568"/>
      <c r="I2" s="495"/>
      <c r="J2" s="495"/>
      <c r="K2" s="495"/>
      <c r="M2" s="500"/>
      <c r="N2" s="495"/>
      <c r="P2" s="500"/>
      <c r="AD2" s="497"/>
      <c r="AE2" s="497"/>
      <c r="AJ2" s="778"/>
      <c r="AK2" s="497"/>
      <c r="AL2" s="497"/>
      <c r="BD2"/>
      <c r="BE2"/>
      <c r="BF2"/>
    </row>
    <row r="3" spans="1:59" s="496" customFormat="1" ht="15" hidden="1" x14ac:dyDescent="0.25">
      <c r="A3"/>
      <c r="B3"/>
      <c r="C3" s="780"/>
      <c r="D3" s="568"/>
      <c r="I3" s="495"/>
      <c r="J3" s="495"/>
      <c r="K3" s="495"/>
      <c r="M3" s="500"/>
      <c r="N3" s="495"/>
      <c r="P3" s="500"/>
      <c r="AD3" s="497"/>
      <c r="AE3" s="497"/>
      <c r="AJ3" s="778"/>
      <c r="AK3" s="497"/>
      <c r="AL3" s="497"/>
      <c r="BD3"/>
      <c r="BE3"/>
      <c r="BF3"/>
    </row>
    <row r="4" spans="1:59" s="496" customFormat="1" ht="15" hidden="1" x14ac:dyDescent="0.25">
      <c r="A4"/>
      <c r="B4"/>
      <c r="C4" s="777"/>
      <c r="D4" s="777"/>
      <c r="I4" s="495"/>
      <c r="J4" s="495"/>
      <c r="K4" s="495"/>
      <c r="M4" s="500"/>
      <c r="N4" s="495"/>
      <c r="P4" s="500"/>
      <c r="AD4" s="497"/>
      <c r="AE4" s="497"/>
      <c r="AJ4" s="778"/>
      <c r="AK4" s="497"/>
      <c r="AL4" s="497"/>
      <c r="BD4"/>
      <c r="BE4"/>
      <c r="BF4"/>
    </row>
    <row r="5" spans="1:59" s="496" customFormat="1" ht="15" hidden="1" x14ac:dyDescent="0.25">
      <c r="A5"/>
      <c r="B5"/>
      <c r="C5" s="568"/>
      <c r="D5" s="568"/>
      <c r="I5" s="495"/>
      <c r="J5" s="495"/>
      <c r="K5" s="495"/>
      <c r="M5" s="500"/>
      <c r="N5" s="495"/>
      <c r="P5" s="500"/>
      <c r="AD5" s="497"/>
      <c r="AE5" s="497"/>
      <c r="AJ5" s="778"/>
      <c r="AK5" s="497"/>
      <c r="AL5" s="497"/>
      <c r="BD5"/>
      <c r="BE5"/>
      <c r="BF5"/>
    </row>
    <row r="6" spans="1:59" s="496" customFormat="1" ht="15" hidden="1" x14ac:dyDescent="0.25">
      <c r="A6"/>
      <c r="B6"/>
      <c r="C6" s="568"/>
      <c r="D6" s="568"/>
      <c r="I6" s="495"/>
      <c r="J6" s="495"/>
      <c r="K6" s="495"/>
      <c r="M6" s="500"/>
      <c r="N6" s="495"/>
      <c r="P6" s="500"/>
      <c r="AD6" s="497"/>
      <c r="AE6" s="497"/>
      <c r="AJ6" s="778"/>
      <c r="AK6" s="497"/>
      <c r="AL6" s="497"/>
      <c r="BD6"/>
      <c r="BE6"/>
      <c r="BF6"/>
    </row>
    <row r="7" spans="1:59" s="496" customFormat="1" ht="15" hidden="1" x14ac:dyDescent="0.25">
      <c r="A7"/>
      <c r="B7"/>
      <c r="H7" s="495"/>
      <c r="I7" s="495"/>
      <c r="J7" s="495"/>
      <c r="K7" s="495"/>
      <c r="M7" s="500"/>
      <c r="N7" s="495"/>
      <c r="P7" s="500"/>
      <c r="Q7" s="495"/>
      <c r="R7" s="495"/>
      <c r="S7" s="495"/>
      <c r="T7" s="495"/>
      <c r="U7" s="495"/>
      <c r="V7" s="495"/>
      <c r="W7" s="495"/>
      <c r="X7" s="495"/>
      <c r="Y7" s="495"/>
      <c r="Z7" s="495"/>
      <c r="AA7" s="495"/>
      <c r="AD7" s="497"/>
      <c r="AE7" s="497"/>
      <c r="AJ7" s="778"/>
      <c r="AK7" s="497"/>
      <c r="AL7" s="497"/>
      <c r="BD7"/>
      <c r="BE7"/>
      <c r="BF7"/>
    </row>
    <row r="8" spans="1:59" s="496" customFormat="1" ht="15" hidden="1" x14ac:dyDescent="0.25">
      <c r="A8"/>
      <c r="B8"/>
      <c r="H8" s="495"/>
      <c r="I8" s="495"/>
      <c r="J8" s="495"/>
      <c r="K8" s="495"/>
      <c r="M8" s="500"/>
      <c r="N8" s="495"/>
      <c r="P8" s="500"/>
      <c r="Q8" s="495"/>
      <c r="R8" s="495"/>
      <c r="S8" s="495"/>
      <c r="T8" s="495"/>
      <c r="U8" s="495"/>
      <c r="V8" s="495"/>
      <c r="W8" s="495"/>
      <c r="X8" s="495"/>
      <c r="Y8" s="495"/>
      <c r="Z8" s="495"/>
      <c r="AA8" s="495"/>
      <c r="AD8" s="497"/>
      <c r="AE8" s="497"/>
      <c r="AJ8" s="778"/>
      <c r="AK8" s="497"/>
      <c r="AL8" s="497"/>
      <c r="BD8"/>
      <c r="BE8"/>
      <c r="BF8"/>
    </row>
    <row r="9" spans="1:59" s="496" customFormat="1" ht="15" hidden="1" x14ac:dyDescent="0.25">
      <c r="A9"/>
      <c r="B9"/>
      <c r="H9" s="495"/>
      <c r="I9" s="495"/>
      <c r="J9" s="495"/>
      <c r="K9" s="495"/>
      <c r="M9" s="500"/>
      <c r="N9" s="495"/>
      <c r="P9" s="500"/>
      <c r="Q9" s="495"/>
      <c r="R9" s="495"/>
      <c r="S9" s="495"/>
      <c r="T9" s="495"/>
      <c r="U9" s="495"/>
      <c r="V9" s="495"/>
      <c r="W9" s="495"/>
      <c r="X9" s="495"/>
      <c r="Y9" s="495"/>
      <c r="Z9" s="495"/>
      <c r="AA9" s="495"/>
      <c r="AD9" s="497"/>
      <c r="AE9" s="497"/>
      <c r="AJ9" s="778"/>
      <c r="AK9" s="497"/>
      <c r="AL9" s="497"/>
      <c r="BD9"/>
      <c r="BE9"/>
      <c r="BF9"/>
    </row>
    <row r="10" spans="1:59" s="496" customFormat="1" ht="15" hidden="1" x14ac:dyDescent="0.25">
      <c r="A10"/>
      <c r="B10"/>
      <c r="H10" s="495"/>
      <c r="I10" s="495"/>
      <c r="J10" s="495"/>
      <c r="K10" s="495"/>
      <c r="M10" s="500"/>
      <c r="N10" s="495"/>
      <c r="P10" s="500"/>
      <c r="Q10" s="495"/>
      <c r="R10" s="495"/>
      <c r="S10" s="495"/>
      <c r="T10" s="495"/>
      <c r="U10" s="495"/>
      <c r="V10" s="495"/>
      <c r="W10" s="495"/>
      <c r="X10" s="495"/>
      <c r="Y10" s="495"/>
      <c r="Z10" s="495"/>
      <c r="AA10" s="495"/>
      <c r="AJ10" s="778"/>
      <c r="BD10"/>
      <c r="BE10"/>
      <c r="BF10"/>
    </row>
    <row r="11" spans="1:59" s="496" customFormat="1" ht="15" hidden="1" x14ac:dyDescent="0.25">
      <c r="A11" s="498"/>
      <c r="H11" s="781"/>
      <c r="K11" s="495"/>
      <c r="M11" s="500"/>
      <c r="N11" s="495"/>
      <c r="AJ11" s="778"/>
      <c r="AK11" s="497"/>
      <c r="AL11" s="497"/>
      <c r="BD11"/>
      <c r="BE11"/>
      <c r="BF11"/>
    </row>
    <row r="12" spans="1:59" s="496" customFormat="1" ht="15" hidden="1" x14ac:dyDescent="0.25">
      <c r="A12" s="498"/>
      <c r="E12" s="497"/>
      <c r="I12" s="495"/>
      <c r="J12" s="495"/>
      <c r="K12" s="495"/>
      <c r="M12" s="500"/>
      <c r="N12" s="496">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300</v>
      </c>
      <c r="P12" s="500"/>
      <c r="S12" s="500"/>
      <c r="V12" s="495"/>
      <c r="W12" s="495"/>
      <c r="X12" s="495"/>
      <c r="Y12" s="495"/>
      <c r="Z12" s="495"/>
      <c r="AA12" s="495"/>
      <c r="AB12" s="495"/>
      <c r="AC12" s="495"/>
      <c r="AD12" s="495"/>
      <c r="AJ12" s="778"/>
      <c r="AK12" s="497"/>
      <c r="AL12" s="497"/>
      <c r="BD12"/>
      <c r="BE12"/>
      <c r="BF12"/>
      <c r="BG12"/>
    </row>
    <row r="13" spans="1:59" s="496" customFormat="1" ht="15.75" x14ac:dyDescent="0.25">
      <c r="A13" s="498"/>
      <c r="B13" s="501" t="str">
        <f>"ANEXO - ESTADOS FINANCIEROS"&amp;IF($R$956&lt;&gt;$E$913," - CORTE "&amp;Q16,0)</f>
        <v>ANEXO - ESTADOS FINANCIEROS0</v>
      </c>
      <c r="C13" s="782" t="str">
        <f>"Miles de "&amp;Caratula1!AN3</f>
        <v>Miles de Lempira HNL</v>
      </c>
      <c r="E13" s="496">
        <f>IF('Balances y Proyecciones'!$Q$17=360,'Balances y Proyecciones'!$AP$757,'Balances y Proyecciones'!$AS$757)</f>
        <v>0.90064102564102566</v>
      </c>
      <c r="K13" s="495"/>
      <c r="M13" s="500"/>
      <c r="T13" s="502" t="str">
        <f>IF($W$241="SI","ESCENARIO "&amp;$V$242,0)</f>
        <v>ESCENARIO BASE</v>
      </c>
      <c r="AE13" s="630"/>
      <c r="AJ13" s="778"/>
      <c r="AK13" s="497"/>
      <c r="AL13" s="497"/>
      <c r="BD13"/>
      <c r="BE13"/>
      <c r="BF13"/>
    </row>
    <row r="14" spans="1:59" s="496" customFormat="1" ht="15.75" x14ac:dyDescent="0.25">
      <c r="A14" s="498"/>
      <c r="B14" s="504" t="str">
        <f>Presentación!A5</f>
        <v>Prueba Da 27.08.23</v>
      </c>
      <c r="C14" s="3186" t="str">
        <f>'Estados Financieros'!E9</f>
        <v>Tasas:  = 0, -  = 0, -  = 0,</v>
      </c>
      <c r="E14" s="783"/>
      <c r="I14" s="495"/>
      <c r="J14" s="495"/>
      <c r="K14" s="784" t="s">
        <v>1257</v>
      </c>
      <c r="M14" s="500"/>
      <c r="P14" s="500"/>
      <c r="Q14" s="784" t="s">
        <v>1257</v>
      </c>
      <c r="S14" s="500"/>
      <c r="T14" s="506" t="s">
        <v>1044</v>
      </c>
      <c r="U14" s="506" t="s">
        <v>1044</v>
      </c>
      <c r="V14" s="506" t="s">
        <v>1044</v>
      </c>
      <c r="W14" s="506" t="s">
        <v>1044</v>
      </c>
      <c r="X14" s="506" t="s">
        <v>1044</v>
      </c>
      <c r="Y14" s="506" t="s">
        <v>1044</v>
      </c>
      <c r="Z14" s="506" t="s">
        <v>1044</v>
      </c>
      <c r="AA14" s="506" t="s">
        <v>1044</v>
      </c>
      <c r="AB14" s="506" t="s">
        <v>1044</v>
      </c>
      <c r="AC14" s="506" t="s">
        <v>1044</v>
      </c>
      <c r="AD14" s="506" t="s">
        <v>1044</v>
      </c>
      <c r="AE14" s="506" t="s">
        <v>1044</v>
      </c>
      <c r="AF14" s="506" t="s">
        <v>1044</v>
      </c>
      <c r="AG14" s="506" t="s">
        <v>1044</v>
      </c>
      <c r="AH14" s="506" t="s">
        <v>1044</v>
      </c>
      <c r="AI14" s="506" t="s">
        <v>1044</v>
      </c>
      <c r="AJ14" s="778"/>
      <c r="AK14" s="497"/>
      <c r="AL14" s="497"/>
      <c r="BD14"/>
      <c r="BE14"/>
      <c r="BF14"/>
    </row>
    <row r="15" spans="1:59" s="496" customFormat="1" ht="20.25" x14ac:dyDescent="0.25">
      <c r="A15" s="507"/>
      <c r="B15" s="508" t="s">
        <v>536</v>
      </c>
      <c r="C15" s="509">
        <f>E15-1</f>
        <v>2018</v>
      </c>
      <c r="D15" s="511"/>
      <c r="E15" s="509">
        <f>'Estados Financieros'!E4</f>
        <v>2019</v>
      </c>
      <c r="F15" s="511"/>
      <c r="G15" s="511"/>
      <c r="H15" s="509">
        <f>E15+1</f>
        <v>2020</v>
      </c>
      <c r="I15" s="511"/>
      <c r="J15" s="511"/>
      <c r="K15" s="512">
        <f>'Estados Financieros'!I4</f>
        <v>2020</v>
      </c>
      <c r="L15" s="511"/>
      <c r="M15" s="511"/>
      <c r="N15" s="509">
        <f>H15+1</f>
        <v>2021</v>
      </c>
      <c r="O15" s="511"/>
      <c r="P15" s="511"/>
      <c r="Q15" s="512">
        <f>'Estados Financieros'!H4</f>
        <v>2021</v>
      </c>
      <c r="R15" s="511"/>
      <c r="S15" s="511"/>
      <c r="T15" s="512">
        <f>N15+1</f>
        <v>2022</v>
      </c>
      <c r="U15" s="512">
        <f t="shared" ref="U15:AI15" si="0">T15+1</f>
        <v>2023</v>
      </c>
      <c r="V15" s="512">
        <f t="shared" si="0"/>
        <v>2024</v>
      </c>
      <c r="W15" s="512">
        <f t="shared" si="0"/>
        <v>2025</v>
      </c>
      <c r="X15" s="512">
        <f t="shared" si="0"/>
        <v>2026</v>
      </c>
      <c r="Y15" s="512">
        <f t="shared" si="0"/>
        <v>2027</v>
      </c>
      <c r="Z15" s="512">
        <f t="shared" si="0"/>
        <v>2028</v>
      </c>
      <c r="AA15" s="512">
        <f t="shared" si="0"/>
        <v>2029</v>
      </c>
      <c r="AB15" s="512">
        <f t="shared" si="0"/>
        <v>2030</v>
      </c>
      <c r="AC15" s="512">
        <f t="shared" si="0"/>
        <v>2031</v>
      </c>
      <c r="AD15" s="512">
        <f t="shared" si="0"/>
        <v>2032</v>
      </c>
      <c r="AE15" s="512">
        <f t="shared" si="0"/>
        <v>2033</v>
      </c>
      <c r="AF15" s="512">
        <f t="shared" si="0"/>
        <v>2034</v>
      </c>
      <c r="AG15" s="512">
        <f t="shared" si="0"/>
        <v>2035</v>
      </c>
      <c r="AH15" s="512">
        <f t="shared" si="0"/>
        <v>2036</v>
      </c>
      <c r="AI15" s="512">
        <f t="shared" si="0"/>
        <v>2037</v>
      </c>
      <c r="AJ15" s="778"/>
      <c r="AK15" s="497"/>
      <c r="AL15" s="497"/>
      <c r="BD15"/>
      <c r="BE15"/>
      <c r="BF15"/>
    </row>
    <row r="16" spans="1:59" s="496" customFormat="1" ht="20.25" x14ac:dyDescent="0.25">
      <c r="A16" s="507"/>
      <c r="B16" s="513" t="s">
        <v>1045</v>
      </c>
      <c r="C16" s="514" t="str">
        <f>VLOOKUP(C17/30,$D$950:$F$961,3,0)</f>
        <v>DICIEMBRE</v>
      </c>
      <c r="D16" s="511"/>
      <c r="E16" s="514" t="str">
        <f>'Estados Financieros'!E8</f>
        <v>Diciembre</v>
      </c>
      <c r="H16" s="514" t="str">
        <f>'Estados Financieros'!F8</f>
        <v>Diciembre</v>
      </c>
      <c r="I16" s="495"/>
      <c r="J16" s="495"/>
      <c r="K16" s="514" t="str">
        <f>'Estados Financieros'!I8</f>
        <v>Junio</v>
      </c>
      <c r="M16" s="500"/>
      <c r="N16" s="514" t="str">
        <f>'Estados Financieros'!G8</f>
        <v>Diciembre</v>
      </c>
      <c r="P16" s="500"/>
      <c r="Q16" s="514" t="str">
        <f>'Estados Financieros'!H8</f>
        <v>Junio</v>
      </c>
      <c r="S16" s="500"/>
      <c r="T16" s="514" t="str">
        <f t="shared" ref="T16:AI16" si="1">VLOOKUP(T17/30,$D$950:$F$961,3,0)</f>
        <v>DICIEMBRE</v>
      </c>
      <c r="U16" s="514" t="str">
        <f t="shared" si="1"/>
        <v>DICIEMBRE</v>
      </c>
      <c r="V16" s="514" t="str">
        <f t="shared" si="1"/>
        <v>DICIEMBRE</v>
      </c>
      <c r="W16" s="514" t="str">
        <f t="shared" si="1"/>
        <v>DICIEMBRE</v>
      </c>
      <c r="X16" s="514" t="str">
        <f t="shared" si="1"/>
        <v>DICIEMBRE</v>
      </c>
      <c r="Y16" s="514" t="str">
        <f t="shared" si="1"/>
        <v>DICIEMBRE</v>
      </c>
      <c r="Z16" s="514" t="str">
        <f t="shared" si="1"/>
        <v>DICIEMBRE</v>
      </c>
      <c r="AA16" s="514" t="str">
        <f t="shared" si="1"/>
        <v>DICIEMBRE</v>
      </c>
      <c r="AB16" s="514" t="str">
        <f t="shared" si="1"/>
        <v>DICIEMBRE</v>
      </c>
      <c r="AC16" s="514" t="str">
        <f t="shared" si="1"/>
        <v>DICIEMBRE</v>
      </c>
      <c r="AD16" s="514" t="str">
        <f t="shared" si="1"/>
        <v>DICIEMBRE</v>
      </c>
      <c r="AE16" s="514" t="str">
        <f t="shared" si="1"/>
        <v>DICIEMBRE</v>
      </c>
      <c r="AF16" s="514" t="str">
        <f t="shared" si="1"/>
        <v>DICIEMBRE</v>
      </c>
      <c r="AG16" s="514" t="str">
        <f t="shared" si="1"/>
        <v>DICIEMBRE</v>
      </c>
      <c r="AH16" s="514" t="str">
        <f t="shared" si="1"/>
        <v>DICIEMBRE</v>
      </c>
      <c r="AI16" s="514" t="str">
        <f t="shared" si="1"/>
        <v>DICIEMBRE</v>
      </c>
      <c r="AJ16" s="778"/>
      <c r="AK16" s="497"/>
      <c r="AL16" s="497"/>
      <c r="BD16"/>
      <c r="BE16"/>
      <c r="BF16"/>
    </row>
    <row r="17" spans="1:58" s="496" customFormat="1" ht="15" x14ac:dyDescent="0.25">
      <c r="A17" s="507"/>
      <c r="B17" s="508" t="s">
        <v>871</v>
      </c>
      <c r="C17" s="516">
        <f>E17</f>
        <v>360</v>
      </c>
      <c r="D17" s="785" t="s">
        <v>1258</v>
      </c>
      <c r="E17" s="516">
        <f>'Estados Financieros'!E7</f>
        <v>360</v>
      </c>
      <c r="F17" s="786" t="s">
        <v>1258</v>
      </c>
      <c r="G17" s="787" t="s">
        <v>1259</v>
      </c>
      <c r="H17" s="516">
        <f>'Estados Financieros'!F7</f>
        <v>360</v>
      </c>
      <c r="I17" s="786" t="s">
        <v>1258</v>
      </c>
      <c r="J17" s="787" t="s">
        <v>1259</v>
      </c>
      <c r="K17" s="516">
        <f>'Estados Financieros'!I7</f>
        <v>180</v>
      </c>
      <c r="L17" s="786" t="s">
        <v>1258</v>
      </c>
      <c r="M17" s="787" t="s">
        <v>1259</v>
      </c>
      <c r="N17" s="516">
        <f>'Estados Financieros'!G7</f>
        <v>360</v>
      </c>
      <c r="O17" s="786" t="s">
        <v>1258</v>
      </c>
      <c r="P17" s="787" t="s">
        <v>1259</v>
      </c>
      <c r="Q17" s="516">
        <f>IF('Estados Financieros'!H178=0,360,'Estados Financieros'!H7)</f>
        <v>180</v>
      </c>
      <c r="R17" s="786" t="s">
        <v>1258</v>
      </c>
      <c r="S17" s="787" t="s">
        <v>1259</v>
      </c>
      <c r="T17" s="516">
        <v>360</v>
      </c>
      <c r="U17" s="516">
        <v>360</v>
      </c>
      <c r="V17" s="516">
        <v>360</v>
      </c>
      <c r="W17" s="516">
        <v>360</v>
      </c>
      <c r="X17" s="516">
        <v>360</v>
      </c>
      <c r="Y17" s="516">
        <v>360</v>
      </c>
      <c r="Z17" s="516">
        <v>360</v>
      </c>
      <c r="AA17" s="516">
        <v>360</v>
      </c>
      <c r="AB17" s="516">
        <v>360</v>
      </c>
      <c r="AC17" s="516">
        <v>360</v>
      </c>
      <c r="AD17" s="516">
        <v>360</v>
      </c>
      <c r="AE17" s="516">
        <v>360</v>
      </c>
      <c r="AF17" s="516">
        <v>360</v>
      </c>
      <c r="AG17" s="516">
        <v>360</v>
      </c>
      <c r="AH17" s="516">
        <v>360</v>
      </c>
      <c r="AI17" s="516">
        <v>360</v>
      </c>
      <c r="AJ17" s="778"/>
      <c r="AK17" s="497"/>
      <c r="AL17" s="497"/>
      <c r="BD17"/>
      <c r="BE17"/>
      <c r="BF17"/>
    </row>
    <row r="18" spans="1:58" s="496" customFormat="1" ht="15" x14ac:dyDescent="0.25">
      <c r="A18" s="518">
        <v>1</v>
      </c>
      <c r="B18" s="519" t="s">
        <v>904</v>
      </c>
      <c r="C18" s="788"/>
      <c r="D18" s="789"/>
      <c r="E18" s="520">
        <f>SUM('Estados Financieros'!E16,'Estados Financieros'!E26)</f>
        <v>390</v>
      </c>
      <c r="F18" s="790">
        <f t="shared" ref="F18:F34" si="2">IF(OR(E18=0,E$34=0),0,E18/E$34)</f>
        <v>0.10077519379844961</v>
      </c>
      <c r="G18" s="791"/>
      <c r="H18" s="520">
        <f>SUM('Estados Financieros'!F16,'Estados Financieros'!F26)</f>
        <v>390</v>
      </c>
      <c r="I18" s="790">
        <f t="shared" ref="I18:I34" si="3">IF(OR(H18=0,H$34=0),0,H18/H$34)</f>
        <v>0.10077519379844961</v>
      </c>
      <c r="J18" s="792">
        <f t="shared" ref="J18:J49" si="4">IF(OR(E18=0,H18=0),0,IF(ABS((H18/E18)-1)&gt;1000000%,0,(H18/E18)-1))</f>
        <v>0</v>
      </c>
      <c r="K18" s="520">
        <f>SUM('Estados Financieros'!I16,'Estados Financieros'!I26)</f>
        <v>390</v>
      </c>
      <c r="L18" s="790">
        <f t="shared" ref="L18:L34" si="5">IF(OR(K18=0,K$34=0),0,K18/K$34)</f>
        <v>0.10077519379844961</v>
      </c>
      <c r="M18" s="792">
        <f t="shared" ref="M18:M49" si="6">IF(OR(H18=0,K18=0),0,IF(ABS((K18/H18)-1)&gt;1000000%,0,(K18/H18)-1))</f>
        <v>0</v>
      </c>
      <c r="N18" s="520">
        <f>SUM('Estados Financieros'!G16,'Estados Financieros'!G26)</f>
        <v>390</v>
      </c>
      <c r="O18" s="790">
        <f t="shared" ref="O18:O34" si="7">IF(OR(N18=0,N$34=0),0,N18/N$34)</f>
        <v>0.10077519379844961</v>
      </c>
      <c r="P18" s="792">
        <f t="shared" ref="P18:P49" si="8">IF(OR(H18=0,N18=0),0,IF(ABS((N18/H18)-1)&gt;1000000%,0,(N18/H18)-1))</f>
        <v>0</v>
      </c>
      <c r="Q18" s="520">
        <f>SUM('Estados Financieros'!H16,'Estados Financieros'!H26)</f>
        <v>390</v>
      </c>
      <c r="R18" s="790">
        <f t="shared" ref="R18:R34" si="9">IF(OR(Q18=0,Q$34=0),0,Q18/Q$34)</f>
        <v>0.10077519379844961</v>
      </c>
      <c r="S18" s="792">
        <f t="shared" ref="S18:S49" si="10">IF(OR(N18=0,Q18=0),0,IF(ABS((Q18/N18)-1)&gt;1000000%,0,(Q18/N18)-1))</f>
        <v>0</v>
      </c>
      <c r="T18" s="522">
        <f>MAX(T923,SUM(T151,T153:T155,T159:T160,T165,T172:T173,T180,T191,T210,-N36,N18))</f>
        <v>1105.1659999999993</v>
      </c>
      <c r="U18" s="522">
        <f t="shared" ref="U18:AI18" si="11">MAX(U923,SUM(U151,U153:U155,U159:U160,U165,U172:U173,U180,U191,U210,-T36,T18))</f>
        <v>1822.5899999999992</v>
      </c>
      <c r="V18" s="522">
        <f t="shared" si="11"/>
        <v>2537.2119999999991</v>
      </c>
      <c r="W18" s="522">
        <f t="shared" si="11"/>
        <v>3242.619999999999</v>
      </c>
      <c r="X18" s="522">
        <f t="shared" si="11"/>
        <v>3941.4939999999988</v>
      </c>
      <c r="Y18" s="522">
        <f t="shared" si="11"/>
        <v>4633.833999999998</v>
      </c>
      <c r="Z18" s="522">
        <f t="shared" si="11"/>
        <v>5319.6399999999985</v>
      </c>
      <c r="AA18" s="522">
        <f t="shared" si="11"/>
        <v>5998.9119999999966</v>
      </c>
      <c r="AB18" s="522">
        <f t="shared" si="11"/>
        <v>6671.6499999999978</v>
      </c>
      <c r="AC18" s="522">
        <f t="shared" si="11"/>
        <v>7337.8539999999966</v>
      </c>
      <c r="AD18" s="522">
        <f t="shared" si="11"/>
        <v>7997.5239999999976</v>
      </c>
      <c r="AE18" s="522">
        <f t="shared" si="11"/>
        <v>8650.6599999999962</v>
      </c>
      <c r="AF18" s="522">
        <f t="shared" si="11"/>
        <v>9297.261999999997</v>
      </c>
      <c r="AG18" s="522">
        <f t="shared" si="11"/>
        <v>9937.3299999999963</v>
      </c>
      <c r="AH18" s="522">
        <f t="shared" si="11"/>
        <v>10570.863999999998</v>
      </c>
      <c r="AI18" s="522">
        <f t="shared" si="11"/>
        <v>11197.863999999996</v>
      </c>
      <c r="AJ18" s="778"/>
      <c r="AK18" s="497"/>
      <c r="AL18" s="497"/>
      <c r="BD18"/>
      <c r="BE18"/>
      <c r="BF18"/>
    </row>
    <row r="19" spans="1:58" s="496" customFormat="1" ht="15" x14ac:dyDescent="0.25">
      <c r="A19" s="523" t="s">
        <v>1046</v>
      </c>
      <c r="B19" s="524" t="s">
        <v>565</v>
      </c>
      <c r="C19" s="793"/>
      <c r="D19" s="794">
        <f t="shared" ref="D19:D34" si="12">IF(OR(C19=0,C$34=0),0,C19/C$34)</f>
        <v>0</v>
      </c>
      <c r="E19" s="613">
        <f>SUM('Estados Financieros'!E32:E33)</f>
        <v>120</v>
      </c>
      <c r="F19" s="795">
        <f t="shared" si="2"/>
        <v>3.1007751937984496E-2</v>
      </c>
      <c r="G19" s="796">
        <f t="shared" ref="G19:G50" si="13">IF(OR(C19=0,E19=0),0,IF(ABS((E19/C19)-1)&gt;1000000%,0,(E19/C19)-1))</f>
        <v>0</v>
      </c>
      <c r="H19" s="613">
        <f>SUM('Estados Financieros'!F32:F33)</f>
        <v>120</v>
      </c>
      <c r="I19" s="795">
        <f t="shared" si="3"/>
        <v>3.1007751937984496E-2</v>
      </c>
      <c r="J19" s="796">
        <f t="shared" si="4"/>
        <v>0</v>
      </c>
      <c r="K19" s="525">
        <f>SUM('Estados Financieros'!I32:I33)</f>
        <v>120</v>
      </c>
      <c r="L19" s="795">
        <f t="shared" si="5"/>
        <v>3.1007751937984496E-2</v>
      </c>
      <c r="M19" s="796">
        <f t="shared" si="6"/>
        <v>0</v>
      </c>
      <c r="N19" s="525">
        <f>SUM('Estados Financieros'!G32:G33)</f>
        <v>120</v>
      </c>
      <c r="O19" s="795">
        <f t="shared" si="7"/>
        <v>3.1007751937984496E-2</v>
      </c>
      <c r="P19" s="796">
        <f t="shared" si="8"/>
        <v>0</v>
      </c>
      <c r="Q19" s="525">
        <f>SUM('Estados Financieros'!H32:H33)</f>
        <v>120</v>
      </c>
      <c r="R19" s="795">
        <f t="shared" si="9"/>
        <v>3.1007751937984496E-2</v>
      </c>
      <c r="S19" s="796">
        <f t="shared" si="10"/>
        <v>0</v>
      </c>
      <c r="T19" s="525">
        <f t="shared" ref="T19:AI19" si="14">T71*T401/T17</f>
        <v>120</v>
      </c>
      <c r="U19" s="525">
        <f t="shared" si="14"/>
        <v>120</v>
      </c>
      <c r="V19" s="525">
        <f t="shared" si="14"/>
        <v>120</v>
      </c>
      <c r="W19" s="525">
        <f t="shared" si="14"/>
        <v>120</v>
      </c>
      <c r="X19" s="525">
        <f t="shared" si="14"/>
        <v>120</v>
      </c>
      <c r="Y19" s="525">
        <f t="shared" si="14"/>
        <v>120</v>
      </c>
      <c r="Z19" s="525">
        <f t="shared" si="14"/>
        <v>120</v>
      </c>
      <c r="AA19" s="525">
        <f t="shared" si="14"/>
        <v>120</v>
      </c>
      <c r="AB19" s="525">
        <f t="shared" si="14"/>
        <v>120</v>
      </c>
      <c r="AC19" s="525">
        <f t="shared" si="14"/>
        <v>120</v>
      </c>
      <c r="AD19" s="525">
        <f t="shared" si="14"/>
        <v>120</v>
      </c>
      <c r="AE19" s="525">
        <f t="shared" si="14"/>
        <v>120</v>
      </c>
      <c r="AF19" s="525">
        <f t="shared" si="14"/>
        <v>120</v>
      </c>
      <c r="AG19" s="525">
        <f t="shared" si="14"/>
        <v>120</v>
      </c>
      <c r="AH19" s="525">
        <f t="shared" si="14"/>
        <v>120</v>
      </c>
      <c r="AI19" s="525">
        <f t="shared" si="14"/>
        <v>120</v>
      </c>
      <c r="AJ19" s="778"/>
      <c r="BD19"/>
      <c r="BE19"/>
      <c r="BF19"/>
    </row>
    <row r="20" spans="1:58" s="496" customFormat="1" ht="15" x14ac:dyDescent="0.25">
      <c r="A20" s="523" t="s">
        <v>1047</v>
      </c>
      <c r="B20" s="524" t="s">
        <v>1048</v>
      </c>
      <c r="C20" s="793"/>
      <c r="D20" s="794">
        <f t="shared" si="12"/>
        <v>0</v>
      </c>
      <c r="E20" s="613">
        <f>-'Estados Financieros'!E32</f>
        <v>-30</v>
      </c>
      <c r="F20" s="795">
        <f t="shared" si="2"/>
        <v>-7.7519379844961239E-3</v>
      </c>
      <c r="G20" s="796">
        <f t="shared" si="13"/>
        <v>0</v>
      </c>
      <c r="H20" s="613">
        <f>-'Estados Financieros'!F32</f>
        <v>-30</v>
      </c>
      <c r="I20" s="795">
        <f t="shared" si="3"/>
        <v>-7.7519379844961239E-3</v>
      </c>
      <c r="J20" s="796">
        <f t="shared" si="4"/>
        <v>0</v>
      </c>
      <c r="K20" s="525">
        <f>-'Estados Financieros'!I32</f>
        <v>-30</v>
      </c>
      <c r="L20" s="795">
        <f t="shared" si="5"/>
        <v>-7.7519379844961239E-3</v>
      </c>
      <c r="M20" s="796">
        <f t="shared" si="6"/>
        <v>0</v>
      </c>
      <c r="N20" s="525">
        <f>-'Estados Financieros'!G32</f>
        <v>-30</v>
      </c>
      <c r="O20" s="795">
        <f t="shared" si="7"/>
        <v>-7.7519379844961239E-3</v>
      </c>
      <c r="P20" s="796">
        <f t="shared" si="8"/>
        <v>0</v>
      </c>
      <c r="Q20" s="525">
        <f>-'Estados Financieros'!H32</f>
        <v>-30</v>
      </c>
      <c r="R20" s="795">
        <f t="shared" si="9"/>
        <v>-7.7519379844961239E-3</v>
      </c>
      <c r="S20" s="796">
        <f t="shared" si="10"/>
        <v>0</v>
      </c>
      <c r="T20" s="525">
        <f t="shared" ref="T20:AI20" si="15">-T19*T402</f>
        <v>-30</v>
      </c>
      <c r="U20" s="525">
        <f t="shared" si="15"/>
        <v>-30</v>
      </c>
      <c r="V20" s="525">
        <f t="shared" si="15"/>
        <v>-30</v>
      </c>
      <c r="W20" s="525">
        <f t="shared" si="15"/>
        <v>-30</v>
      </c>
      <c r="X20" s="525">
        <f t="shared" si="15"/>
        <v>-30</v>
      </c>
      <c r="Y20" s="525">
        <f t="shared" si="15"/>
        <v>-30</v>
      </c>
      <c r="Z20" s="525">
        <f t="shared" si="15"/>
        <v>-30</v>
      </c>
      <c r="AA20" s="525">
        <f t="shared" si="15"/>
        <v>-30</v>
      </c>
      <c r="AB20" s="525">
        <f t="shared" si="15"/>
        <v>-30</v>
      </c>
      <c r="AC20" s="525">
        <f t="shared" si="15"/>
        <v>-30</v>
      </c>
      <c r="AD20" s="525">
        <f t="shared" si="15"/>
        <v>-30</v>
      </c>
      <c r="AE20" s="525">
        <f t="shared" si="15"/>
        <v>-30</v>
      </c>
      <c r="AF20" s="525">
        <f t="shared" si="15"/>
        <v>-30</v>
      </c>
      <c r="AG20" s="525">
        <f t="shared" si="15"/>
        <v>-30</v>
      </c>
      <c r="AH20" s="525">
        <f t="shared" si="15"/>
        <v>-30</v>
      </c>
      <c r="AI20" s="525">
        <f t="shared" si="15"/>
        <v>-30</v>
      </c>
      <c r="AJ20" s="778"/>
      <c r="BD20"/>
      <c r="BE20"/>
      <c r="BF20"/>
    </row>
    <row r="21" spans="1:58" s="496" customFormat="1" ht="15" x14ac:dyDescent="0.25">
      <c r="A21" s="523" t="s">
        <v>1049</v>
      </c>
      <c r="B21" s="524" t="s">
        <v>1050</v>
      </c>
      <c r="C21" s="793"/>
      <c r="D21" s="794">
        <f t="shared" si="12"/>
        <v>0</v>
      </c>
      <c r="E21" s="613">
        <f>SUM('Estados Financieros'!E64,-'Estados Financieros'!E63)</f>
        <v>360</v>
      </c>
      <c r="F21" s="795">
        <f t="shared" si="2"/>
        <v>9.3023255813953487E-2</v>
      </c>
      <c r="G21" s="796">
        <f t="shared" si="13"/>
        <v>0</v>
      </c>
      <c r="H21" s="613">
        <f>SUM('Estados Financieros'!F64,-'Estados Financieros'!F63)</f>
        <v>360</v>
      </c>
      <c r="I21" s="795">
        <f t="shared" si="3"/>
        <v>9.3023255813953487E-2</v>
      </c>
      <c r="J21" s="796">
        <f t="shared" si="4"/>
        <v>0</v>
      </c>
      <c r="K21" s="525">
        <f>SUM('Estados Financieros'!I64,-'Estados Financieros'!I63)</f>
        <v>360</v>
      </c>
      <c r="L21" s="795">
        <f t="shared" si="5"/>
        <v>9.3023255813953487E-2</v>
      </c>
      <c r="M21" s="796">
        <f t="shared" si="6"/>
        <v>0</v>
      </c>
      <c r="N21" s="525">
        <f>SUM('Estados Financieros'!G64,-'Estados Financieros'!G63)</f>
        <v>360</v>
      </c>
      <c r="O21" s="795">
        <f t="shared" si="7"/>
        <v>9.3023255813953487E-2</v>
      </c>
      <c r="P21" s="796">
        <f t="shared" si="8"/>
        <v>0</v>
      </c>
      <c r="Q21" s="525">
        <f>SUM('Estados Financieros'!H64,-'Estados Financieros'!H63)</f>
        <v>360</v>
      </c>
      <c r="R21" s="795">
        <f t="shared" si="9"/>
        <v>9.3023255813953487E-2</v>
      </c>
      <c r="S21" s="796">
        <f t="shared" si="10"/>
        <v>0</v>
      </c>
      <c r="T21" s="525">
        <f t="shared" ref="T21:AI21" si="16">IF(T72&lt;&gt;0,T72*T403/T17,T74*T403/T17)</f>
        <v>360.00000000000006</v>
      </c>
      <c r="U21" s="525">
        <f t="shared" si="16"/>
        <v>360.00000000000006</v>
      </c>
      <c r="V21" s="525">
        <f t="shared" si="16"/>
        <v>360.00000000000006</v>
      </c>
      <c r="W21" s="525">
        <f t="shared" si="16"/>
        <v>360.00000000000006</v>
      </c>
      <c r="X21" s="525">
        <f t="shared" si="16"/>
        <v>360.00000000000006</v>
      </c>
      <c r="Y21" s="525">
        <f t="shared" si="16"/>
        <v>360.00000000000006</v>
      </c>
      <c r="Z21" s="525">
        <f t="shared" si="16"/>
        <v>360.00000000000006</v>
      </c>
      <c r="AA21" s="525">
        <f t="shared" si="16"/>
        <v>360.00000000000006</v>
      </c>
      <c r="AB21" s="525">
        <f t="shared" si="16"/>
        <v>360.00000000000006</v>
      </c>
      <c r="AC21" s="525">
        <f t="shared" si="16"/>
        <v>360.00000000000006</v>
      </c>
      <c r="AD21" s="525">
        <f t="shared" si="16"/>
        <v>360.00000000000006</v>
      </c>
      <c r="AE21" s="525">
        <f t="shared" si="16"/>
        <v>360.00000000000006</v>
      </c>
      <c r="AF21" s="525">
        <f t="shared" si="16"/>
        <v>360.00000000000006</v>
      </c>
      <c r="AG21" s="525">
        <f t="shared" si="16"/>
        <v>360.00000000000006</v>
      </c>
      <c r="AH21" s="525">
        <f t="shared" si="16"/>
        <v>360.00000000000006</v>
      </c>
      <c r="AI21" s="525">
        <f t="shared" si="16"/>
        <v>360.00000000000006</v>
      </c>
      <c r="AJ21" s="778"/>
      <c r="BD21"/>
      <c r="BE21"/>
      <c r="BF21"/>
    </row>
    <row r="22" spans="1:58" s="496" customFormat="1" ht="15" x14ac:dyDescent="0.25">
      <c r="A22" s="523" t="s">
        <v>1051</v>
      </c>
      <c r="B22" s="524" t="s">
        <v>1052</v>
      </c>
      <c r="C22" s="793"/>
      <c r="D22" s="794">
        <f t="shared" si="12"/>
        <v>0</v>
      </c>
      <c r="E22" s="613">
        <f>'Estados Financieros'!E63</f>
        <v>30</v>
      </c>
      <c r="F22" s="795">
        <f t="shared" si="2"/>
        <v>7.7519379844961239E-3</v>
      </c>
      <c r="G22" s="796">
        <f t="shared" si="13"/>
        <v>0</v>
      </c>
      <c r="H22" s="613">
        <f>'Estados Financieros'!F63</f>
        <v>30</v>
      </c>
      <c r="I22" s="795">
        <f t="shared" si="3"/>
        <v>7.7519379844961239E-3</v>
      </c>
      <c r="J22" s="796">
        <f t="shared" si="4"/>
        <v>0</v>
      </c>
      <c r="K22" s="525">
        <f>'Estados Financieros'!I63</f>
        <v>30</v>
      </c>
      <c r="L22" s="795">
        <f t="shared" si="5"/>
        <v>7.7519379844961239E-3</v>
      </c>
      <c r="M22" s="796">
        <f t="shared" si="6"/>
        <v>0</v>
      </c>
      <c r="N22" s="525">
        <f>'Estados Financieros'!G63</f>
        <v>30</v>
      </c>
      <c r="O22" s="795">
        <f t="shared" si="7"/>
        <v>7.7519379844961239E-3</v>
      </c>
      <c r="P22" s="796">
        <f t="shared" si="8"/>
        <v>0</v>
      </c>
      <c r="Q22" s="525">
        <f>'Estados Financieros'!H63</f>
        <v>30</v>
      </c>
      <c r="R22" s="795">
        <f t="shared" si="9"/>
        <v>7.7519379844961239E-3</v>
      </c>
      <c r="S22" s="796">
        <f t="shared" si="10"/>
        <v>0</v>
      </c>
      <c r="T22" s="525">
        <f t="shared" ref="T22:AI22" si="17">-T21*T404</f>
        <v>30.000000000000007</v>
      </c>
      <c r="U22" s="525">
        <f t="shared" si="17"/>
        <v>30.000000000000007</v>
      </c>
      <c r="V22" s="525">
        <f t="shared" si="17"/>
        <v>30.000000000000007</v>
      </c>
      <c r="W22" s="525">
        <f t="shared" si="17"/>
        <v>30.000000000000007</v>
      </c>
      <c r="X22" s="525">
        <f t="shared" si="17"/>
        <v>30.000000000000007</v>
      </c>
      <c r="Y22" s="525">
        <f t="shared" si="17"/>
        <v>30.000000000000007</v>
      </c>
      <c r="Z22" s="525">
        <f t="shared" si="17"/>
        <v>30.000000000000007</v>
      </c>
      <c r="AA22" s="525">
        <f t="shared" si="17"/>
        <v>30.000000000000007</v>
      </c>
      <c r="AB22" s="525">
        <f t="shared" si="17"/>
        <v>30.000000000000007</v>
      </c>
      <c r="AC22" s="525">
        <f t="shared" si="17"/>
        <v>30.000000000000007</v>
      </c>
      <c r="AD22" s="525">
        <f t="shared" si="17"/>
        <v>30.000000000000007</v>
      </c>
      <c r="AE22" s="525">
        <f t="shared" si="17"/>
        <v>30.000000000000007</v>
      </c>
      <c r="AF22" s="525">
        <f t="shared" si="17"/>
        <v>30.000000000000007</v>
      </c>
      <c r="AG22" s="525">
        <f t="shared" si="17"/>
        <v>30.000000000000007</v>
      </c>
      <c r="AH22" s="525">
        <f t="shared" si="17"/>
        <v>30.000000000000007</v>
      </c>
      <c r="AI22" s="525">
        <f t="shared" si="17"/>
        <v>30.000000000000007</v>
      </c>
      <c r="AJ22" s="778"/>
      <c r="BD22"/>
      <c r="BE22"/>
      <c r="BF22"/>
    </row>
    <row r="23" spans="1:58" s="496" customFormat="1" ht="15" x14ac:dyDescent="0.25">
      <c r="A23" s="526">
        <v>4</v>
      </c>
      <c r="B23" s="524" t="s">
        <v>1053</v>
      </c>
      <c r="C23" s="793"/>
      <c r="D23" s="794">
        <f t="shared" si="12"/>
        <v>0</v>
      </c>
      <c r="E23" s="797">
        <f>SUM('Estados Financieros'!E37,'Estados Financieros'!E42)</f>
        <v>60</v>
      </c>
      <c r="F23" s="795">
        <f t="shared" si="2"/>
        <v>1.5503875968992248E-2</v>
      </c>
      <c r="G23" s="796">
        <f t="shared" si="13"/>
        <v>0</v>
      </c>
      <c r="H23" s="797">
        <f>SUM('Estados Financieros'!F37,'Estados Financieros'!F42)</f>
        <v>60</v>
      </c>
      <c r="I23" s="795">
        <f t="shared" si="3"/>
        <v>1.5503875968992248E-2</v>
      </c>
      <c r="J23" s="796">
        <f t="shared" si="4"/>
        <v>0</v>
      </c>
      <c r="K23" s="525">
        <f>SUM('Estados Financieros'!I37,'Estados Financieros'!I42)</f>
        <v>60</v>
      </c>
      <c r="L23" s="795">
        <f t="shared" si="5"/>
        <v>1.5503875968992248E-2</v>
      </c>
      <c r="M23" s="796">
        <f t="shared" si="6"/>
        <v>0</v>
      </c>
      <c r="N23" s="525">
        <f>SUM('Estados Financieros'!G37,'Estados Financieros'!G42)</f>
        <v>60</v>
      </c>
      <c r="O23" s="795">
        <f t="shared" si="7"/>
        <v>1.5503875968992248E-2</v>
      </c>
      <c r="P23" s="796">
        <f t="shared" si="8"/>
        <v>0</v>
      </c>
      <c r="Q23" s="525">
        <f>SUM('Estados Financieros'!H37,'Estados Financieros'!H42)</f>
        <v>60</v>
      </c>
      <c r="R23" s="795">
        <f t="shared" si="9"/>
        <v>1.5503875968992248E-2</v>
      </c>
      <c r="S23" s="796">
        <f t="shared" si="10"/>
        <v>0</v>
      </c>
      <c r="T23" s="527">
        <f t="shared" ref="T23:AI23" si="18">IF(T72&lt;&gt;0,T72*T405,T74*T405)</f>
        <v>60.000000000000014</v>
      </c>
      <c r="U23" s="527">
        <f t="shared" si="18"/>
        <v>60.000000000000014</v>
      </c>
      <c r="V23" s="527">
        <f t="shared" si="18"/>
        <v>60.000000000000014</v>
      </c>
      <c r="W23" s="527">
        <f t="shared" si="18"/>
        <v>60.000000000000014</v>
      </c>
      <c r="X23" s="527">
        <f t="shared" si="18"/>
        <v>60.000000000000014</v>
      </c>
      <c r="Y23" s="527">
        <f t="shared" si="18"/>
        <v>60.000000000000014</v>
      </c>
      <c r="Z23" s="527">
        <f t="shared" si="18"/>
        <v>60.000000000000014</v>
      </c>
      <c r="AA23" s="527">
        <f t="shared" si="18"/>
        <v>60.000000000000014</v>
      </c>
      <c r="AB23" s="527">
        <f t="shared" si="18"/>
        <v>60.000000000000014</v>
      </c>
      <c r="AC23" s="527">
        <f t="shared" si="18"/>
        <v>60.000000000000014</v>
      </c>
      <c r="AD23" s="527">
        <f t="shared" si="18"/>
        <v>60.000000000000014</v>
      </c>
      <c r="AE23" s="527">
        <f t="shared" si="18"/>
        <v>60.000000000000014</v>
      </c>
      <c r="AF23" s="527">
        <f t="shared" si="18"/>
        <v>60.000000000000014</v>
      </c>
      <c r="AG23" s="527">
        <f t="shared" si="18"/>
        <v>60.000000000000014</v>
      </c>
      <c r="AH23" s="527">
        <f t="shared" si="18"/>
        <v>60.000000000000014</v>
      </c>
      <c r="AI23" s="527">
        <f t="shared" si="18"/>
        <v>60.000000000000014</v>
      </c>
      <c r="AJ23" s="778"/>
      <c r="AK23" s="497"/>
      <c r="AL23" s="497"/>
      <c r="BD23"/>
      <c r="BE23"/>
      <c r="BF23"/>
    </row>
    <row r="24" spans="1:58" s="496" customFormat="1" ht="15" x14ac:dyDescent="0.25">
      <c r="A24" s="523" t="s">
        <v>1054</v>
      </c>
      <c r="B24" s="524" t="s">
        <v>1055</v>
      </c>
      <c r="C24" s="793"/>
      <c r="D24" s="794">
        <f t="shared" si="12"/>
        <v>0</v>
      </c>
      <c r="E24" s="613">
        <f>SUM('Estados Financieros'!E49,-'Estados Financieros'!E37,-'Estados Financieros'!E42)</f>
        <v>360</v>
      </c>
      <c r="F24" s="795">
        <f t="shared" si="2"/>
        <v>9.3023255813953487E-2</v>
      </c>
      <c r="G24" s="796">
        <f t="shared" si="13"/>
        <v>0</v>
      </c>
      <c r="H24" s="613">
        <f>SUM('Estados Financieros'!F49,-'Estados Financieros'!F37,-'Estados Financieros'!F42)</f>
        <v>360</v>
      </c>
      <c r="I24" s="795">
        <f t="shared" si="3"/>
        <v>9.3023255813953487E-2</v>
      </c>
      <c r="J24" s="796">
        <f t="shared" si="4"/>
        <v>0</v>
      </c>
      <c r="K24" s="525">
        <f>SUM('Estados Financieros'!I49,-'Estados Financieros'!I37,-'Estados Financieros'!I42)</f>
        <v>360</v>
      </c>
      <c r="L24" s="795">
        <f t="shared" si="5"/>
        <v>9.3023255813953487E-2</v>
      </c>
      <c r="M24" s="796">
        <f t="shared" si="6"/>
        <v>0</v>
      </c>
      <c r="N24" s="525">
        <f>SUM('Estados Financieros'!G49,-'Estados Financieros'!G37,-'Estados Financieros'!G42)</f>
        <v>360</v>
      </c>
      <c r="O24" s="795">
        <f t="shared" si="7"/>
        <v>9.3023255813953487E-2</v>
      </c>
      <c r="P24" s="796">
        <f t="shared" si="8"/>
        <v>0</v>
      </c>
      <c r="Q24" s="525">
        <f>SUM('Estados Financieros'!H49,-'Estados Financieros'!H37,-'Estados Financieros'!H42)</f>
        <v>360</v>
      </c>
      <c r="R24" s="795">
        <f t="shared" si="9"/>
        <v>9.3023255813953487E-2</v>
      </c>
      <c r="S24" s="796">
        <f t="shared" si="10"/>
        <v>0</v>
      </c>
      <c r="T24" s="528">
        <f>(C24*$C$241)+(E24*$E$241)+(H24*$H$241)+(N24*$N$241)+(Q24*$Q$241)</f>
        <v>360</v>
      </c>
      <c r="U24" s="528">
        <f t="shared" ref="U24:AI24" si="19">T24</f>
        <v>360</v>
      </c>
      <c r="V24" s="528">
        <f t="shared" si="19"/>
        <v>360</v>
      </c>
      <c r="W24" s="528">
        <f t="shared" si="19"/>
        <v>360</v>
      </c>
      <c r="X24" s="528">
        <f t="shared" si="19"/>
        <v>360</v>
      </c>
      <c r="Y24" s="528">
        <f t="shared" si="19"/>
        <v>360</v>
      </c>
      <c r="Z24" s="528">
        <f t="shared" si="19"/>
        <v>360</v>
      </c>
      <c r="AA24" s="528">
        <f t="shared" si="19"/>
        <v>360</v>
      </c>
      <c r="AB24" s="528">
        <f t="shared" si="19"/>
        <v>360</v>
      </c>
      <c r="AC24" s="528">
        <f t="shared" si="19"/>
        <v>360</v>
      </c>
      <c r="AD24" s="528">
        <f t="shared" si="19"/>
        <v>360</v>
      </c>
      <c r="AE24" s="528">
        <f t="shared" si="19"/>
        <v>360</v>
      </c>
      <c r="AF24" s="528">
        <f t="shared" si="19"/>
        <v>360</v>
      </c>
      <c r="AG24" s="528">
        <f t="shared" si="19"/>
        <v>360</v>
      </c>
      <c r="AH24" s="528">
        <f t="shared" si="19"/>
        <v>360</v>
      </c>
      <c r="AI24" s="528">
        <f t="shared" si="19"/>
        <v>360</v>
      </c>
      <c r="AJ24" s="778"/>
      <c r="AK24" s="497"/>
      <c r="AL24" s="497"/>
      <c r="BD24"/>
      <c r="BE24"/>
      <c r="BF24"/>
    </row>
    <row r="25" spans="1:58" s="496" customFormat="1" ht="15" x14ac:dyDescent="0.25">
      <c r="A25" s="529" t="s">
        <v>1056</v>
      </c>
      <c r="B25" s="530" t="s">
        <v>1057</v>
      </c>
      <c r="C25" s="798"/>
      <c r="D25" s="799">
        <f t="shared" si="12"/>
        <v>0</v>
      </c>
      <c r="E25" s="800">
        <f>SUM('Estados Financieros'!E76,'Estados Financieros'!E84,'Estados Financieros'!E90)</f>
        <v>570</v>
      </c>
      <c r="F25" s="801">
        <f t="shared" si="2"/>
        <v>0.14728682170542637</v>
      </c>
      <c r="G25" s="802">
        <f t="shared" si="13"/>
        <v>0</v>
      </c>
      <c r="H25" s="800">
        <f>SUM('Estados Financieros'!F76,'Estados Financieros'!F84,'Estados Financieros'!F90)</f>
        <v>570</v>
      </c>
      <c r="I25" s="801">
        <f t="shared" si="3"/>
        <v>0.14728682170542637</v>
      </c>
      <c r="J25" s="802">
        <f t="shared" si="4"/>
        <v>0</v>
      </c>
      <c r="K25" s="527">
        <f>SUM('Estados Financieros'!I76,'Estados Financieros'!I84,'Estados Financieros'!I90)</f>
        <v>570</v>
      </c>
      <c r="L25" s="801">
        <f t="shared" si="5"/>
        <v>0.14728682170542637</v>
      </c>
      <c r="M25" s="802">
        <f t="shared" si="6"/>
        <v>0</v>
      </c>
      <c r="N25" s="527">
        <f>SUM('Estados Financieros'!G76,'Estados Financieros'!G84,'Estados Financieros'!G90)</f>
        <v>570</v>
      </c>
      <c r="O25" s="801">
        <f t="shared" si="7"/>
        <v>0.14728682170542637</v>
      </c>
      <c r="P25" s="802">
        <f t="shared" si="8"/>
        <v>0</v>
      </c>
      <c r="Q25" s="527">
        <f>SUM('Estados Financieros'!H76,'Estados Financieros'!H84,'Estados Financieros'!H90)</f>
        <v>570</v>
      </c>
      <c r="R25" s="801">
        <f t="shared" si="9"/>
        <v>0.14728682170542637</v>
      </c>
      <c r="S25" s="802">
        <f t="shared" si="10"/>
        <v>0</v>
      </c>
      <c r="T25" s="531">
        <f>(C25*$C$241)+(E25*$E$241)+(H25*$H$241)+(N25*$N$241)+(Q25*$Q$241)</f>
        <v>570</v>
      </c>
      <c r="U25" s="531">
        <f t="shared" ref="U25:AI25" si="20">T25</f>
        <v>570</v>
      </c>
      <c r="V25" s="531">
        <f t="shared" si="20"/>
        <v>570</v>
      </c>
      <c r="W25" s="531">
        <f t="shared" si="20"/>
        <v>570</v>
      </c>
      <c r="X25" s="531">
        <f t="shared" si="20"/>
        <v>570</v>
      </c>
      <c r="Y25" s="531">
        <f t="shared" si="20"/>
        <v>570</v>
      </c>
      <c r="Z25" s="531">
        <f t="shared" si="20"/>
        <v>570</v>
      </c>
      <c r="AA25" s="531">
        <f t="shared" si="20"/>
        <v>570</v>
      </c>
      <c r="AB25" s="531">
        <f t="shared" si="20"/>
        <v>570</v>
      </c>
      <c r="AC25" s="531">
        <f t="shared" si="20"/>
        <v>570</v>
      </c>
      <c r="AD25" s="531">
        <f t="shared" si="20"/>
        <v>570</v>
      </c>
      <c r="AE25" s="531">
        <f t="shared" si="20"/>
        <v>570</v>
      </c>
      <c r="AF25" s="531">
        <f t="shared" si="20"/>
        <v>570</v>
      </c>
      <c r="AG25" s="531">
        <f t="shared" si="20"/>
        <v>570</v>
      </c>
      <c r="AH25" s="531">
        <f t="shared" si="20"/>
        <v>570</v>
      </c>
      <c r="AI25" s="531">
        <f t="shared" si="20"/>
        <v>570</v>
      </c>
      <c r="AJ25" s="778"/>
      <c r="AK25" s="497"/>
      <c r="AL25" s="497"/>
      <c r="BD25"/>
      <c r="BE25"/>
      <c r="BF25"/>
    </row>
    <row r="26" spans="1:58" s="496" customFormat="1" ht="15" x14ac:dyDescent="0.25">
      <c r="A26" s="507"/>
      <c r="B26" s="508" t="s">
        <v>1058</v>
      </c>
      <c r="C26" s="803">
        <f>SUM(C18:C25)</f>
        <v>0</v>
      </c>
      <c r="D26" s="804">
        <f t="shared" si="12"/>
        <v>0</v>
      </c>
      <c r="E26" s="532">
        <f>SUM(E18:E25)</f>
        <v>1860</v>
      </c>
      <c r="F26" s="805">
        <f t="shared" si="2"/>
        <v>0.48062015503875971</v>
      </c>
      <c r="G26" s="806">
        <f t="shared" si="13"/>
        <v>0</v>
      </c>
      <c r="H26" s="532">
        <f>SUM(H18:H25)</f>
        <v>1860</v>
      </c>
      <c r="I26" s="805">
        <f t="shared" si="3"/>
        <v>0.48062015503875971</v>
      </c>
      <c r="J26" s="806">
        <f t="shared" si="4"/>
        <v>0</v>
      </c>
      <c r="K26" s="532">
        <f>SUM(K18:K25)</f>
        <v>1860</v>
      </c>
      <c r="L26" s="805">
        <f t="shared" si="5"/>
        <v>0.48062015503875971</v>
      </c>
      <c r="M26" s="806">
        <f t="shared" si="6"/>
        <v>0</v>
      </c>
      <c r="N26" s="532">
        <f>SUM(N18:N25)</f>
        <v>1860</v>
      </c>
      <c r="O26" s="805">
        <f t="shared" si="7"/>
        <v>0.48062015503875971</v>
      </c>
      <c r="P26" s="806">
        <f t="shared" si="8"/>
        <v>0</v>
      </c>
      <c r="Q26" s="532">
        <f>SUM(Q18:Q25)</f>
        <v>1860</v>
      </c>
      <c r="R26" s="805">
        <f t="shared" si="9"/>
        <v>0.48062015503875971</v>
      </c>
      <c r="S26" s="806">
        <f t="shared" si="10"/>
        <v>0</v>
      </c>
      <c r="T26" s="533">
        <f t="shared" ref="T26:AI26" si="21">SUM(T18:T25)</f>
        <v>2575.1659999999993</v>
      </c>
      <c r="U26" s="533">
        <f t="shared" si="21"/>
        <v>3292.5899999999992</v>
      </c>
      <c r="V26" s="533">
        <f t="shared" si="21"/>
        <v>4007.2119999999991</v>
      </c>
      <c r="W26" s="533">
        <f t="shared" si="21"/>
        <v>4712.619999999999</v>
      </c>
      <c r="X26" s="533">
        <f t="shared" si="21"/>
        <v>5411.4939999999988</v>
      </c>
      <c r="Y26" s="533">
        <f t="shared" si="21"/>
        <v>6103.833999999998</v>
      </c>
      <c r="Z26" s="533">
        <f t="shared" si="21"/>
        <v>6789.6399999999985</v>
      </c>
      <c r="AA26" s="533">
        <f t="shared" si="21"/>
        <v>7468.9119999999966</v>
      </c>
      <c r="AB26" s="533">
        <f t="shared" si="21"/>
        <v>8141.6499999999978</v>
      </c>
      <c r="AC26" s="533">
        <f t="shared" si="21"/>
        <v>8807.8539999999957</v>
      </c>
      <c r="AD26" s="533">
        <f t="shared" si="21"/>
        <v>9467.5239999999976</v>
      </c>
      <c r="AE26" s="533">
        <f t="shared" si="21"/>
        <v>10120.659999999996</v>
      </c>
      <c r="AF26" s="533">
        <f t="shared" si="21"/>
        <v>10767.261999999997</v>
      </c>
      <c r="AG26" s="533">
        <f t="shared" si="21"/>
        <v>11407.329999999996</v>
      </c>
      <c r="AH26" s="533">
        <f t="shared" si="21"/>
        <v>12040.863999999998</v>
      </c>
      <c r="AI26" s="533">
        <f t="shared" si="21"/>
        <v>12667.863999999996</v>
      </c>
      <c r="AJ26" s="778"/>
      <c r="AK26" s="497"/>
      <c r="AL26" s="497"/>
      <c r="BD26"/>
      <c r="BE26"/>
      <c r="BF26"/>
    </row>
    <row r="27" spans="1:58" s="496" customFormat="1" ht="15" x14ac:dyDescent="0.25">
      <c r="A27" s="518">
        <v>6</v>
      </c>
      <c r="B27" s="534" t="s">
        <v>1059</v>
      </c>
      <c r="C27" s="807"/>
      <c r="D27" s="808">
        <f t="shared" si="12"/>
        <v>0</v>
      </c>
      <c r="E27" s="809">
        <f>'Estados Financieros'!E146</f>
        <v>270</v>
      </c>
      <c r="F27" s="810">
        <f t="shared" si="2"/>
        <v>6.9767441860465115E-2</v>
      </c>
      <c r="G27" s="811">
        <f t="shared" si="13"/>
        <v>0</v>
      </c>
      <c r="H27" s="809">
        <f>'Estados Financieros'!F146</f>
        <v>270</v>
      </c>
      <c r="I27" s="810">
        <f t="shared" si="3"/>
        <v>6.9767441860465115E-2</v>
      </c>
      <c r="J27" s="811">
        <f t="shared" si="4"/>
        <v>0</v>
      </c>
      <c r="K27" s="535">
        <f>'Estados Financieros'!I146</f>
        <v>270</v>
      </c>
      <c r="L27" s="810">
        <f t="shared" si="5"/>
        <v>6.9767441860465115E-2</v>
      </c>
      <c r="M27" s="811">
        <f t="shared" si="6"/>
        <v>0</v>
      </c>
      <c r="N27" s="535">
        <f>'Estados Financieros'!G146</f>
        <v>270</v>
      </c>
      <c r="O27" s="810">
        <f t="shared" si="7"/>
        <v>6.9767441860465115E-2</v>
      </c>
      <c r="P27" s="811">
        <f t="shared" si="8"/>
        <v>0</v>
      </c>
      <c r="Q27" s="535">
        <f>'Estados Financieros'!H146</f>
        <v>270</v>
      </c>
      <c r="R27" s="810">
        <f t="shared" si="9"/>
        <v>6.9767441860465115E-2</v>
      </c>
      <c r="S27" s="811">
        <f t="shared" si="10"/>
        <v>0</v>
      </c>
      <c r="T27" s="536">
        <f>(C27*$C$241)+(E27*$E$241)+(H27*$H$241)+(N27*$N$241)+(Q27*$Q$241)</f>
        <v>270</v>
      </c>
      <c r="U27" s="536">
        <f t="shared" ref="U27:AI27" si="22">T27</f>
        <v>270</v>
      </c>
      <c r="V27" s="536">
        <f t="shared" si="22"/>
        <v>270</v>
      </c>
      <c r="W27" s="536">
        <f t="shared" si="22"/>
        <v>270</v>
      </c>
      <c r="X27" s="536">
        <f t="shared" si="22"/>
        <v>270</v>
      </c>
      <c r="Y27" s="536">
        <f t="shared" si="22"/>
        <v>270</v>
      </c>
      <c r="Z27" s="536">
        <f t="shared" si="22"/>
        <v>270</v>
      </c>
      <c r="AA27" s="536">
        <f t="shared" si="22"/>
        <v>270</v>
      </c>
      <c r="AB27" s="536">
        <f t="shared" si="22"/>
        <v>270</v>
      </c>
      <c r="AC27" s="536">
        <f t="shared" si="22"/>
        <v>270</v>
      </c>
      <c r="AD27" s="536">
        <f t="shared" si="22"/>
        <v>270</v>
      </c>
      <c r="AE27" s="536">
        <f t="shared" si="22"/>
        <v>270</v>
      </c>
      <c r="AF27" s="536">
        <f t="shared" si="22"/>
        <v>270</v>
      </c>
      <c r="AG27" s="536">
        <f t="shared" si="22"/>
        <v>270</v>
      </c>
      <c r="AH27" s="536">
        <f t="shared" si="22"/>
        <v>270</v>
      </c>
      <c r="AI27" s="536">
        <f t="shared" si="22"/>
        <v>270</v>
      </c>
      <c r="AJ27" s="778"/>
      <c r="AK27" s="497"/>
      <c r="AL27" s="497"/>
      <c r="BD27"/>
      <c r="BE27"/>
      <c r="BF27"/>
    </row>
    <row r="28" spans="1:58" s="496" customFormat="1" ht="15" x14ac:dyDescent="0.25">
      <c r="A28" s="523" t="s">
        <v>1060</v>
      </c>
      <c r="B28" s="524" t="s">
        <v>1061</v>
      </c>
      <c r="C28" s="793"/>
      <c r="D28" s="794">
        <f t="shared" si="12"/>
        <v>0</v>
      </c>
      <c r="E28" s="613">
        <f>SUM('Estados Financieros'!E113,-SUM('Estados Financieros'!E109:E110))</f>
        <v>540</v>
      </c>
      <c r="F28" s="795">
        <f t="shared" si="2"/>
        <v>0.13953488372093023</v>
      </c>
      <c r="G28" s="796">
        <f t="shared" si="13"/>
        <v>0</v>
      </c>
      <c r="H28" s="613">
        <f>SUM('Estados Financieros'!F113,-SUM('Estados Financieros'!F109:F110))</f>
        <v>540</v>
      </c>
      <c r="I28" s="795">
        <f t="shared" si="3"/>
        <v>0.13953488372093023</v>
      </c>
      <c r="J28" s="796">
        <f t="shared" si="4"/>
        <v>0</v>
      </c>
      <c r="K28" s="525">
        <f>SUM('Estados Financieros'!I113,-SUM('Estados Financieros'!I109:I110))</f>
        <v>540</v>
      </c>
      <c r="L28" s="795">
        <f t="shared" si="5"/>
        <v>0.13953488372093023</v>
      </c>
      <c r="M28" s="796">
        <f t="shared" si="6"/>
        <v>0</v>
      </c>
      <c r="N28" s="525">
        <f>SUM('Estados Financieros'!G113,-SUM('Estados Financieros'!G109:G110))</f>
        <v>540</v>
      </c>
      <c r="O28" s="795">
        <f t="shared" si="7"/>
        <v>0.13953488372093023</v>
      </c>
      <c r="P28" s="796">
        <f t="shared" si="8"/>
        <v>0</v>
      </c>
      <c r="Q28" s="525">
        <f>SUM('Estados Financieros'!H113,-SUM('Estados Financieros'!H109:H110))</f>
        <v>540</v>
      </c>
      <c r="R28" s="795">
        <f t="shared" si="9"/>
        <v>0.13953488372093023</v>
      </c>
      <c r="S28" s="796">
        <f t="shared" si="10"/>
        <v>0</v>
      </c>
      <c r="T28" s="535">
        <f>N28+T407+IF(AND($C$933=1,$C$314=T$311),$C$310,0)+IF(AND($C$935=1,$C$324=T$321),$C$320,0)+IF(AND($C$937=1,$C$334=T$331),$C$330,0)+IF(AND($C$943=1,$C$354=T$351),$C$350,0)+IF(AND($C$945=1,$C$364=T$361),$C$360,0)+IF(AND($C$947=1,$C$374=T$371),$C$370,0)</f>
        <v>718.2</v>
      </c>
      <c r="U28" s="535">
        <f>T28+U407+IF(AND($C$933=1,$C$314=U$311),$C$310,0)+IF(AND($C$935=1,$C$324=U$321),$C$320,0)+IF(AND($C$937=1,$C$334=U$331),$C$330,0)+IF(AND($C$943=1,$C$354=U$351),$C$350,0)+IF(AND($C$945=1,$C$364=U$361),$C$360,0)+IF(AND($C$947=1,$C$374=U$371),$C$370,0)</f>
        <v>896.40000000000009</v>
      </c>
      <c r="V28" s="535">
        <f t="shared" ref="V28:AI28" si="23">U28+V407+IF(AND($C$935=1,$C$324=V$321),$C$320,0)+IF(AND($C$937=1,$C$334=V$331),$C$330,0)+IF(AND($C$945=1,$C$364=V$361),$C$360,0)+IF(AND($C$947=1,$C$374=V$371),$C$370,0)</f>
        <v>1074.6000000000001</v>
      </c>
      <c r="W28" s="535">
        <f t="shared" si="23"/>
        <v>1252.8000000000002</v>
      </c>
      <c r="X28" s="535">
        <f t="shared" si="23"/>
        <v>1431.0000000000002</v>
      </c>
      <c r="Y28" s="535">
        <f t="shared" si="23"/>
        <v>1609.2000000000003</v>
      </c>
      <c r="Z28" s="535">
        <f t="shared" si="23"/>
        <v>1787.4000000000003</v>
      </c>
      <c r="AA28" s="535">
        <f t="shared" si="23"/>
        <v>1965.6000000000004</v>
      </c>
      <c r="AB28" s="535">
        <f t="shared" si="23"/>
        <v>2143.8000000000002</v>
      </c>
      <c r="AC28" s="535">
        <f t="shared" si="23"/>
        <v>2322</v>
      </c>
      <c r="AD28" s="535">
        <f t="shared" si="23"/>
        <v>2500.1999999999998</v>
      </c>
      <c r="AE28" s="535">
        <f t="shared" si="23"/>
        <v>2678.3999999999996</v>
      </c>
      <c r="AF28" s="535">
        <f t="shared" si="23"/>
        <v>2856.5999999999995</v>
      </c>
      <c r="AG28" s="535">
        <f t="shared" si="23"/>
        <v>3034.7999999999993</v>
      </c>
      <c r="AH28" s="535">
        <f t="shared" si="23"/>
        <v>3212.9999999999991</v>
      </c>
      <c r="AI28" s="535">
        <f t="shared" si="23"/>
        <v>3391.1999999999989</v>
      </c>
      <c r="AJ28" s="778"/>
      <c r="AK28" s="497"/>
      <c r="AL28" s="497"/>
      <c r="BD28"/>
      <c r="BE28"/>
      <c r="BF28"/>
    </row>
    <row r="29" spans="1:58" s="496" customFormat="1" ht="15" x14ac:dyDescent="0.25">
      <c r="A29" s="523" t="s">
        <v>1062</v>
      </c>
      <c r="B29" s="524" t="s">
        <v>1063</v>
      </c>
      <c r="C29" s="793"/>
      <c r="D29" s="794">
        <f t="shared" si="12"/>
        <v>0</v>
      </c>
      <c r="E29" s="613">
        <f>SUM('Estados Financieros'!E109:E110)</f>
        <v>60</v>
      </c>
      <c r="F29" s="795">
        <f t="shared" si="2"/>
        <v>1.5503875968992248E-2</v>
      </c>
      <c r="G29" s="796">
        <f t="shared" si="13"/>
        <v>0</v>
      </c>
      <c r="H29" s="613">
        <f>SUM('Estados Financieros'!F109:F110)</f>
        <v>60</v>
      </c>
      <c r="I29" s="795">
        <f t="shared" si="3"/>
        <v>1.5503875968992248E-2</v>
      </c>
      <c r="J29" s="796">
        <f t="shared" si="4"/>
        <v>0</v>
      </c>
      <c r="K29" s="525">
        <f>SUM('Estados Financieros'!I109:I110)</f>
        <v>60</v>
      </c>
      <c r="L29" s="795">
        <f t="shared" si="5"/>
        <v>1.5503875968992248E-2</v>
      </c>
      <c r="M29" s="796">
        <f t="shared" si="6"/>
        <v>0</v>
      </c>
      <c r="N29" s="525">
        <f>SUM('Estados Financieros'!G109:G110)</f>
        <v>60</v>
      </c>
      <c r="O29" s="795">
        <f t="shared" si="7"/>
        <v>1.5503875968992248E-2</v>
      </c>
      <c r="P29" s="796">
        <f t="shared" si="8"/>
        <v>0</v>
      </c>
      <c r="Q29" s="525">
        <f>SUM('Estados Financieros'!H109:H110)</f>
        <v>60</v>
      </c>
      <c r="R29" s="795">
        <f t="shared" si="9"/>
        <v>1.5503875968992248E-2</v>
      </c>
      <c r="S29" s="796">
        <f t="shared" si="10"/>
        <v>0</v>
      </c>
      <c r="T29" s="525">
        <f>N29-(T408*T28)</f>
        <v>86.334000000000003</v>
      </c>
      <c r="U29" s="525">
        <f t="shared" ref="U29:AI29" si="24">T29-(U408*U28)</f>
        <v>119.202</v>
      </c>
      <c r="V29" s="525">
        <f t="shared" si="24"/>
        <v>158.60400000000001</v>
      </c>
      <c r="W29" s="525">
        <f t="shared" si="24"/>
        <v>204.54000000000002</v>
      </c>
      <c r="X29" s="525">
        <f t="shared" si="24"/>
        <v>257.01000000000005</v>
      </c>
      <c r="Y29" s="525">
        <f t="shared" si="24"/>
        <v>316.01400000000007</v>
      </c>
      <c r="Z29" s="525">
        <f t="shared" si="24"/>
        <v>381.55200000000008</v>
      </c>
      <c r="AA29" s="525">
        <f t="shared" si="24"/>
        <v>453.62400000000008</v>
      </c>
      <c r="AB29" s="525">
        <f t="shared" si="24"/>
        <v>532.23000000000013</v>
      </c>
      <c r="AC29" s="525">
        <f t="shared" si="24"/>
        <v>617.37000000000012</v>
      </c>
      <c r="AD29" s="525">
        <f t="shared" si="24"/>
        <v>709.0440000000001</v>
      </c>
      <c r="AE29" s="525">
        <f t="shared" si="24"/>
        <v>807.25200000000007</v>
      </c>
      <c r="AF29" s="525">
        <f t="shared" si="24"/>
        <v>911.99400000000003</v>
      </c>
      <c r="AG29" s="525">
        <f t="shared" si="24"/>
        <v>1023.27</v>
      </c>
      <c r="AH29" s="525">
        <f t="shared" si="24"/>
        <v>1141.08</v>
      </c>
      <c r="AI29" s="525">
        <f t="shared" si="24"/>
        <v>1265.424</v>
      </c>
      <c r="AJ29" s="778"/>
      <c r="AK29" s="497"/>
      <c r="AL29" s="497"/>
      <c r="BD29"/>
      <c r="BE29"/>
      <c r="BF29"/>
    </row>
    <row r="30" spans="1:58" s="496" customFormat="1" ht="15" x14ac:dyDescent="0.25">
      <c r="A30" s="526">
        <v>8</v>
      </c>
      <c r="B30" s="524" t="s">
        <v>1064</v>
      </c>
      <c r="C30" s="793"/>
      <c r="D30" s="794">
        <f t="shared" si="12"/>
        <v>0</v>
      </c>
      <c r="E30" s="613">
        <f>'Estados Financieros'!E163</f>
        <v>210</v>
      </c>
      <c r="F30" s="795">
        <f t="shared" si="2"/>
        <v>5.4263565891472867E-2</v>
      </c>
      <c r="G30" s="796">
        <f t="shared" si="13"/>
        <v>0</v>
      </c>
      <c r="H30" s="613">
        <f>'Estados Financieros'!F163</f>
        <v>210</v>
      </c>
      <c r="I30" s="795">
        <f t="shared" si="3"/>
        <v>5.4263565891472867E-2</v>
      </c>
      <c r="J30" s="796">
        <f t="shared" si="4"/>
        <v>0</v>
      </c>
      <c r="K30" s="525">
        <f>'Estados Financieros'!I163</f>
        <v>210</v>
      </c>
      <c r="L30" s="795">
        <f t="shared" si="5"/>
        <v>5.4263565891472867E-2</v>
      </c>
      <c r="M30" s="796">
        <f t="shared" si="6"/>
        <v>0</v>
      </c>
      <c r="N30" s="525">
        <f>'Estados Financieros'!G163</f>
        <v>210</v>
      </c>
      <c r="O30" s="795">
        <f t="shared" si="7"/>
        <v>5.4263565891472867E-2</v>
      </c>
      <c r="P30" s="796">
        <f t="shared" si="8"/>
        <v>0</v>
      </c>
      <c r="Q30" s="525">
        <f>'Estados Financieros'!H163</f>
        <v>210</v>
      </c>
      <c r="R30" s="795">
        <f t="shared" si="9"/>
        <v>5.4263565891472867E-2</v>
      </c>
      <c r="S30" s="796">
        <f t="shared" si="10"/>
        <v>0</v>
      </c>
      <c r="T30" s="525">
        <f>N30*(1+T410)</f>
        <v>210</v>
      </c>
      <c r="U30" s="525">
        <f t="shared" ref="U30:AI30" si="25">T30*(1+U410)</f>
        <v>210</v>
      </c>
      <c r="V30" s="525">
        <f t="shared" si="25"/>
        <v>210</v>
      </c>
      <c r="W30" s="525">
        <f t="shared" si="25"/>
        <v>210</v>
      </c>
      <c r="X30" s="525">
        <f t="shared" si="25"/>
        <v>210</v>
      </c>
      <c r="Y30" s="525">
        <f t="shared" si="25"/>
        <v>210</v>
      </c>
      <c r="Z30" s="525">
        <f t="shared" si="25"/>
        <v>210</v>
      </c>
      <c r="AA30" s="525">
        <f t="shared" si="25"/>
        <v>210</v>
      </c>
      <c r="AB30" s="525">
        <f t="shared" si="25"/>
        <v>210</v>
      </c>
      <c r="AC30" s="525">
        <f t="shared" si="25"/>
        <v>210</v>
      </c>
      <c r="AD30" s="525">
        <f t="shared" si="25"/>
        <v>210</v>
      </c>
      <c r="AE30" s="525">
        <f t="shared" si="25"/>
        <v>210</v>
      </c>
      <c r="AF30" s="525">
        <f t="shared" si="25"/>
        <v>210</v>
      </c>
      <c r="AG30" s="525">
        <f t="shared" si="25"/>
        <v>210</v>
      </c>
      <c r="AH30" s="525">
        <f t="shared" si="25"/>
        <v>210</v>
      </c>
      <c r="AI30" s="525">
        <f t="shared" si="25"/>
        <v>210</v>
      </c>
      <c r="AJ30" s="778"/>
      <c r="AK30" s="497"/>
      <c r="AL30" s="497"/>
      <c r="BD30"/>
      <c r="BE30"/>
      <c r="BF30"/>
    </row>
    <row r="31" spans="1:58" s="496" customFormat="1" ht="15" x14ac:dyDescent="0.25">
      <c r="A31" s="526">
        <v>9</v>
      </c>
      <c r="B31" s="524" t="s">
        <v>1065</v>
      </c>
      <c r="C31" s="793"/>
      <c r="D31" s="794">
        <f t="shared" si="12"/>
        <v>0</v>
      </c>
      <c r="E31" s="613">
        <f>'Estados Financieros'!E154</f>
        <v>180</v>
      </c>
      <c r="F31" s="795">
        <f t="shared" si="2"/>
        <v>4.6511627906976744E-2</v>
      </c>
      <c r="G31" s="796">
        <f t="shared" si="13"/>
        <v>0</v>
      </c>
      <c r="H31" s="613">
        <f>'Estados Financieros'!F154</f>
        <v>180</v>
      </c>
      <c r="I31" s="795">
        <f t="shared" si="3"/>
        <v>4.6511627906976744E-2</v>
      </c>
      <c r="J31" s="796">
        <f t="shared" si="4"/>
        <v>0</v>
      </c>
      <c r="K31" s="525">
        <f>'Estados Financieros'!I154</f>
        <v>180</v>
      </c>
      <c r="L31" s="795">
        <f t="shared" si="5"/>
        <v>4.6511627906976744E-2</v>
      </c>
      <c r="M31" s="796">
        <f t="shared" si="6"/>
        <v>0</v>
      </c>
      <c r="N31" s="525">
        <f>'Estados Financieros'!G154</f>
        <v>180</v>
      </c>
      <c r="O31" s="795">
        <f t="shared" si="7"/>
        <v>4.6511627906976744E-2</v>
      </c>
      <c r="P31" s="796">
        <f t="shared" si="8"/>
        <v>0</v>
      </c>
      <c r="Q31" s="525">
        <f>'Estados Financieros'!H154</f>
        <v>180</v>
      </c>
      <c r="R31" s="795">
        <f t="shared" si="9"/>
        <v>4.6511627906976744E-2</v>
      </c>
      <c r="S31" s="796">
        <f t="shared" si="10"/>
        <v>0</v>
      </c>
      <c r="T31" s="527">
        <f>N31*(1+T412)</f>
        <v>180</v>
      </c>
      <c r="U31" s="527">
        <f t="shared" ref="U31:AI31" si="26">T31*(1+U412)</f>
        <v>180</v>
      </c>
      <c r="V31" s="527">
        <f t="shared" si="26"/>
        <v>180</v>
      </c>
      <c r="W31" s="527">
        <f t="shared" si="26"/>
        <v>180</v>
      </c>
      <c r="X31" s="527">
        <f t="shared" si="26"/>
        <v>180</v>
      </c>
      <c r="Y31" s="527">
        <f t="shared" si="26"/>
        <v>180</v>
      </c>
      <c r="Z31" s="527">
        <f t="shared" si="26"/>
        <v>180</v>
      </c>
      <c r="AA31" s="527">
        <f t="shared" si="26"/>
        <v>180</v>
      </c>
      <c r="AB31" s="527">
        <f t="shared" si="26"/>
        <v>180</v>
      </c>
      <c r="AC31" s="527">
        <f t="shared" si="26"/>
        <v>180</v>
      </c>
      <c r="AD31" s="527">
        <f t="shared" si="26"/>
        <v>180</v>
      </c>
      <c r="AE31" s="527">
        <f t="shared" si="26"/>
        <v>180</v>
      </c>
      <c r="AF31" s="527">
        <f t="shared" si="26"/>
        <v>180</v>
      </c>
      <c r="AG31" s="527">
        <f t="shared" si="26"/>
        <v>180</v>
      </c>
      <c r="AH31" s="527">
        <f t="shared" si="26"/>
        <v>180</v>
      </c>
      <c r="AI31" s="527">
        <f t="shared" si="26"/>
        <v>180</v>
      </c>
      <c r="AJ31" s="778"/>
      <c r="AK31" s="497"/>
      <c r="AL31" s="497"/>
      <c r="BD31"/>
      <c r="BE31"/>
      <c r="BF31"/>
    </row>
    <row r="32" spans="1:58" s="496" customFormat="1" ht="15" x14ac:dyDescent="0.25">
      <c r="A32" s="526">
        <v>10</v>
      </c>
      <c r="B32" s="524" t="s">
        <v>1066</v>
      </c>
      <c r="C32" s="793"/>
      <c r="D32" s="794">
        <f t="shared" si="12"/>
        <v>0</v>
      </c>
      <c r="E32" s="613">
        <f>SUM('Estados Financieros'!E135,'Estados Financieros'!E170)</f>
        <v>750</v>
      </c>
      <c r="F32" s="795">
        <f t="shared" si="2"/>
        <v>0.19379844961240311</v>
      </c>
      <c r="G32" s="796">
        <f t="shared" si="13"/>
        <v>0</v>
      </c>
      <c r="H32" s="613">
        <f>SUM('Estados Financieros'!F135,'Estados Financieros'!F170)</f>
        <v>750</v>
      </c>
      <c r="I32" s="795">
        <f t="shared" si="3"/>
        <v>0.19379844961240311</v>
      </c>
      <c r="J32" s="796">
        <f t="shared" si="4"/>
        <v>0</v>
      </c>
      <c r="K32" s="525">
        <f>SUM('Estados Financieros'!I135,'Estados Financieros'!I170)</f>
        <v>750</v>
      </c>
      <c r="L32" s="795">
        <f t="shared" si="5"/>
        <v>0.19379844961240311</v>
      </c>
      <c r="M32" s="796">
        <f t="shared" si="6"/>
        <v>0</v>
      </c>
      <c r="N32" s="525">
        <f>SUM('Estados Financieros'!G135,'Estados Financieros'!G170)</f>
        <v>750</v>
      </c>
      <c r="O32" s="795">
        <f t="shared" si="7"/>
        <v>0.19379844961240311</v>
      </c>
      <c r="P32" s="796">
        <f t="shared" si="8"/>
        <v>0</v>
      </c>
      <c r="Q32" s="525">
        <f>SUM('Estados Financieros'!H135,'Estados Financieros'!H170)</f>
        <v>750</v>
      </c>
      <c r="R32" s="795">
        <f t="shared" si="9"/>
        <v>0.19379844961240311</v>
      </c>
      <c r="S32" s="796">
        <f t="shared" si="10"/>
        <v>0</v>
      </c>
      <c r="T32" s="528">
        <f>(C32*$C$241)+(E32*$E$241)+(H32*$H$241)+(N32*$N$241)+(Q32*$Q$241)</f>
        <v>750</v>
      </c>
      <c r="U32" s="528">
        <f t="shared" ref="U32:AI32" si="27">T32</f>
        <v>750</v>
      </c>
      <c r="V32" s="528">
        <f t="shared" si="27"/>
        <v>750</v>
      </c>
      <c r="W32" s="528">
        <f t="shared" si="27"/>
        <v>750</v>
      </c>
      <c r="X32" s="528">
        <f t="shared" si="27"/>
        <v>750</v>
      </c>
      <c r="Y32" s="528">
        <f t="shared" si="27"/>
        <v>750</v>
      </c>
      <c r="Z32" s="528">
        <f t="shared" si="27"/>
        <v>750</v>
      </c>
      <c r="AA32" s="528">
        <f t="shared" si="27"/>
        <v>750</v>
      </c>
      <c r="AB32" s="528">
        <f t="shared" si="27"/>
        <v>750</v>
      </c>
      <c r="AC32" s="528">
        <f t="shared" si="27"/>
        <v>750</v>
      </c>
      <c r="AD32" s="528">
        <f t="shared" si="27"/>
        <v>750</v>
      </c>
      <c r="AE32" s="528">
        <f t="shared" si="27"/>
        <v>750</v>
      </c>
      <c r="AF32" s="528">
        <f t="shared" si="27"/>
        <v>750</v>
      </c>
      <c r="AG32" s="528">
        <f t="shared" si="27"/>
        <v>750</v>
      </c>
      <c r="AH32" s="528">
        <f t="shared" si="27"/>
        <v>750</v>
      </c>
      <c r="AI32" s="528">
        <f t="shared" si="27"/>
        <v>750</v>
      </c>
      <c r="AJ32" s="778"/>
      <c r="AK32" s="497"/>
      <c r="AL32" s="497"/>
      <c r="BD32"/>
      <c r="BE32"/>
      <c r="BF32"/>
    </row>
    <row r="33" spans="1:58" s="496" customFormat="1" ht="15" x14ac:dyDescent="0.25">
      <c r="A33" s="537">
        <v>11</v>
      </c>
      <c r="B33" s="530" t="s">
        <v>665</v>
      </c>
      <c r="C33" s="798"/>
      <c r="D33" s="799">
        <f t="shared" si="12"/>
        <v>0</v>
      </c>
      <c r="E33" s="812">
        <f>'Estados Financieros'!E176</f>
        <v>90</v>
      </c>
      <c r="F33" s="801">
        <f t="shared" si="2"/>
        <v>2.3255813953488372E-2</v>
      </c>
      <c r="G33" s="802">
        <f t="shared" si="13"/>
        <v>0</v>
      </c>
      <c r="H33" s="812">
        <f>'Estados Financieros'!F176</f>
        <v>90</v>
      </c>
      <c r="I33" s="801">
        <f t="shared" si="3"/>
        <v>2.3255813953488372E-2</v>
      </c>
      <c r="J33" s="802">
        <f t="shared" si="4"/>
        <v>0</v>
      </c>
      <c r="K33" s="527">
        <f>'Estados Financieros'!I176</f>
        <v>90</v>
      </c>
      <c r="L33" s="801">
        <f t="shared" si="5"/>
        <v>2.3255813953488372E-2</v>
      </c>
      <c r="M33" s="802">
        <f t="shared" si="6"/>
        <v>0</v>
      </c>
      <c r="N33" s="527">
        <f>'Estados Financieros'!G176</f>
        <v>90</v>
      </c>
      <c r="O33" s="801">
        <f t="shared" si="7"/>
        <v>2.3255813953488372E-2</v>
      </c>
      <c r="P33" s="802">
        <f t="shared" si="8"/>
        <v>0</v>
      </c>
      <c r="Q33" s="527">
        <f>'Estados Financieros'!H176</f>
        <v>90</v>
      </c>
      <c r="R33" s="801">
        <f t="shared" si="9"/>
        <v>2.3255813953488372E-2</v>
      </c>
      <c r="S33" s="802">
        <f t="shared" si="10"/>
        <v>0</v>
      </c>
      <c r="T33" s="531">
        <f>IF(Q33=0,N33,Q33)</f>
        <v>90</v>
      </c>
      <c r="U33" s="531">
        <f t="shared" ref="U33:AI33" si="28">T33</f>
        <v>90</v>
      </c>
      <c r="V33" s="531">
        <f t="shared" si="28"/>
        <v>90</v>
      </c>
      <c r="W33" s="531">
        <f t="shared" si="28"/>
        <v>90</v>
      </c>
      <c r="X33" s="531">
        <f t="shared" si="28"/>
        <v>90</v>
      </c>
      <c r="Y33" s="531">
        <f t="shared" si="28"/>
        <v>90</v>
      </c>
      <c r="Z33" s="531">
        <f t="shared" si="28"/>
        <v>90</v>
      </c>
      <c r="AA33" s="531">
        <f t="shared" si="28"/>
        <v>90</v>
      </c>
      <c r="AB33" s="531">
        <f t="shared" si="28"/>
        <v>90</v>
      </c>
      <c r="AC33" s="531">
        <f t="shared" si="28"/>
        <v>90</v>
      </c>
      <c r="AD33" s="531">
        <f t="shared" si="28"/>
        <v>90</v>
      </c>
      <c r="AE33" s="531">
        <f t="shared" si="28"/>
        <v>90</v>
      </c>
      <c r="AF33" s="531">
        <f t="shared" si="28"/>
        <v>90</v>
      </c>
      <c r="AG33" s="531">
        <f t="shared" si="28"/>
        <v>90</v>
      </c>
      <c r="AH33" s="531">
        <f t="shared" si="28"/>
        <v>90</v>
      </c>
      <c r="AI33" s="531">
        <f t="shared" si="28"/>
        <v>90</v>
      </c>
      <c r="AJ33" s="778"/>
      <c r="BD33"/>
      <c r="BE33"/>
      <c r="BF33"/>
    </row>
    <row r="34" spans="1:58" s="496" customFormat="1" ht="15" x14ac:dyDescent="0.25">
      <c r="A34" s="507"/>
      <c r="B34" s="538" t="s">
        <v>1067</v>
      </c>
      <c r="C34" s="813">
        <f>SUM(C26:C32)</f>
        <v>0</v>
      </c>
      <c r="D34" s="814">
        <f t="shared" si="12"/>
        <v>0</v>
      </c>
      <c r="E34" s="539">
        <f>SUM(E26:E32)</f>
        <v>3870</v>
      </c>
      <c r="F34" s="815">
        <f t="shared" si="2"/>
        <v>1</v>
      </c>
      <c r="G34" s="816">
        <f t="shared" si="13"/>
        <v>0</v>
      </c>
      <c r="H34" s="539">
        <f>SUM(H26:H32)</f>
        <v>3870</v>
      </c>
      <c r="I34" s="815">
        <f t="shared" si="3"/>
        <v>1</v>
      </c>
      <c r="J34" s="816">
        <f t="shared" si="4"/>
        <v>0</v>
      </c>
      <c r="K34" s="539">
        <f>SUM(K26:K32)</f>
        <v>3870</v>
      </c>
      <c r="L34" s="815">
        <f t="shared" si="5"/>
        <v>1</v>
      </c>
      <c r="M34" s="816">
        <f t="shared" si="6"/>
        <v>0</v>
      </c>
      <c r="N34" s="539">
        <f>SUM(N26:N32)</f>
        <v>3870</v>
      </c>
      <c r="O34" s="815">
        <f t="shared" si="7"/>
        <v>1</v>
      </c>
      <c r="P34" s="816">
        <f t="shared" si="8"/>
        <v>0</v>
      </c>
      <c r="Q34" s="539">
        <f>SUM(Q26:Q32)</f>
        <v>3870</v>
      </c>
      <c r="R34" s="815">
        <f t="shared" si="9"/>
        <v>1</v>
      </c>
      <c r="S34" s="816">
        <f t="shared" si="10"/>
        <v>0</v>
      </c>
      <c r="T34" s="540">
        <f t="shared" ref="T34:AI34" si="29">SUM(T26:T32)</f>
        <v>4789.6999999999989</v>
      </c>
      <c r="U34" s="540">
        <f t="shared" si="29"/>
        <v>5718.192</v>
      </c>
      <c r="V34" s="540">
        <f t="shared" si="29"/>
        <v>6650.4160000000002</v>
      </c>
      <c r="W34" s="540">
        <f t="shared" si="29"/>
        <v>7579.9599999999991</v>
      </c>
      <c r="X34" s="540">
        <f t="shared" si="29"/>
        <v>8509.503999999999</v>
      </c>
      <c r="Y34" s="540">
        <f t="shared" si="29"/>
        <v>9439.047999999997</v>
      </c>
      <c r="Z34" s="540">
        <f t="shared" si="29"/>
        <v>10368.591999999999</v>
      </c>
      <c r="AA34" s="540">
        <f t="shared" si="29"/>
        <v>11298.135999999997</v>
      </c>
      <c r="AB34" s="540">
        <f t="shared" si="29"/>
        <v>12227.679999999997</v>
      </c>
      <c r="AC34" s="540">
        <f t="shared" si="29"/>
        <v>13157.223999999997</v>
      </c>
      <c r="AD34" s="540">
        <f t="shared" si="29"/>
        <v>14086.767999999998</v>
      </c>
      <c r="AE34" s="540">
        <f t="shared" si="29"/>
        <v>15016.311999999996</v>
      </c>
      <c r="AF34" s="540">
        <f t="shared" si="29"/>
        <v>15945.855999999998</v>
      </c>
      <c r="AG34" s="540">
        <f t="shared" si="29"/>
        <v>16875.399999999994</v>
      </c>
      <c r="AH34" s="540">
        <f t="shared" si="29"/>
        <v>17804.943999999996</v>
      </c>
      <c r="AI34" s="540">
        <f t="shared" si="29"/>
        <v>18734.487999999994</v>
      </c>
      <c r="AJ34" s="778"/>
      <c r="BD34"/>
      <c r="BE34"/>
      <c r="BF34"/>
    </row>
    <row r="35" spans="1:58" s="496" customFormat="1" ht="15" x14ac:dyDescent="0.25">
      <c r="A35" s="507"/>
      <c r="B35" s="538" t="s">
        <v>1068</v>
      </c>
      <c r="C35" s="813">
        <f>C33+C34</f>
        <v>0</v>
      </c>
      <c r="D35" s="817"/>
      <c r="E35" s="539">
        <f>E33+E34</f>
        <v>3960</v>
      </c>
      <c r="F35" s="815"/>
      <c r="G35" s="816">
        <f t="shared" si="13"/>
        <v>0</v>
      </c>
      <c r="H35" s="539">
        <f>H33+H34</f>
        <v>3960</v>
      </c>
      <c r="I35" s="815"/>
      <c r="J35" s="816">
        <f t="shared" si="4"/>
        <v>0</v>
      </c>
      <c r="K35" s="539">
        <f>K33+K34</f>
        <v>3960</v>
      </c>
      <c r="L35" s="815"/>
      <c r="M35" s="816">
        <f t="shared" si="6"/>
        <v>0</v>
      </c>
      <c r="N35" s="539">
        <f>N33+N34</f>
        <v>3960</v>
      </c>
      <c r="O35" s="815"/>
      <c r="P35" s="816">
        <f t="shared" si="8"/>
        <v>0</v>
      </c>
      <c r="Q35" s="539">
        <f>Q33+Q34</f>
        <v>3960</v>
      </c>
      <c r="R35" s="815"/>
      <c r="S35" s="816">
        <f t="shared" si="10"/>
        <v>0</v>
      </c>
      <c r="T35" s="540">
        <f t="shared" ref="T35:AI35" si="30">T33+T34</f>
        <v>4879.6999999999989</v>
      </c>
      <c r="U35" s="540">
        <f t="shared" si="30"/>
        <v>5808.192</v>
      </c>
      <c r="V35" s="540">
        <f t="shared" si="30"/>
        <v>6740.4160000000002</v>
      </c>
      <c r="W35" s="540">
        <f t="shared" si="30"/>
        <v>7669.9599999999991</v>
      </c>
      <c r="X35" s="540">
        <f t="shared" si="30"/>
        <v>8599.503999999999</v>
      </c>
      <c r="Y35" s="540">
        <f t="shared" si="30"/>
        <v>9529.047999999997</v>
      </c>
      <c r="Z35" s="540">
        <f t="shared" si="30"/>
        <v>10458.591999999999</v>
      </c>
      <c r="AA35" s="540">
        <f t="shared" si="30"/>
        <v>11388.135999999997</v>
      </c>
      <c r="AB35" s="540">
        <f t="shared" si="30"/>
        <v>12317.679999999997</v>
      </c>
      <c r="AC35" s="540">
        <f t="shared" si="30"/>
        <v>13247.223999999997</v>
      </c>
      <c r="AD35" s="540">
        <f t="shared" si="30"/>
        <v>14176.767999999998</v>
      </c>
      <c r="AE35" s="540">
        <f t="shared" si="30"/>
        <v>15106.311999999996</v>
      </c>
      <c r="AF35" s="540">
        <f t="shared" si="30"/>
        <v>16035.855999999998</v>
      </c>
      <c r="AG35" s="540">
        <f t="shared" si="30"/>
        <v>16965.399999999994</v>
      </c>
      <c r="AH35" s="540">
        <f t="shared" si="30"/>
        <v>17894.943999999996</v>
      </c>
      <c r="AI35" s="540">
        <f t="shared" si="30"/>
        <v>18824.487999999994</v>
      </c>
      <c r="AJ35" s="778"/>
      <c r="BD35"/>
      <c r="BE35"/>
      <c r="BF35"/>
    </row>
    <row r="36" spans="1:58" s="496" customFormat="1" ht="15" x14ac:dyDescent="0.25">
      <c r="A36" s="518">
        <v>12</v>
      </c>
      <c r="B36" s="534" t="s">
        <v>1069</v>
      </c>
      <c r="C36" s="807"/>
      <c r="D36" s="808">
        <f t="shared" ref="D36:D59" si="31">IF(OR(C36=0,C$59=0),0,C36/C$59)</f>
        <v>0</v>
      </c>
      <c r="E36" s="809">
        <f>'Estados Financieros'!E189</f>
        <v>10</v>
      </c>
      <c r="F36" s="810">
        <f t="shared" ref="F36:F59" si="32">IF(OR(E36=0,E$59=0),0,E36/E$59)</f>
        <v>1.0752688172043012E-2</v>
      </c>
      <c r="G36" s="811">
        <f t="shared" si="13"/>
        <v>0</v>
      </c>
      <c r="H36" s="809">
        <f>'Estados Financieros'!F189</f>
        <v>10</v>
      </c>
      <c r="I36" s="810">
        <f t="shared" ref="I36:I59" si="33">IF(OR(H36=0,H$59=0),0,H36/H$59)</f>
        <v>1.0752688172043012E-2</v>
      </c>
      <c r="J36" s="811">
        <f t="shared" si="4"/>
        <v>0</v>
      </c>
      <c r="K36" s="535">
        <f>'Estados Financieros'!I189</f>
        <v>10</v>
      </c>
      <c r="L36" s="810">
        <f t="shared" ref="L36:L59" si="34">IF(OR(K36=0,K$59=0),0,K36/K$59)</f>
        <v>1.0752688172043012E-2</v>
      </c>
      <c r="M36" s="811">
        <f t="shared" si="6"/>
        <v>0</v>
      </c>
      <c r="N36" s="535">
        <f>'Estados Financieros'!G189</f>
        <v>10</v>
      </c>
      <c r="O36" s="810">
        <f t="shared" ref="O36:O59" si="35">IF(OR(N36=0,N$59=0),0,N36/N$59)</f>
        <v>1.0752688172043012E-2</v>
      </c>
      <c r="P36" s="811">
        <f t="shared" si="8"/>
        <v>0</v>
      </c>
      <c r="Q36" s="535">
        <f>'Estados Financieros'!H189</f>
        <v>10</v>
      </c>
      <c r="R36" s="810">
        <f t="shared" ref="R36:R59" si="36">IF(OR(Q36=0,Q$59=0),0,Q36/Q$59)</f>
        <v>1.0752688172043012E-2</v>
      </c>
      <c r="S36" s="811">
        <f t="shared" si="10"/>
        <v>0</v>
      </c>
      <c r="T36" s="541">
        <f>IF(OR(SUM(T151,T153:T155,T159:T160,T165,T172:T173,T180,T191,T210,-N36)&gt;=T923,N36+(T923-N18)-SUM(T151,T153:T155,T159:T160,T165,T172:T173,T180,T191,T210)&lt;0),0,N36+(T923-N18)-SUM(T151,T153:T155,T159:T160,T165,T172:T173,T180,T191,T210))</f>
        <v>0</v>
      </c>
      <c r="U36" s="541">
        <f t="shared" ref="U36:AI36" si="37">IF(OR(SUM(U151,U153:U155,U159:U160,U165,U172:U173,U180,U191,U210,-T36)&gt;=U923,T36+(U923-T18)-SUM(U151,U153:U155,U159:U160,U165,U172:U173,U180,U191,U210)&lt;0),0,T36+(U923-T18)-SUM(U151,U153:U155,U159:U160,U165,U172:U173,U180,U191,U210))</f>
        <v>0</v>
      </c>
      <c r="V36" s="541">
        <f t="shared" si="37"/>
        <v>0</v>
      </c>
      <c r="W36" s="541">
        <f t="shared" si="37"/>
        <v>0</v>
      </c>
      <c r="X36" s="541">
        <f t="shared" si="37"/>
        <v>0</v>
      </c>
      <c r="Y36" s="541">
        <f t="shared" si="37"/>
        <v>0</v>
      </c>
      <c r="Z36" s="541">
        <f t="shared" si="37"/>
        <v>0</v>
      </c>
      <c r="AA36" s="541">
        <f t="shared" si="37"/>
        <v>0</v>
      </c>
      <c r="AB36" s="541">
        <f t="shared" si="37"/>
        <v>0</v>
      </c>
      <c r="AC36" s="541">
        <f t="shared" si="37"/>
        <v>0</v>
      </c>
      <c r="AD36" s="541">
        <f t="shared" si="37"/>
        <v>0</v>
      </c>
      <c r="AE36" s="541">
        <f t="shared" si="37"/>
        <v>0</v>
      </c>
      <c r="AF36" s="541">
        <f t="shared" si="37"/>
        <v>0</v>
      </c>
      <c r="AG36" s="541">
        <f t="shared" si="37"/>
        <v>0</v>
      </c>
      <c r="AH36" s="541">
        <f t="shared" si="37"/>
        <v>0</v>
      </c>
      <c r="AI36" s="541">
        <f t="shared" si="37"/>
        <v>0</v>
      </c>
      <c r="AJ36" s="778"/>
      <c r="BD36"/>
      <c r="BE36"/>
      <c r="BF36"/>
    </row>
    <row r="37" spans="1:58" s="496" customFormat="1" ht="15" x14ac:dyDescent="0.25">
      <c r="A37" s="523" t="s">
        <v>1070</v>
      </c>
      <c r="B37" s="524" t="s">
        <v>1071</v>
      </c>
      <c r="C37" s="793"/>
      <c r="D37" s="794">
        <f t="shared" si="31"/>
        <v>0</v>
      </c>
      <c r="E37" s="809">
        <f>'Estados Financieros'!E190</f>
        <v>10</v>
      </c>
      <c r="F37" s="795">
        <f t="shared" si="32"/>
        <v>1.0752688172043012E-2</v>
      </c>
      <c r="G37" s="796">
        <f t="shared" si="13"/>
        <v>0</v>
      </c>
      <c r="H37" s="809">
        <f>'Estados Financieros'!F190</f>
        <v>10</v>
      </c>
      <c r="I37" s="795">
        <f t="shared" si="33"/>
        <v>1.0752688172043012E-2</v>
      </c>
      <c r="J37" s="796">
        <f t="shared" si="4"/>
        <v>0</v>
      </c>
      <c r="K37" s="535">
        <f>'Estados Financieros'!I190</f>
        <v>10</v>
      </c>
      <c r="L37" s="795">
        <f t="shared" si="34"/>
        <v>1.0752688172043012E-2</v>
      </c>
      <c r="M37" s="796">
        <f t="shared" si="6"/>
        <v>0</v>
      </c>
      <c r="N37" s="535">
        <f>'Estados Financieros'!G190</f>
        <v>10</v>
      </c>
      <c r="O37" s="795">
        <f t="shared" si="35"/>
        <v>1.0752688172043012E-2</v>
      </c>
      <c r="P37" s="796">
        <f t="shared" si="8"/>
        <v>0</v>
      </c>
      <c r="Q37" s="525">
        <f>'Estados Financieros'!H190</f>
        <v>10</v>
      </c>
      <c r="R37" s="795">
        <f t="shared" si="36"/>
        <v>1.0752688172043012E-2</v>
      </c>
      <c r="S37" s="796">
        <f t="shared" si="10"/>
        <v>0</v>
      </c>
      <c r="T37" s="525">
        <f t="shared" ref="T37:AI37" si="38">T250+T304+T340</f>
        <v>0</v>
      </c>
      <c r="U37" s="525">
        <f t="shared" si="38"/>
        <v>0</v>
      </c>
      <c r="V37" s="525">
        <f t="shared" si="38"/>
        <v>0</v>
      </c>
      <c r="W37" s="525">
        <f t="shared" si="38"/>
        <v>0</v>
      </c>
      <c r="X37" s="525">
        <f t="shared" si="38"/>
        <v>0</v>
      </c>
      <c r="Y37" s="525">
        <f t="shared" si="38"/>
        <v>0</v>
      </c>
      <c r="Z37" s="525">
        <f t="shared" si="38"/>
        <v>0</v>
      </c>
      <c r="AA37" s="525">
        <f t="shared" si="38"/>
        <v>0</v>
      </c>
      <c r="AB37" s="525">
        <f t="shared" si="38"/>
        <v>0</v>
      </c>
      <c r="AC37" s="525">
        <f t="shared" si="38"/>
        <v>0</v>
      </c>
      <c r="AD37" s="525">
        <f t="shared" si="38"/>
        <v>0</v>
      </c>
      <c r="AE37" s="525">
        <f t="shared" si="38"/>
        <v>0</v>
      </c>
      <c r="AF37" s="525">
        <f t="shared" si="38"/>
        <v>0</v>
      </c>
      <c r="AG37" s="525">
        <f t="shared" si="38"/>
        <v>0</v>
      </c>
      <c r="AH37" s="525">
        <f t="shared" si="38"/>
        <v>0</v>
      </c>
      <c r="AI37" s="525">
        <f t="shared" si="38"/>
        <v>0</v>
      </c>
      <c r="AJ37" s="778"/>
      <c r="BD37"/>
      <c r="BE37"/>
      <c r="BF37"/>
    </row>
    <row r="38" spans="1:58" s="496" customFormat="1" ht="15" x14ac:dyDescent="0.25">
      <c r="A38" s="523" t="s">
        <v>1072</v>
      </c>
      <c r="B38" s="524" t="s">
        <v>1073</v>
      </c>
      <c r="C38" s="793"/>
      <c r="D38" s="794">
        <f t="shared" si="31"/>
        <v>0</v>
      </c>
      <c r="E38" s="613">
        <f>'Estados Financieros'!E191</f>
        <v>10</v>
      </c>
      <c r="F38" s="795">
        <f t="shared" si="32"/>
        <v>1.0752688172043012E-2</v>
      </c>
      <c r="G38" s="796">
        <f t="shared" si="13"/>
        <v>0</v>
      </c>
      <c r="H38" s="613">
        <f>'Estados Financieros'!F191</f>
        <v>10</v>
      </c>
      <c r="I38" s="795">
        <f t="shared" si="33"/>
        <v>1.0752688172043012E-2</v>
      </c>
      <c r="J38" s="796">
        <f t="shared" si="4"/>
        <v>0</v>
      </c>
      <c r="K38" s="525">
        <f>'Estados Financieros'!I191</f>
        <v>10</v>
      </c>
      <c r="L38" s="795">
        <f t="shared" si="34"/>
        <v>1.0752688172043012E-2</v>
      </c>
      <c r="M38" s="796">
        <f t="shared" si="6"/>
        <v>0</v>
      </c>
      <c r="N38" s="525">
        <f>'Estados Financieros'!G191</f>
        <v>10</v>
      </c>
      <c r="O38" s="795">
        <f t="shared" si="35"/>
        <v>1.0752688172043012E-2</v>
      </c>
      <c r="P38" s="796">
        <f t="shared" si="8"/>
        <v>0</v>
      </c>
      <c r="Q38" s="525">
        <f>'Estados Financieros'!H191</f>
        <v>10</v>
      </c>
      <c r="R38" s="795">
        <f t="shared" si="36"/>
        <v>1.0752688172043012E-2</v>
      </c>
      <c r="S38" s="796">
        <f t="shared" si="10"/>
        <v>0</v>
      </c>
      <c r="T38" s="525">
        <f t="shared" ref="T38:AI38" si="39">T262</f>
        <v>0</v>
      </c>
      <c r="U38" s="525">
        <f t="shared" si="39"/>
        <v>0</v>
      </c>
      <c r="V38" s="525">
        <f t="shared" si="39"/>
        <v>0</v>
      </c>
      <c r="W38" s="525">
        <f t="shared" si="39"/>
        <v>0</v>
      </c>
      <c r="X38" s="525">
        <f t="shared" si="39"/>
        <v>0</v>
      </c>
      <c r="Y38" s="525">
        <f t="shared" si="39"/>
        <v>0</v>
      </c>
      <c r="Z38" s="525">
        <f t="shared" si="39"/>
        <v>0</v>
      </c>
      <c r="AA38" s="525">
        <f t="shared" si="39"/>
        <v>0</v>
      </c>
      <c r="AB38" s="525">
        <f t="shared" si="39"/>
        <v>0</v>
      </c>
      <c r="AC38" s="525">
        <f t="shared" si="39"/>
        <v>0</v>
      </c>
      <c r="AD38" s="525">
        <f t="shared" si="39"/>
        <v>0</v>
      </c>
      <c r="AE38" s="525">
        <f t="shared" si="39"/>
        <v>0</v>
      </c>
      <c r="AF38" s="525">
        <f t="shared" si="39"/>
        <v>0</v>
      </c>
      <c r="AG38" s="525">
        <f t="shared" si="39"/>
        <v>0</v>
      </c>
      <c r="AH38" s="525">
        <f t="shared" si="39"/>
        <v>0</v>
      </c>
      <c r="AI38" s="525">
        <f t="shared" si="39"/>
        <v>0</v>
      </c>
      <c r="AJ38" s="778"/>
      <c r="BD38"/>
      <c r="BE38"/>
      <c r="BF38"/>
    </row>
    <row r="39" spans="1:58" s="496" customFormat="1" ht="15" x14ac:dyDescent="0.25">
      <c r="A39" s="523" t="s">
        <v>1074</v>
      </c>
      <c r="B39" s="524" t="s">
        <v>1075</v>
      </c>
      <c r="C39" s="793"/>
      <c r="D39" s="794">
        <f t="shared" si="31"/>
        <v>0</v>
      </c>
      <c r="E39" s="613"/>
      <c r="F39" s="795">
        <f t="shared" si="32"/>
        <v>0</v>
      </c>
      <c r="G39" s="796">
        <f t="shared" si="13"/>
        <v>0</v>
      </c>
      <c r="H39" s="613"/>
      <c r="I39" s="795">
        <f t="shared" si="33"/>
        <v>0</v>
      </c>
      <c r="J39" s="796">
        <f t="shared" si="4"/>
        <v>0</v>
      </c>
      <c r="K39" s="525"/>
      <c r="L39" s="795">
        <f t="shared" si="34"/>
        <v>0</v>
      </c>
      <c r="M39" s="796">
        <f t="shared" si="6"/>
        <v>0</v>
      </c>
      <c r="N39" s="525"/>
      <c r="O39" s="795">
        <f t="shared" si="35"/>
        <v>0</v>
      </c>
      <c r="P39" s="796">
        <f t="shared" si="8"/>
        <v>0</v>
      </c>
      <c r="Q39" s="525"/>
      <c r="R39" s="795">
        <f t="shared" si="36"/>
        <v>0</v>
      </c>
      <c r="S39" s="796">
        <f t="shared" si="10"/>
        <v>0</v>
      </c>
      <c r="T39" s="525">
        <f t="shared" ref="T39:AI39" si="40">T380</f>
        <v>0</v>
      </c>
      <c r="U39" s="525">
        <f t="shared" si="40"/>
        <v>0</v>
      </c>
      <c r="V39" s="525">
        <f t="shared" si="40"/>
        <v>0</v>
      </c>
      <c r="W39" s="525">
        <f t="shared" si="40"/>
        <v>0</v>
      </c>
      <c r="X39" s="525">
        <f t="shared" si="40"/>
        <v>0</v>
      </c>
      <c r="Y39" s="525">
        <f t="shared" si="40"/>
        <v>0</v>
      </c>
      <c r="Z39" s="525">
        <f t="shared" si="40"/>
        <v>0</v>
      </c>
      <c r="AA39" s="525">
        <f t="shared" si="40"/>
        <v>0</v>
      </c>
      <c r="AB39" s="525">
        <f t="shared" si="40"/>
        <v>0</v>
      </c>
      <c r="AC39" s="525">
        <f t="shared" si="40"/>
        <v>0</v>
      </c>
      <c r="AD39" s="525">
        <f t="shared" si="40"/>
        <v>0</v>
      </c>
      <c r="AE39" s="525">
        <f t="shared" si="40"/>
        <v>0</v>
      </c>
      <c r="AF39" s="525">
        <f t="shared" si="40"/>
        <v>0</v>
      </c>
      <c r="AG39" s="525">
        <f t="shared" si="40"/>
        <v>0</v>
      </c>
      <c r="AH39" s="525">
        <f t="shared" si="40"/>
        <v>0</v>
      </c>
      <c r="AI39" s="525">
        <f t="shared" si="40"/>
        <v>0</v>
      </c>
      <c r="AJ39" s="778"/>
      <c r="BD39"/>
      <c r="BE39"/>
      <c r="BF39"/>
    </row>
    <row r="40" spans="1:58" s="496" customFormat="1" ht="15" x14ac:dyDescent="0.25">
      <c r="A40" s="526">
        <v>14</v>
      </c>
      <c r="B40" s="524" t="s">
        <v>685</v>
      </c>
      <c r="C40" s="793"/>
      <c r="D40" s="794">
        <f t="shared" si="31"/>
        <v>0</v>
      </c>
      <c r="E40" s="613">
        <f>'Estados Financieros'!E197</f>
        <v>30</v>
      </c>
      <c r="F40" s="795">
        <f t="shared" si="32"/>
        <v>3.2258064516129031E-2</v>
      </c>
      <c r="G40" s="796">
        <f t="shared" si="13"/>
        <v>0</v>
      </c>
      <c r="H40" s="613">
        <f>'Estados Financieros'!F197</f>
        <v>30</v>
      </c>
      <c r="I40" s="795">
        <f t="shared" si="33"/>
        <v>3.2258064516129031E-2</v>
      </c>
      <c r="J40" s="796">
        <f t="shared" si="4"/>
        <v>0</v>
      </c>
      <c r="K40" s="525">
        <f>'Estados Financieros'!I197</f>
        <v>30</v>
      </c>
      <c r="L40" s="795">
        <f t="shared" si="34"/>
        <v>3.2258064516129031E-2</v>
      </c>
      <c r="M40" s="796">
        <f t="shared" si="6"/>
        <v>0</v>
      </c>
      <c r="N40" s="525">
        <f>'Estados Financieros'!G197</f>
        <v>30</v>
      </c>
      <c r="O40" s="795">
        <f t="shared" si="35"/>
        <v>3.2258064516129031E-2</v>
      </c>
      <c r="P40" s="796">
        <f t="shared" si="8"/>
        <v>0</v>
      </c>
      <c r="Q40" s="525">
        <f>'Estados Financieros'!H197</f>
        <v>30</v>
      </c>
      <c r="R40" s="795">
        <f t="shared" si="36"/>
        <v>3.2258064516129031E-2</v>
      </c>
      <c r="S40" s="796">
        <f t="shared" si="10"/>
        <v>0</v>
      </c>
      <c r="T40" s="525">
        <f t="shared" ref="T40:AI40" si="41">IF(T72&lt;&gt;0,T72*T406/T17,T74*T406/T17)</f>
        <v>30.000000000000004</v>
      </c>
      <c r="U40" s="525">
        <f t="shared" si="41"/>
        <v>30.000000000000004</v>
      </c>
      <c r="V40" s="525">
        <f t="shared" si="41"/>
        <v>30.000000000000004</v>
      </c>
      <c r="W40" s="525">
        <f t="shared" si="41"/>
        <v>30.000000000000004</v>
      </c>
      <c r="X40" s="525">
        <f t="shared" si="41"/>
        <v>30.000000000000004</v>
      </c>
      <c r="Y40" s="525">
        <f t="shared" si="41"/>
        <v>30.000000000000004</v>
      </c>
      <c r="Z40" s="525">
        <f t="shared" si="41"/>
        <v>30.000000000000004</v>
      </c>
      <c r="AA40" s="525">
        <f t="shared" si="41"/>
        <v>30.000000000000004</v>
      </c>
      <c r="AB40" s="525">
        <f t="shared" si="41"/>
        <v>30.000000000000004</v>
      </c>
      <c r="AC40" s="525">
        <f t="shared" si="41"/>
        <v>30.000000000000004</v>
      </c>
      <c r="AD40" s="525">
        <f t="shared" si="41"/>
        <v>30.000000000000004</v>
      </c>
      <c r="AE40" s="525">
        <f t="shared" si="41"/>
        <v>30.000000000000004</v>
      </c>
      <c r="AF40" s="525">
        <f t="shared" si="41"/>
        <v>30.000000000000004</v>
      </c>
      <c r="AG40" s="525">
        <f t="shared" si="41"/>
        <v>30.000000000000004</v>
      </c>
      <c r="AH40" s="525">
        <f t="shared" si="41"/>
        <v>30.000000000000004</v>
      </c>
      <c r="AI40" s="525">
        <f t="shared" si="41"/>
        <v>30.000000000000004</v>
      </c>
      <c r="AJ40" s="778"/>
      <c r="BD40"/>
      <c r="BE40"/>
      <c r="BF40"/>
    </row>
    <row r="41" spans="1:58" s="496" customFormat="1" ht="15" x14ac:dyDescent="0.25">
      <c r="A41" s="526">
        <v>15</v>
      </c>
      <c r="B41" s="524" t="s">
        <v>1076</v>
      </c>
      <c r="C41" s="793"/>
      <c r="D41" s="794">
        <f t="shared" si="31"/>
        <v>0</v>
      </c>
      <c r="E41" s="613">
        <f>'Estados Financieros'!E234</f>
        <v>60</v>
      </c>
      <c r="F41" s="795">
        <f t="shared" si="32"/>
        <v>6.4516129032258063E-2</v>
      </c>
      <c r="G41" s="796">
        <f t="shared" si="13"/>
        <v>0</v>
      </c>
      <c r="H41" s="613">
        <f>'Estados Financieros'!F234</f>
        <v>60</v>
      </c>
      <c r="I41" s="795">
        <f t="shared" si="33"/>
        <v>6.4516129032258063E-2</v>
      </c>
      <c r="J41" s="796">
        <f t="shared" si="4"/>
        <v>0</v>
      </c>
      <c r="K41" s="525">
        <f>'Estados Financieros'!I234</f>
        <v>60</v>
      </c>
      <c r="L41" s="795">
        <f t="shared" si="34"/>
        <v>6.4516129032258063E-2</v>
      </c>
      <c r="M41" s="796">
        <f t="shared" si="6"/>
        <v>0</v>
      </c>
      <c r="N41" s="525">
        <f>'Estados Financieros'!G234</f>
        <v>60</v>
      </c>
      <c r="O41" s="795">
        <f t="shared" si="35"/>
        <v>6.4516129032258063E-2</v>
      </c>
      <c r="P41" s="796">
        <f t="shared" si="8"/>
        <v>0</v>
      </c>
      <c r="Q41" s="525">
        <f>'Estados Financieros'!H234</f>
        <v>60</v>
      </c>
      <c r="R41" s="795">
        <f t="shared" si="36"/>
        <v>6.4516129032258063E-2</v>
      </c>
      <c r="S41" s="796">
        <f t="shared" si="10"/>
        <v>0</v>
      </c>
      <c r="T41" s="525">
        <f t="shared" ref="T41:AI41" si="42">IF(T74&lt;&gt;0,T74*T414,T72*T414)</f>
        <v>60</v>
      </c>
      <c r="U41" s="525">
        <f t="shared" si="42"/>
        <v>60</v>
      </c>
      <c r="V41" s="525">
        <f t="shared" si="42"/>
        <v>60</v>
      </c>
      <c r="W41" s="525">
        <f t="shared" si="42"/>
        <v>60</v>
      </c>
      <c r="X41" s="525">
        <f t="shared" si="42"/>
        <v>60</v>
      </c>
      <c r="Y41" s="525">
        <f t="shared" si="42"/>
        <v>60</v>
      </c>
      <c r="Z41" s="525">
        <f t="shared" si="42"/>
        <v>60</v>
      </c>
      <c r="AA41" s="525">
        <f t="shared" si="42"/>
        <v>60</v>
      </c>
      <c r="AB41" s="525">
        <f t="shared" si="42"/>
        <v>60</v>
      </c>
      <c r="AC41" s="525">
        <f t="shared" si="42"/>
        <v>60</v>
      </c>
      <c r="AD41" s="525">
        <f t="shared" si="42"/>
        <v>60</v>
      </c>
      <c r="AE41" s="525">
        <f t="shared" si="42"/>
        <v>60</v>
      </c>
      <c r="AF41" s="525">
        <f t="shared" si="42"/>
        <v>60</v>
      </c>
      <c r="AG41" s="525">
        <f t="shared" si="42"/>
        <v>60</v>
      </c>
      <c r="AH41" s="525">
        <f t="shared" si="42"/>
        <v>60</v>
      </c>
      <c r="AI41" s="525">
        <f t="shared" si="42"/>
        <v>60</v>
      </c>
      <c r="AJ41" s="778"/>
      <c r="BD41"/>
      <c r="BE41"/>
      <c r="BF41"/>
    </row>
    <row r="42" spans="1:58" s="496" customFormat="1" ht="15" x14ac:dyDescent="0.25">
      <c r="A42" s="526">
        <v>16</v>
      </c>
      <c r="B42" s="524" t="s">
        <v>1077</v>
      </c>
      <c r="C42" s="793"/>
      <c r="D42" s="794">
        <f t="shared" si="31"/>
        <v>0</v>
      </c>
      <c r="E42" s="613">
        <f>'Estados Financieros'!E226</f>
        <v>40</v>
      </c>
      <c r="F42" s="795">
        <f t="shared" si="32"/>
        <v>4.3010752688172046E-2</v>
      </c>
      <c r="G42" s="796">
        <f t="shared" si="13"/>
        <v>0</v>
      </c>
      <c r="H42" s="613">
        <f>'Estados Financieros'!F226</f>
        <v>40</v>
      </c>
      <c r="I42" s="795">
        <f t="shared" si="33"/>
        <v>4.3010752688172046E-2</v>
      </c>
      <c r="J42" s="796">
        <f t="shared" si="4"/>
        <v>0</v>
      </c>
      <c r="K42" s="525">
        <f>'Estados Financieros'!I226</f>
        <v>40</v>
      </c>
      <c r="L42" s="795">
        <f t="shared" si="34"/>
        <v>4.3010752688172046E-2</v>
      </c>
      <c r="M42" s="796">
        <f t="shared" si="6"/>
        <v>0</v>
      </c>
      <c r="N42" s="525">
        <f>'Estados Financieros'!G226</f>
        <v>40</v>
      </c>
      <c r="O42" s="795">
        <f t="shared" si="35"/>
        <v>4.3010752688172046E-2</v>
      </c>
      <c r="P42" s="796">
        <f t="shared" si="8"/>
        <v>0</v>
      </c>
      <c r="Q42" s="525">
        <f>'Estados Financieros'!H226</f>
        <v>40</v>
      </c>
      <c r="R42" s="795">
        <f t="shared" si="36"/>
        <v>4.3010752688172046E-2</v>
      </c>
      <c r="S42" s="796">
        <f t="shared" si="10"/>
        <v>0</v>
      </c>
      <c r="T42" s="527">
        <f t="shared" ref="T42:AI42" si="43">T71*T415</f>
        <v>40</v>
      </c>
      <c r="U42" s="527">
        <f t="shared" si="43"/>
        <v>40</v>
      </c>
      <c r="V42" s="527">
        <f t="shared" si="43"/>
        <v>40</v>
      </c>
      <c r="W42" s="527">
        <f t="shared" si="43"/>
        <v>40</v>
      </c>
      <c r="X42" s="527">
        <f t="shared" si="43"/>
        <v>40</v>
      </c>
      <c r="Y42" s="527">
        <f t="shared" si="43"/>
        <v>40</v>
      </c>
      <c r="Z42" s="527">
        <f t="shared" si="43"/>
        <v>40</v>
      </c>
      <c r="AA42" s="527">
        <f t="shared" si="43"/>
        <v>40</v>
      </c>
      <c r="AB42" s="527">
        <f t="shared" si="43"/>
        <v>40</v>
      </c>
      <c r="AC42" s="527">
        <f t="shared" si="43"/>
        <v>40</v>
      </c>
      <c r="AD42" s="527">
        <f t="shared" si="43"/>
        <v>40</v>
      </c>
      <c r="AE42" s="527">
        <f t="shared" si="43"/>
        <v>40</v>
      </c>
      <c r="AF42" s="527">
        <f t="shared" si="43"/>
        <v>40</v>
      </c>
      <c r="AG42" s="527">
        <f t="shared" si="43"/>
        <v>40</v>
      </c>
      <c r="AH42" s="527">
        <f t="shared" si="43"/>
        <v>40</v>
      </c>
      <c r="AI42" s="527">
        <f t="shared" si="43"/>
        <v>40</v>
      </c>
      <c r="AJ42" s="778"/>
      <c r="BD42"/>
      <c r="BE42"/>
      <c r="BF42"/>
    </row>
    <row r="43" spans="1:58" s="496" customFormat="1" ht="15" x14ac:dyDescent="0.25">
      <c r="A43" s="526">
        <v>17</v>
      </c>
      <c r="B43" s="524" t="s">
        <v>1078</v>
      </c>
      <c r="C43" s="793"/>
      <c r="D43" s="794">
        <f t="shared" si="31"/>
        <v>0</v>
      </c>
      <c r="E43" s="613">
        <f>'Estados Financieros'!E253</f>
        <v>40</v>
      </c>
      <c r="F43" s="795">
        <f t="shared" si="32"/>
        <v>4.3010752688172046E-2</v>
      </c>
      <c r="G43" s="796">
        <f t="shared" si="13"/>
        <v>0</v>
      </c>
      <c r="H43" s="613">
        <f>'Estados Financieros'!F253</f>
        <v>40</v>
      </c>
      <c r="I43" s="795">
        <f t="shared" si="33"/>
        <v>4.3010752688172046E-2</v>
      </c>
      <c r="J43" s="796">
        <f t="shared" si="4"/>
        <v>0</v>
      </c>
      <c r="K43" s="525">
        <f>'Estados Financieros'!I253</f>
        <v>40</v>
      </c>
      <c r="L43" s="795">
        <f t="shared" si="34"/>
        <v>4.3010752688172046E-2</v>
      </c>
      <c r="M43" s="796">
        <f t="shared" si="6"/>
        <v>0</v>
      </c>
      <c r="N43" s="525">
        <f>'Estados Financieros'!G253</f>
        <v>40</v>
      </c>
      <c r="O43" s="795">
        <f t="shared" si="35"/>
        <v>4.3010752688172046E-2</v>
      </c>
      <c r="P43" s="796">
        <f t="shared" si="8"/>
        <v>0</v>
      </c>
      <c r="Q43" s="525">
        <f>'Estados Financieros'!H253</f>
        <v>40</v>
      </c>
      <c r="R43" s="795">
        <f t="shared" si="36"/>
        <v>4.3010752688172046E-2</v>
      </c>
      <c r="S43" s="796">
        <f t="shared" si="10"/>
        <v>0</v>
      </c>
      <c r="T43" s="542">
        <f>(C43*$C$241)+(E43*$E$241)+(H43*$H$241)+(N43*$N$241)+(Q43*$Q$241)</f>
        <v>40</v>
      </c>
      <c r="U43" s="542">
        <f t="shared" ref="U43:AI43" si="44">T43</f>
        <v>40</v>
      </c>
      <c r="V43" s="542">
        <f t="shared" si="44"/>
        <v>40</v>
      </c>
      <c r="W43" s="542">
        <f t="shared" si="44"/>
        <v>40</v>
      </c>
      <c r="X43" s="542">
        <f t="shared" si="44"/>
        <v>40</v>
      </c>
      <c r="Y43" s="542">
        <f t="shared" si="44"/>
        <v>40</v>
      </c>
      <c r="Z43" s="542">
        <f t="shared" si="44"/>
        <v>40</v>
      </c>
      <c r="AA43" s="542">
        <f t="shared" si="44"/>
        <v>40</v>
      </c>
      <c r="AB43" s="542">
        <f t="shared" si="44"/>
        <v>40</v>
      </c>
      <c r="AC43" s="542">
        <f t="shared" si="44"/>
        <v>40</v>
      </c>
      <c r="AD43" s="542">
        <f t="shared" si="44"/>
        <v>40</v>
      </c>
      <c r="AE43" s="542">
        <f t="shared" si="44"/>
        <v>40</v>
      </c>
      <c r="AF43" s="542">
        <f t="shared" si="44"/>
        <v>40</v>
      </c>
      <c r="AG43" s="542">
        <f t="shared" si="44"/>
        <v>40</v>
      </c>
      <c r="AH43" s="542">
        <f t="shared" si="44"/>
        <v>40</v>
      </c>
      <c r="AI43" s="542">
        <f t="shared" si="44"/>
        <v>40</v>
      </c>
      <c r="AJ43" s="778"/>
      <c r="BD43"/>
      <c r="BE43"/>
      <c r="BF43"/>
    </row>
    <row r="44" spans="1:58" s="496" customFormat="1" ht="15" x14ac:dyDescent="0.25">
      <c r="A44" s="526">
        <v>18</v>
      </c>
      <c r="B44" s="524" t="s">
        <v>689</v>
      </c>
      <c r="C44" s="793"/>
      <c r="D44" s="794">
        <f t="shared" si="31"/>
        <v>0</v>
      </c>
      <c r="E44" s="613">
        <f>SUM('Estados Financieros'!E214,-SUM('Estados Financieros'!E206:E207))</f>
        <v>120</v>
      </c>
      <c r="F44" s="795">
        <f t="shared" si="32"/>
        <v>0.12903225806451613</v>
      </c>
      <c r="G44" s="796">
        <f t="shared" si="13"/>
        <v>0</v>
      </c>
      <c r="H44" s="613">
        <f>SUM('Estados Financieros'!F214,-SUM('Estados Financieros'!F206:F207))</f>
        <v>120</v>
      </c>
      <c r="I44" s="795">
        <f t="shared" si="33"/>
        <v>0.12903225806451613</v>
      </c>
      <c r="J44" s="796">
        <f t="shared" si="4"/>
        <v>0</v>
      </c>
      <c r="K44" s="525">
        <f>SUM('Estados Financieros'!I214,-SUM('Estados Financieros'!I206:I207))</f>
        <v>120</v>
      </c>
      <c r="L44" s="795">
        <f t="shared" si="34"/>
        <v>0.12903225806451613</v>
      </c>
      <c r="M44" s="796">
        <f t="shared" si="6"/>
        <v>0</v>
      </c>
      <c r="N44" s="525">
        <f>SUM('Estados Financieros'!G214,-SUM('Estados Financieros'!G206:G207))</f>
        <v>120</v>
      </c>
      <c r="O44" s="795">
        <f t="shared" si="35"/>
        <v>0.12903225806451613</v>
      </c>
      <c r="P44" s="796">
        <f t="shared" si="8"/>
        <v>0</v>
      </c>
      <c r="Q44" s="525">
        <f>SUM('Estados Financieros'!H214,-SUM('Estados Financieros'!H206:H207))</f>
        <v>120</v>
      </c>
      <c r="R44" s="795">
        <f t="shared" si="36"/>
        <v>0.12903225806451613</v>
      </c>
      <c r="S44" s="796">
        <f t="shared" si="10"/>
        <v>0</v>
      </c>
      <c r="T44" s="543">
        <f t="shared" ref="T44:AI44" si="45">IF(T72&lt;&gt;0,T72*T416,T74*T416)</f>
        <v>120.00000000000003</v>
      </c>
      <c r="U44" s="543">
        <f t="shared" si="45"/>
        <v>120.00000000000003</v>
      </c>
      <c r="V44" s="543">
        <f t="shared" si="45"/>
        <v>120.00000000000003</v>
      </c>
      <c r="W44" s="543">
        <f t="shared" si="45"/>
        <v>120.00000000000003</v>
      </c>
      <c r="X44" s="543">
        <f t="shared" si="45"/>
        <v>120.00000000000003</v>
      </c>
      <c r="Y44" s="543">
        <f t="shared" si="45"/>
        <v>120.00000000000003</v>
      </c>
      <c r="Z44" s="543">
        <f t="shared" si="45"/>
        <v>120.00000000000003</v>
      </c>
      <c r="AA44" s="543">
        <f t="shared" si="45"/>
        <v>120.00000000000003</v>
      </c>
      <c r="AB44" s="543">
        <f t="shared" si="45"/>
        <v>120.00000000000003</v>
      </c>
      <c r="AC44" s="543">
        <f t="shared" si="45"/>
        <v>120.00000000000003</v>
      </c>
      <c r="AD44" s="543">
        <f t="shared" si="45"/>
        <v>120.00000000000003</v>
      </c>
      <c r="AE44" s="543">
        <f t="shared" si="45"/>
        <v>120.00000000000003</v>
      </c>
      <c r="AF44" s="543">
        <f t="shared" si="45"/>
        <v>120.00000000000003</v>
      </c>
      <c r="AG44" s="543">
        <f t="shared" si="45"/>
        <v>120.00000000000003</v>
      </c>
      <c r="AH44" s="543">
        <f t="shared" si="45"/>
        <v>120.00000000000003</v>
      </c>
      <c r="AI44" s="543">
        <f t="shared" si="45"/>
        <v>120.00000000000003</v>
      </c>
      <c r="AJ44" s="778"/>
      <c r="BD44"/>
      <c r="BE44"/>
      <c r="BF44"/>
    </row>
    <row r="45" spans="1:58" s="496" customFormat="1" ht="15" x14ac:dyDescent="0.25">
      <c r="A45" s="526">
        <v>19</v>
      </c>
      <c r="B45" s="524" t="s">
        <v>1079</v>
      </c>
      <c r="C45" s="793"/>
      <c r="D45" s="794">
        <f t="shared" si="31"/>
        <v>0</v>
      </c>
      <c r="E45" s="613">
        <f>SUM('Estados Financieros'!E206:E207)</f>
        <v>20</v>
      </c>
      <c r="F45" s="795">
        <f t="shared" si="32"/>
        <v>2.1505376344086023E-2</v>
      </c>
      <c r="G45" s="796">
        <f t="shared" si="13"/>
        <v>0</v>
      </c>
      <c r="H45" s="613">
        <f>SUM('Estados Financieros'!F206:F207)</f>
        <v>20</v>
      </c>
      <c r="I45" s="795">
        <f t="shared" si="33"/>
        <v>2.1505376344086023E-2</v>
      </c>
      <c r="J45" s="796">
        <f t="shared" si="4"/>
        <v>0</v>
      </c>
      <c r="K45" s="525">
        <f>SUM('Estados Financieros'!I206:I207)</f>
        <v>20</v>
      </c>
      <c r="L45" s="795">
        <f t="shared" si="34"/>
        <v>2.1505376344086023E-2</v>
      </c>
      <c r="M45" s="796">
        <f t="shared" si="6"/>
        <v>0</v>
      </c>
      <c r="N45" s="525">
        <f>SUM('Estados Financieros'!G206:G207)</f>
        <v>20</v>
      </c>
      <c r="O45" s="795">
        <f t="shared" si="35"/>
        <v>2.1505376344086023E-2</v>
      </c>
      <c r="P45" s="796">
        <f t="shared" si="8"/>
        <v>0</v>
      </c>
      <c r="Q45" s="525">
        <f>SUM('Estados Financieros'!H206:H207)</f>
        <v>20</v>
      </c>
      <c r="R45" s="795">
        <f t="shared" si="36"/>
        <v>2.1505376344086023E-2</v>
      </c>
      <c r="S45" s="796">
        <f t="shared" si="10"/>
        <v>0</v>
      </c>
      <c r="T45" s="542">
        <f>(C45*$C$241)+(E45*$E$241)+(H45*$H$241)+(N45*$N$241)+(Q45*$Q$241)</f>
        <v>20</v>
      </c>
      <c r="U45" s="542">
        <f t="shared" ref="U45:AI45" si="46">T45</f>
        <v>20</v>
      </c>
      <c r="V45" s="542">
        <f t="shared" si="46"/>
        <v>20</v>
      </c>
      <c r="W45" s="542">
        <f t="shared" si="46"/>
        <v>20</v>
      </c>
      <c r="X45" s="542">
        <f t="shared" si="46"/>
        <v>20</v>
      </c>
      <c r="Y45" s="542">
        <f t="shared" si="46"/>
        <v>20</v>
      </c>
      <c r="Z45" s="542">
        <f t="shared" si="46"/>
        <v>20</v>
      </c>
      <c r="AA45" s="542">
        <f t="shared" si="46"/>
        <v>20</v>
      </c>
      <c r="AB45" s="542">
        <f t="shared" si="46"/>
        <v>20</v>
      </c>
      <c r="AC45" s="542">
        <f t="shared" si="46"/>
        <v>20</v>
      </c>
      <c r="AD45" s="542">
        <f t="shared" si="46"/>
        <v>20</v>
      </c>
      <c r="AE45" s="542">
        <f t="shared" si="46"/>
        <v>20</v>
      </c>
      <c r="AF45" s="542">
        <f t="shared" si="46"/>
        <v>20</v>
      </c>
      <c r="AG45" s="542">
        <f t="shared" si="46"/>
        <v>20</v>
      </c>
      <c r="AH45" s="542">
        <f t="shared" si="46"/>
        <v>20</v>
      </c>
      <c r="AI45" s="542">
        <f t="shared" si="46"/>
        <v>20</v>
      </c>
      <c r="AJ45" s="778"/>
      <c r="BD45"/>
      <c r="BE45"/>
      <c r="BF45"/>
    </row>
    <row r="46" spans="1:58" s="496" customFormat="1" ht="15" x14ac:dyDescent="0.25">
      <c r="A46" s="523" t="s">
        <v>1080</v>
      </c>
      <c r="B46" s="524" t="s">
        <v>717</v>
      </c>
      <c r="C46" s="793"/>
      <c r="D46" s="794">
        <f t="shared" si="31"/>
        <v>0</v>
      </c>
      <c r="E46" s="613">
        <f>'Estados Financieros'!E245</f>
        <v>90</v>
      </c>
      <c r="F46" s="795">
        <f t="shared" si="32"/>
        <v>9.6774193548387094E-2</v>
      </c>
      <c r="G46" s="796">
        <f t="shared" si="13"/>
        <v>0</v>
      </c>
      <c r="H46" s="613">
        <f>'Estados Financieros'!F245</f>
        <v>90</v>
      </c>
      <c r="I46" s="795">
        <f t="shared" si="33"/>
        <v>9.6774193548387094E-2</v>
      </c>
      <c r="J46" s="796">
        <f t="shared" si="4"/>
        <v>0</v>
      </c>
      <c r="K46" s="525">
        <f>'Estados Financieros'!I245</f>
        <v>90</v>
      </c>
      <c r="L46" s="795">
        <f t="shared" si="34"/>
        <v>9.6774193548387094E-2</v>
      </c>
      <c r="M46" s="796">
        <f t="shared" si="6"/>
        <v>0</v>
      </c>
      <c r="N46" s="525">
        <f>'Estados Financieros'!G245</f>
        <v>90</v>
      </c>
      <c r="O46" s="795">
        <f t="shared" si="35"/>
        <v>9.6774193548387094E-2</v>
      </c>
      <c r="P46" s="796">
        <f t="shared" si="8"/>
        <v>0</v>
      </c>
      <c r="Q46" s="525">
        <f>'Estados Financieros'!H245</f>
        <v>90</v>
      </c>
      <c r="R46" s="795">
        <f t="shared" si="36"/>
        <v>9.6774193548387094E-2</v>
      </c>
      <c r="S46" s="796">
        <f t="shared" si="10"/>
        <v>0</v>
      </c>
      <c r="T46" s="543">
        <f t="shared" ref="T46:AI46" si="47">IF(T74&lt;&gt;0,T74*T417,T72*T417)</f>
        <v>90.000000000000014</v>
      </c>
      <c r="U46" s="543">
        <f t="shared" si="47"/>
        <v>90.000000000000014</v>
      </c>
      <c r="V46" s="543">
        <f t="shared" si="47"/>
        <v>90.000000000000014</v>
      </c>
      <c r="W46" s="543">
        <f t="shared" si="47"/>
        <v>90.000000000000014</v>
      </c>
      <c r="X46" s="543">
        <f t="shared" si="47"/>
        <v>90.000000000000014</v>
      </c>
      <c r="Y46" s="543">
        <f t="shared" si="47"/>
        <v>90.000000000000014</v>
      </c>
      <c r="Z46" s="543">
        <f t="shared" si="47"/>
        <v>90.000000000000014</v>
      </c>
      <c r="AA46" s="543">
        <f t="shared" si="47"/>
        <v>90.000000000000014</v>
      </c>
      <c r="AB46" s="543">
        <f t="shared" si="47"/>
        <v>90.000000000000014</v>
      </c>
      <c r="AC46" s="543">
        <f t="shared" si="47"/>
        <v>90.000000000000014</v>
      </c>
      <c r="AD46" s="543">
        <f t="shared" si="47"/>
        <v>90.000000000000014</v>
      </c>
      <c r="AE46" s="543">
        <f t="shared" si="47"/>
        <v>90.000000000000014</v>
      </c>
      <c r="AF46" s="543">
        <f t="shared" si="47"/>
        <v>90.000000000000014</v>
      </c>
      <c r="AG46" s="543">
        <f t="shared" si="47"/>
        <v>90.000000000000014</v>
      </c>
      <c r="AH46" s="543">
        <f t="shared" si="47"/>
        <v>90.000000000000014</v>
      </c>
      <c r="AI46" s="543">
        <f t="shared" si="47"/>
        <v>90.000000000000014</v>
      </c>
      <c r="AJ46" s="778"/>
      <c r="BD46"/>
      <c r="BE46"/>
      <c r="BF46"/>
    </row>
    <row r="47" spans="1:58" s="496" customFormat="1" ht="15" x14ac:dyDescent="0.25">
      <c r="A47" s="529" t="s">
        <v>1081</v>
      </c>
      <c r="B47" s="530" t="s">
        <v>1057</v>
      </c>
      <c r="C47" s="798"/>
      <c r="D47" s="799">
        <f t="shared" si="31"/>
        <v>0</v>
      </c>
      <c r="E47" s="812">
        <f>'Estados Financieros'!E260</f>
        <v>50</v>
      </c>
      <c r="F47" s="801">
        <f t="shared" si="32"/>
        <v>5.3763440860215055E-2</v>
      </c>
      <c r="G47" s="802">
        <f t="shared" si="13"/>
        <v>0</v>
      </c>
      <c r="H47" s="812">
        <f>'Estados Financieros'!F260</f>
        <v>50</v>
      </c>
      <c r="I47" s="801">
        <f t="shared" si="33"/>
        <v>5.3763440860215055E-2</v>
      </c>
      <c r="J47" s="802">
        <f t="shared" si="4"/>
        <v>0</v>
      </c>
      <c r="K47" s="527">
        <f>'Estados Financieros'!I260</f>
        <v>50</v>
      </c>
      <c r="L47" s="801">
        <f t="shared" si="34"/>
        <v>5.3763440860215055E-2</v>
      </c>
      <c r="M47" s="802">
        <f t="shared" si="6"/>
        <v>0</v>
      </c>
      <c r="N47" s="527">
        <f>'Estados Financieros'!G260</f>
        <v>50</v>
      </c>
      <c r="O47" s="801">
        <f t="shared" si="35"/>
        <v>5.3763440860215055E-2</v>
      </c>
      <c r="P47" s="802">
        <f t="shared" si="8"/>
        <v>0</v>
      </c>
      <c r="Q47" s="527">
        <f>'Estados Financieros'!H260</f>
        <v>50</v>
      </c>
      <c r="R47" s="801">
        <f t="shared" si="36"/>
        <v>5.3763440860215055E-2</v>
      </c>
      <c r="S47" s="802">
        <f t="shared" si="10"/>
        <v>0</v>
      </c>
      <c r="T47" s="544">
        <f>(C47*$C$241)+(E47*$E$241)+(H47*$H$241)+(N47*$N$241)+(Q47*$Q$241)</f>
        <v>50</v>
      </c>
      <c r="U47" s="544">
        <f t="shared" ref="U47:AI47" si="48">T47</f>
        <v>50</v>
      </c>
      <c r="V47" s="544">
        <f t="shared" si="48"/>
        <v>50</v>
      </c>
      <c r="W47" s="544">
        <f t="shared" si="48"/>
        <v>50</v>
      </c>
      <c r="X47" s="544">
        <f t="shared" si="48"/>
        <v>50</v>
      </c>
      <c r="Y47" s="544">
        <f t="shared" si="48"/>
        <v>50</v>
      </c>
      <c r="Z47" s="544">
        <f t="shared" si="48"/>
        <v>50</v>
      </c>
      <c r="AA47" s="544">
        <f t="shared" si="48"/>
        <v>50</v>
      </c>
      <c r="AB47" s="544">
        <f t="shared" si="48"/>
        <v>50</v>
      </c>
      <c r="AC47" s="544">
        <f t="shared" si="48"/>
        <v>50</v>
      </c>
      <c r="AD47" s="544">
        <f t="shared" si="48"/>
        <v>50</v>
      </c>
      <c r="AE47" s="544">
        <f t="shared" si="48"/>
        <v>50</v>
      </c>
      <c r="AF47" s="544">
        <f t="shared" si="48"/>
        <v>50</v>
      </c>
      <c r="AG47" s="544">
        <f t="shared" si="48"/>
        <v>50</v>
      </c>
      <c r="AH47" s="544">
        <f t="shared" si="48"/>
        <v>50</v>
      </c>
      <c r="AI47" s="544">
        <f t="shared" si="48"/>
        <v>50</v>
      </c>
      <c r="AJ47" s="778"/>
      <c r="BD47"/>
      <c r="BE47"/>
      <c r="BF47"/>
    </row>
    <row r="48" spans="1:58" s="496" customFormat="1" ht="15" x14ac:dyDescent="0.25">
      <c r="A48" s="507"/>
      <c r="B48" s="508" t="s">
        <v>679</v>
      </c>
      <c r="C48" s="803">
        <f>SUM(C36:C47)</f>
        <v>0</v>
      </c>
      <c r="D48" s="804">
        <f t="shared" si="31"/>
        <v>0</v>
      </c>
      <c r="E48" s="532">
        <f>SUM(E36:E47)</f>
        <v>480</v>
      </c>
      <c r="F48" s="805">
        <f t="shared" si="32"/>
        <v>0.5161290322580645</v>
      </c>
      <c r="G48" s="806">
        <f t="shared" si="13"/>
        <v>0</v>
      </c>
      <c r="H48" s="532">
        <f>SUM(H36:H47)</f>
        <v>480</v>
      </c>
      <c r="I48" s="805">
        <f t="shared" si="33"/>
        <v>0.5161290322580645</v>
      </c>
      <c r="J48" s="806">
        <f t="shared" si="4"/>
        <v>0</v>
      </c>
      <c r="K48" s="532">
        <f>SUM(K36:K47)</f>
        <v>480</v>
      </c>
      <c r="L48" s="805">
        <f t="shared" si="34"/>
        <v>0.5161290322580645</v>
      </c>
      <c r="M48" s="806">
        <f t="shared" si="6"/>
        <v>0</v>
      </c>
      <c r="N48" s="532">
        <f>SUM(N36:N47)</f>
        <v>480</v>
      </c>
      <c r="O48" s="805">
        <f t="shared" si="35"/>
        <v>0.5161290322580645</v>
      </c>
      <c r="P48" s="806">
        <f t="shared" si="8"/>
        <v>0</v>
      </c>
      <c r="Q48" s="532">
        <f>SUM(Q36:Q47)</f>
        <v>480</v>
      </c>
      <c r="R48" s="805">
        <f t="shared" si="36"/>
        <v>0.5161290322580645</v>
      </c>
      <c r="S48" s="806">
        <f t="shared" si="10"/>
        <v>0</v>
      </c>
      <c r="T48" s="533">
        <f t="shared" ref="T48:AI48" si="49">SUM(T36:T47)</f>
        <v>450</v>
      </c>
      <c r="U48" s="533">
        <f t="shared" si="49"/>
        <v>450</v>
      </c>
      <c r="V48" s="533">
        <f t="shared" si="49"/>
        <v>450</v>
      </c>
      <c r="W48" s="533">
        <f t="shared" si="49"/>
        <v>450</v>
      </c>
      <c r="X48" s="533">
        <f t="shared" si="49"/>
        <v>450</v>
      </c>
      <c r="Y48" s="533">
        <f t="shared" si="49"/>
        <v>450</v>
      </c>
      <c r="Z48" s="533">
        <f t="shared" si="49"/>
        <v>450</v>
      </c>
      <c r="AA48" s="533">
        <f t="shared" si="49"/>
        <v>450</v>
      </c>
      <c r="AB48" s="533">
        <f t="shared" si="49"/>
        <v>450</v>
      </c>
      <c r="AC48" s="533">
        <f t="shared" si="49"/>
        <v>450</v>
      </c>
      <c r="AD48" s="533">
        <f t="shared" si="49"/>
        <v>450</v>
      </c>
      <c r="AE48" s="533">
        <f t="shared" si="49"/>
        <v>450</v>
      </c>
      <c r="AF48" s="533">
        <f t="shared" si="49"/>
        <v>450</v>
      </c>
      <c r="AG48" s="533">
        <f t="shared" si="49"/>
        <v>450</v>
      </c>
      <c r="AH48" s="533">
        <f t="shared" si="49"/>
        <v>450</v>
      </c>
      <c r="AI48" s="533">
        <f t="shared" si="49"/>
        <v>450</v>
      </c>
      <c r="AJ48" s="778"/>
      <c r="BD48"/>
      <c r="BE48"/>
      <c r="BF48"/>
    </row>
    <row r="49" spans="1:58" s="496" customFormat="1" ht="15" x14ac:dyDescent="0.25">
      <c r="A49" s="545" t="s">
        <v>1082</v>
      </c>
      <c r="B49" s="534" t="s">
        <v>741</v>
      </c>
      <c r="C49" s="807"/>
      <c r="D49" s="808">
        <f t="shared" si="31"/>
        <v>0</v>
      </c>
      <c r="E49" s="809">
        <f>'Estados Financieros'!E264</f>
        <v>10</v>
      </c>
      <c r="F49" s="810">
        <f t="shared" si="32"/>
        <v>1.0752688172043012E-2</v>
      </c>
      <c r="G49" s="811">
        <f t="shared" si="13"/>
        <v>0</v>
      </c>
      <c r="H49" s="809">
        <f>'Estados Financieros'!F264</f>
        <v>10</v>
      </c>
      <c r="I49" s="810">
        <f t="shared" si="33"/>
        <v>1.0752688172043012E-2</v>
      </c>
      <c r="J49" s="811">
        <f t="shared" si="4"/>
        <v>0</v>
      </c>
      <c r="K49" s="535">
        <f>'Estados Financieros'!I264</f>
        <v>10</v>
      </c>
      <c r="L49" s="810">
        <f t="shared" si="34"/>
        <v>1.0752688172043012E-2</v>
      </c>
      <c r="M49" s="811">
        <f t="shared" si="6"/>
        <v>0</v>
      </c>
      <c r="N49" s="535">
        <f>'Estados Financieros'!G264</f>
        <v>10</v>
      </c>
      <c r="O49" s="810">
        <f t="shared" si="35"/>
        <v>1.0752688172043012E-2</v>
      </c>
      <c r="P49" s="811">
        <f t="shared" si="8"/>
        <v>0</v>
      </c>
      <c r="Q49" s="535">
        <f>'Estados Financieros'!H264</f>
        <v>10</v>
      </c>
      <c r="R49" s="810">
        <f t="shared" si="36"/>
        <v>1.0752688172043012E-2</v>
      </c>
      <c r="S49" s="811">
        <f t="shared" si="10"/>
        <v>0</v>
      </c>
      <c r="T49" s="535">
        <f t="shared" ref="T49:AI49" si="50">T251+T305+T341</f>
        <v>20</v>
      </c>
      <c r="U49" s="535">
        <f t="shared" si="50"/>
        <v>20</v>
      </c>
      <c r="V49" s="535">
        <f t="shared" si="50"/>
        <v>20</v>
      </c>
      <c r="W49" s="535">
        <f t="shared" si="50"/>
        <v>20</v>
      </c>
      <c r="X49" s="535">
        <f t="shared" si="50"/>
        <v>20</v>
      </c>
      <c r="Y49" s="535">
        <f t="shared" si="50"/>
        <v>20</v>
      </c>
      <c r="Z49" s="535">
        <f t="shared" si="50"/>
        <v>20</v>
      </c>
      <c r="AA49" s="535">
        <f t="shared" si="50"/>
        <v>20</v>
      </c>
      <c r="AB49" s="535">
        <f t="shared" si="50"/>
        <v>20</v>
      </c>
      <c r="AC49" s="535">
        <f t="shared" si="50"/>
        <v>20</v>
      </c>
      <c r="AD49" s="535">
        <f t="shared" si="50"/>
        <v>20</v>
      </c>
      <c r="AE49" s="535">
        <f t="shared" si="50"/>
        <v>20</v>
      </c>
      <c r="AF49" s="535">
        <f t="shared" si="50"/>
        <v>20</v>
      </c>
      <c r="AG49" s="535">
        <f t="shared" si="50"/>
        <v>20</v>
      </c>
      <c r="AH49" s="535">
        <f t="shared" si="50"/>
        <v>20</v>
      </c>
      <c r="AI49" s="535">
        <f t="shared" si="50"/>
        <v>20</v>
      </c>
      <c r="AJ49" s="778"/>
      <c r="AK49" s="497"/>
      <c r="AL49" s="497"/>
      <c r="AM49" s="497"/>
      <c r="AN49" s="497"/>
      <c r="BD49"/>
      <c r="BE49"/>
      <c r="BF49"/>
    </row>
    <row r="50" spans="1:58" s="496" customFormat="1" ht="15" x14ac:dyDescent="0.25">
      <c r="A50" s="523" t="s">
        <v>1083</v>
      </c>
      <c r="B50" s="524" t="s">
        <v>1084</v>
      </c>
      <c r="C50" s="793"/>
      <c r="D50" s="794">
        <f t="shared" si="31"/>
        <v>0</v>
      </c>
      <c r="E50" s="613">
        <f>'Estados Financieros'!E265</f>
        <v>10</v>
      </c>
      <c r="F50" s="795">
        <f t="shared" si="32"/>
        <v>1.0752688172043012E-2</v>
      </c>
      <c r="G50" s="796">
        <f t="shared" si="13"/>
        <v>0</v>
      </c>
      <c r="H50" s="613">
        <f>'Estados Financieros'!F265</f>
        <v>10</v>
      </c>
      <c r="I50" s="795">
        <f t="shared" si="33"/>
        <v>1.0752688172043012E-2</v>
      </c>
      <c r="J50" s="796">
        <f t="shared" ref="J50:J69" si="51">IF(OR(E50=0,H50=0),0,IF(ABS((H50/E50)-1)&gt;1000000%,0,(H50/E50)-1))</f>
        <v>0</v>
      </c>
      <c r="K50" s="525">
        <f>'Estados Financieros'!I265</f>
        <v>10</v>
      </c>
      <c r="L50" s="795">
        <f t="shared" si="34"/>
        <v>1.0752688172043012E-2</v>
      </c>
      <c r="M50" s="796">
        <f t="shared" ref="M50:M69" si="52">IF(OR(H50=0,K50=0),0,IF(ABS((K50/H50)-1)&gt;1000000%,0,(K50/H50)-1))</f>
        <v>0</v>
      </c>
      <c r="N50" s="525">
        <f>'Estados Financieros'!G265</f>
        <v>10</v>
      </c>
      <c r="O50" s="795">
        <f t="shared" si="35"/>
        <v>1.0752688172043012E-2</v>
      </c>
      <c r="P50" s="796">
        <f t="shared" ref="P50:P69" si="53">IF(OR(H50=0,N50=0),0,IF(ABS((N50/H50)-1)&gt;1000000%,0,(N50/H50)-1))</f>
        <v>0</v>
      </c>
      <c r="Q50" s="525">
        <f>'Estados Financieros'!H265</f>
        <v>10</v>
      </c>
      <c r="R50" s="795">
        <f t="shared" si="36"/>
        <v>1.0752688172043012E-2</v>
      </c>
      <c r="S50" s="796">
        <f t="shared" ref="S50:S69" si="54">IF(OR(N50=0,Q50=0),0,IF(ABS((Q50/N50)-1)&gt;1000000%,0,(Q50/N50)-1))</f>
        <v>0</v>
      </c>
      <c r="T50" s="525">
        <f t="shared" ref="T50:AI50" si="55">T263</f>
        <v>20</v>
      </c>
      <c r="U50" s="525">
        <f t="shared" si="55"/>
        <v>20</v>
      </c>
      <c r="V50" s="525">
        <f t="shared" si="55"/>
        <v>20</v>
      </c>
      <c r="W50" s="525">
        <f t="shared" si="55"/>
        <v>20</v>
      </c>
      <c r="X50" s="525">
        <f t="shared" si="55"/>
        <v>20</v>
      </c>
      <c r="Y50" s="525">
        <f t="shared" si="55"/>
        <v>20</v>
      </c>
      <c r="Z50" s="525">
        <f t="shared" si="55"/>
        <v>20</v>
      </c>
      <c r="AA50" s="525">
        <f t="shared" si="55"/>
        <v>20</v>
      </c>
      <c r="AB50" s="525">
        <f t="shared" si="55"/>
        <v>20</v>
      </c>
      <c r="AC50" s="525">
        <f t="shared" si="55"/>
        <v>20</v>
      </c>
      <c r="AD50" s="525">
        <f t="shared" si="55"/>
        <v>20</v>
      </c>
      <c r="AE50" s="525">
        <f t="shared" si="55"/>
        <v>20</v>
      </c>
      <c r="AF50" s="525">
        <f t="shared" si="55"/>
        <v>20</v>
      </c>
      <c r="AG50" s="525">
        <f t="shared" si="55"/>
        <v>20</v>
      </c>
      <c r="AH50" s="525">
        <f t="shared" si="55"/>
        <v>20</v>
      </c>
      <c r="AI50" s="525">
        <f t="shared" si="55"/>
        <v>20</v>
      </c>
      <c r="AJ50" s="778"/>
      <c r="AK50" s="497"/>
      <c r="AL50" s="497"/>
      <c r="AM50" s="497"/>
      <c r="AN50" s="497"/>
      <c r="BD50"/>
      <c r="BE50"/>
      <c r="BF50"/>
    </row>
    <row r="51" spans="1:58" s="496" customFormat="1" ht="15" x14ac:dyDescent="0.25">
      <c r="A51" s="523" t="s">
        <v>1085</v>
      </c>
      <c r="B51" s="524" t="s">
        <v>1086</v>
      </c>
      <c r="C51" s="793"/>
      <c r="D51" s="794">
        <f t="shared" si="31"/>
        <v>0</v>
      </c>
      <c r="E51" s="613"/>
      <c r="F51" s="795">
        <f t="shared" si="32"/>
        <v>0</v>
      </c>
      <c r="G51" s="796">
        <f t="shared" ref="G51:G69" si="56">IF(OR(C51=0,E51=0),0,IF(ABS((E51/C51)-1)&gt;1000000%,0,(E51/C51)-1))</f>
        <v>0</v>
      </c>
      <c r="H51" s="613"/>
      <c r="I51" s="795">
        <f t="shared" si="33"/>
        <v>0</v>
      </c>
      <c r="J51" s="796">
        <f t="shared" si="51"/>
        <v>0</v>
      </c>
      <c r="K51" s="525"/>
      <c r="L51" s="795">
        <f t="shared" si="34"/>
        <v>0</v>
      </c>
      <c r="M51" s="796">
        <f t="shared" si="52"/>
        <v>0</v>
      </c>
      <c r="N51" s="525"/>
      <c r="O51" s="795">
        <f t="shared" si="35"/>
        <v>0</v>
      </c>
      <c r="P51" s="796">
        <f t="shared" si="53"/>
        <v>0</v>
      </c>
      <c r="Q51" s="525"/>
      <c r="R51" s="795">
        <f t="shared" si="36"/>
        <v>0</v>
      </c>
      <c r="S51" s="796">
        <f t="shared" si="54"/>
        <v>0</v>
      </c>
      <c r="T51" s="527">
        <f t="shared" ref="T51:AI51" si="57">T381</f>
        <v>0</v>
      </c>
      <c r="U51" s="527">
        <f t="shared" si="57"/>
        <v>0</v>
      </c>
      <c r="V51" s="527">
        <f t="shared" si="57"/>
        <v>0</v>
      </c>
      <c r="W51" s="527">
        <f t="shared" si="57"/>
        <v>0</v>
      </c>
      <c r="X51" s="527">
        <f t="shared" si="57"/>
        <v>0</v>
      </c>
      <c r="Y51" s="527">
        <f t="shared" si="57"/>
        <v>0</v>
      </c>
      <c r="Z51" s="527">
        <f t="shared" si="57"/>
        <v>0</v>
      </c>
      <c r="AA51" s="527">
        <f t="shared" si="57"/>
        <v>0</v>
      </c>
      <c r="AB51" s="527">
        <f t="shared" si="57"/>
        <v>0</v>
      </c>
      <c r="AC51" s="527">
        <f t="shared" si="57"/>
        <v>0</v>
      </c>
      <c r="AD51" s="527">
        <f t="shared" si="57"/>
        <v>0</v>
      </c>
      <c r="AE51" s="527">
        <f t="shared" si="57"/>
        <v>0</v>
      </c>
      <c r="AF51" s="527">
        <f t="shared" si="57"/>
        <v>0</v>
      </c>
      <c r="AG51" s="527">
        <f t="shared" si="57"/>
        <v>0</v>
      </c>
      <c r="AH51" s="527">
        <f t="shared" si="57"/>
        <v>0</v>
      </c>
      <c r="AI51" s="527">
        <f t="shared" si="57"/>
        <v>0</v>
      </c>
      <c r="AJ51" s="778"/>
      <c r="AK51" s="497"/>
      <c r="AL51" s="497"/>
      <c r="AM51" s="497"/>
      <c r="AN51" s="497"/>
      <c r="BD51"/>
      <c r="BE51"/>
      <c r="BF51"/>
    </row>
    <row r="52" spans="1:58" s="496" customFormat="1" ht="15" x14ac:dyDescent="0.25">
      <c r="A52" s="523" t="s">
        <v>1087</v>
      </c>
      <c r="B52" s="524" t="s">
        <v>1088</v>
      </c>
      <c r="C52" s="793"/>
      <c r="D52" s="794">
        <f t="shared" si="31"/>
        <v>0</v>
      </c>
      <c r="E52" s="613">
        <f>'Estados Financieros'!E303</f>
        <v>60</v>
      </c>
      <c r="F52" s="795">
        <f t="shared" si="32"/>
        <v>6.4516129032258063E-2</v>
      </c>
      <c r="G52" s="796">
        <f t="shared" si="56"/>
        <v>0</v>
      </c>
      <c r="H52" s="613">
        <f>'Estados Financieros'!F303</f>
        <v>60</v>
      </c>
      <c r="I52" s="795">
        <f t="shared" si="33"/>
        <v>6.4516129032258063E-2</v>
      </c>
      <c r="J52" s="796">
        <f t="shared" si="51"/>
        <v>0</v>
      </c>
      <c r="K52" s="525">
        <f>'Estados Financieros'!I303</f>
        <v>60</v>
      </c>
      <c r="L52" s="795">
        <f t="shared" si="34"/>
        <v>6.4516129032258063E-2</v>
      </c>
      <c r="M52" s="796">
        <f t="shared" si="52"/>
        <v>0</v>
      </c>
      <c r="N52" s="525">
        <f>'Estados Financieros'!G303</f>
        <v>60</v>
      </c>
      <c r="O52" s="795">
        <f t="shared" si="35"/>
        <v>6.4516129032258063E-2</v>
      </c>
      <c r="P52" s="796">
        <f t="shared" si="53"/>
        <v>0</v>
      </c>
      <c r="Q52" s="525">
        <f>'Estados Financieros'!H303</f>
        <v>60</v>
      </c>
      <c r="R52" s="795">
        <f t="shared" si="36"/>
        <v>6.4516129032258063E-2</v>
      </c>
      <c r="S52" s="796">
        <f t="shared" si="54"/>
        <v>0</v>
      </c>
      <c r="T52" s="528">
        <f t="shared" ref="T52:T57" si="58">(C52*$C$241)+(E52*$E$241)+(H52*$H$241)+(N52*$N$241)+(Q52*$Q$241)</f>
        <v>60</v>
      </c>
      <c r="U52" s="528">
        <f t="shared" ref="U52:AI52" si="59">T52</f>
        <v>60</v>
      </c>
      <c r="V52" s="528">
        <f t="shared" si="59"/>
        <v>60</v>
      </c>
      <c r="W52" s="528">
        <f t="shared" si="59"/>
        <v>60</v>
      </c>
      <c r="X52" s="528">
        <f t="shared" si="59"/>
        <v>60</v>
      </c>
      <c r="Y52" s="528">
        <f t="shared" si="59"/>
        <v>60</v>
      </c>
      <c r="Z52" s="528">
        <f t="shared" si="59"/>
        <v>60</v>
      </c>
      <c r="AA52" s="528">
        <f t="shared" si="59"/>
        <v>60</v>
      </c>
      <c r="AB52" s="528">
        <f t="shared" si="59"/>
        <v>60</v>
      </c>
      <c r="AC52" s="528">
        <f t="shared" si="59"/>
        <v>60</v>
      </c>
      <c r="AD52" s="528">
        <f t="shared" si="59"/>
        <v>60</v>
      </c>
      <c r="AE52" s="528">
        <f t="shared" si="59"/>
        <v>60</v>
      </c>
      <c r="AF52" s="528">
        <f t="shared" si="59"/>
        <v>60</v>
      </c>
      <c r="AG52" s="528">
        <f t="shared" si="59"/>
        <v>60</v>
      </c>
      <c r="AH52" s="528">
        <f t="shared" si="59"/>
        <v>60</v>
      </c>
      <c r="AI52" s="528">
        <f t="shared" si="59"/>
        <v>60</v>
      </c>
      <c r="AJ52" s="778"/>
      <c r="AK52" s="497"/>
      <c r="AL52" s="497"/>
      <c r="AM52" s="497"/>
      <c r="AN52" s="497"/>
      <c r="BD52"/>
      <c r="BE52"/>
      <c r="BF52"/>
    </row>
    <row r="53" spans="1:58" s="496" customFormat="1" ht="15" x14ac:dyDescent="0.25">
      <c r="A53" s="523" t="s">
        <v>1089</v>
      </c>
      <c r="B53" s="524" t="s">
        <v>1090</v>
      </c>
      <c r="C53" s="793"/>
      <c r="D53" s="794">
        <f t="shared" si="31"/>
        <v>0</v>
      </c>
      <c r="E53" s="613">
        <f>'Estados Financieros'!E308</f>
        <v>10</v>
      </c>
      <c r="F53" s="795">
        <f t="shared" si="32"/>
        <v>1.0752688172043012E-2</v>
      </c>
      <c r="G53" s="796">
        <f t="shared" si="56"/>
        <v>0</v>
      </c>
      <c r="H53" s="613">
        <f>'Estados Financieros'!F308</f>
        <v>10</v>
      </c>
      <c r="I53" s="795">
        <f t="shared" si="33"/>
        <v>1.0752688172043012E-2</v>
      </c>
      <c r="J53" s="796">
        <f t="shared" si="51"/>
        <v>0</v>
      </c>
      <c r="K53" s="525">
        <f>'Estados Financieros'!I308</f>
        <v>10</v>
      </c>
      <c r="L53" s="795">
        <f t="shared" si="34"/>
        <v>1.0752688172043012E-2</v>
      </c>
      <c r="M53" s="796">
        <f t="shared" si="52"/>
        <v>0</v>
      </c>
      <c r="N53" s="525">
        <f>'Estados Financieros'!G308</f>
        <v>10</v>
      </c>
      <c r="O53" s="795">
        <f t="shared" si="35"/>
        <v>1.0752688172043012E-2</v>
      </c>
      <c r="P53" s="796">
        <f t="shared" si="53"/>
        <v>0</v>
      </c>
      <c r="Q53" s="525">
        <f>'Estados Financieros'!H308</f>
        <v>10</v>
      </c>
      <c r="R53" s="795">
        <f t="shared" si="36"/>
        <v>1.0752688172043012E-2</v>
      </c>
      <c r="S53" s="796">
        <f t="shared" si="54"/>
        <v>0</v>
      </c>
      <c r="T53" s="546">
        <f t="shared" si="58"/>
        <v>10</v>
      </c>
      <c r="U53" s="546">
        <f t="shared" ref="U53:AI53" si="60">T53</f>
        <v>10</v>
      </c>
      <c r="V53" s="546">
        <f t="shared" si="60"/>
        <v>10</v>
      </c>
      <c r="W53" s="546">
        <f t="shared" si="60"/>
        <v>10</v>
      </c>
      <c r="X53" s="546">
        <f t="shared" si="60"/>
        <v>10</v>
      </c>
      <c r="Y53" s="546">
        <f t="shared" si="60"/>
        <v>10</v>
      </c>
      <c r="Z53" s="546">
        <f t="shared" si="60"/>
        <v>10</v>
      </c>
      <c r="AA53" s="546">
        <f t="shared" si="60"/>
        <v>10</v>
      </c>
      <c r="AB53" s="546">
        <f t="shared" si="60"/>
        <v>10</v>
      </c>
      <c r="AC53" s="546">
        <f t="shared" si="60"/>
        <v>10</v>
      </c>
      <c r="AD53" s="546">
        <f t="shared" si="60"/>
        <v>10</v>
      </c>
      <c r="AE53" s="546">
        <f t="shared" si="60"/>
        <v>10</v>
      </c>
      <c r="AF53" s="546">
        <f t="shared" si="60"/>
        <v>10</v>
      </c>
      <c r="AG53" s="546">
        <f t="shared" si="60"/>
        <v>10</v>
      </c>
      <c r="AH53" s="546">
        <f t="shared" si="60"/>
        <v>10</v>
      </c>
      <c r="AI53" s="546">
        <f t="shared" si="60"/>
        <v>10</v>
      </c>
      <c r="AJ53" s="778"/>
      <c r="AK53" s="497"/>
      <c r="AL53" s="497"/>
      <c r="AM53" s="497"/>
      <c r="AN53" s="497"/>
      <c r="BD53"/>
      <c r="BE53"/>
      <c r="BF53"/>
    </row>
    <row r="54" spans="1:58" s="496" customFormat="1" ht="15" x14ac:dyDescent="0.25">
      <c r="A54" s="526">
        <v>23</v>
      </c>
      <c r="B54" s="524" t="s">
        <v>1091</v>
      </c>
      <c r="C54" s="793"/>
      <c r="D54" s="794">
        <f t="shared" si="31"/>
        <v>0</v>
      </c>
      <c r="E54" s="613">
        <f>SUM('Estados Financieros'!E277:E278)</f>
        <v>20</v>
      </c>
      <c r="F54" s="795">
        <f t="shared" si="32"/>
        <v>2.1505376344086023E-2</v>
      </c>
      <c r="G54" s="796">
        <f t="shared" si="56"/>
        <v>0</v>
      </c>
      <c r="H54" s="613">
        <f>SUM('Estados Financieros'!F277:F278)</f>
        <v>20</v>
      </c>
      <c r="I54" s="795">
        <f t="shared" si="33"/>
        <v>2.1505376344086023E-2</v>
      </c>
      <c r="J54" s="796">
        <f t="shared" si="51"/>
        <v>0</v>
      </c>
      <c r="K54" s="525">
        <f>SUM('Estados Financieros'!I277:I278)</f>
        <v>20</v>
      </c>
      <c r="L54" s="795">
        <f t="shared" si="34"/>
        <v>2.1505376344086023E-2</v>
      </c>
      <c r="M54" s="796">
        <f t="shared" si="52"/>
        <v>0</v>
      </c>
      <c r="N54" s="525">
        <f>SUM('Estados Financieros'!G277:G278)</f>
        <v>20</v>
      </c>
      <c r="O54" s="795">
        <f t="shared" si="35"/>
        <v>2.1505376344086023E-2</v>
      </c>
      <c r="P54" s="796">
        <f t="shared" si="53"/>
        <v>0</v>
      </c>
      <c r="Q54" s="525">
        <f>SUM('Estados Financieros'!H277:H278)</f>
        <v>20</v>
      </c>
      <c r="R54" s="795">
        <f t="shared" si="36"/>
        <v>2.1505376344086023E-2</v>
      </c>
      <c r="S54" s="796">
        <f t="shared" si="54"/>
        <v>0</v>
      </c>
      <c r="T54" s="546">
        <f t="shared" si="58"/>
        <v>20</v>
      </c>
      <c r="U54" s="546">
        <f t="shared" ref="U54:AI54" si="61">T54</f>
        <v>20</v>
      </c>
      <c r="V54" s="546">
        <f t="shared" si="61"/>
        <v>20</v>
      </c>
      <c r="W54" s="546">
        <f t="shared" si="61"/>
        <v>20</v>
      </c>
      <c r="X54" s="546">
        <f t="shared" si="61"/>
        <v>20</v>
      </c>
      <c r="Y54" s="546">
        <f t="shared" si="61"/>
        <v>20</v>
      </c>
      <c r="Z54" s="546">
        <f t="shared" si="61"/>
        <v>20</v>
      </c>
      <c r="AA54" s="546">
        <f t="shared" si="61"/>
        <v>20</v>
      </c>
      <c r="AB54" s="546">
        <f t="shared" si="61"/>
        <v>20</v>
      </c>
      <c r="AC54" s="546">
        <f t="shared" si="61"/>
        <v>20</v>
      </c>
      <c r="AD54" s="546">
        <f t="shared" si="61"/>
        <v>20</v>
      </c>
      <c r="AE54" s="546">
        <f t="shared" si="61"/>
        <v>20</v>
      </c>
      <c r="AF54" s="546">
        <f t="shared" si="61"/>
        <v>20</v>
      </c>
      <c r="AG54" s="546">
        <f t="shared" si="61"/>
        <v>20</v>
      </c>
      <c r="AH54" s="546">
        <f t="shared" si="61"/>
        <v>20</v>
      </c>
      <c r="AI54" s="546">
        <f t="shared" si="61"/>
        <v>20</v>
      </c>
      <c r="AJ54" s="818"/>
      <c r="AK54" s="497"/>
      <c r="AL54" s="497"/>
      <c r="AQ54" s="547"/>
      <c r="AR54" s="547"/>
      <c r="AS54" s="547"/>
      <c r="BD54"/>
      <c r="BE54"/>
      <c r="BF54"/>
    </row>
    <row r="55" spans="1:58" s="496" customFormat="1" ht="15" x14ac:dyDescent="0.25">
      <c r="A55" s="526">
        <v>24</v>
      </c>
      <c r="B55" s="524" t="s">
        <v>1092</v>
      </c>
      <c r="C55" s="793"/>
      <c r="D55" s="794">
        <f t="shared" si="31"/>
        <v>0</v>
      </c>
      <c r="E55" s="613">
        <f>'Estados Financieros'!E295</f>
        <v>40</v>
      </c>
      <c r="F55" s="795">
        <f t="shared" si="32"/>
        <v>4.3010752688172046E-2</v>
      </c>
      <c r="G55" s="796">
        <f t="shared" si="56"/>
        <v>0</v>
      </c>
      <c r="H55" s="613">
        <f>'Estados Financieros'!F295</f>
        <v>40</v>
      </c>
      <c r="I55" s="795">
        <f t="shared" si="33"/>
        <v>4.3010752688172046E-2</v>
      </c>
      <c r="J55" s="796">
        <f t="shared" si="51"/>
        <v>0</v>
      </c>
      <c r="K55" s="525">
        <f>'Estados Financieros'!I295</f>
        <v>40</v>
      </c>
      <c r="L55" s="795">
        <f t="shared" si="34"/>
        <v>4.3010752688172046E-2</v>
      </c>
      <c r="M55" s="796">
        <f t="shared" si="52"/>
        <v>0</v>
      </c>
      <c r="N55" s="525">
        <f>'Estados Financieros'!G295</f>
        <v>40</v>
      </c>
      <c r="O55" s="795">
        <f t="shared" si="35"/>
        <v>4.3010752688172046E-2</v>
      </c>
      <c r="P55" s="796">
        <f t="shared" si="53"/>
        <v>0</v>
      </c>
      <c r="Q55" s="525">
        <f>'Estados Financieros'!H295</f>
        <v>40</v>
      </c>
      <c r="R55" s="795">
        <f t="shared" si="36"/>
        <v>4.3010752688172046E-2</v>
      </c>
      <c r="S55" s="796">
        <f t="shared" si="54"/>
        <v>0</v>
      </c>
      <c r="T55" s="546">
        <f t="shared" si="58"/>
        <v>40</v>
      </c>
      <c r="U55" s="546">
        <f t="shared" ref="U55:AI55" si="62">T55</f>
        <v>40</v>
      </c>
      <c r="V55" s="546">
        <f t="shared" si="62"/>
        <v>40</v>
      </c>
      <c r="W55" s="546">
        <f t="shared" si="62"/>
        <v>40</v>
      </c>
      <c r="X55" s="546">
        <f t="shared" si="62"/>
        <v>40</v>
      </c>
      <c r="Y55" s="546">
        <f t="shared" si="62"/>
        <v>40</v>
      </c>
      <c r="Z55" s="546">
        <f t="shared" si="62"/>
        <v>40</v>
      </c>
      <c r="AA55" s="546">
        <f t="shared" si="62"/>
        <v>40</v>
      </c>
      <c r="AB55" s="546">
        <f t="shared" si="62"/>
        <v>40</v>
      </c>
      <c r="AC55" s="546">
        <f t="shared" si="62"/>
        <v>40</v>
      </c>
      <c r="AD55" s="546">
        <f t="shared" si="62"/>
        <v>40</v>
      </c>
      <c r="AE55" s="546">
        <f t="shared" si="62"/>
        <v>40</v>
      </c>
      <c r="AF55" s="546">
        <f t="shared" si="62"/>
        <v>40</v>
      </c>
      <c r="AG55" s="546">
        <f t="shared" si="62"/>
        <v>40</v>
      </c>
      <c r="AH55" s="546">
        <f t="shared" si="62"/>
        <v>40</v>
      </c>
      <c r="AI55" s="546">
        <f t="shared" si="62"/>
        <v>40</v>
      </c>
      <c r="AJ55" s="818"/>
      <c r="AK55" s="497"/>
      <c r="AL55" s="497"/>
      <c r="AQ55" s="547"/>
      <c r="AR55" s="547"/>
      <c r="AS55" s="547"/>
      <c r="BD55"/>
      <c r="BE55"/>
      <c r="BF55"/>
    </row>
    <row r="56" spans="1:58" s="496" customFormat="1" ht="15" x14ac:dyDescent="0.25">
      <c r="A56" s="523" t="s">
        <v>1093</v>
      </c>
      <c r="B56" s="524" t="s">
        <v>1094</v>
      </c>
      <c r="C56" s="793"/>
      <c r="D56" s="794">
        <f t="shared" si="31"/>
        <v>0</v>
      </c>
      <c r="E56" s="613">
        <f>SUM('Estados Financieros'!E314,-'Estados Financieros'!E308)</f>
        <v>80</v>
      </c>
      <c r="F56" s="795">
        <f t="shared" si="32"/>
        <v>8.6021505376344093E-2</v>
      </c>
      <c r="G56" s="796">
        <f t="shared" si="56"/>
        <v>0</v>
      </c>
      <c r="H56" s="613">
        <f>SUM('Estados Financieros'!F314,-'Estados Financieros'!F308)</f>
        <v>80</v>
      </c>
      <c r="I56" s="795">
        <f t="shared" si="33"/>
        <v>8.6021505376344093E-2</v>
      </c>
      <c r="J56" s="796">
        <f t="shared" si="51"/>
        <v>0</v>
      </c>
      <c r="K56" s="525">
        <f>SUM('Estados Financieros'!I314,-'Estados Financieros'!I308)</f>
        <v>80</v>
      </c>
      <c r="L56" s="795">
        <f t="shared" si="34"/>
        <v>8.6021505376344093E-2</v>
      </c>
      <c r="M56" s="796">
        <f t="shared" si="52"/>
        <v>0</v>
      </c>
      <c r="N56" s="525">
        <f>SUM('Estados Financieros'!G314,-'Estados Financieros'!G308)</f>
        <v>80</v>
      </c>
      <c r="O56" s="795">
        <f t="shared" si="35"/>
        <v>8.6021505376344093E-2</v>
      </c>
      <c r="P56" s="796">
        <f t="shared" si="53"/>
        <v>0</v>
      </c>
      <c r="Q56" s="525">
        <f>SUM('Estados Financieros'!H314,-'Estados Financieros'!H308)</f>
        <v>80</v>
      </c>
      <c r="R56" s="795">
        <f t="shared" si="36"/>
        <v>8.6021505376344093E-2</v>
      </c>
      <c r="S56" s="796">
        <f t="shared" si="54"/>
        <v>0</v>
      </c>
      <c r="T56" s="546">
        <f t="shared" si="58"/>
        <v>80</v>
      </c>
      <c r="U56" s="546">
        <f t="shared" ref="U56:AI56" si="63">T56</f>
        <v>80</v>
      </c>
      <c r="V56" s="546">
        <f t="shared" si="63"/>
        <v>80</v>
      </c>
      <c r="W56" s="546">
        <f t="shared" si="63"/>
        <v>80</v>
      </c>
      <c r="X56" s="546">
        <f t="shared" si="63"/>
        <v>80</v>
      </c>
      <c r="Y56" s="546">
        <f t="shared" si="63"/>
        <v>80</v>
      </c>
      <c r="Z56" s="546">
        <f t="shared" si="63"/>
        <v>80</v>
      </c>
      <c r="AA56" s="546">
        <f t="shared" si="63"/>
        <v>80</v>
      </c>
      <c r="AB56" s="546">
        <f t="shared" si="63"/>
        <v>80</v>
      </c>
      <c r="AC56" s="546">
        <f t="shared" si="63"/>
        <v>80</v>
      </c>
      <c r="AD56" s="546">
        <f t="shared" si="63"/>
        <v>80</v>
      </c>
      <c r="AE56" s="546">
        <f t="shared" si="63"/>
        <v>80</v>
      </c>
      <c r="AF56" s="546">
        <f t="shared" si="63"/>
        <v>80</v>
      </c>
      <c r="AG56" s="546">
        <f t="shared" si="63"/>
        <v>80</v>
      </c>
      <c r="AH56" s="546">
        <f t="shared" si="63"/>
        <v>80</v>
      </c>
      <c r="AI56" s="546">
        <f t="shared" si="63"/>
        <v>80</v>
      </c>
      <c r="AJ56" s="818"/>
      <c r="AK56" s="497"/>
      <c r="AL56" s="497"/>
      <c r="BD56"/>
      <c r="BE56"/>
      <c r="BF56"/>
    </row>
    <row r="57" spans="1:58" s="496" customFormat="1" ht="15" x14ac:dyDescent="0.25">
      <c r="A57" s="529" t="s">
        <v>1095</v>
      </c>
      <c r="B57" s="548" t="s">
        <v>1096</v>
      </c>
      <c r="C57" s="798"/>
      <c r="D57" s="799">
        <f t="shared" si="31"/>
        <v>0</v>
      </c>
      <c r="E57" s="812">
        <f>SUM('Estados Financieros'!E283,-SUM('Estados Financieros'!E277:E278),'Estados Financieros'!E322,'Estados Financieros'!E329)</f>
        <v>220</v>
      </c>
      <c r="F57" s="801">
        <f t="shared" si="32"/>
        <v>0.23655913978494625</v>
      </c>
      <c r="G57" s="802">
        <f t="shared" si="56"/>
        <v>0</v>
      </c>
      <c r="H57" s="812">
        <f>SUM('Estados Financieros'!F283,-SUM('Estados Financieros'!F277:F278),'Estados Financieros'!F322,'Estados Financieros'!F329)</f>
        <v>220</v>
      </c>
      <c r="I57" s="801">
        <f t="shared" si="33"/>
        <v>0.23655913978494625</v>
      </c>
      <c r="J57" s="802">
        <f t="shared" si="51"/>
        <v>0</v>
      </c>
      <c r="K57" s="527">
        <f>SUM('Estados Financieros'!I283,-SUM('Estados Financieros'!I277:I278),'Estados Financieros'!I322,'Estados Financieros'!I329)</f>
        <v>220</v>
      </c>
      <c r="L57" s="801">
        <f t="shared" si="34"/>
        <v>0.23655913978494625</v>
      </c>
      <c r="M57" s="802">
        <f t="shared" si="52"/>
        <v>0</v>
      </c>
      <c r="N57" s="527">
        <f>SUM('Estados Financieros'!G283,-SUM('Estados Financieros'!G277:G278),'Estados Financieros'!G322,'Estados Financieros'!G329)</f>
        <v>220</v>
      </c>
      <c r="O57" s="801">
        <f t="shared" si="35"/>
        <v>0.23655913978494625</v>
      </c>
      <c r="P57" s="802">
        <f t="shared" si="53"/>
        <v>0</v>
      </c>
      <c r="Q57" s="527">
        <f>SUM('Estados Financieros'!H283,-SUM('Estados Financieros'!H277:H278),'Estados Financieros'!H322,'Estados Financieros'!H329)</f>
        <v>220</v>
      </c>
      <c r="R57" s="801">
        <f t="shared" si="36"/>
        <v>0.23655913978494625</v>
      </c>
      <c r="S57" s="802">
        <f t="shared" si="54"/>
        <v>0</v>
      </c>
      <c r="T57" s="531">
        <f t="shared" si="58"/>
        <v>220.00000000000003</v>
      </c>
      <c r="U57" s="531">
        <f t="shared" ref="U57:AI57" si="64">T57</f>
        <v>220.00000000000003</v>
      </c>
      <c r="V57" s="531">
        <f t="shared" si="64"/>
        <v>220.00000000000003</v>
      </c>
      <c r="W57" s="531">
        <f t="shared" si="64"/>
        <v>220.00000000000003</v>
      </c>
      <c r="X57" s="531">
        <f t="shared" si="64"/>
        <v>220.00000000000003</v>
      </c>
      <c r="Y57" s="531">
        <f t="shared" si="64"/>
        <v>220.00000000000003</v>
      </c>
      <c r="Z57" s="531">
        <f t="shared" si="64"/>
        <v>220.00000000000003</v>
      </c>
      <c r="AA57" s="531">
        <f t="shared" si="64"/>
        <v>220.00000000000003</v>
      </c>
      <c r="AB57" s="531">
        <f t="shared" si="64"/>
        <v>220.00000000000003</v>
      </c>
      <c r="AC57" s="531">
        <f t="shared" si="64"/>
        <v>220.00000000000003</v>
      </c>
      <c r="AD57" s="531">
        <f t="shared" si="64"/>
        <v>220.00000000000003</v>
      </c>
      <c r="AE57" s="531">
        <f t="shared" si="64"/>
        <v>220.00000000000003</v>
      </c>
      <c r="AF57" s="531">
        <f t="shared" si="64"/>
        <v>220.00000000000003</v>
      </c>
      <c r="AG57" s="531">
        <f t="shared" si="64"/>
        <v>220.00000000000003</v>
      </c>
      <c r="AH57" s="531">
        <f t="shared" si="64"/>
        <v>220.00000000000003</v>
      </c>
      <c r="AI57" s="531">
        <f t="shared" si="64"/>
        <v>220.00000000000003</v>
      </c>
      <c r="AJ57" s="818"/>
      <c r="AK57" s="497"/>
      <c r="AL57" s="497"/>
      <c r="BD57"/>
      <c r="BE57"/>
      <c r="BF57"/>
    </row>
    <row r="58" spans="1:58" s="496" customFormat="1" ht="15" x14ac:dyDescent="0.25">
      <c r="A58" s="507"/>
      <c r="B58" s="508" t="s">
        <v>1097</v>
      </c>
      <c r="C58" s="803">
        <f>SUM(C49:C57)</f>
        <v>0</v>
      </c>
      <c r="D58" s="804">
        <f t="shared" si="31"/>
        <v>0</v>
      </c>
      <c r="E58" s="532">
        <f>SUM(E49:E57)</f>
        <v>450</v>
      </c>
      <c r="F58" s="805">
        <f t="shared" si="32"/>
        <v>0.4838709677419355</v>
      </c>
      <c r="G58" s="806">
        <f t="shared" si="56"/>
        <v>0</v>
      </c>
      <c r="H58" s="532">
        <f>SUM(H49:H57)</f>
        <v>450</v>
      </c>
      <c r="I58" s="805">
        <f t="shared" si="33"/>
        <v>0.4838709677419355</v>
      </c>
      <c r="J58" s="806">
        <f t="shared" si="51"/>
        <v>0</v>
      </c>
      <c r="K58" s="532">
        <f>SUM(K49:K57)</f>
        <v>450</v>
      </c>
      <c r="L58" s="805">
        <f t="shared" si="34"/>
        <v>0.4838709677419355</v>
      </c>
      <c r="M58" s="806">
        <f t="shared" si="52"/>
        <v>0</v>
      </c>
      <c r="N58" s="532">
        <f>SUM(N49:N57)</f>
        <v>450</v>
      </c>
      <c r="O58" s="805">
        <f t="shared" si="35"/>
        <v>0.4838709677419355</v>
      </c>
      <c r="P58" s="806">
        <f t="shared" si="53"/>
        <v>0</v>
      </c>
      <c r="Q58" s="532">
        <f>SUM(Q49:Q57)</f>
        <v>450</v>
      </c>
      <c r="R58" s="805">
        <f t="shared" si="36"/>
        <v>0.4838709677419355</v>
      </c>
      <c r="S58" s="806">
        <f t="shared" si="54"/>
        <v>0</v>
      </c>
      <c r="T58" s="533">
        <f t="shared" ref="T58:AI58" si="65">SUM(T49:T57)</f>
        <v>470</v>
      </c>
      <c r="U58" s="533">
        <f t="shared" si="65"/>
        <v>470</v>
      </c>
      <c r="V58" s="533">
        <f t="shared" si="65"/>
        <v>470</v>
      </c>
      <c r="W58" s="533">
        <f t="shared" si="65"/>
        <v>470</v>
      </c>
      <c r="X58" s="533">
        <f t="shared" si="65"/>
        <v>470</v>
      </c>
      <c r="Y58" s="533">
        <f t="shared" si="65"/>
        <v>470</v>
      </c>
      <c r="Z58" s="533">
        <f t="shared" si="65"/>
        <v>470</v>
      </c>
      <c r="AA58" s="533">
        <f t="shared" si="65"/>
        <v>470</v>
      </c>
      <c r="AB58" s="533">
        <f t="shared" si="65"/>
        <v>470</v>
      </c>
      <c r="AC58" s="533">
        <f t="shared" si="65"/>
        <v>470</v>
      </c>
      <c r="AD58" s="533">
        <f t="shared" si="65"/>
        <v>470</v>
      </c>
      <c r="AE58" s="533">
        <f t="shared" si="65"/>
        <v>470</v>
      </c>
      <c r="AF58" s="533">
        <f t="shared" si="65"/>
        <v>470</v>
      </c>
      <c r="AG58" s="533">
        <f t="shared" si="65"/>
        <v>470</v>
      </c>
      <c r="AH58" s="533">
        <f t="shared" si="65"/>
        <v>470</v>
      </c>
      <c r="AI58" s="533">
        <f t="shared" si="65"/>
        <v>470</v>
      </c>
      <c r="AJ58" s="818"/>
      <c r="AK58" s="497"/>
      <c r="AL58" s="497"/>
      <c r="BD58"/>
      <c r="BE58"/>
      <c r="BF58"/>
    </row>
    <row r="59" spans="1:58" s="496" customFormat="1" ht="15" x14ac:dyDescent="0.25">
      <c r="A59" s="507"/>
      <c r="B59" s="538" t="s">
        <v>1098</v>
      </c>
      <c r="C59" s="813">
        <f>C58+C48</f>
        <v>0</v>
      </c>
      <c r="D59" s="814">
        <f t="shared" si="31"/>
        <v>0</v>
      </c>
      <c r="E59" s="539">
        <f>E58+E48</f>
        <v>930</v>
      </c>
      <c r="F59" s="815">
        <f t="shared" si="32"/>
        <v>1</v>
      </c>
      <c r="G59" s="816">
        <f t="shared" si="56"/>
        <v>0</v>
      </c>
      <c r="H59" s="539">
        <f>H58+H48</f>
        <v>930</v>
      </c>
      <c r="I59" s="815">
        <f t="shared" si="33"/>
        <v>1</v>
      </c>
      <c r="J59" s="816">
        <f t="shared" si="51"/>
        <v>0</v>
      </c>
      <c r="K59" s="539">
        <f>K58+K48</f>
        <v>930</v>
      </c>
      <c r="L59" s="815">
        <f t="shared" si="34"/>
        <v>1</v>
      </c>
      <c r="M59" s="816">
        <f t="shared" si="52"/>
        <v>0</v>
      </c>
      <c r="N59" s="539">
        <f>N58+N48</f>
        <v>930</v>
      </c>
      <c r="O59" s="815">
        <f t="shared" si="35"/>
        <v>1</v>
      </c>
      <c r="P59" s="816">
        <f t="shared" si="53"/>
        <v>0</v>
      </c>
      <c r="Q59" s="539">
        <f>Q58+Q48</f>
        <v>930</v>
      </c>
      <c r="R59" s="815">
        <f t="shared" si="36"/>
        <v>1</v>
      </c>
      <c r="S59" s="816">
        <f t="shared" si="54"/>
        <v>0</v>
      </c>
      <c r="T59" s="540">
        <f t="shared" ref="T59:AI59" si="66">T58+T48</f>
        <v>920</v>
      </c>
      <c r="U59" s="540">
        <f t="shared" si="66"/>
        <v>920</v>
      </c>
      <c r="V59" s="540">
        <f t="shared" si="66"/>
        <v>920</v>
      </c>
      <c r="W59" s="540">
        <f t="shared" si="66"/>
        <v>920</v>
      </c>
      <c r="X59" s="540">
        <f t="shared" si="66"/>
        <v>920</v>
      </c>
      <c r="Y59" s="540">
        <f t="shared" si="66"/>
        <v>920</v>
      </c>
      <c r="Z59" s="540">
        <f t="shared" si="66"/>
        <v>920</v>
      </c>
      <c r="AA59" s="540">
        <f t="shared" si="66"/>
        <v>920</v>
      </c>
      <c r="AB59" s="540">
        <f t="shared" si="66"/>
        <v>920</v>
      </c>
      <c r="AC59" s="540">
        <f t="shared" si="66"/>
        <v>920</v>
      </c>
      <c r="AD59" s="540">
        <f t="shared" si="66"/>
        <v>920</v>
      </c>
      <c r="AE59" s="540">
        <f t="shared" si="66"/>
        <v>920</v>
      </c>
      <c r="AF59" s="540">
        <f t="shared" si="66"/>
        <v>920</v>
      </c>
      <c r="AG59" s="540">
        <f t="shared" si="66"/>
        <v>920</v>
      </c>
      <c r="AH59" s="540">
        <f t="shared" si="66"/>
        <v>920</v>
      </c>
      <c r="AI59" s="540">
        <f t="shared" si="66"/>
        <v>920</v>
      </c>
      <c r="AJ59" s="818"/>
      <c r="AK59" s="497"/>
      <c r="AL59" s="497"/>
      <c r="BD59"/>
      <c r="BE59"/>
      <c r="BF59"/>
    </row>
    <row r="60" spans="1:58" s="496" customFormat="1" ht="15" x14ac:dyDescent="0.25">
      <c r="A60" s="518">
        <v>26</v>
      </c>
      <c r="B60" s="534" t="s">
        <v>938</v>
      </c>
      <c r="C60" s="807"/>
      <c r="D60" s="808">
        <f t="shared" ref="D60:D67" si="67">IF(OR(C60=0,C$67=0),0,C60/C$67)</f>
        <v>0</v>
      </c>
      <c r="E60" s="809">
        <f>'Estados Financieros'!E342</f>
        <v>70</v>
      </c>
      <c r="F60" s="810">
        <f t="shared" ref="F60:F67" si="68">IF(OR(E60=0,E$67=0),0,E60/E$67)</f>
        <v>2.3102310231023101E-2</v>
      </c>
      <c r="G60" s="811">
        <f t="shared" si="56"/>
        <v>0</v>
      </c>
      <c r="H60" s="809">
        <f>'Estados Financieros'!F342</f>
        <v>70</v>
      </c>
      <c r="I60" s="810">
        <f t="shared" ref="I60:I67" si="69">IF(OR(H60=0,H$67=0),0,H60/H$67)</f>
        <v>2.3102310231023101E-2</v>
      </c>
      <c r="J60" s="811">
        <f t="shared" si="51"/>
        <v>0</v>
      </c>
      <c r="K60" s="535">
        <f>'Estados Financieros'!I342</f>
        <v>70</v>
      </c>
      <c r="L60" s="810">
        <f t="shared" ref="L60:L67" si="70">IF(OR(K60=0,K$67=0),0,K60/K$67)</f>
        <v>2.3102310231023101E-2</v>
      </c>
      <c r="M60" s="811">
        <f t="shared" si="52"/>
        <v>0</v>
      </c>
      <c r="N60" s="535">
        <f>'Estados Financieros'!G342</f>
        <v>70</v>
      </c>
      <c r="O60" s="810">
        <f t="shared" ref="O60:O67" si="71">IF(OR(N60=0,N$67=0),0,N60/N$67)</f>
        <v>2.3102310231023101E-2</v>
      </c>
      <c r="P60" s="811">
        <f t="shared" si="53"/>
        <v>0</v>
      </c>
      <c r="Q60" s="535">
        <f>'Estados Financieros'!H342</f>
        <v>70</v>
      </c>
      <c r="R60" s="810">
        <f t="shared" ref="R60:R67" si="72">IF(OR(Q60=0,Q$67=0),0,Q60/Q$67)</f>
        <v>2.3102310231023101E-2</v>
      </c>
      <c r="S60" s="811">
        <f t="shared" si="54"/>
        <v>0</v>
      </c>
      <c r="T60" s="549">
        <f>IF(Q60=0,N60,Q60)+IF(AND($C$933=2,$C$314=T$311),$C$310,0)+IF(AND($C$935=2,$C$324=T$321),$C$320,0)+IF(AND($C$937=2,$C$334=T$331),$C$330,0)+IF(AND($C$943=2,$C$354=T$351),$C$350,0)+IF(AND($C$945=2,$C$364=T$361),$C$360,0)+IF(AND($C$947=2,$C$374=T$371),$C$370,0)</f>
        <v>70</v>
      </c>
      <c r="U60" s="549">
        <f>T60+IF(AND($C$933=2,$C$314=U$311),$C$310,0)+IF(AND($C$935=2,$C$324=U$321),$C$320,0)+IF(AND($C$937=2,$C$334=U$331),$C$330,0)+IF(AND($C$943=2,$C$354=U$351),$C$350,0)+IF(AND($C$945=2,$C$364=U$361),$C$360,0)+IF(AND($C$947=2,$C$374=U$371),$C$370,0)</f>
        <v>70</v>
      </c>
      <c r="V60" s="549">
        <f t="shared" ref="V60:AI60" si="73">U60+IF(AND($C$935=2,$C$324=V$321),$C$320,0)+IF(AND($C$937=2,$C$334=V$331),$C$330,0)+IF(AND($C$945=2,$C$364=V$361),$C$360,0)+IF(AND($C$947=2,$C$374=V$371),$C$370,0)</f>
        <v>70</v>
      </c>
      <c r="W60" s="549">
        <f t="shared" si="73"/>
        <v>70</v>
      </c>
      <c r="X60" s="549">
        <f t="shared" si="73"/>
        <v>70</v>
      </c>
      <c r="Y60" s="549">
        <f t="shared" si="73"/>
        <v>70</v>
      </c>
      <c r="Z60" s="549">
        <f t="shared" si="73"/>
        <v>70</v>
      </c>
      <c r="AA60" s="549">
        <f t="shared" si="73"/>
        <v>70</v>
      </c>
      <c r="AB60" s="549">
        <f t="shared" si="73"/>
        <v>70</v>
      </c>
      <c r="AC60" s="549">
        <f t="shared" si="73"/>
        <v>70</v>
      </c>
      <c r="AD60" s="549">
        <f t="shared" si="73"/>
        <v>70</v>
      </c>
      <c r="AE60" s="549">
        <f t="shared" si="73"/>
        <v>70</v>
      </c>
      <c r="AF60" s="549">
        <f t="shared" si="73"/>
        <v>70</v>
      </c>
      <c r="AG60" s="549">
        <f t="shared" si="73"/>
        <v>70</v>
      </c>
      <c r="AH60" s="549">
        <f t="shared" si="73"/>
        <v>70</v>
      </c>
      <c r="AI60" s="549">
        <f t="shared" si="73"/>
        <v>70</v>
      </c>
      <c r="AJ60" s="818"/>
      <c r="AK60" s="497"/>
      <c r="AL60" s="497"/>
      <c r="BD60"/>
      <c r="BE60"/>
      <c r="BF60"/>
    </row>
    <row r="61" spans="1:58" s="496" customFormat="1" ht="15" x14ac:dyDescent="0.25">
      <c r="A61" s="526">
        <v>27</v>
      </c>
      <c r="B61" s="524" t="s">
        <v>1099</v>
      </c>
      <c r="C61" s="793"/>
      <c r="D61" s="794">
        <f t="shared" si="67"/>
        <v>0</v>
      </c>
      <c r="E61" s="613">
        <f>'Estados Financieros'!E350</f>
        <v>50</v>
      </c>
      <c r="F61" s="795">
        <f t="shared" si="68"/>
        <v>1.65016501650165E-2</v>
      </c>
      <c r="G61" s="796">
        <f t="shared" si="56"/>
        <v>0</v>
      </c>
      <c r="H61" s="613">
        <f>'Estados Financieros'!F350</f>
        <v>50</v>
      </c>
      <c r="I61" s="795">
        <f t="shared" si="69"/>
        <v>1.65016501650165E-2</v>
      </c>
      <c r="J61" s="796">
        <f t="shared" si="51"/>
        <v>0</v>
      </c>
      <c r="K61" s="525">
        <f>'Estados Financieros'!I350</f>
        <v>50</v>
      </c>
      <c r="L61" s="795">
        <f t="shared" si="70"/>
        <v>1.65016501650165E-2</v>
      </c>
      <c r="M61" s="796">
        <f t="shared" si="52"/>
        <v>0</v>
      </c>
      <c r="N61" s="525">
        <f>'Estados Financieros'!G350</f>
        <v>50</v>
      </c>
      <c r="O61" s="795">
        <f t="shared" si="71"/>
        <v>1.65016501650165E-2</v>
      </c>
      <c r="P61" s="796">
        <f t="shared" si="53"/>
        <v>0</v>
      </c>
      <c r="Q61" s="525">
        <f>'Estados Financieros'!H350</f>
        <v>50</v>
      </c>
      <c r="R61" s="795">
        <f t="shared" si="72"/>
        <v>1.65016501650165E-2</v>
      </c>
      <c r="S61" s="796">
        <f t="shared" si="54"/>
        <v>0</v>
      </c>
      <c r="T61" s="525">
        <f>IF(Q61=0,N61,Q61)</f>
        <v>50</v>
      </c>
      <c r="U61" s="525">
        <f t="shared" ref="U61:AI61" si="74">T61</f>
        <v>50</v>
      </c>
      <c r="V61" s="525">
        <f t="shared" si="74"/>
        <v>50</v>
      </c>
      <c r="W61" s="525">
        <f t="shared" si="74"/>
        <v>50</v>
      </c>
      <c r="X61" s="525">
        <f t="shared" si="74"/>
        <v>50</v>
      </c>
      <c r="Y61" s="525">
        <f t="shared" si="74"/>
        <v>50</v>
      </c>
      <c r="Z61" s="525">
        <f t="shared" si="74"/>
        <v>50</v>
      </c>
      <c r="AA61" s="525">
        <f t="shared" si="74"/>
        <v>50</v>
      </c>
      <c r="AB61" s="525">
        <f t="shared" si="74"/>
        <v>50</v>
      </c>
      <c r="AC61" s="525">
        <f t="shared" si="74"/>
        <v>50</v>
      </c>
      <c r="AD61" s="525">
        <f t="shared" si="74"/>
        <v>50</v>
      </c>
      <c r="AE61" s="525">
        <f t="shared" si="74"/>
        <v>50</v>
      </c>
      <c r="AF61" s="525">
        <f t="shared" si="74"/>
        <v>50</v>
      </c>
      <c r="AG61" s="525">
        <f t="shared" si="74"/>
        <v>50</v>
      </c>
      <c r="AH61" s="525">
        <f t="shared" si="74"/>
        <v>50</v>
      </c>
      <c r="AI61" s="525">
        <f t="shared" si="74"/>
        <v>50</v>
      </c>
      <c r="AJ61" s="818"/>
      <c r="AK61" s="497"/>
      <c r="AL61" s="497"/>
      <c r="BD61"/>
      <c r="BE61"/>
      <c r="BF61"/>
    </row>
    <row r="62" spans="1:58" s="496" customFormat="1" ht="15" x14ac:dyDescent="0.25">
      <c r="A62" s="526">
        <v>28</v>
      </c>
      <c r="B62" s="524" t="s">
        <v>940</v>
      </c>
      <c r="C62" s="793"/>
      <c r="D62" s="794">
        <f t="shared" si="67"/>
        <v>0</v>
      </c>
      <c r="E62" s="613">
        <f>'Estados Financieros'!E352</f>
        <v>10</v>
      </c>
      <c r="F62" s="795">
        <f t="shared" si="68"/>
        <v>3.3003300330033004E-3</v>
      </c>
      <c r="G62" s="796">
        <f t="shared" si="56"/>
        <v>0</v>
      </c>
      <c r="H62" s="613">
        <f>'Estados Financieros'!F352</f>
        <v>10</v>
      </c>
      <c r="I62" s="795">
        <f t="shared" si="69"/>
        <v>3.3003300330033004E-3</v>
      </c>
      <c r="J62" s="796">
        <f t="shared" si="51"/>
        <v>0</v>
      </c>
      <c r="K62" s="525">
        <f>'Estados Financieros'!I352</f>
        <v>10</v>
      </c>
      <c r="L62" s="795">
        <f t="shared" si="70"/>
        <v>3.3003300330033004E-3</v>
      </c>
      <c r="M62" s="796">
        <f t="shared" si="52"/>
        <v>0</v>
      </c>
      <c r="N62" s="525">
        <f>'Estados Financieros'!G352</f>
        <v>10</v>
      </c>
      <c r="O62" s="795">
        <f t="shared" si="71"/>
        <v>3.3003300330033004E-3</v>
      </c>
      <c r="P62" s="796">
        <f t="shared" si="53"/>
        <v>0</v>
      </c>
      <c r="Q62" s="525">
        <f>'Estados Financieros'!H352</f>
        <v>10</v>
      </c>
      <c r="R62" s="795">
        <f t="shared" si="72"/>
        <v>3.3003300330033004E-3</v>
      </c>
      <c r="S62" s="796">
        <f t="shared" si="54"/>
        <v>0</v>
      </c>
      <c r="T62" s="525">
        <f>IF(OR(N62&gt;=(N60*50%),AND(N64&gt;0,SUM(N63:N64)&lt;N64*10%),N64&lt;=0),N62,IF(N62+N64*10%&gt;T60*50%,T60*50%,N62+N64*10%))</f>
        <v>35</v>
      </c>
      <c r="U62" s="525">
        <f t="shared" ref="U62:AI62" si="75">IF(OR(T62&gt;=(T60*50%),AND(T64&gt;0,SUM(T63:T64)&lt;T64*10%),T64&lt;=0),T62,IF(T62+T64*10%&gt;U60*50%,U60*50%,T62+T64*10%))</f>
        <v>35</v>
      </c>
      <c r="V62" s="525">
        <f t="shared" si="75"/>
        <v>35</v>
      </c>
      <c r="W62" s="525">
        <f t="shared" si="75"/>
        <v>35</v>
      </c>
      <c r="X62" s="525">
        <f t="shared" si="75"/>
        <v>35</v>
      </c>
      <c r="Y62" s="525">
        <f t="shared" si="75"/>
        <v>35</v>
      </c>
      <c r="Z62" s="525">
        <f t="shared" si="75"/>
        <v>35</v>
      </c>
      <c r="AA62" s="525">
        <f t="shared" si="75"/>
        <v>35</v>
      </c>
      <c r="AB62" s="525">
        <f t="shared" si="75"/>
        <v>35</v>
      </c>
      <c r="AC62" s="525">
        <f t="shared" si="75"/>
        <v>35</v>
      </c>
      <c r="AD62" s="525">
        <f t="shared" si="75"/>
        <v>35</v>
      </c>
      <c r="AE62" s="525">
        <f t="shared" si="75"/>
        <v>35</v>
      </c>
      <c r="AF62" s="525">
        <f t="shared" si="75"/>
        <v>35</v>
      </c>
      <c r="AG62" s="525">
        <f t="shared" si="75"/>
        <v>35</v>
      </c>
      <c r="AH62" s="525">
        <f t="shared" si="75"/>
        <v>35</v>
      </c>
      <c r="AI62" s="525">
        <f t="shared" si="75"/>
        <v>35</v>
      </c>
      <c r="AJ62" s="818"/>
      <c r="AK62" s="497"/>
      <c r="AL62" s="497"/>
      <c r="BD62"/>
      <c r="BE62"/>
      <c r="BF62"/>
    </row>
    <row r="63" spans="1:58" s="496" customFormat="1" ht="15" x14ac:dyDescent="0.25">
      <c r="A63" s="526">
        <v>29</v>
      </c>
      <c r="B63" s="524" t="s">
        <v>1100</v>
      </c>
      <c r="C63" s="793"/>
      <c r="D63" s="794">
        <f t="shared" si="67"/>
        <v>0</v>
      </c>
      <c r="E63" s="613">
        <f>'Estados Financieros'!E364</f>
        <v>10</v>
      </c>
      <c r="F63" s="795">
        <f t="shared" si="68"/>
        <v>3.3003300330033004E-3</v>
      </c>
      <c r="G63" s="796">
        <f t="shared" si="56"/>
        <v>0</v>
      </c>
      <c r="H63" s="613">
        <f>'Estados Financieros'!F364</f>
        <v>10</v>
      </c>
      <c r="I63" s="795">
        <f t="shared" si="69"/>
        <v>3.3003300330033004E-3</v>
      </c>
      <c r="J63" s="796">
        <f t="shared" si="51"/>
        <v>0</v>
      </c>
      <c r="K63" s="525">
        <f>'Estados Financieros'!I364</f>
        <v>10</v>
      </c>
      <c r="L63" s="795">
        <f t="shared" si="70"/>
        <v>3.3003300330033004E-3</v>
      </c>
      <c r="M63" s="796">
        <f t="shared" si="52"/>
        <v>0</v>
      </c>
      <c r="N63" s="525">
        <f>'Estados Financieros'!G364</f>
        <v>10</v>
      </c>
      <c r="O63" s="795">
        <f t="shared" si="71"/>
        <v>3.3003300330033004E-3</v>
      </c>
      <c r="P63" s="796">
        <f t="shared" si="53"/>
        <v>0</v>
      </c>
      <c r="Q63" s="525">
        <f>'Estados Financieros'!H364</f>
        <v>10</v>
      </c>
      <c r="R63" s="795">
        <f t="shared" si="72"/>
        <v>3.3003300330033004E-3</v>
      </c>
      <c r="S63" s="796">
        <f t="shared" si="54"/>
        <v>0</v>
      </c>
      <c r="T63" s="550">
        <f>IF(AND(N62&lt;(N60*50%),N64&gt;0,SUM(N63:N64)&gt;N64*10%,SUM(N63:N64)&gt;0),N63+(N64*(IF(T62-N62&lt;N64*10%,(N64-(T62-N62))/N64,90%)-T418))-IF(T66-N66&gt;0,T66-N66,0),IF(AND(N64&gt;0,SUM(N63:N64)&gt;0),N63+(N64*(1-T418))-IF(T66-N66&gt;0,T66-N66,0),SUM(N63:N64)-IF(T66-N66&gt;0,T66-N66,0)))</f>
        <v>912.29999999999984</v>
      </c>
      <c r="U63" s="525">
        <f t="shared" ref="U63:AI63" si="76">IF(AND(T62&lt;(T60*50%),T64&gt;0,SUM(T63:T64)&gt;T64*10%,SUM(T63:T64)&gt;0),T63+(T64*(IF(U62-T62&lt;T64*10%,(T64-(U62-T62))/T64,90%)-U418))-IF(U66-T66&gt;0,U66-T66,0),IF(AND(T64&gt;0,SUM(T63:T64)&gt;0),T63+(T64*(1-U418))-IF(U66-T66&gt;0,U66-T66,0),SUM(T63:T64)-IF(U66-T66&gt;0,U66-T66,0)))</f>
        <v>1840.3919999999998</v>
      </c>
      <c r="V63" s="525">
        <f t="shared" si="76"/>
        <v>2768.616</v>
      </c>
      <c r="W63" s="525">
        <f t="shared" si="76"/>
        <v>3698.16</v>
      </c>
      <c r="X63" s="525">
        <f t="shared" si="76"/>
        <v>4627.7039999999997</v>
      </c>
      <c r="Y63" s="525">
        <f t="shared" si="76"/>
        <v>5557.2479999999996</v>
      </c>
      <c r="Z63" s="525">
        <f t="shared" si="76"/>
        <v>6486.7919999999995</v>
      </c>
      <c r="AA63" s="525">
        <f t="shared" si="76"/>
        <v>7416.3359999999993</v>
      </c>
      <c r="AB63" s="525">
        <f t="shared" si="76"/>
        <v>8345.8799999999992</v>
      </c>
      <c r="AC63" s="525">
        <f t="shared" si="76"/>
        <v>9275.4239999999991</v>
      </c>
      <c r="AD63" s="525">
        <f t="shared" si="76"/>
        <v>10204.967999999999</v>
      </c>
      <c r="AE63" s="525">
        <f t="shared" si="76"/>
        <v>11134.511999999999</v>
      </c>
      <c r="AF63" s="525">
        <f t="shared" si="76"/>
        <v>12064.055999999999</v>
      </c>
      <c r="AG63" s="525">
        <f t="shared" si="76"/>
        <v>12993.599999999999</v>
      </c>
      <c r="AH63" s="525">
        <f t="shared" si="76"/>
        <v>13923.143999999998</v>
      </c>
      <c r="AI63" s="525">
        <f t="shared" si="76"/>
        <v>14852.687999999998</v>
      </c>
      <c r="AJ63" s="818"/>
      <c r="AK63" s="497"/>
      <c r="AL63" s="497"/>
      <c r="BD63"/>
      <c r="BE63"/>
      <c r="BF63"/>
    </row>
    <row r="64" spans="1:58" s="496" customFormat="1" ht="15" x14ac:dyDescent="0.25">
      <c r="A64" s="526">
        <v>30</v>
      </c>
      <c r="B64" s="524" t="s">
        <v>943</v>
      </c>
      <c r="C64" s="793">
        <f>C89</f>
        <v>0</v>
      </c>
      <c r="D64" s="794">
        <f t="shared" si="67"/>
        <v>0</v>
      </c>
      <c r="E64" s="613">
        <f>'Estados Financieros'!E363</f>
        <v>2810</v>
      </c>
      <c r="F64" s="795">
        <f t="shared" si="68"/>
        <v>0.9273927392739274</v>
      </c>
      <c r="G64" s="796">
        <f t="shared" si="56"/>
        <v>0</v>
      </c>
      <c r="H64" s="613">
        <f>'Estados Financieros'!F363</f>
        <v>2810</v>
      </c>
      <c r="I64" s="795">
        <f t="shared" si="69"/>
        <v>0.9273927392739274</v>
      </c>
      <c r="J64" s="796">
        <f t="shared" si="51"/>
        <v>0</v>
      </c>
      <c r="K64" s="525">
        <f>'Estados Financieros'!I363</f>
        <v>2810</v>
      </c>
      <c r="L64" s="795">
        <f t="shared" si="70"/>
        <v>0.9273927392739274</v>
      </c>
      <c r="M64" s="796">
        <f t="shared" si="52"/>
        <v>0</v>
      </c>
      <c r="N64" s="525">
        <f>'Estados Financieros'!G363</f>
        <v>2810</v>
      </c>
      <c r="O64" s="795">
        <f t="shared" si="71"/>
        <v>0.9273927392739274</v>
      </c>
      <c r="P64" s="796">
        <f t="shared" si="53"/>
        <v>0</v>
      </c>
      <c r="Q64" s="525">
        <f>'Estados Financieros'!H363</f>
        <v>2810</v>
      </c>
      <c r="R64" s="795">
        <f t="shared" si="72"/>
        <v>0.9273927392739274</v>
      </c>
      <c r="S64" s="796">
        <f t="shared" si="54"/>
        <v>0</v>
      </c>
      <c r="T64" s="525">
        <f t="shared" ref="T64:AI64" si="77">T89</f>
        <v>2812.4</v>
      </c>
      <c r="U64" s="525">
        <f t="shared" si="77"/>
        <v>2812.8</v>
      </c>
      <c r="V64" s="525">
        <f t="shared" si="77"/>
        <v>2816.8</v>
      </c>
      <c r="W64" s="525">
        <f t="shared" si="77"/>
        <v>2816.8</v>
      </c>
      <c r="X64" s="525">
        <f t="shared" si="77"/>
        <v>2816.8</v>
      </c>
      <c r="Y64" s="525">
        <f t="shared" si="77"/>
        <v>2816.8</v>
      </c>
      <c r="Z64" s="525">
        <f t="shared" si="77"/>
        <v>2816.8</v>
      </c>
      <c r="AA64" s="525">
        <f t="shared" si="77"/>
        <v>2816.8</v>
      </c>
      <c r="AB64" s="525">
        <f t="shared" si="77"/>
        <v>2816.8</v>
      </c>
      <c r="AC64" s="525">
        <f t="shared" si="77"/>
        <v>2816.8</v>
      </c>
      <c r="AD64" s="525">
        <f t="shared" si="77"/>
        <v>2816.8</v>
      </c>
      <c r="AE64" s="525">
        <f t="shared" si="77"/>
        <v>2816.8</v>
      </c>
      <c r="AF64" s="525">
        <f t="shared" si="77"/>
        <v>2816.8</v>
      </c>
      <c r="AG64" s="525">
        <f t="shared" si="77"/>
        <v>2816.8</v>
      </c>
      <c r="AH64" s="525">
        <f t="shared" si="77"/>
        <v>2816.8</v>
      </c>
      <c r="AI64" s="525">
        <f t="shared" si="77"/>
        <v>2816.8</v>
      </c>
      <c r="AJ64" s="818"/>
      <c r="AK64" s="497"/>
      <c r="AL64" s="497"/>
      <c r="BD64"/>
      <c r="BE64"/>
      <c r="BF64"/>
    </row>
    <row r="65" spans="1:58" s="496" customFormat="1" ht="15" x14ac:dyDescent="0.25">
      <c r="A65" s="526">
        <v>31</v>
      </c>
      <c r="B65" s="524" t="s">
        <v>945</v>
      </c>
      <c r="C65" s="793"/>
      <c r="D65" s="794">
        <f t="shared" si="67"/>
        <v>0</v>
      </c>
      <c r="E65" s="613">
        <f>'Estados Financieros'!E361</f>
        <v>40</v>
      </c>
      <c r="F65" s="795">
        <f t="shared" si="68"/>
        <v>1.3201320132013201E-2</v>
      </c>
      <c r="G65" s="796">
        <f t="shared" si="56"/>
        <v>0</v>
      </c>
      <c r="H65" s="613">
        <f>'Estados Financieros'!F361</f>
        <v>40</v>
      </c>
      <c r="I65" s="795">
        <f t="shared" si="69"/>
        <v>1.3201320132013201E-2</v>
      </c>
      <c r="J65" s="796">
        <f t="shared" si="51"/>
        <v>0</v>
      </c>
      <c r="K65" s="525">
        <f>'Estados Financieros'!I361</f>
        <v>40</v>
      </c>
      <c r="L65" s="795">
        <f t="shared" si="70"/>
        <v>1.3201320132013201E-2</v>
      </c>
      <c r="M65" s="796">
        <f t="shared" si="52"/>
        <v>0</v>
      </c>
      <c r="N65" s="525">
        <f>'Estados Financieros'!G361</f>
        <v>40</v>
      </c>
      <c r="O65" s="795">
        <f t="shared" si="71"/>
        <v>1.3201320132013201E-2</v>
      </c>
      <c r="P65" s="796">
        <f t="shared" si="53"/>
        <v>0</v>
      </c>
      <c r="Q65" s="525">
        <f>'Estados Financieros'!H361</f>
        <v>40</v>
      </c>
      <c r="R65" s="795">
        <f t="shared" si="72"/>
        <v>1.3201320132013201E-2</v>
      </c>
      <c r="S65" s="796">
        <f t="shared" si="54"/>
        <v>0</v>
      </c>
      <c r="T65" s="525">
        <f>N65*(1+T419)</f>
        <v>40</v>
      </c>
      <c r="U65" s="525">
        <f t="shared" ref="U65:AI65" si="78">T65*(1+U419)</f>
        <v>40</v>
      </c>
      <c r="V65" s="525">
        <f t="shared" si="78"/>
        <v>40</v>
      </c>
      <c r="W65" s="525">
        <f t="shared" si="78"/>
        <v>40</v>
      </c>
      <c r="X65" s="525">
        <f t="shared" si="78"/>
        <v>40</v>
      </c>
      <c r="Y65" s="525">
        <f t="shared" si="78"/>
        <v>40</v>
      </c>
      <c r="Z65" s="525">
        <f t="shared" si="78"/>
        <v>40</v>
      </c>
      <c r="AA65" s="525">
        <f t="shared" si="78"/>
        <v>40</v>
      </c>
      <c r="AB65" s="525">
        <f t="shared" si="78"/>
        <v>40</v>
      </c>
      <c r="AC65" s="525">
        <f t="shared" si="78"/>
        <v>40</v>
      </c>
      <c r="AD65" s="525">
        <f t="shared" si="78"/>
        <v>40</v>
      </c>
      <c r="AE65" s="525">
        <f t="shared" si="78"/>
        <v>40</v>
      </c>
      <c r="AF65" s="525">
        <f t="shared" si="78"/>
        <v>40</v>
      </c>
      <c r="AG65" s="525">
        <f t="shared" si="78"/>
        <v>40</v>
      </c>
      <c r="AH65" s="525">
        <f t="shared" si="78"/>
        <v>40</v>
      </c>
      <c r="AI65" s="525">
        <f t="shared" si="78"/>
        <v>40</v>
      </c>
      <c r="AJ65" s="818"/>
      <c r="AK65" s="497"/>
      <c r="AL65" s="497"/>
      <c r="BD65"/>
      <c r="BE65"/>
      <c r="BF65"/>
    </row>
    <row r="66" spans="1:58" s="496" customFormat="1" ht="15" x14ac:dyDescent="0.25">
      <c r="A66" s="537">
        <v>32</v>
      </c>
      <c r="B66" s="530" t="s">
        <v>946</v>
      </c>
      <c r="C66" s="798"/>
      <c r="D66" s="799">
        <f t="shared" si="67"/>
        <v>0</v>
      </c>
      <c r="E66" s="812">
        <f>SUM('Estados Financieros'!E353:E354,'Estados Financieros'!E362,'Estados Financieros'!E365)</f>
        <v>40</v>
      </c>
      <c r="F66" s="801">
        <f t="shared" si="68"/>
        <v>1.3201320132013201E-2</v>
      </c>
      <c r="G66" s="802">
        <f t="shared" si="56"/>
        <v>0</v>
      </c>
      <c r="H66" s="812">
        <f>SUM('Estados Financieros'!F353:F354,'Estados Financieros'!F362,'Estados Financieros'!F365)</f>
        <v>40</v>
      </c>
      <c r="I66" s="801">
        <f t="shared" si="69"/>
        <v>1.3201320132013201E-2</v>
      </c>
      <c r="J66" s="802">
        <f t="shared" si="51"/>
        <v>0</v>
      </c>
      <c r="K66" s="527">
        <f>SUM('Estados Financieros'!I353:I354,'Estados Financieros'!I362,,'Estados Financieros'!I365)</f>
        <v>40</v>
      </c>
      <c r="L66" s="801">
        <f t="shared" si="70"/>
        <v>1.3201320132013201E-2</v>
      </c>
      <c r="M66" s="802">
        <f t="shared" si="52"/>
        <v>0</v>
      </c>
      <c r="N66" s="527">
        <f>SUM('Estados Financieros'!G353:G354,'Estados Financieros'!G362,'Estados Financieros'!G365)</f>
        <v>40</v>
      </c>
      <c r="O66" s="801">
        <f t="shared" si="71"/>
        <v>1.3201320132013201E-2</v>
      </c>
      <c r="P66" s="802">
        <f t="shared" si="53"/>
        <v>0</v>
      </c>
      <c r="Q66" s="527">
        <f>SUM('Estados Financieros'!H353:H354,'Estados Financieros'!H362,'Estados Financieros'!H365)</f>
        <v>40</v>
      </c>
      <c r="R66" s="801">
        <f t="shared" si="72"/>
        <v>1.3201320132013201E-2</v>
      </c>
      <c r="S66" s="802">
        <f t="shared" si="54"/>
        <v>0</v>
      </c>
      <c r="T66" s="551">
        <f>IF(Q66=0,N66,Q66)-IF(T234&gt;0,T234,0)</f>
        <v>40</v>
      </c>
      <c r="U66" s="551">
        <f t="shared" ref="U66:AI66" si="79">T66-IF(U234&gt;0,U234,0)</f>
        <v>40</v>
      </c>
      <c r="V66" s="551">
        <f t="shared" si="79"/>
        <v>40</v>
      </c>
      <c r="W66" s="551">
        <f t="shared" si="79"/>
        <v>40</v>
      </c>
      <c r="X66" s="551">
        <f t="shared" si="79"/>
        <v>40</v>
      </c>
      <c r="Y66" s="551">
        <f t="shared" si="79"/>
        <v>40</v>
      </c>
      <c r="Z66" s="551">
        <f t="shared" si="79"/>
        <v>40</v>
      </c>
      <c r="AA66" s="551">
        <f t="shared" si="79"/>
        <v>40</v>
      </c>
      <c r="AB66" s="551">
        <f t="shared" si="79"/>
        <v>40</v>
      </c>
      <c r="AC66" s="551">
        <f t="shared" si="79"/>
        <v>40</v>
      </c>
      <c r="AD66" s="551">
        <f t="shared" si="79"/>
        <v>40</v>
      </c>
      <c r="AE66" s="551">
        <f t="shared" si="79"/>
        <v>40</v>
      </c>
      <c r="AF66" s="551">
        <f t="shared" si="79"/>
        <v>40</v>
      </c>
      <c r="AG66" s="551">
        <f t="shared" si="79"/>
        <v>40</v>
      </c>
      <c r="AH66" s="551">
        <f t="shared" si="79"/>
        <v>40</v>
      </c>
      <c r="AI66" s="551">
        <f t="shared" si="79"/>
        <v>40</v>
      </c>
      <c r="AJ66" s="818"/>
      <c r="AK66" s="497"/>
      <c r="AL66" s="497"/>
      <c r="BD66"/>
      <c r="BE66"/>
      <c r="BF66"/>
    </row>
    <row r="67" spans="1:58" s="496" customFormat="1" ht="15" x14ac:dyDescent="0.25">
      <c r="A67" s="507"/>
      <c r="B67" s="538" t="s">
        <v>764</v>
      </c>
      <c r="C67" s="813">
        <f>SUM(C60:C66)</f>
        <v>0</v>
      </c>
      <c r="D67" s="814">
        <f t="shared" si="67"/>
        <v>0</v>
      </c>
      <c r="E67" s="539">
        <f>SUM(E60:E66)</f>
        <v>3030</v>
      </c>
      <c r="F67" s="815">
        <f t="shared" si="68"/>
        <v>1</v>
      </c>
      <c r="G67" s="816">
        <f t="shared" si="56"/>
        <v>0</v>
      </c>
      <c r="H67" s="539">
        <f>SUM(H60:H66)</f>
        <v>3030</v>
      </c>
      <c r="I67" s="815">
        <f t="shared" si="69"/>
        <v>1</v>
      </c>
      <c r="J67" s="816">
        <f t="shared" si="51"/>
        <v>0</v>
      </c>
      <c r="K67" s="539">
        <f>SUM(K60:K66)</f>
        <v>3030</v>
      </c>
      <c r="L67" s="815">
        <f t="shared" si="70"/>
        <v>1</v>
      </c>
      <c r="M67" s="816">
        <f t="shared" si="52"/>
        <v>0</v>
      </c>
      <c r="N67" s="539">
        <f>SUM(N60:N66)</f>
        <v>3030</v>
      </c>
      <c r="O67" s="815">
        <f t="shared" si="71"/>
        <v>1</v>
      </c>
      <c r="P67" s="816">
        <f t="shared" si="53"/>
        <v>0</v>
      </c>
      <c r="Q67" s="539">
        <f>SUM(Q60:Q66)</f>
        <v>3030</v>
      </c>
      <c r="R67" s="815">
        <f t="shared" si="72"/>
        <v>1</v>
      </c>
      <c r="S67" s="816">
        <f t="shared" si="54"/>
        <v>0</v>
      </c>
      <c r="T67" s="540">
        <f t="shared" ref="T67:AI67" si="80">SUM(T60:T66)</f>
        <v>3959.7</v>
      </c>
      <c r="U67" s="540">
        <f t="shared" si="80"/>
        <v>4888.192</v>
      </c>
      <c r="V67" s="540">
        <f t="shared" si="80"/>
        <v>5820.4160000000002</v>
      </c>
      <c r="W67" s="540">
        <f t="shared" si="80"/>
        <v>6749.96</v>
      </c>
      <c r="X67" s="540">
        <f t="shared" si="80"/>
        <v>7679.5039999999999</v>
      </c>
      <c r="Y67" s="540">
        <f t="shared" si="80"/>
        <v>8609.0479999999989</v>
      </c>
      <c r="Z67" s="540">
        <f t="shared" si="80"/>
        <v>9538.5920000000006</v>
      </c>
      <c r="AA67" s="540">
        <f t="shared" si="80"/>
        <v>10468.135999999999</v>
      </c>
      <c r="AB67" s="540">
        <f t="shared" si="80"/>
        <v>11397.68</v>
      </c>
      <c r="AC67" s="540">
        <f t="shared" si="80"/>
        <v>12327.223999999998</v>
      </c>
      <c r="AD67" s="540">
        <f t="shared" si="80"/>
        <v>13256.768</v>
      </c>
      <c r="AE67" s="540">
        <f t="shared" si="80"/>
        <v>14186.311999999998</v>
      </c>
      <c r="AF67" s="540">
        <f t="shared" si="80"/>
        <v>15115.856</v>
      </c>
      <c r="AG67" s="540">
        <f t="shared" si="80"/>
        <v>16045.399999999998</v>
      </c>
      <c r="AH67" s="540">
        <f t="shared" si="80"/>
        <v>16974.944</v>
      </c>
      <c r="AI67" s="540">
        <f t="shared" si="80"/>
        <v>17904.487999999998</v>
      </c>
      <c r="AJ67" s="818"/>
      <c r="AK67" s="497"/>
      <c r="AL67" s="497"/>
      <c r="BD67"/>
      <c r="BE67"/>
      <c r="BF67"/>
    </row>
    <row r="68" spans="1:58" s="496" customFormat="1" ht="15" x14ac:dyDescent="0.25">
      <c r="A68" s="518">
        <v>33</v>
      </c>
      <c r="B68" s="552" t="s">
        <v>672</v>
      </c>
      <c r="C68" s="819"/>
      <c r="D68" s="820"/>
      <c r="E68" s="553">
        <f>SUM('Estados Financieros'!E184,-SUM('Estados Financieros'!E373,-'Estados Financieros'!E369))</f>
        <v>0</v>
      </c>
      <c r="F68" s="821"/>
      <c r="G68" s="822">
        <f t="shared" si="56"/>
        <v>0</v>
      </c>
      <c r="H68" s="553">
        <f>SUM('Estados Financieros'!F184,-SUM('Estados Financieros'!F373,-'Estados Financieros'!F369))</f>
        <v>0</v>
      </c>
      <c r="I68" s="821"/>
      <c r="J68" s="822">
        <f t="shared" si="51"/>
        <v>0</v>
      </c>
      <c r="K68" s="553">
        <f>SUM('Estados Financieros'!I184,-SUM('Estados Financieros'!I373,-'Estados Financieros'!I369))</f>
        <v>0</v>
      </c>
      <c r="L68" s="821"/>
      <c r="M68" s="822">
        <f t="shared" si="52"/>
        <v>0</v>
      </c>
      <c r="N68" s="553">
        <f>SUM('Estados Financieros'!G184,-SUM('Estados Financieros'!G373,-'Estados Financieros'!G369))</f>
        <v>0</v>
      </c>
      <c r="O68" s="821"/>
      <c r="P68" s="822">
        <f t="shared" si="53"/>
        <v>0</v>
      </c>
      <c r="Q68" s="553">
        <f>SUM('Estados Financieros'!H184,-SUM('Estados Financieros'!H373,-'Estados Financieros'!H369))</f>
        <v>0</v>
      </c>
      <c r="R68" s="821"/>
      <c r="S68" s="822">
        <f t="shared" si="54"/>
        <v>0</v>
      </c>
      <c r="T68" s="554">
        <f>(C68*$C$241)+(E68*$E$241)+(H68*$H$241)+(N68*$N$241)+(Q68*$Q$241)</f>
        <v>0</v>
      </c>
      <c r="U68" s="554">
        <f t="shared" ref="U68:AI68" si="81">T68</f>
        <v>0</v>
      </c>
      <c r="V68" s="554">
        <f t="shared" si="81"/>
        <v>0</v>
      </c>
      <c r="W68" s="554">
        <f t="shared" si="81"/>
        <v>0</v>
      </c>
      <c r="X68" s="554">
        <f t="shared" si="81"/>
        <v>0</v>
      </c>
      <c r="Y68" s="554">
        <f t="shared" si="81"/>
        <v>0</v>
      </c>
      <c r="Z68" s="554">
        <f t="shared" si="81"/>
        <v>0</v>
      </c>
      <c r="AA68" s="554">
        <f t="shared" si="81"/>
        <v>0</v>
      </c>
      <c r="AB68" s="554">
        <f t="shared" si="81"/>
        <v>0</v>
      </c>
      <c r="AC68" s="554">
        <f t="shared" si="81"/>
        <v>0</v>
      </c>
      <c r="AD68" s="554">
        <f t="shared" si="81"/>
        <v>0</v>
      </c>
      <c r="AE68" s="554">
        <f t="shared" si="81"/>
        <v>0</v>
      </c>
      <c r="AF68" s="554">
        <f t="shared" si="81"/>
        <v>0</v>
      </c>
      <c r="AG68" s="554">
        <f t="shared" si="81"/>
        <v>0</v>
      </c>
      <c r="AH68" s="554">
        <f t="shared" si="81"/>
        <v>0</v>
      </c>
      <c r="AI68" s="554">
        <f t="shared" si="81"/>
        <v>0</v>
      </c>
      <c r="AJ68" s="818"/>
      <c r="AK68" s="497"/>
      <c r="AL68" s="497"/>
      <c r="BD68"/>
      <c r="BE68"/>
      <c r="BF68"/>
    </row>
    <row r="69" spans="1:58" s="496" customFormat="1" ht="15" x14ac:dyDescent="0.25">
      <c r="A69" s="537">
        <v>34</v>
      </c>
      <c r="B69" s="555" t="s">
        <v>1101</v>
      </c>
      <c r="C69" s="823"/>
      <c r="D69" s="824"/>
      <c r="E69" s="556">
        <f>'Estados Financieros'!E369</f>
        <v>0</v>
      </c>
      <c r="F69" s="825"/>
      <c r="G69" s="826">
        <f t="shared" si="56"/>
        <v>0</v>
      </c>
      <c r="H69" s="556">
        <f>'Estados Financieros'!F369</f>
        <v>0</v>
      </c>
      <c r="I69" s="825"/>
      <c r="J69" s="826">
        <f t="shared" si="51"/>
        <v>0</v>
      </c>
      <c r="K69" s="556">
        <f>'Estados Financieros'!I369</f>
        <v>0</v>
      </c>
      <c r="L69" s="825"/>
      <c r="M69" s="826">
        <f t="shared" si="52"/>
        <v>0</v>
      </c>
      <c r="N69" s="556">
        <f>'Estados Financieros'!G369</f>
        <v>0</v>
      </c>
      <c r="O69" s="825"/>
      <c r="P69" s="826">
        <f t="shared" si="53"/>
        <v>0</v>
      </c>
      <c r="Q69" s="556">
        <f>'Estados Financieros'!H369</f>
        <v>0</v>
      </c>
      <c r="R69" s="825"/>
      <c r="S69" s="826">
        <f t="shared" si="54"/>
        <v>0</v>
      </c>
      <c r="T69" s="557">
        <f>IF(Q69=0,N69,Q69)</f>
        <v>0</v>
      </c>
      <c r="U69" s="557">
        <f t="shared" ref="U69:AI69" si="82">T69</f>
        <v>0</v>
      </c>
      <c r="V69" s="557">
        <f t="shared" si="82"/>
        <v>0</v>
      </c>
      <c r="W69" s="557">
        <f t="shared" si="82"/>
        <v>0</v>
      </c>
      <c r="X69" s="557">
        <f t="shared" si="82"/>
        <v>0</v>
      </c>
      <c r="Y69" s="557">
        <f t="shared" si="82"/>
        <v>0</v>
      </c>
      <c r="Z69" s="557">
        <f t="shared" si="82"/>
        <v>0</v>
      </c>
      <c r="AA69" s="557">
        <f t="shared" si="82"/>
        <v>0</v>
      </c>
      <c r="AB69" s="557">
        <f t="shared" si="82"/>
        <v>0</v>
      </c>
      <c r="AC69" s="557">
        <f t="shared" si="82"/>
        <v>0</v>
      </c>
      <c r="AD69" s="557">
        <f t="shared" si="82"/>
        <v>0</v>
      </c>
      <c r="AE69" s="557">
        <f t="shared" si="82"/>
        <v>0</v>
      </c>
      <c r="AF69" s="557">
        <f t="shared" si="82"/>
        <v>0</v>
      </c>
      <c r="AG69" s="557">
        <f t="shared" si="82"/>
        <v>0</v>
      </c>
      <c r="AH69" s="557">
        <f t="shared" si="82"/>
        <v>0</v>
      </c>
      <c r="AI69" s="557">
        <f t="shared" si="82"/>
        <v>0</v>
      </c>
      <c r="AJ69" s="818"/>
      <c r="AK69" s="497"/>
      <c r="AL69" s="497"/>
      <c r="BD69"/>
      <c r="BE69"/>
      <c r="BF69"/>
    </row>
    <row r="70" spans="1:58" s="496" customFormat="1" ht="15" x14ac:dyDescent="0.25">
      <c r="A70" s="507"/>
      <c r="B70" s="558" t="s">
        <v>1102</v>
      </c>
      <c r="C70" s="827">
        <f>C34-C59-C67</f>
        <v>0</v>
      </c>
      <c r="D70" s="828"/>
      <c r="E70" s="559">
        <f>E34-E59-E67</f>
        <v>-90</v>
      </c>
      <c r="F70" s="829"/>
      <c r="G70" s="830"/>
      <c r="H70" s="559">
        <f>H34-H59-H67</f>
        <v>-90</v>
      </c>
      <c r="I70" s="829"/>
      <c r="J70" s="830"/>
      <c r="K70" s="559">
        <f>K34-K59-K67</f>
        <v>-90</v>
      </c>
      <c r="L70" s="829"/>
      <c r="M70" s="830"/>
      <c r="N70" s="559">
        <f>N34-N59-N67</f>
        <v>-90</v>
      </c>
      <c r="O70" s="829"/>
      <c r="P70" s="830"/>
      <c r="Q70" s="559">
        <f>Q34-Q59-Q67</f>
        <v>-90</v>
      </c>
      <c r="R70" s="829"/>
      <c r="S70" s="830"/>
      <c r="T70" s="561">
        <f t="shared" ref="T70:AI70" si="83">-T34+T59+T67</f>
        <v>90.000000000000909</v>
      </c>
      <c r="U70" s="561">
        <f t="shared" si="83"/>
        <v>90</v>
      </c>
      <c r="V70" s="561">
        <f t="shared" si="83"/>
        <v>90</v>
      </c>
      <c r="W70" s="561">
        <f t="shared" si="83"/>
        <v>90.000000000000909</v>
      </c>
      <c r="X70" s="561">
        <f t="shared" si="83"/>
        <v>90.000000000000909</v>
      </c>
      <c r="Y70" s="561">
        <f t="shared" si="83"/>
        <v>90.000000000001819</v>
      </c>
      <c r="Z70" s="561">
        <f t="shared" si="83"/>
        <v>90.000000000001819</v>
      </c>
      <c r="AA70" s="561">
        <f t="shared" si="83"/>
        <v>90.000000000001819</v>
      </c>
      <c r="AB70" s="561">
        <f t="shared" si="83"/>
        <v>90.000000000003638</v>
      </c>
      <c r="AC70" s="561">
        <f t="shared" si="83"/>
        <v>90.000000000001819</v>
      </c>
      <c r="AD70" s="561">
        <f t="shared" si="83"/>
        <v>90.000000000001819</v>
      </c>
      <c r="AE70" s="561">
        <f t="shared" si="83"/>
        <v>90.000000000001819</v>
      </c>
      <c r="AF70" s="561">
        <f t="shared" si="83"/>
        <v>90.000000000001819</v>
      </c>
      <c r="AG70" s="561">
        <f t="shared" si="83"/>
        <v>90.000000000003638</v>
      </c>
      <c r="AH70" s="561">
        <f t="shared" si="83"/>
        <v>90.000000000003638</v>
      </c>
      <c r="AI70" s="561">
        <f t="shared" si="83"/>
        <v>90.000000000003638</v>
      </c>
      <c r="AJ70" s="818"/>
      <c r="AK70" s="497"/>
      <c r="AL70" s="497"/>
      <c r="BD70"/>
      <c r="BE70"/>
      <c r="BF70"/>
    </row>
    <row r="71" spans="1:58" s="496" customFormat="1" ht="15" x14ac:dyDescent="0.25">
      <c r="A71" s="518">
        <v>35</v>
      </c>
      <c r="B71" s="534" t="s">
        <v>1103</v>
      </c>
      <c r="C71" s="807"/>
      <c r="D71" s="808">
        <f t="shared" ref="D71:D93" si="84">IF(OR(C71=0,C$71=0),0,C71/C$71)</f>
        <v>0</v>
      </c>
      <c r="E71" s="809">
        <f>SUM('Estados Financieros'!E380:E381)</f>
        <v>3610</v>
      </c>
      <c r="F71" s="810">
        <f t="shared" ref="F71:F93" si="85">IF(OR(E71=0,E$71=0),0,E71/E$71)</f>
        <v>1</v>
      </c>
      <c r="G71" s="811">
        <f t="shared" ref="G71:G93" si="86">IF(OR(C71=0,E71=0),0,IF(ABS(((E71*360/E$17)/(C71*360/C$17))-1)&gt;1000000%,0,((E71*360/E$17)/(C71*360/C$17))-1))</f>
        <v>0</v>
      </c>
      <c r="H71" s="809">
        <f>SUM('Estados Financieros'!F380:F381)</f>
        <v>3610</v>
      </c>
      <c r="I71" s="810">
        <f t="shared" ref="I71:I93" si="87">IF(OR(H71=0,H$71=0),0,H71/H$71)</f>
        <v>1</v>
      </c>
      <c r="J71" s="811">
        <f t="shared" ref="J71:J93" si="88">IF(OR(E71=0,H71=0),0,IF(ABS((H71*360/H$17)/(E71*360/E$17)-1)&gt;1000000%,0,((H71*360/H$17)/(E71*360/E$17))-1))</f>
        <v>0</v>
      </c>
      <c r="K71" s="535">
        <f>SUM('Estados Financieros'!I380:I381)</f>
        <v>3610</v>
      </c>
      <c r="L71" s="810">
        <f t="shared" ref="L71:L93" si="89">IF(OR(K71=0,K$71=0),0,K71/K$71)</f>
        <v>1</v>
      </c>
      <c r="M71" s="811">
        <f t="shared" ref="M71:M93" si="90">IF(OR(H71=0,K71=0),0,IF(ABS(((K71*360/K$17)/(H71*360/H$17))-1)&gt;1000000%,0,((K71*360/K$17)/(H71*360/H$17))-1))</f>
        <v>1</v>
      </c>
      <c r="N71" s="535">
        <f>SUM('Estados Financieros'!G380:G381)</f>
        <v>3610</v>
      </c>
      <c r="O71" s="810">
        <f t="shared" ref="O71:O93" si="91">IF(OR(N71=0,N$71=0),0,N71/N$71)</f>
        <v>1</v>
      </c>
      <c r="P71" s="811">
        <f t="shared" ref="P71:P93" si="92">IF(OR(H71=0,N71=0),0,IF(ABS(((N71*360/N$17)/(H71*360/H$17))-1)&gt;1000000%,0,((N71*360/N$17)/(H71*360/H$17))-1))</f>
        <v>0</v>
      </c>
      <c r="Q71" s="535">
        <f>SUM('Estados Financieros'!H380:H381)</f>
        <v>3610</v>
      </c>
      <c r="R71" s="810">
        <f t="shared" ref="R71:R93" si="93">IF(OR(Q71=0,Q$71=0),0,Q71/Q$71)</f>
        <v>1</v>
      </c>
      <c r="S71" s="811">
        <f t="shared" ref="S71:S93" si="94">IF(OR(N71=0,Q71=0),0,IF(ABS(((Q71*360/Q$17)/(N71*360/N$17))-1)&gt;1000000%,0,((Q71*360/Q$17)/(N71*360/N$17))-1))</f>
        <v>1</v>
      </c>
      <c r="T71" s="535">
        <f>(N71*360/N17)*(1+T386)</f>
        <v>3610</v>
      </c>
      <c r="U71" s="535">
        <f t="shared" ref="U71:AI71" si="95">T71*(1+U386)</f>
        <v>3610</v>
      </c>
      <c r="V71" s="535">
        <f t="shared" si="95"/>
        <v>3610</v>
      </c>
      <c r="W71" s="535">
        <f t="shared" si="95"/>
        <v>3610</v>
      </c>
      <c r="X71" s="535">
        <f t="shared" si="95"/>
        <v>3610</v>
      </c>
      <c r="Y71" s="535">
        <f t="shared" si="95"/>
        <v>3610</v>
      </c>
      <c r="Z71" s="535">
        <f t="shared" si="95"/>
        <v>3610</v>
      </c>
      <c r="AA71" s="535">
        <f t="shared" si="95"/>
        <v>3610</v>
      </c>
      <c r="AB71" s="535">
        <f t="shared" si="95"/>
        <v>3610</v>
      </c>
      <c r="AC71" s="535">
        <f t="shared" si="95"/>
        <v>3610</v>
      </c>
      <c r="AD71" s="535">
        <f t="shared" si="95"/>
        <v>3610</v>
      </c>
      <c r="AE71" s="535">
        <f t="shared" si="95"/>
        <v>3610</v>
      </c>
      <c r="AF71" s="535">
        <f t="shared" si="95"/>
        <v>3610</v>
      </c>
      <c r="AG71" s="535">
        <f t="shared" si="95"/>
        <v>3610</v>
      </c>
      <c r="AH71" s="535">
        <f t="shared" si="95"/>
        <v>3610</v>
      </c>
      <c r="AI71" s="535">
        <f t="shared" si="95"/>
        <v>3610</v>
      </c>
      <c r="AJ71" s="778"/>
      <c r="BD71"/>
      <c r="BE71"/>
      <c r="BF71"/>
    </row>
    <row r="72" spans="1:58" s="496" customFormat="1" ht="15" x14ac:dyDescent="0.25">
      <c r="A72" s="537">
        <v>36</v>
      </c>
      <c r="B72" s="530" t="s">
        <v>875</v>
      </c>
      <c r="C72" s="798"/>
      <c r="D72" s="799">
        <f t="shared" si="84"/>
        <v>0</v>
      </c>
      <c r="E72" s="812">
        <f>'Estados Financieros'!E382</f>
        <v>500</v>
      </c>
      <c r="F72" s="801">
        <f t="shared" si="85"/>
        <v>0.13850415512465375</v>
      </c>
      <c r="G72" s="802">
        <f t="shared" si="86"/>
        <v>0</v>
      </c>
      <c r="H72" s="812">
        <f>'Estados Financieros'!F382</f>
        <v>500</v>
      </c>
      <c r="I72" s="801">
        <f t="shared" si="87"/>
        <v>0.13850415512465375</v>
      </c>
      <c r="J72" s="802">
        <f t="shared" si="88"/>
        <v>0</v>
      </c>
      <c r="K72" s="527">
        <f>'Estados Financieros'!I382</f>
        <v>500</v>
      </c>
      <c r="L72" s="801">
        <f t="shared" si="89"/>
        <v>0.13850415512465375</v>
      </c>
      <c r="M72" s="802">
        <f t="shared" si="90"/>
        <v>1</v>
      </c>
      <c r="N72" s="527">
        <f>'Estados Financieros'!G382</f>
        <v>500</v>
      </c>
      <c r="O72" s="801">
        <f t="shared" si="91"/>
        <v>0.13850415512465375</v>
      </c>
      <c r="P72" s="802">
        <f t="shared" si="92"/>
        <v>0</v>
      </c>
      <c r="Q72" s="527">
        <f>'Estados Financieros'!H382</f>
        <v>500</v>
      </c>
      <c r="R72" s="801">
        <f t="shared" si="93"/>
        <v>0.13850415512465375</v>
      </c>
      <c r="S72" s="802">
        <f t="shared" si="94"/>
        <v>1</v>
      </c>
      <c r="T72" s="527">
        <f t="shared" ref="T72:AI72" si="96">T71*(1-T387)</f>
        <v>500.00000000000006</v>
      </c>
      <c r="U72" s="527">
        <f t="shared" si="96"/>
        <v>500.00000000000006</v>
      </c>
      <c r="V72" s="527">
        <f t="shared" si="96"/>
        <v>500.00000000000006</v>
      </c>
      <c r="W72" s="527">
        <f t="shared" si="96"/>
        <v>500.00000000000006</v>
      </c>
      <c r="X72" s="527">
        <f t="shared" si="96"/>
        <v>500.00000000000006</v>
      </c>
      <c r="Y72" s="527">
        <f t="shared" si="96"/>
        <v>500.00000000000006</v>
      </c>
      <c r="Z72" s="527">
        <f t="shared" si="96"/>
        <v>500.00000000000006</v>
      </c>
      <c r="AA72" s="527">
        <f t="shared" si="96"/>
        <v>500.00000000000006</v>
      </c>
      <c r="AB72" s="527">
        <f t="shared" si="96"/>
        <v>500.00000000000006</v>
      </c>
      <c r="AC72" s="527">
        <f t="shared" si="96"/>
        <v>500.00000000000006</v>
      </c>
      <c r="AD72" s="527">
        <f t="shared" si="96"/>
        <v>500.00000000000006</v>
      </c>
      <c r="AE72" s="527">
        <f t="shared" si="96"/>
        <v>500.00000000000006</v>
      </c>
      <c r="AF72" s="527">
        <f t="shared" si="96"/>
        <v>500.00000000000006</v>
      </c>
      <c r="AG72" s="527">
        <f t="shared" si="96"/>
        <v>500.00000000000006</v>
      </c>
      <c r="AH72" s="527">
        <f t="shared" si="96"/>
        <v>500.00000000000006</v>
      </c>
      <c r="AI72" s="527">
        <f t="shared" si="96"/>
        <v>500.00000000000006</v>
      </c>
      <c r="AJ72" s="818"/>
      <c r="AK72" s="497"/>
      <c r="AL72" s="497"/>
      <c r="BD72"/>
      <c r="BE72"/>
      <c r="BF72"/>
    </row>
    <row r="73" spans="1:58" s="496" customFormat="1" ht="15" x14ac:dyDescent="0.25">
      <c r="A73" s="507"/>
      <c r="B73" s="538" t="s">
        <v>807</v>
      </c>
      <c r="C73" s="813">
        <f>C71-C72</f>
        <v>0</v>
      </c>
      <c r="D73" s="814">
        <f t="shared" si="84"/>
        <v>0</v>
      </c>
      <c r="E73" s="539">
        <f>E71-E72</f>
        <v>3110</v>
      </c>
      <c r="F73" s="815">
        <f t="shared" si="85"/>
        <v>0.86149584487534625</v>
      </c>
      <c r="G73" s="816">
        <f t="shared" si="86"/>
        <v>0</v>
      </c>
      <c r="H73" s="539">
        <f>H71-H72</f>
        <v>3110</v>
      </c>
      <c r="I73" s="815">
        <f t="shared" si="87"/>
        <v>0.86149584487534625</v>
      </c>
      <c r="J73" s="816">
        <f t="shared" si="88"/>
        <v>0</v>
      </c>
      <c r="K73" s="539">
        <f>K71-K72</f>
        <v>3110</v>
      </c>
      <c r="L73" s="815">
        <f t="shared" si="89"/>
        <v>0.86149584487534625</v>
      </c>
      <c r="M73" s="816">
        <f t="shared" si="90"/>
        <v>1</v>
      </c>
      <c r="N73" s="539">
        <f>N71-N72</f>
        <v>3110</v>
      </c>
      <c r="O73" s="815">
        <f t="shared" si="91"/>
        <v>0.86149584487534625</v>
      </c>
      <c r="P73" s="816">
        <f t="shared" si="92"/>
        <v>0</v>
      </c>
      <c r="Q73" s="539">
        <f>Q71-Q72</f>
        <v>3110</v>
      </c>
      <c r="R73" s="815">
        <f t="shared" si="93"/>
        <v>0.86149584487534625</v>
      </c>
      <c r="S73" s="816">
        <f t="shared" si="94"/>
        <v>1</v>
      </c>
      <c r="T73" s="540">
        <f t="shared" ref="T73:AI73" si="97">T71-T72</f>
        <v>3110</v>
      </c>
      <c r="U73" s="540">
        <f t="shared" si="97"/>
        <v>3110</v>
      </c>
      <c r="V73" s="540">
        <f t="shared" si="97"/>
        <v>3110</v>
      </c>
      <c r="W73" s="540">
        <f t="shared" si="97"/>
        <v>3110</v>
      </c>
      <c r="X73" s="540">
        <f t="shared" si="97"/>
        <v>3110</v>
      </c>
      <c r="Y73" s="540">
        <f t="shared" si="97"/>
        <v>3110</v>
      </c>
      <c r="Z73" s="540">
        <f t="shared" si="97"/>
        <v>3110</v>
      </c>
      <c r="AA73" s="540">
        <f t="shared" si="97"/>
        <v>3110</v>
      </c>
      <c r="AB73" s="540">
        <f t="shared" si="97"/>
        <v>3110</v>
      </c>
      <c r="AC73" s="540">
        <f t="shared" si="97"/>
        <v>3110</v>
      </c>
      <c r="AD73" s="540">
        <f t="shared" si="97"/>
        <v>3110</v>
      </c>
      <c r="AE73" s="540">
        <f t="shared" si="97"/>
        <v>3110</v>
      </c>
      <c r="AF73" s="540">
        <f t="shared" si="97"/>
        <v>3110</v>
      </c>
      <c r="AG73" s="540">
        <f t="shared" si="97"/>
        <v>3110</v>
      </c>
      <c r="AH73" s="540">
        <f t="shared" si="97"/>
        <v>3110</v>
      </c>
      <c r="AI73" s="540">
        <f t="shared" si="97"/>
        <v>3110</v>
      </c>
      <c r="AJ73" s="818"/>
      <c r="AK73" s="497"/>
      <c r="AL73" s="497"/>
      <c r="BD73"/>
      <c r="BE73"/>
      <c r="BF73"/>
    </row>
    <row r="74" spans="1:58" s="496" customFormat="1" ht="15" x14ac:dyDescent="0.25">
      <c r="A74" s="562">
        <v>37</v>
      </c>
      <c r="B74" s="563" t="s">
        <v>1104</v>
      </c>
      <c r="C74" s="601"/>
      <c r="D74" s="831">
        <f t="shared" si="84"/>
        <v>0</v>
      </c>
      <c r="E74" s="611">
        <f>SUM('Estados Financieros'!E401,'Estados Financieros'!E418)</f>
        <v>300</v>
      </c>
      <c r="F74" s="832">
        <f t="shared" si="85"/>
        <v>8.3102493074792241E-2</v>
      </c>
      <c r="G74" s="833">
        <f t="shared" si="86"/>
        <v>0</v>
      </c>
      <c r="H74" s="611">
        <f>SUM('Estados Financieros'!F401,'Estados Financieros'!F418)</f>
        <v>300</v>
      </c>
      <c r="I74" s="832">
        <f t="shared" si="87"/>
        <v>8.3102493074792241E-2</v>
      </c>
      <c r="J74" s="833">
        <f t="shared" si="88"/>
        <v>0</v>
      </c>
      <c r="K74" s="543">
        <f>SUM('Estados Financieros'!I401,'Estados Financieros'!I418)</f>
        <v>300</v>
      </c>
      <c r="L74" s="832">
        <f t="shared" si="89"/>
        <v>8.3102493074792241E-2</v>
      </c>
      <c r="M74" s="833">
        <f t="shared" si="90"/>
        <v>1</v>
      </c>
      <c r="N74" s="543">
        <f>SUM('Estados Financieros'!G401,'Estados Financieros'!G418)</f>
        <v>300</v>
      </c>
      <c r="O74" s="832">
        <f t="shared" si="91"/>
        <v>8.3102493074792241E-2</v>
      </c>
      <c r="P74" s="833">
        <f t="shared" si="92"/>
        <v>0</v>
      </c>
      <c r="Q74" s="543">
        <f>SUM('Estados Financieros'!H401,'Estados Financieros'!H418)</f>
        <v>300</v>
      </c>
      <c r="R74" s="832">
        <f t="shared" si="93"/>
        <v>8.3102493074792241E-2</v>
      </c>
      <c r="S74" s="833">
        <f t="shared" si="94"/>
        <v>1</v>
      </c>
      <c r="T74" s="543">
        <f t="shared" ref="T74:AI74" si="98">T71*T388</f>
        <v>300</v>
      </c>
      <c r="U74" s="543">
        <f t="shared" si="98"/>
        <v>300</v>
      </c>
      <c r="V74" s="543">
        <f t="shared" si="98"/>
        <v>300</v>
      </c>
      <c r="W74" s="543">
        <f t="shared" si="98"/>
        <v>300</v>
      </c>
      <c r="X74" s="543">
        <f t="shared" si="98"/>
        <v>300</v>
      </c>
      <c r="Y74" s="543">
        <f t="shared" si="98"/>
        <v>300</v>
      </c>
      <c r="Z74" s="543">
        <f t="shared" si="98"/>
        <v>300</v>
      </c>
      <c r="AA74" s="543">
        <f t="shared" si="98"/>
        <v>300</v>
      </c>
      <c r="AB74" s="543">
        <f t="shared" si="98"/>
        <v>300</v>
      </c>
      <c r="AC74" s="543">
        <f t="shared" si="98"/>
        <v>300</v>
      </c>
      <c r="AD74" s="543">
        <f t="shared" si="98"/>
        <v>300</v>
      </c>
      <c r="AE74" s="543">
        <f t="shared" si="98"/>
        <v>300</v>
      </c>
      <c r="AF74" s="543">
        <f t="shared" si="98"/>
        <v>300</v>
      </c>
      <c r="AG74" s="543">
        <f t="shared" si="98"/>
        <v>300</v>
      </c>
      <c r="AH74" s="543">
        <f t="shared" si="98"/>
        <v>300</v>
      </c>
      <c r="AI74" s="543">
        <f t="shared" si="98"/>
        <v>300</v>
      </c>
      <c r="AJ74" s="818"/>
      <c r="AK74" s="497"/>
      <c r="AL74" s="497"/>
      <c r="BD74"/>
      <c r="BE74"/>
      <c r="BF74"/>
    </row>
    <row r="75" spans="1:58" s="496" customFormat="1" ht="15" x14ac:dyDescent="0.25">
      <c r="A75" s="507"/>
      <c r="B75" s="538" t="s">
        <v>1105</v>
      </c>
      <c r="C75" s="813">
        <f>C73-C74</f>
        <v>0</v>
      </c>
      <c r="D75" s="814">
        <f t="shared" si="84"/>
        <v>0</v>
      </c>
      <c r="E75" s="539">
        <f>E73-E74</f>
        <v>2810</v>
      </c>
      <c r="F75" s="815">
        <f t="shared" si="85"/>
        <v>0.77839335180055402</v>
      </c>
      <c r="G75" s="816">
        <f t="shared" si="86"/>
        <v>0</v>
      </c>
      <c r="H75" s="539">
        <f>H73-H74</f>
        <v>2810</v>
      </c>
      <c r="I75" s="815">
        <f t="shared" si="87"/>
        <v>0.77839335180055402</v>
      </c>
      <c r="J75" s="816">
        <f t="shared" si="88"/>
        <v>0</v>
      </c>
      <c r="K75" s="539">
        <f>K73-K74</f>
        <v>2810</v>
      </c>
      <c r="L75" s="815">
        <f t="shared" si="89"/>
        <v>0.77839335180055402</v>
      </c>
      <c r="M75" s="816">
        <f t="shared" si="90"/>
        <v>1</v>
      </c>
      <c r="N75" s="539">
        <f>N73-N74</f>
        <v>2810</v>
      </c>
      <c r="O75" s="815">
        <f t="shared" si="91"/>
        <v>0.77839335180055402</v>
      </c>
      <c r="P75" s="816">
        <f t="shared" si="92"/>
        <v>0</v>
      </c>
      <c r="Q75" s="539">
        <f>Q73-Q74</f>
        <v>2810</v>
      </c>
      <c r="R75" s="815">
        <f t="shared" si="93"/>
        <v>0.77839335180055402</v>
      </c>
      <c r="S75" s="816">
        <f t="shared" si="94"/>
        <v>1</v>
      </c>
      <c r="T75" s="540">
        <f t="shared" ref="T75:AI75" si="99">T73-T74</f>
        <v>2810</v>
      </c>
      <c r="U75" s="540">
        <f t="shared" si="99"/>
        <v>2810</v>
      </c>
      <c r="V75" s="540">
        <f t="shared" si="99"/>
        <v>2810</v>
      </c>
      <c r="W75" s="540">
        <f t="shared" si="99"/>
        <v>2810</v>
      </c>
      <c r="X75" s="540">
        <f t="shared" si="99"/>
        <v>2810</v>
      </c>
      <c r="Y75" s="540">
        <f t="shared" si="99"/>
        <v>2810</v>
      </c>
      <c r="Z75" s="540">
        <f t="shared" si="99"/>
        <v>2810</v>
      </c>
      <c r="AA75" s="540">
        <f t="shared" si="99"/>
        <v>2810</v>
      </c>
      <c r="AB75" s="540">
        <f t="shared" si="99"/>
        <v>2810</v>
      </c>
      <c r="AC75" s="540">
        <f t="shared" si="99"/>
        <v>2810</v>
      </c>
      <c r="AD75" s="540">
        <f t="shared" si="99"/>
        <v>2810</v>
      </c>
      <c r="AE75" s="540">
        <f t="shared" si="99"/>
        <v>2810</v>
      </c>
      <c r="AF75" s="540">
        <f t="shared" si="99"/>
        <v>2810</v>
      </c>
      <c r="AG75" s="540">
        <f t="shared" si="99"/>
        <v>2810</v>
      </c>
      <c r="AH75" s="540">
        <f t="shared" si="99"/>
        <v>2810</v>
      </c>
      <c r="AI75" s="540">
        <f t="shared" si="99"/>
        <v>2810</v>
      </c>
      <c r="AJ75" s="818"/>
      <c r="AK75" s="497"/>
      <c r="AL75" s="497"/>
      <c r="BD75"/>
      <c r="BE75"/>
      <c r="BF75"/>
    </row>
    <row r="76" spans="1:58" s="568" customFormat="1" ht="15" x14ac:dyDescent="0.25">
      <c r="A76" s="564">
        <v>38</v>
      </c>
      <c r="B76" s="565" t="s">
        <v>1106</v>
      </c>
      <c r="C76" s="834"/>
      <c r="D76" s="835">
        <f t="shared" si="84"/>
        <v>0</v>
      </c>
      <c r="E76" s="836">
        <f>'Estados Financieros'!E435</f>
        <v>10</v>
      </c>
      <c r="F76" s="837">
        <f t="shared" si="85"/>
        <v>2.7700831024930748E-3</v>
      </c>
      <c r="G76" s="838">
        <f t="shared" si="86"/>
        <v>0</v>
      </c>
      <c r="H76" s="836">
        <f>'Estados Financieros'!F435</f>
        <v>10</v>
      </c>
      <c r="I76" s="837">
        <f t="shared" si="87"/>
        <v>2.7700831024930748E-3</v>
      </c>
      <c r="J76" s="838">
        <f t="shared" si="88"/>
        <v>0</v>
      </c>
      <c r="K76" s="566">
        <f>'Estados Financieros'!I435</f>
        <v>10</v>
      </c>
      <c r="L76" s="837">
        <f t="shared" si="89"/>
        <v>2.7700831024930748E-3</v>
      </c>
      <c r="M76" s="838">
        <f t="shared" si="90"/>
        <v>1</v>
      </c>
      <c r="N76" s="566">
        <f>'Estados Financieros'!G435</f>
        <v>10</v>
      </c>
      <c r="O76" s="837">
        <f t="shared" si="91"/>
        <v>2.7700831024930748E-3</v>
      </c>
      <c r="P76" s="838">
        <f t="shared" si="92"/>
        <v>0</v>
      </c>
      <c r="Q76" s="566">
        <f>'Estados Financieros'!H435</f>
        <v>10</v>
      </c>
      <c r="R76" s="837">
        <f t="shared" si="93"/>
        <v>2.7700831024930748E-3</v>
      </c>
      <c r="S76" s="838">
        <f t="shared" si="94"/>
        <v>1</v>
      </c>
      <c r="T76" s="567">
        <f>T253+T265+T342+T347+T382+T390</f>
        <v>7.6000000000000014</v>
      </c>
      <c r="U76" s="567">
        <f t="shared" ref="U76:AI76" si="100">U253+U265+U278+U342+U347+U382+U390</f>
        <v>7.2000000000000011</v>
      </c>
      <c r="V76" s="567">
        <f t="shared" si="100"/>
        <v>3.2000000000000006</v>
      </c>
      <c r="W76" s="567">
        <f t="shared" si="100"/>
        <v>3.2000000000000006</v>
      </c>
      <c r="X76" s="567">
        <f t="shared" si="100"/>
        <v>3.2000000000000006</v>
      </c>
      <c r="Y76" s="567">
        <f t="shared" si="100"/>
        <v>3.2000000000000006</v>
      </c>
      <c r="Z76" s="567">
        <f t="shared" si="100"/>
        <v>3.2000000000000006</v>
      </c>
      <c r="AA76" s="567">
        <f t="shared" si="100"/>
        <v>3.2000000000000006</v>
      </c>
      <c r="AB76" s="567">
        <f t="shared" si="100"/>
        <v>3.2000000000000006</v>
      </c>
      <c r="AC76" s="567">
        <f t="shared" si="100"/>
        <v>3.2000000000000006</v>
      </c>
      <c r="AD76" s="567">
        <f t="shared" si="100"/>
        <v>3.2000000000000006</v>
      </c>
      <c r="AE76" s="567">
        <f t="shared" si="100"/>
        <v>3.2000000000000006</v>
      </c>
      <c r="AF76" s="567">
        <f t="shared" si="100"/>
        <v>3.2000000000000006</v>
      </c>
      <c r="AG76" s="567">
        <f t="shared" si="100"/>
        <v>3.2000000000000006</v>
      </c>
      <c r="AH76" s="567">
        <f t="shared" si="100"/>
        <v>3.2000000000000006</v>
      </c>
      <c r="AI76" s="567">
        <f t="shared" si="100"/>
        <v>3.2000000000000006</v>
      </c>
      <c r="AJ76" s="839"/>
      <c r="AK76" s="840"/>
      <c r="AL76" s="840"/>
      <c r="BD76"/>
      <c r="BE76"/>
      <c r="BF76"/>
    </row>
    <row r="77" spans="1:58" s="496" customFormat="1" ht="15" x14ac:dyDescent="0.25">
      <c r="A77" s="526">
        <v>39</v>
      </c>
      <c r="B77" s="524" t="s">
        <v>1107</v>
      </c>
      <c r="C77" s="793"/>
      <c r="D77" s="794">
        <f t="shared" si="84"/>
        <v>0</v>
      </c>
      <c r="E77" s="613">
        <f>'Estados Financieros'!E448</f>
        <v>0</v>
      </c>
      <c r="F77" s="795">
        <f t="shared" si="85"/>
        <v>0</v>
      </c>
      <c r="G77" s="796">
        <f t="shared" si="86"/>
        <v>0</v>
      </c>
      <c r="H77" s="613">
        <f>'Estados Financieros'!F448</f>
        <v>0</v>
      </c>
      <c r="I77" s="795">
        <f t="shared" si="87"/>
        <v>0</v>
      </c>
      <c r="J77" s="796">
        <f t="shared" si="88"/>
        <v>0</v>
      </c>
      <c r="K77" s="525">
        <f>'Estados Financieros'!I448</f>
        <v>0</v>
      </c>
      <c r="L77" s="795">
        <f t="shared" si="89"/>
        <v>0</v>
      </c>
      <c r="M77" s="796">
        <f t="shared" si="90"/>
        <v>0</v>
      </c>
      <c r="N77" s="525">
        <f>'Estados Financieros'!G448</f>
        <v>0</v>
      </c>
      <c r="O77" s="795">
        <f t="shared" si="91"/>
        <v>0</v>
      </c>
      <c r="P77" s="796">
        <f t="shared" si="92"/>
        <v>0</v>
      </c>
      <c r="Q77" s="525">
        <f>'Estados Financieros'!H448</f>
        <v>0</v>
      </c>
      <c r="R77" s="795">
        <f t="shared" si="93"/>
        <v>0</v>
      </c>
      <c r="S77" s="796">
        <f t="shared" si="94"/>
        <v>0</v>
      </c>
      <c r="T77" s="542">
        <v>0</v>
      </c>
      <c r="U77" s="542">
        <f t="shared" ref="U77:AI77" si="101">T77</f>
        <v>0</v>
      </c>
      <c r="V77" s="542">
        <f t="shared" si="101"/>
        <v>0</v>
      </c>
      <c r="W77" s="542">
        <f t="shared" si="101"/>
        <v>0</v>
      </c>
      <c r="X77" s="542">
        <f t="shared" si="101"/>
        <v>0</v>
      </c>
      <c r="Y77" s="542">
        <f t="shared" si="101"/>
        <v>0</v>
      </c>
      <c r="Z77" s="542">
        <f t="shared" si="101"/>
        <v>0</v>
      </c>
      <c r="AA77" s="542">
        <f t="shared" si="101"/>
        <v>0</v>
      </c>
      <c r="AB77" s="542">
        <f t="shared" si="101"/>
        <v>0</v>
      </c>
      <c r="AC77" s="542">
        <f t="shared" si="101"/>
        <v>0</v>
      </c>
      <c r="AD77" s="542">
        <f t="shared" si="101"/>
        <v>0</v>
      </c>
      <c r="AE77" s="542">
        <f t="shared" si="101"/>
        <v>0</v>
      </c>
      <c r="AF77" s="542">
        <f t="shared" si="101"/>
        <v>0</v>
      </c>
      <c r="AG77" s="542">
        <f t="shared" si="101"/>
        <v>0</v>
      </c>
      <c r="AH77" s="542">
        <f t="shared" si="101"/>
        <v>0</v>
      </c>
      <c r="AI77" s="542">
        <f t="shared" si="101"/>
        <v>0</v>
      </c>
      <c r="AJ77" s="818"/>
      <c r="AK77" s="497"/>
      <c r="AL77" s="497"/>
      <c r="BD77"/>
      <c r="BE77"/>
      <c r="BF77"/>
    </row>
    <row r="78" spans="1:58" s="496" customFormat="1" ht="15" x14ac:dyDescent="0.25">
      <c r="A78" s="526">
        <v>40</v>
      </c>
      <c r="B78" s="524" t="s">
        <v>1108</v>
      </c>
      <c r="C78" s="793"/>
      <c r="D78" s="794">
        <f t="shared" si="84"/>
        <v>0</v>
      </c>
      <c r="E78" s="613">
        <f>'Estados Financieros'!E422-'Estados Financieros'!E436</f>
        <v>0</v>
      </c>
      <c r="F78" s="795">
        <f t="shared" si="85"/>
        <v>0</v>
      </c>
      <c r="G78" s="796">
        <f t="shared" si="86"/>
        <v>0</v>
      </c>
      <c r="H78" s="613">
        <f>'Estados Financieros'!F422-'Estados Financieros'!F436</f>
        <v>0</v>
      </c>
      <c r="I78" s="795">
        <f t="shared" si="87"/>
        <v>0</v>
      </c>
      <c r="J78" s="796">
        <f t="shared" si="88"/>
        <v>0</v>
      </c>
      <c r="K78" s="525">
        <f>'Estados Financieros'!I422-'Estados Financieros'!I436</f>
        <v>0</v>
      </c>
      <c r="L78" s="795">
        <f t="shared" si="89"/>
        <v>0</v>
      </c>
      <c r="M78" s="796">
        <f t="shared" si="90"/>
        <v>0</v>
      </c>
      <c r="N78" s="525">
        <f>'Estados Financieros'!G422-'Estados Financieros'!G436</f>
        <v>0</v>
      </c>
      <c r="O78" s="795">
        <f t="shared" si="91"/>
        <v>0</v>
      </c>
      <c r="P78" s="796">
        <f t="shared" si="92"/>
        <v>0</v>
      </c>
      <c r="Q78" s="525">
        <f>'Estados Financieros'!H422-'Estados Financieros'!H436</f>
        <v>0</v>
      </c>
      <c r="R78" s="795">
        <f t="shared" si="93"/>
        <v>0</v>
      </c>
      <c r="S78" s="796">
        <f t="shared" si="94"/>
        <v>0</v>
      </c>
      <c r="T78" s="543">
        <f t="shared" ref="T78:AI78" si="102">T425*T431</f>
        <v>0</v>
      </c>
      <c r="U78" s="543">
        <f t="shared" si="102"/>
        <v>0</v>
      </c>
      <c r="V78" s="543">
        <f t="shared" si="102"/>
        <v>0</v>
      </c>
      <c r="W78" s="543">
        <f t="shared" si="102"/>
        <v>0</v>
      </c>
      <c r="X78" s="543">
        <f t="shared" si="102"/>
        <v>0</v>
      </c>
      <c r="Y78" s="543">
        <f t="shared" si="102"/>
        <v>0</v>
      </c>
      <c r="Z78" s="543">
        <f t="shared" si="102"/>
        <v>0</v>
      </c>
      <c r="AA78" s="543">
        <f t="shared" si="102"/>
        <v>0</v>
      </c>
      <c r="AB78" s="543">
        <f t="shared" si="102"/>
        <v>0</v>
      </c>
      <c r="AC78" s="543">
        <f t="shared" si="102"/>
        <v>0</v>
      </c>
      <c r="AD78" s="543">
        <f t="shared" si="102"/>
        <v>0</v>
      </c>
      <c r="AE78" s="543">
        <f t="shared" si="102"/>
        <v>0</v>
      </c>
      <c r="AF78" s="543">
        <f t="shared" si="102"/>
        <v>0</v>
      </c>
      <c r="AG78" s="543">
        <f t="shared" si="102"/>
        <v>0</v>
      </c>
      <c r="AH78" s="543">
        <f t="shared" si="102"/>
        <v>0</v>
      </c>
      <c r="AI78" s="543">
        <f t="shared" si="102"/>
        <v>0</v>
      </c>
      <c r="AJ78" s="818"/>
      <c r="AK78" s="497"/>
      <c r="AL78" s="497"/>
      <c r="BD78"/>
      <c r="BE78"/>
      <c r="BF78"/>
    </row>
    <row r="79" spans="1:58" s="496" customFormat="1" ht="15" x14ac:dyDescent="0.25">
      <c r="A79" s="523" t="s">
        <v>1109</v>
      </c>
      <c r="B79" s="569" t="s">
        <v>1110</v>
      </c>
      <c r="C79" s="793"/>
      <c r="D79" s="794">
        <f t="shared" si="84"/>
        <v>0</v>
      </c>
      <c r="E79" s="613"/>
      <c r="F79" s="795">
        <f t="shared" si="85"/>
        <v>0</v>
      </c>
      <c r="G79" s="796">
        <f t="shared" si="86"/>
        <v>0</v>
      </c>
      <c r="H79" s="613"/>
      <c r="I79" s="795">
        <f t="shared" si="87"/>
        <v>0</v>
      </c>
      <c r="J79" s="796">
        <f t="shared" si="88"/>
        <v>0</v>
      </c>
      <c r="K79" s="525"/>
      <c r="L79" s="795">
        <f t="shared" si="89"/>
        <v>0</v>
      </c>
      <c r="M79" s="796">
        <f t="shared" si="90"/>
        <v>0</v>
      </c>
      <c r="N79" s="525"/>
      <c r="O79" s="795">
        <f t="shared" si="91"/>
        <v>0</v>
      </c>
      <c r="P79" s="796">
        <f t="shared" si="92"/>
        <v>0</v>
      </c>
      <c r="Q79" s="525"/>
      <c r="R79" s="795">
        <f t="shared" si="93"/>
        <v>0</v>
      </c>
      <c r="S79" s="796">
        <f t="shared" si="94"/>
        <v>0</v>
      </c>
      <c r="T79" s="528">
        <f>(C79*$C$241)+(E79*$E$241)+(H79*$H$241)+(N79*$N$241)+(Q79*$Q$241)</f>
        <v>0</v>
      </c>
      <c r="U79" s="528">
        <f t="shared" ref="U79:AI79" si="103">T79</f>
        <v>0</v>
      </c>
      <c r="V79" s="528">
        <f t="shared" si="103"/>
        <v>0</v>
      </c>
      <c r="W79" s="528">
        <f t="shared" si="103"/>
        <v>0</v>
      </c>
      <c r="X79" s="528">
        <f t="shared" si="103"/>
        <v>0</v>
      </c>
      <c r="Y79" s="528">
        <f t="shared" si="103"/>
        <v>0</v>
      </c>
      <c r="Z79" s="528">
        <f t="shared" si="103"/>
        <v>0</v>
      </c>
      <c r="AA79" s="528">
        <f t="shared" si="103"/>
        <v>0</v>
      </c>
      <c r="AB79" s="528">
        <f t="shared" si="103"/>
        <v>0</v>
      </c>
      <c r="AC79" s="528">
        <f t="shared" si="103"/>
        <v>0</v>
      </c>
      <c r="AD79" s="528">
        <f t="shared" si="103"/>
        <v>0</v>
      </c>
      <c r="AE79" s="528">
        <f t="shared" si="103"/>
        <v>0</v>
      </c>
      <c r="AF79" s="528">
        <f t="shared" si="103"/>
        <v>0</v>
      </c>
      <c r="AG79" s="528">
        <f t="shared" si="103"/>
        <v>0</v>
      </c>
      <c r="AH79" s="528">
        <f t="shared" si="103"/>
        <v>0</v>
      </c>
      <c r="AI79" s="528">
        <f t="shared" si="103"/>
        <v>0</v>
      </c>
      <c r="AJ79" s="818"/>
      <c r="AK79" s="497"/>
      <c r="AL79" s="497"/>
      <c r="BD79"/>
      <c r="BE79"/>
      <c r="BF79"/>
    </row>
    <row r="80" spans="1:58" s="496" customFormat="1" ht="15" x14ac:dyDescent="0.25">
      <c r="A80" s="523" t="s">
        <v>1111</v>
      </c>
      <c r="B80" s="569" t="s">
        <v>1112</v>
      </c>
      <c r="C80" s="793"/>
      <c r="D80" s="794">
        <f t="shared" si="84"/>
        <v>0</v>
      </c>
      <c r="E80" s="613"/>
      <c r="F80" s="841">
        <f t="shared" si="85"/>
        <v>0</v>
      </c>
      <c r="G80" s="842">
        <f t="shared" si="86"/>
        <v>0</v>
      </c>
      <c r="H80" s="613"/>
      <c r="I80" s="841">
        <f t="shared" si="87"/>
        <v>0</v>
      </c>
      <c r="J80" s="842">
        <f t="shared" si="88"/>
        <v>0</v>
      </c>
      <c r="K80" s="525"/>
      <c r="L80" s="841">
        <f t="shared" si="89"/>
        <v>0</v>
      </c>
      <c r="M80" s="842">
        <f t="shared" si="90"/>
        <v>0</v>
      </c>
      <c r="N80" s="525"/>
      <c r="O80" s="841">
        <f t="shared" si="91"/>
        <v>0</v>
      </c>
      <c r="P80" s="842">
        <f t="shared" si="92"/>
        <v>0</v>
      </c>
      <c r="Q80" s="525"/>
      <c r="R80" s="841">
        <f t="shared" si="93"/>
        <v>0</v>
      </c>
      <c r="S80" s="796">
        <f t="shared" si="94"/>
        <v>0</v>
      </c>
      <c r="T80" s="570">
        <f>(C80*$C$241)+(E80*$E$241)+(H80*$H$241)+(N80*$N$241)+(Q80*$Q$241)</f>
        <v>0</v>
      </c>
      <c r="U80" s="570">
        <f t="shared" ref="U80:AI80" si="104">T80</f>
        <v>0</v>
      </c>
      <c r="V80" s="570">
        <f t="shared" si="104"/>
        <v>0</v>
      </c>
      <c r="W80" s="570">
        <f t="shared" si="104"/>
        <v>0</v>
      </c>
      <c r="X80" s="570">
        <f t="shared" si="104"/>
        <v>0</v>
      </c>
      <c r="Y80" s="570">
        <f t="shared" si="104"/>
        <v>0</v>
      </c>
      <c r="Z80" s="570">
        <f t="shared" si="104"/>
        <v>0</v>
      </c>
      <c r="AA80" s="570">
        <f t="shared" si="104"/>
        <v>0</v>
      </c>
      <c r="AB80" s="570">
        <f t="shared" si="104"/>
        <v>0</v>
      </c>
      <c r="AC80" s="570">
        <f t="shared" si="104"/>
        <v>0</v>
      </c>
      <c r="AD80" s="570">
        <f t="shared" si="104"/>
        <v>0</v>
      </c>
      <c r="AE80" s="570">
        <f t="shared" si="104"/>
        <v>0</v>
      </c>
      <c r="AF80" s="570">
        <f t="shared" si="104"/>
        <v>0</v>
      </c>
      <c r="AG80" s="570">
        <f t="shared" si="104"/>
        <v>0</v>
      </c>
      <c r="AH80" s="570">
        <f t="shared" si="104"/>
        <v>0</v>
      </c>
      <c r="AI80" s="570">
        <f t="shared" si="104"/>
        <v>0</v>
      </c>
      <c r="AJ80" s="818"/>
      <c r="AK80" s="497"/>
      <c r="AL80" s="497"/>
      <c r="BD80"/>
      <c r="BE80"/>
      <c r="BF80"/>
    </row>
    <row r="81" spans="1:58" s="496" customFormat="1" ht="15" x14ac:dyDescent="0.25">
      <c r="A81" s="523" t="s">
        <v>1113</v>
      </c>
      <c r="B81" s="524" t="s">
        <v>1114</v>
      </c>
      <c r="C81" s="793"/>
      <c r="D81" s="843">
        <f t="shared" si="84"/>
        <v>0</v>
      </c>
      <c r="E81" s="613">
        <f>SUM('Estados Financieros'!E421,IF(AND($B$617=$B$623,$B$617&lt;&gt;0),0,'Estados Financieros'!E424))</f>
        <v>20</v>
      </c>
      <c r="F81" s="841">
        <f t="shared" si="85"/>
        <v>5.5401662049861496E-3</v>
      </c>
      <c r="G81" s="842">
        <f t="shared" si="86"/>
        <v>0</v>
      </c>
      <c r="H81" s="613">
        <f>SUM('Estados Financieros'!F421,IF(AND($B$617=$B$623,$B$623&lt;&gt;0),0,'Estados Financieros'!F424))</f>
        <v>20</v>
      </c>
      <c r="I81" s="841">
        <f t="shared" si="87"/>
        <v>5.5401662049861496E-3</v>
      </c>
      <c r="J81" s="842">
        <f t="shared" si="88"/>
        <v>0</v>
      </c>
      <c r="K81" s="613">
        <f>SUM('Estados Financieros'!I421,IF(AND($B$617=$B$623,$B$617&lt;&gt;0),0,'Estados Financieros'!I424))</f>
        <v>20</v>
      </c>
      <c r="L81" s="841">
        <f t="shared" si="89"/>
        <v>5.5401662049861496E-3</v>
      </c>
      <c r="M81" s="842">
        <f t="shared" si="90"/>
        <v>1</v>
      </c>
      <c r="N81" s="613">
        <f>SUM('Estados Financieros'!G421,IF(AND($B$617=$B$623,$B$617&lt;&gt;0),0,'Estados Financieros'!G424))</f>
        <v>20</v>
      </c>
      <c r="O81" s="841">
        <f t="shared" si="91"/>
        <v>5.5401662049861496E-3</v>
      </c>
      <c r="P81" s="842">
        <f t="shared" si="92"/>
        <v>0</v>
      </c>
      <c r="Q81" s="613">
        <f>SUM('Estados Financieros'!H421,IF(AND($B$617=$B$623,$B$617&lt;&gt;0),0,'Estados Financieros'!H424))</f>
        <v>20</v>
      </c>
      <c r="R81" s="841">
        <f t="shared" si="93"/>
        <v>5.5401662049861496E-3</v>
      </c>
      <c r="S81" s="842">
        <f t="shared" si="94"/>
        <v>1</v>
      </c>
      <c r="T81" s="535">
        <f t="shared" ref="T81:AI81" si="105">T71*T391</f>
        <v>20</v>
      </c>
      <c r="U81" s="535">
        <f t="shared" si="105"/>
        <v>20</v>
      </c>
      <c r="V81" s="535">
        <f t="shared" si="105"/>
        <v>20</v>
      </c>
      <c r="W81" s="535">
        <f t="shared" si="105"/>
        <v>20</v>
      </c>
      <c r="X81" s="535">
        <f t="shared" si="105"/>
        <v>20</v>
      </c>
      <c r="Y81" s="535">
        <f t="shared" si="105"/>
        <v>20</v>
      </c>
      <c r="Z81" s="535">
        <f t="shared" si="105"/>
        <v>20</v>
      </c>
      <c r="AA81" s="535">
        <f t="shared" si="105"/>
        <v>20</v>
      </c>
      <c r="AB81" s="535">
        <f t="shared" si="105"/>
        <v>20</v>
      </c>
      <c r="AC81" s="535">
        <f t="shared" si="105"/>
        <v>20</v>
      </c>
      <c r="AD81" s="535">
        <f t="shared" si="105"/>
        <v>20</v>
      </c>
      <c r="AE81" s="535">
        <f t="shared" si="105"/>
        <v>20</v>
      </c>
      <c r="AF81" s="535">
        <f t="shared" si="105"/>
        <v>20</v>
      </c>
      <c r="AG81" s="535">
        <f t="shared" si="105"/>
        <v>20</v>
      </c>
      <c r="AH81" s="535">
        <f t="shared" si="105"/>
        <v>20</v>
      </c>
      <c r="AI81" s="535">
        <f t="shared" si="105"/>
        <v>20</v>
      </c>
      <c r="AJ81" s="778"/>
      <c r="BD81"/>
      <c r="BE81"/>
      <c r="BF81"/>
    </row>
    <row r="82" spans="1:58" s="496" customFormat="1" ht="15" x14ac:dyDescent="0.25">
      <c r="A82" s="523" t="s">
        <v>1115</v>
      </c>
      <c r="B82" s="524" t="s">
        <v>1116</v>
      </c>
      <c r="C82" s="793"/>
      <c r="D82" s="794">
        <f t="shared" si="84"/>
        <v>0</v>
      </c>
      <c r="E82" s="613">
        <f>'Estados Financieros'!E427-'Estados Financieros'!E440</f>
        <v>0</v>
      </c>
      <c r="F82" s="841">
        <f t="shared" si="85"/>
        <v>0</v>
      </c>
      <c r="G82" s="842">
        <f t="shared" si="86"/>
        <v>0</v>
      </c>
      <c r="H82" s="613">
        <f>'Estados Financieros'!F427-'Estados Financieros'!F440</f>
        <v>0</v>
      </c>
      <c r="I82" s="841">
        <f t="shared" si="87"/>
        <v>0</v>
      </c>
      <c r="J82" s="842">
        <f t="shared" si="88"/>
        <v>0</v>
      </c>
      <c r="K82" s="525">
        <f>'Estados Financieros'!I427-'Estados Financieros'!I440</f>
        <v>0</v>
      </c>
      <c r="L82" s="841">
        <f t="shared" si="89"/>
        <v>0</v>
      </c>
      <c r="M82" s="842">
        <f t="shared" si="90"/>
        <v>0</v>
      </c>
      <c r="N82" s="525">
        <f>'Estados Financieros'!G427-'Estados Financieros'!G440</f>
        <v>0</v>
      </c>
      <c r="O82" s="841">
        <f t="shared" si="91"/>
        <v>0</v>
      </c>
      <c r="P82" s="842">
        <f t="shared" si="92"/>
        <v>0</v>
      </c>
      <c r="Q82" s="525">
        <f>'Estados Financieros'!H427-'Estados Financieros'!H440</f>
        <v>0</v>
      </c>
      <c r="R82" s="841">
        <f t="shared" si="93"/>
        <v>0</v>
      </c>
      <c r="S82" s="796">
        <f t="shared" si="94"/>
        <v>0</v>
      </c>
      <c r="T82" s="525">
        <f t="shared" ref="T82:AI82" si="106">T71*T392</f>
        <v>0</v>
      </c>
      <c r="U82" s="525">
        <f t="shared" si="106"/>
        <v>0</v>
      </c>
      <c r="V82" s="525">
        <f t="shared" si="106"/>
        <v>0</v>
      </c>
      <c r="W82" s="525">
        <f t="shared" si="106"/>
        <v>0</v>
      </c>
      <c r="X82" s="525">
        <f t="shared" si="106"/>
        <v>0</v>
      </c>
      <c r="Y82" s="525">
        <f t="shared" si="106"/>
        <v>0</v>
      </c>
      <c r="Z82" s="525">
        <f t="shared" si="106"/>
        <v>0</v>
      </c>
      <c r="AA82" s="525">
        <f t="shared" si="106"/>
        <v>0</v>
      </c>
      <c r="AB82" s="525">
        <f t="shared" si="106"/>
        <v>0</v>
      </c>
      <c r="AC82" s="525">
        <f t="shared" si="106"/>
        <v>0</v>
      </c>
      <c r="AD82" s="525">
        <f t="shared" si="106"/>
        <v>0</v>
      </c>
      <c r="AE82" s="525">
        <f t="shared" si="106"/>
        <v>0</v>
      </c>
      <c r="AF82" s="525">
        <f t="shared" si="106"/>
        <v>0</v>
      </c>
      <c r="AG82" s="525">
        <f t="shared" si="106"/>
        <v>0</v>
      </c>
      <c r="AH82" s="525">
        <f t="shared" si="106"/>
        <v>0</v>
      </c>
      <c r="AI82" s="525">
        <f t="shared" si="106"/>
        <v>0</v>
      </c>
      <c r="AJ82" s="818"/>
      <c r="AK82" s="497"/>
      <c r="AL82" s="497"/>
      <c r="BD82"/>
      <c r="BE82"/>
      <c r="BF82"/>
    </row>
    <row r="83" spans="1:58" s="496" customFormat="1" ht="15" x14ac:dyDescent="0.25">
      <c r="A83" s="523" t="s">
        <v>1117</v>
      </c>
      <c r="B83" s="524" t="s">
        <v>1118</v>
      </c>
      <c r="C83" s="793"/>
      <c r="D83" s="794">
        <f t="shared" si="84"/>
        <v>0</v>
      </c>
      <c r="E83" s="613">
        <f>'Estados Financieros'!E429-'Estados Financieros'!E443</f>
        <v>0</v>
      </c>
      <c r="F83" s="841">
        <f t="shared" si="85"/>
        <v>0</v>
      </c>
      <c r="G83" s="842">
        <f t="shared" si="86"/>
        <v>0</v>
      </c>
      <c r="H83" s="613">
        <f>'Estados Financieros'!F429-'Estados Financieros'!F443</f>
        <v>0</v>
      </c>
      <c r="I83" s="841">
        <f t="shared" si="87"/>
        <v>0</v>
      </c>
      <c r="J83" s="842">
        <f t="shared" si="88"/>
        <v>0</v>
      </c>
      <c r="K83" s="525">
        <f>'Estados Financieros'!I429-'Estados Financieros'!I443</f>
        <v>0</v>
      </c>
      <c r="L83" s="841">
        <f t="shared" si="89"/>
        <v>0</v>
      </c>
      <c r="M83" s="842">
        <f t="shared" si="90"/>
        <v>0</v>
      </c>
      <c r="N83" s="525">
        <f>'Estados Financieros'!G429-'Estados Financieros'!G443</f>
        <v>0</v>
      </c>
      <c r="O83" s="841">
        <f t="shared" si="91"/>
        <v>0</v>
      </c>
      <c r="P83" s="842">
        <f t="shared" si="92"/>
        <v>0</v>
      </c>
      <c r="Q83" s="525">
        <f>'Estados Financieros'!H429-'Estados Financieros'!H443</f>
        <v>0</v>
      </c>
      <c r="R83" s="841">
        <f t="shared" si="93"/>
        <v>0</v>
      </c>
      <c r="S83" s="796">
        <f t="shared" si="94"/>
        <v>0</v>
      </c>
      <c r="T83" s="525">
        <f t="shared" ref="T83:AI83" si="107">T71*T393</f>
        <v>0</v>
      </c>
      <c r="U83" s="525">
        <f t="shared" si="107"/>
        <v>0</v>
      </c>
      <c r="V83" s="525">
        <f t="shared" si="107"/>
        <v>0</v>
      </c>
      <c r="W83" s="525">
        <f t="shared" si="107"/>
        <v>0</v>
      </c>
      <c r="X83" s="525">
        <f t="shared" si="107"/>
        <v>0</v>
      </c>
      <c r="Y83" s="525">
        <f t="shared" si="107"/>
        <v>0</v>
      </c>
      <c r="Z83" s="525">
        <f t="shared" si="107"/>
        <v>0</v>
      </c>
      <c r="AA83" s="525">
        <f t="shared" si="107"/>
        <v>0</v>
      </c>
      <c r="AB83" s="525">
        <f t="shared" si="107"/>
        <v>0</v>
      </c>
      <c r="AC83" s="525">
        <f t="shared" si="107"/>
        <v>0</v>
      </c>
      <c r="AD83" s="525">
        <f t="shared" si="107"/>
        <v>0</v>
      </c>
      <c r="AE83" s="525">
        <f t="shared" si="107"/>
        <v>0</v>
      </c>
      <c r="AF83" s="525">
        <f t="shared" si="107"/>
        <v>0</v>
      </c>
      <c r="AG83" s="525">
        <f t="shared" si="107"/>
        <v>0</v>
      </c>
      <c r="AH83" s="525">
        <f t="shared" si="107"/>
        <v>0</v>
      </c>
      <c r="AI83" s="525">
        <f t="shared" si="107"/>
        <v>0</v>
      </c>
      <c r="AJ83" s="818"/>
      <c r="AK83" s="497"/>
      <c r="AL83" s="497"/>
      <c r="BD83"/>
      <c r="BE83"/>
      <c r="BF83"/>
    </row>
    <row r="84" spans="1:58" s="496" customFormat="1" ht="15" x14ac:dyDescent="0.25">
      <c r="A84" s="523" t="s">
        <v>1119</v>
      </c>
      <c r="B84" s="524" t="s">
        <v>1120</v>
      </c>
      <c r="C84" s="793"/>
      <c r="D84" s="794">
        <f t="shared" si="84"/>
        <v>0</v>
      </c>
      <c r="E84" s="613">
        <f>'Estados Financieros'!E425-'Estados Financieros'!E441</f>
        <v>0</v>
      </c>
      <c r="F84" s="841">
        <f t="shared" si="85"/>
        <v>0</v>
      </c>
      <c r="G84" s="842">
        <f t="shared" si="86"/>
        <v>0</v>
      </c>
      <c r="H84" s="613">
        <f>'Estados Financieros'!F425-'Estados Financieros'!F441</f>
        <v>0</v>
      </c>
      <c r="I84" s="841">
        <f t="shared" si="87"/>
        <v>0</v>
      </c>
      <c r="J84" s="842">
        <f t="shared" si="88"/>
        <v>0</v>
      </c>
      <c r="K84" s="525">
        <f>'Estados Financieros'!I425-'Estados Financieros'!I441</f>
        <v>0</v>
      </c>
      <c r="L84" s="841">
        <f t="shared" si="89"/>
        <v>0</v>
      </c>
      <c r="M84" s="842">
        <f t="shared" si="90"/>
        <v>0</v>
      </c>
      <c r="N84" s="525">
        <f>'Estados Financieros'!G425-'Estados Financieros'!G441</f>
        <v>0</v>
      </c>
      <c r="O84" s="841">
        <f t="shared" si="91"/>
        <v>0</v>
      </c>
      <c r="P84" s="842">
        <f t="shared" si="92"/>
        <v>0</v>
      </c>
      <c r="Q84" s="525">
        <f>'Estados Financieros'!H425-'Estados Financieros'!H441</f>
        <v>0</v>
      </c>
      <c r="R84" s="841">
        <f t="shared" si="93"/>
        <v>0</v>
      </c>
      <c r="S84" s="796">
        <f t="shared" si="94"/>
        <v>0</v>
      </c>
      <c r="T84" s="525">
        <f t="shared" ref="T84:AI84" si="108">T71*T394</f>
        <v>0</v>
      </c>
      <c r="U84" s="525">
        <f t="shared" si="108"/>
        <v>0</v>
      </c>
      <c r="V84" s="525">
        <f t="shared" si="108"/>
        <v>0</v>
      </c>
      <c r="W84" s="525">
        <f t="shared" si="108"/>
        <v>0</v>
      </c>
      <c r="X84" s="525">
        <f t="shared" si="108"/>
        <v>0</v>
      </c>
      <c r="Y84" s="525">
        <f t="shared" si="108"/>
        <v>0</v>
      </c>
      <c r="Z84" s="525">
        <f t="shared" si="108"/>
        <v>0</v>
      </c>
      <c r="AA84" s="525">
        <f t="shared" si="108"/>
        <v>0</v>
      </c>
      <c r="AB84" s="525">
        <f t="shared" si="108"/>
        <v>0</v>
      </c>
      <c r="AC84" s="525">
        <f t="shared" si="108"/>
        <v>0</v>
      </c>
      <c r="AD84" s="525">
        <f t="shared" si="108"/>
        <v>0</v>
      </c>
      <c r="AE84" s="525">
        <f t="shared" si="108"/>
        <v>0</v>
      </c>
      <c r="AF84" s="525">
        <f t="shared" si="108"/>
        <v>0</v>
      </c>
      <c r="AG84" s="525">
        <f t="shared" si="108"/>
        <v>0</v>
      </c>
      <c r="AH84" s="525">
        <f t="shared" si="108"/>
        <v>0</v>
      </c>
      <c r="AI84" s="525">
        <f t="shared" si="108"/>
        <v>0</v>
      </c>
      <c r="AJ84" s="818"/>
      <c r="AK84" s="497"/>
      <c r="AL84" s="497"/>
      <c r="BD84"/>
      <c r="BE84"/>
      <c r="BF84"/>
    </row>
    <row r="85" spans="1:58" s="496" customFormat="1" ht="15" x14ac:dyDescent="0.25">
      <c r="A85" s="523" t="s">
        <v>1121</v>
      </c>
      <c r="B85" s="524" t="s">
        <v>1122</v>
      </c>
      <c r="C85" s="793"/>
      <c r="D85" s="794">
        <f t="shared" si="84"/>
        <v>0</v>
      </c>
      <c r="E85" s="613">
        <f>SUM('Estados Financieros'!E423,IF(AND($B$617=$B$623,$B$617&lt;&gt;0),'Estados Financieros'!E424,0),'Estados Financieros'!E426,'Estados Financieros'!E428,'Estados Financieros'!E430:E432)</f>
        <v>60</v>
      </c>
      <c r="F85" s="841">
        <f t="shared" si="85"/>
        <v>1.662049861495845E-2</v>
      </c>
      <c r="G85" s="842">
        <f t="shared" si="86"/>
        <v>0</v>
      </c>
      <c r="H85" s="613">
        <f>SUM('Estados Financieros'!F423,IF(AND($B$617=$B$623,$B$617&lt;&gt;0),'Estados Financieros'!F424,0),'Estados Financieros'!F426,'Estados Financieros'!F428,'Estados Financieros'!F430:F432)</f>
        <v>60</v>
      </c>
      <c r="I85" s="841">
        <f t="shared" si="87"/>
        <v>1.662049861495845E-2</v>
      </c>
      <c r="J85" s="842">
        <f t="shared" si="88"/>
        <v>0</v>
      </c>
      <c r="K85" s="525">
        <f>SUM('Estados Financieros'!I423,IF(AND($B$617=$B$623,$B$617&lt;&gt;0),'Estados Financieros'!I424,0),'Estados Financieros'!I426,'Estados Financieros'!I428,'Estados Financieros'!I430:I432)</f>
        <v>60</v>
      </c>
      <c r="L85" s="841">
        <f t="shared" si="89"/>
        <v>1.662049861495845E-2</v>
      </c>
      <c r="M85" s="842">
        <f t="shared" si="90"/>
        <v>1</v>
      </c>
      <c r="N85" s="525">
        <f>SUM('Estados Financieros'!G423,IF(AND($B$617=$B$623,$B$623&lt;&gt;0),'Estados Financieros'!G424,0),'Estados Financieros'!G426,'Estados Financieros'!G428,'Estados Financieros'!G430:G432)</f>
        <v>60</v>
      </c>
      <c r="O85" s="841">
        <f t="shared" si="91"/>
        <v>1.662049861495845E-2</v>
      </c>
      <c r="P85" s="842">
        <f t="shared" si="92"/>
        <v>0</v>
      </c>
      <c r="Q85" s="525">
        <f>SUM('Estados Financieros'!H423,IF(AND($B$617=$B$623,$B$617&lt;&gt;0),'Estados Financieros'!H424,0),'Estados Financieros'!H426,'Estados Financieros'!H428,'Estados Financieros'!H430:H432)</f>
        <v>60</v>
      </c>
      <c r="R85" s="841">
        <f t="shared" si="93"/>
        <v>1.662049861495845E-2</v>
      </c>
      <c r="S85" s="796">
        <f t="shared" si="94"/>
        <v>1</v>
      </c>
      <c r="T85" s="525">
        <f t="shared" ref="T85:AI85" si="109">T71*T395</f>
        <v>60</v>
      </c>
      <c r="U85" s="525">
        <f t="shared" si="109"/>
        <v>60</v>
      </c>
      <c r="V85" s="525">
        <f t="shared" si="109"/>
        <v>60</v>
      </c>
      <c r="W85" s="525">
        <f t="shared" si="109"/>
        <v>60</v>
      </c>
      <c r="X85" s="525">
        <f t="shared" si="109"/>
        <v>60</v>
      </c>
      <c r="Y85" s="525">
        <f t="shared" si="109"/>
        <v>60</v>
      </c>
      <c r="Z85" s="525">
        <f t="shared" si="109"/>
        <v>60</v>
      </c>
      <c r="AA85" s="525">
        <f t="shared" si="109"/>
        <v>60</v>
      </c>
      <c r="AB85" s="525">
        <f t="shared" si="109"/>
        <v>60</v>
      </c>
      <c r="AC85" s="525">
        <f t="shared" si="109"/>
        <v>60</v>
      </c>
      <c r="AD85" s="525">
        <f t="shared" si="109"/>
        <v>60</v>
      </c>
      <c r="AE85" s="525">
        <f t="shared" si="109"/>
        <v>60</v>
      </c>
      <c r="AF85" s="525">
        <f t="shared" si="109"/>
        <v>60</v>
      </c>
      <c r="AG85" s="525">
        <f t="shared" si="109"/>
        <v>60</v>
      </c>
      <c r="AH85" s="525">
        <f t="shared" si="109"/>
        <v>60</v>
      </c>
      <c r="AI85" s="525">
        <f t="shared" si="109"/>
        <v>60</v>
      </c>
      <c r="AJ85" s="818"/>
      <c r="AK85" s="497"/>
      <c r="AL85" s="497"/>
      <c r="BD85"/>
      <c r="BE85"/>
      <c r="BF85"/>
    </row>
    <row r="86" spans="1:58" s="568" customFormat="1" ht="15" x14ac:dyDescent="0.25">
      <c r="A86" s="573" t="s">
        <v>1123</v>
      </c>
      <c r="B86" s="574" t="s">
        <v>1124</v>
      </c>
      <c r="C86" s="844"/>
      <c r="D86" s="845">
        <f t="shared" si="84"/>
        <v>0</v>
      </c>
      <c r="E86" s="812">
        <f>SUM('Estados Financieros'!E442,'Estados Financieros'!E444:E446,'Estados Financieros'!E437:E438,'Estados Financieros'!E439)</f>
        <v>70</v>
      </c>
      <c r="F86" s="846">
        <f t="shared" si="85"/>
        <v>1.9390581717451522E-2</v>
      </c>
      <c r="G86" s="847">
        <f t="shared" si="86"/>
        <v>0</v>
      </c>
      <c r="H86" s="812">
        <f>SUM('Estados Financieros'!F442,'Estados Financieros'!F444:F446,'Estados Financieros'!F437:F438,'Estados Financieros'!F439)</f>
        <v>70</v>
      </c>
      <c r="I86" s="846">
        <f t="shared" si="87"/>
        <v>1.9390581717451522E-2</v>
      </c>
      <c r="J86" s="847">
        <f t="shared" si="88"/>
        <v>0</v>
      </c>
      <c r="K86" s="527">
        <f>SUM('Estados Financieros'!I442,'Estados Financieros'!I444:I446,'Estados Financieros'!I437:I438,'Estados Financieros'!I439)</f>
        <v>70</v>
      </c>
      <c r="L86" s="846">
        <f t="shared" si="89"/>
        <v>1.9390581717451522E-2</v>
      </c>
      <c r="M86" s="847">
        <f t="shared" si="90"/>
        <v>1</v>
      </c>
      <c r="N86" s="527">
        <f>SUM('Estados Financieros'!G442,'Estados Financieros'!G444:G446,'Estados Financieros'!G437:G438,'Estados Financieros'!G439)</f>
        <v>70</v>
      </c>
      <c r="O86" s="846">
        <f t="shared" si="91"/>
        <v>1.9390581717451522E-2</v>
      </c>
      <c r="P86" s="847">
        <f t="shared" si="92"/>
        <v>0</v>
      </c>
      <c r="Q86" s="527">
        <f>SUM('Estados Financieros'!H442,'Estados Financieros'!H444:H446,'Estados Financieros'!H437:H438,'Estados Financieros'!H439)</f>
        <v>70</v>
      </c>
      <c r="R86" s="846">
        <f t="shared" si="93"/>
        <v>1.9390581717451522E-2</v>
      </c>
      <c r="S86" s="847">
        <f t="shared" si="94"/>
        <v>1</v>
      </c>
      <c r="T86" s="575">
        <f t="shared" ref="T86:AI86" si="110">T71*T396</f>
        <v>70.000000000000014</v>
      </c>
      <c r="U86" s="575">
        <f t="shared" si="110"/>
        <v>70.000000000000014</v>
      </c>
      <c r="V86" s="575">
        <f t="shared" si="110"/>
        <v>70.000000000000014</v>
      </c>
      <c r="W86" s="575">
        <f t="shared" si="110"/>
        <v>70.000000000000014</v>
      </c>
      <c r="X86" s="575">
        <f t="shared" si="110"/>
        <v>70.000000000000014</v>
      </c>
      <c r="Y86" s="575">
        <f t="shared" si="110"/>
        <v>70.000000000000014</v>
      </c>
      <c r="Z86" s="575">
        <f t="shared" si="110"/>
        <v>70.000000000000014</v>
      </c>
      <c r="AA86" s="575">
        <f t="shared" si="110"/>
        <v>70.000000000000014</v>
      </c>
      <c r="AB86" s="575">
        <f t="shared" si="110"/>
        <v>70.000000000000014</v>
      </c>
      <c r="AC86" s="575">
        <f t="shared" si="110"/>
        <v>70.000000000000014</v>
      </c>
      <c r="AD86" s="575">
        <f t="shared" si="110"/>
        <v>70.000000000000014</v>
      </c>
      <c r="AE86" s="575">
        <f t="shared" si="110"/>
        <v>70.000000000000014</v>
      </c>
      <c r="AF86" s="575">
        <f t="shared" si="110"/>
        <v>70.000000000000014</v>
      </c>
      <c r="AG86" s="575">
        <f t="shared" si="110"/>
        <v>70.000000000000014</v>
      </c>
      <c r="AH86" s="575">
        <f t="shared" si="110"/>
        <v>70.000000000000014</v>
      </c>
      <c r="AI86" s="575">
        <f t="shared" si="110"/>
        <v>70.000000000000014</v>
      </c>
      <c r="AJ86" s="839"/>
      <c r="AK86" s="840"/>
      <c r="AL86" s="840"/>
      <c r="BD86"/>
      <c r="BE86"/>
      <c r="BF86"/>
    </row>
    <row r="87" spans="1:58" s="496" customFormat="1" ht="12.75" x14ac:dyDescent="0.2">
      <c r="A87" s="507"/>
      <c r="B87" s="508" t="s">
        <v>1125</v>
      </c>
      <c r="C87" s="803">
        <f>C75-C76+C77+C78+C79-C80+C81+C82+C83+C84+C85-C86</f>
        <v>0</v>
      </c>
      <c r="D87" s="804">
        <f t="shared" si="84"/>
        <v>0</v>
      </c>
      <c r="E87" s="848">
        <f>E75-E76+E77+E78+E79-E80+E81+E82+E83+E84+E85-E86</f>
        <v>2810</v>
      </c>
      <c r="F87" s="805">
        <f t="shared" si="85"/>
        <v>0.77839335180055402</v>
      </c>
      <c r="G87" s="806">
        <f t="shared" si="86"/>
        <v>0</v>
      </c>
      <c r="H87" s="848">
        <f>H75-H76+H77+H78+H79-H80+H81+H82+H83+H84+H85-H86</f>
        <v>2810</v>
      </c>
      <c r="I87" s="805">
        <f t="shared" si="87"/>
        <v>0.77839335180055402</v>
      </c>
      <c r="J87" s="806">
        <f t="shared" si="88"/>
        <v>0</v>
      </c>
      <c r="K87" s="848">
        <f>K75-K76+K77+K78+K79-K80+K81+K82+K83+K84+K85-K86</f>
        <v>2810</v>
      </c>
      <c r="L87" s="805">
        <f t="shared" si="89"/>
        <v>0.77839335180055402</v>
      </c>
      <c r="M87" s="806">
        <f t="shared" si="90"/>
        <v>1</v>
      </c>
      <c r="N87" s="848">
        <f>N75-N76+N77+N78+N79-N80+N81+N82+N83+N84+N85-N86</f>
        <v>2810</v>
      </c>
      <c r="O87" s="805">
        <f t="shared" si="91"/>
        <v>0.77839335180055402</v>
      </c>
      <c r="P87" s="806">
        <f t="shared" si="92"/>
        <v>0</v>
      </c>
      <c r="Q87" s="848">
        <f>Q75-Q76+Q77+Q78+Q79-Q80+Q81+Q82+Q83+Q84+Q85-Q86</f>
        <v>2810</v>
      </c>
      <c r="R87" s="805">
        <f t="shared" si="93"/>
        <v>0.77839335180055402</v>
      </c>
      <c r="S87" s="806">
        <f t="shared" si="94"/>
        <v>1</v>
      </c>
      <c r="T87" s="533">
        <f t="shared" ref="T87:AI87" si="111">T75-T76+T77+T78+T79-T80+T81+T82+T83+T84+T85-T86</f>
        <v>2812.4</v>
      </c>
      <c r="U87" s="533">
        <f t="shared" si="111"/>
        <v>2812.8</v>
      </c>
      <c r="V87" s="533">
        <f t="shared" si="111"/>
        <v>2816.8</v>
      </c>
      <c r="W87" s="533">
        <f t="shared" si="111"/>
        <v>2816.8</v>
      </c>
      <c r="X87" s="533">
        <f t="shared" si="111"/>
        <v>2816.8</v>
      </c>
      <c r="Y87" s="533">
        <f t="shared" si="111"/>
        <v>2816.8</v>
      </c>
      <c r="Z87" s="533">
        <f t="shared" si="111"/>
        <v>2816.8</v>
      </c>
      <c r="AA87" s="533">
        <f t="shared" si="111"/>
        <v>2816.8</v>
      </c>
      <c r="AB87" s="533">
        <f t="shared" si="111"/>
        <v>2816.8</v>
      </c>
      <c r="AC87" s="533">
        <f t="shared" si="111"/>
        <v>2816.8</v>
      </c>
      <c r="AD87" s="533">
        <f t="shared" si="111"/>
        <v>2816.8</v>
      </c>
      <c r="AE87" s="533">
        <f t="shared" si="111"/>
        <v>2816.8</v>
      </c>
      <c r="AF87" s="533">
        <f t="shared" si="111"/>
        <v>2816.8</v>
      </c>
      <c r="AG87" s="533">
        <f t="shared" si="111"/>
        <v>2816.8</v>
      </c>
      <c r="AH87" s="533">
        <f t="shared" si="111"/>
        <v>2816.8</v>
      </c>
      <c r="AI87" s="533">
        <f t="shared" si="111"/>
        <v>2816.8</v>
      </c>
      <c r="AJ87" s="818"/>
      <c r="AK87" s="497"/>
      <c r="AL87" s="497"/>
    </row>
    <row r="88" spans="1:58" s="496" customFormat="1" ht="12.75" x14ac:dyDescent="0.2">
      <c r="A88" s="562">
        <v>42</v>
      </c>
      <c r="B88" s="563" t="s">
        <v>1126</v>
      </c>
      <c r="C88" s="601"/>
      <c r="D88" s="831">
        <f t="shared" si="84"/>
        <v>0</v>
      </c>
      <c r="E88" s="611">
        <f>'Estados Financieros'!E450</f>
        <v>0</v>
      </c>
      <c r="F88" s="832">
        <f t="shared" si="85"/>
        <v>0</v>
      </c>
      <c r="G88" s="833">
        <f t="shared" si="86"/>
        <v>0</v>
      </c>
      <c r="H88" s="611">
        <f>'Estados Financieros'!F450</f>
        <v>0</v>
      </c>
      <c r="I88" s="832">
        <f t="shared" si="87"/>
        <v>0</v>
      </c>
      <c r="J88" s="833">
        <f t="shared" si="88"/>
        <v>0</v>
      </c>
      <c r="K88" s="543">
        <f>'Estados Financieros'!I450</f>
        <v>0</v>
      </c>
      <c r="L88" s="832">
        <f t="shared" si="89"/>
        <v>0</v>
      </c>
      <c r="M88" s="833">
        <f t="shared" si="90"/>
        <v>0</v>
      </c>
      <c r="N88" s="543">
        <f>'Estados Financieros'!G450</f>
        <v>0</v>
      </c>
      <c r="O88" s="832">
        <f t="shared" si="91"/>
        <v>0</v>
      </c>
      <c r="P88" s="833">
        <f t="shared" si="92"/>
        <v>0</v>
      </c>
      <c r="Q88" s="543">
        <f>'Estados Financieros'!H450</f>
        <v>0</v>
      </c>
      <c r="R88" s="832">
        <f t="shared" si="93"/>
        <v>0</v>
      </c>
      <c r="S88" s="833">
        <f t="shared" si="94"/>
        <v>0</v>
      </c>
      <c r="T88" s="543">
        <f t="shared" ref="T88:AI88" si="112">T87*T397</f>
        <v>0</v>
      </c>
      <c r="U88" s="543">
        <f t="shared" si="112"/>
        <v>0</v>
      </c>
      <c r="V88" s="543">
        <f t="shared" si="112"/>
        <v>0</v>
      </c>
      <c r="W88" s="543">
        <f t="shared" si="112"/>
        <v>0</v>
      </c>
      <c r="X88" s="543">
        <f t="shared" si="112"/>
        <v>0</v>
      </c>
      <c r="Y88" s="543">
        <f t="shared" si="112"/>
        <v>0</v>
      </c>
      <c r="Z88" s="543">
        <f t="shared" si="112"/>
        <v>0</v>
      </c>
      <c r="AA88" s="543">
        <f t="shared" si="112"/>
        <v>0</v>
      </c>
      <c r="AB88" s="543">
        <f t="shared" si="112"/>
        <v>0</v>
      </c>
      <c r="AC88" s="543">
        <f t="shared" si="112"/>
        <v>0</v>
      </c>
      <c r="AD88" s="543">
        <f t="shared" si="112"/>
        <v>0</v>
      </c>
      <c r="AE88" s="543">
        <f t="shared" si="112"/>
        <v>0</v>
      </c>
      <c r="AF88" s="543">
        <f t="shared" si="112"/>
        <v>0</v>
      </c>
      <c r="AG88" s="543">
        <f t="shared" si="112"/>
        <v>0</v>
      </c>
      <c r="AH88" s="543">
        <f t="shared" si="112"/>
        <v>0</v>
      </c>
      <c r="AI88" s="543">
        <f t="shared" si="112"/>
        <v>0</v>
      </c>
      <c r="AJ88" s="818"/>
      <c r="AK88" s="497"/>
      <c r="AL88" s="497"/>
    </row>
    <row r="89" spans="1:58" s="496" customFormat="1" ht="12.75" x14ac:dyDescent="0.2">
      <c r="A89" s="507"/>
      <c r="B89" s="538" t="s">
        <v>850</v>
      </c>
      <c r="C89" s="813">
        <f>C87-C88</f>
        <v>0</v>
      </c>
      <c r="D89" s="814">
        <f t="shared" si="84"/>
        <v>0</v>
      </c>
      <c r="E89" s="539">
        <f>E87-E88</f>
        <v>2810</v>
      </c>
      <c r="F89" s="815">
        <f t="shared" si="85"/>
        <v>0.77839335180055402</v>
      </c>
      <c r="G89" s="816">
        <f t="shared" si="86"/>
        <v>0</v>
      </c>
      <c r="H89" s="539">
        <f>H87-H88</f>
        <v>2810</v>
      </c>
      <c r="I89" s="815">
        <f t="shared" si="87"/>
        <v>0.77839335180055402</v>
      </c>
      <c r="J89" s="816">
        <f t="shared" si="88"/>
        <v>0</v>
      </c>
      <c r="K89" s="539">
        <f>K87-K88</f>
        <v>2810</v>
      </c>
      <c r="L89" s="815">
        <f t="shared" si="89"/>
        <v>0.77839335180055402</v>
      </c>
      <c r="M89" s="816">
        <f t="shared" si="90"/>
        <v>1</v>
      </c>
      <c r="N89" s="539">
        <f>N87-N88</f>
        <v>2810</v>
      </c>
      <c r="O89" s="815">
        <f t="shared" si="91"/>
        <v>0.77839335180055402</v>
      </c>
      <c r="P89" s="816">
        <f t="shared" si="92"/>
        <v>0</v>
      </c>
      <c r="Q89" s="539">
        <f>Q87-Q88</f>
        <v>2810</v>
      </c>
      <c r="R89" s="815">
        <f t="shared" si="93"/>
        <v>0.77839335180055402</v>
      </c>
      <c r="S89" s="816">
        <f t="shared" si="94"/>
        <v>1</v>
      </c>
      <c r="T89" s="540">
        <f t="shared" ref="T89:AI89" si="113">T87-T88</f>
        <v>2812.4</v>
      </c>
      <c r="U89" s="540">
        <f t="shared" si="113"/>
        <v>2812.8</v>
      </c>
      <c r="V89" s="540">
        <f t="shared" si="113"/>
        <v>2816.8</v>
      </c>
      <c r="W89" s="540">
        <f t="shared" si="113"/>
        <v>2816.8</v>
      </c>
      <c r="X89" s="540">
        <f t="shared" si="113"/>
        <v>2816.8</v>
      </c>
      <c r="Y89" s="540">
        <f t="shared" si="113"/>
        <v>2816.8</v>
      </c>
      <c r="Z89" s="540">
        <f t="shared" si="113"/>
        <v>2816.8</v>
      </c>
      <c r="AA89" s="540">
        <f t="shared" si="113"/>
        <v>2816.8</v>
      </c>
      <c r="AB89" s="540">
        <f t="shared" si="113"/>
        <v>2816.8</v>
      </c>
      <c r="AC89" s="540">
        <f t="shared" si="113"/>
        <v>2816.8</v>
      </c>
      <c r="AD89" s="540">
        <f t="shared" si="113"/>
        <v>2816.8</v>
      </c>
      <c r="AE89" s="540">
        <f t="shared" si="113"/>
        <v>2816.8</v>
      </c>
      <c r="AF89" s="540">
        <f t="shared" si="113"/>
        <v>2816.8</v>
      </c>
      <c r="AG89" s="540">
        <f t="shared" si="113"/>
        <v>2816.8</v>
      </c>
      <c r="AH89" s="540">
        <f t="shared" si="113"/>
        <v>2816.8</v>
      </c>
      <c r="AI89" s="540">
        <f t="shared" si="113"/>
        <v>2816.8</v>
      </c>
      <c r="AJ89" s="778"/>
      <c r="AN89" s="497"/>
      <c r="AO89" s="497"/>
      <c r="AP89" s="497"/>
      <c r="AQ89" s="497"/>
    </row>
    <row r="90" spans="1:58" s="496" customFormat="1" ht="12.75" x14ac:dyDescent="0.2">
      <c r="A90" s="518">
        <v>43</v>
      </c>
      <c r="B90" s="534" t="s">
        <v>1127</v>
      </c>
      <c r="C90" s="807"/>
      <c r="D90" s="849">
        <f t="shared" si="84"/>
        <v>0</v>
      </c>
      <c r="E90" s="576">
        <f>'Estados Financieros'!E383+'Estados Financieros'!E398+'Estados Financieros'!E399+'Estados Financieros'!E415+'Estados Financieros'!E416</f>
        <v>40</v>
      </c>
      <c r="F90" s="850">
        <f t="shared" si="85"/>
        <v>1.1080332409972299E-2</v>
      </c>
      <c r="G90" s="851">
        <f t="shared" si="86"/>
        <v>0</v>
      </c>
      <c r="H90" s="852">
        <f>'Estados Financieros'!F383+'Estados Financieros'!F398+'Estados Financieros'!F399+'Estados Financieros'!F415+'Estados Financieros'!F416</f>
        <v>40</v>
      </c>
      <c r="I90" s="850">
        <f t="shared" si="87"/>
        <v>1.1080332409972299E-2</v>
      </c>
      <c r="J90" s="851">
        <f t="shared" si="88"/>
        <v>0</v>
      </c>
      <c r="K90" s="576">
        <f>'Estados Financieros'!I383+'Estados Financieros'!I398+'Estados Financieros'!I399+'Estados Financieros'!I415+'Estados Financieros'!I416</f>
        <v>40</v>
      </c>
      <c r="L90" s="850">
        <f t="shared" si="89"/>
        <v>1.1080332409972299E-2</v>
      </c>
      <c r="M90" s="851">
        <f t="shared" si="90"/>
        <v>1</v>
      </c>
      <c r="N90" s="576">
        <f>'Estados Financieros'!G383+'Estados Financieros'!G398+'Estados Financieros'!G399+'Estados Financieros'!G415+'Estados Financieros'!G416</f>
        <v>40</v>
      </c>
      <c r="O90" s="850">
        <f t="shared" si="91"/>
        <v>1.1080332409972299E-2</v>
      </c>
      <c r="P90" s="851">
        <f t="shared" si="92"/>
        <v>0</v>
      </c>
      <c r="Q90" s="576">
        <f>'Estados Financieros'!H383+'Estados Financieros'!H398+'Estados Financieros'!H399+'Estados Financieros'!H415+'Estados Financieros'!H416</f>
        <v>40</v>
      </c>
      <c r="R90" s="850">
        <f t="shared" si="93"/>
        <v>1.1080332409972299E-2</v>
      </c>
      <c r="S90" s="851">
        <f t="shared" si="94"/>
        <v>1</v>
      </c>
      <c r="T90" s="535">
        <f t="shared" ref="T90:AI90" si="114">T409*T28</f>
        <v>53.2</v>
      </c>
      <c r="U90" s="535">
        <f t="shared" si="114"/>
        <v>66.400000000000006</v>
      </c>
      <c r="V90" s="535">
        <f t="shared" si="114"/>
        <v>79.600000000000009</v>
      </c>
      <c r="W90" s="535">
        <f t="shared" si="114"/>
        <v>92.800000000000011</v>
      </c>
      <c r="X90" s="535">
        <f t="shared" si="114"/>
        <v>106.00000000000001</v>
      </c>
      <c r="Y90" s="535">
        <f t="shared" si="114"/>
        <v>119.20000000000002</v>
      </c>
      <c r="Z90" s="535">
        <f t="shared" si="114"/>
        <v>132.4</v>
      </c>
      <c r="AA90" s="535">
        <f t="shared" si="114"/>
        <v>145.60000000000002</v>
      </c>
      <c r="AB90" s="535">
        <f t="shared" si="114"/>
        <v>158.80000000000001</v>
      </c>
      <c r="AC90" s="535">
        <f t="shared" si="114"/>
        <v>172</v>
      </c>
      <c r="AD90" s="535">
        <f t="shared" si="114"/>
        <v>185.2</v>
      </c>
      <c r="AE90" s="535">
        <f t="shared" si="114"/>
        <v>198.39999999999995</v>
      </c>
      <c r="AF90" s="535">
        <f t="shared" si="114"/>
        <v>211.59999999999994</v>
      </c>
      <c r="AG90" s="535">
        <f t="shared" si="114"/>
        <v>224.79999999999993</v>
      </c>
      <c r="AH90" s="535">
        <f t="shared" si="114"/>
        <v>237.99999999999991</v>
      </c>
      <c r="AI90" s="535">
        <f t="shared" si="114"/>
        <v>251.1999999999999</v>
      </c>
      <c r="AJ90" s="778"/>
      <c r="AN90" s="497"/>
      <c r="AO90" s="497"/>
      <c r="AP90" s="497"/>
      <c r="AQ90" s="497"/>
    </row>
    <row r="91" spans="1:58" s="496" customFormat="1" ht="12.75" x14ac:dyDescent="0.2">
      <c r="A91" s="526">
        <v>44</v>
      </c>
      <c r="B91" s="524" t="s">
        <v>1128</v>
      </c>
      <c r="C91" s="793"/>
      <c r="D91" s="853">
        <f t="shared" si="84"/>
        <v>0</v>
      </c>
      <c r="E91" s="578"/>
      <c r="F91" s="854">
        <f t="shared" si="85"/>
        <v>0</v>
      </c>
      <c r="G91" s="855">
        <f t="shared" si="86"/>
        <v>0</v>
      </c>
      <c r="H91" s="856"/>
      <c r="I91" s="854">
        <f t="shared" si="87"/>
        <v>0</v>
      </c>
      <c r="J91" s="855">
        <f t="shared" si="88"/>
        <v>0</v>
      </c>
      <c r="K91" s="578"/>
      <c r="L91" s="854">
        <f t="shared" si="89"/>
        <v>0</v>
      </c>
      <c r="M91" s="855">
        <f t="shared" si="90"/>
        <v>0</v>
      </c>
      <c r="N91" s="578"/>
      <c r="O91" s="854">
        <f t="shared" si="91"/>
        <v>0</v>
      </c>
      <c r="P91" s="855">
        <f t="shared" si="92"/>
        <v>0</v>
      </c>
      <c r="Q91" s="578"/>
      <c r="R91" s="854">
        <f t="shared" si="93"/>
        <v>0</v>
      </c>
      <c r="S91" s="855">
        <f t="shared" si="94"/>
        <v>0</v>
      </c>
      <c r="T91" s="525">
        <f t="shared" ref="T91:AI91" si="115">T411*T30</f>
        <v>0</v>
      </c>
      <c r="U91" s="525">
        <f t="shared" si="115"/>
        <v>0</v>
      </c>
      <c r="V91" s="525">
        <f t="shared" si="115"/>
        <v>0</v>
      </c>
      <c r="W91" s="525">
        <f t="shared" si="115"/>
        <v>0</v>
      </c>
      <c r="X91" s="525">
        <f t="shared" si="115"/>
        <v>0</v>
      </c>
      <c r="Y91" s="525">
        <f t="shared" si="115"/>
        <v>0</v>
      </c>
      <c r="Z91" s="525">
        <f t="shared" si="115"/>
        <v>0</v>
      </c>
      <c r="AA91" s="525">
        <f t="shared" si="115"/>
        <v>0</v>
      </c>
      <c r="AB91" s="525">
        <f t="shared" si="115"/>
        <v>0</v>
      </c>
      <c r="AC91" s="525">
        <f t="shared" si="115"/>
        <v>0</v>
      </c>
      <c r="AD91" s="525">
        <f t="shared" si="115"/>
        <v>0</v>
      </c>
      <c r="AE91" s="525">
        <f t="shared" si="115"/>
        <v>0</v>
      </c>
      <c r="AF91" s="525">
        <f t="shared" si="115"/>
        <v>0</v>
      </c>
      <c r="AG91" s="525">
        <f t="shared" si="115"/>
        <v>0</v>
      </c>
      <c r="AH91" s="525">
        <f t="shared" si="115"/>
        <v>0</v>
      </c>
      <c r="AI91" s="525">
        <f t="shared" si="115"/>
        <v>0</v>
      </c>
      <c r="AJ91" s="778"/>
      <c r="AN91" s="497"/>
      <c r="AO91" s="497"/>
      <c r="AP91" s="497"/>
      <c r="AQ91" s="497"/>
    </row>
    <row r="92" spans="1:58" s="496" customFormat="1" ht="12.75" x14ac:dyDescent="0.2">
      <c r="A92" s="526">
        <v>45</v>
      </c>
      <c r="B92" s="530" t="s">
        <v>1129</v>
      </c>
      <c r="C92" s="798"/>
      <c r="D92" s="853">
        <f t="shared" si="84"/>
        <v>0</v>
      </c>
      <c r="E92" s="579"/>
      <c r="F92" s="854">
        <f t="shared" si="85"/>
        <v>0</v>
      </c>
      <c r="G92" s="855">
        <f t="shared" si="86"/>
        <v>0</v>
      </c>
      <c r="H92" s="857"/>
      <c r="I92" s="854">
        <f t="shared" si="87"/>
        <v>0</v>
      </c>
      <c r="J92" s="855">
        <f t="shared" si="88"/>
        <v>0</v>
      </c>
      <c r="K92" s="579"/>
      <c r="L92" s="854">
        <f t="shared" si="89"/>
        <v>0</v>
      </c>
      <c r="M92" s="855">
        <f t="shared" si="90"/>
        <v>0</v>
      </c>
      <c r="N92" s="579"/>
      <c r="O92" s="854">
        <f t="shared" si="91"/>
        <v>0</v>
      </c>
      <c r="P92" s="855">
        <f t="shared" si="92"/>
        <v>0</v>
      </c>
      <c r="Q92" s="579"/>
      <c r="R92" s="854">
        <f t="shared" si="93"/>
        <v>0</v>
      </c>
      <c r="S92" s="855">
        <f t="shared" si="94"/>
        <v>0</v>
      </c>
      <c r="T92" s="527">
        <f t="shared" ref="T92:AI92" si="116">T413*T31</f>
        <v>0</v>
      </c>
      <c r="U92" s="527">
        <f t="shared" si="116"/>
        <v>0</v>
      </c>
      <c r="V92" s="527">
        <f t="shared" si="116"/>
        <v>0</v>
      </c>
      <c r="W92" s="527">
        <f t="shared" si="116"/>
        <v>0</v>
      </c>
      <c r="X92" s="527">
        <f t="shared" si="116"/>
        <v>0</v>
      </c>
      <c r="Y92" s="527">
        <f t="shared" si="116"/>
        <v>0</v>
      </c>
      <c r="Z92" s="527">
        <f t="shared" si="116"/>
        <v>0</v>
      </c>
      <c r="AA92" s="527">
        <f t="shared" si="116"/>
        <v>0</v>
      </c>
      <c r="AB92" s="527">
        <f t="shared" si="116"/>
        <v>0</v>
      </c>
      <c r="AC92" s="527">
        <f t="shared" si="116"/>
        <v>0</v>
      </c>
      <c r="AD92" s="527">
        <f t="shared" si="116"/>
        <v>0</v>
      </c>
      <c r="AE92" s="527">
        <f t="shared" si="116"/>
        <v>0</v>
      </c>
      <c r="AF92" s="527">
        <f t="shared" si="116"/>
        <v>0</v>
      </c>
      <c r="AG92" s="527">
        <f t="shared" si="116"/>
        <v>0</v>
      </c>
      <c r="AH92" s="527">
        <f t="shared" si="116"/>
        <v>0</v>
      </c>
      <c r="AI92" s="527">
        <f t="shared" si="116"/>
        <v>0</v>
      </c>
      <c r="AJ92" s="778"/>
      <c r="AN92" s="497"/>
      <c r="AO92" s="497"/>
      <c r="AP92" s="497"/>
      <c r="AQ92" s="497"/>
    </row>
    <row r="93" spans="1:58" s="496" customFormat="1" ht="12.75" x14ac:dyDescent="0.2">
      <c r="A93" s="537">
        <v>46</v>
      </c>
      <c r="B93" s="580" t="s">
        <v>881</v>
      </c>
      <c r="C93" s="858">
        <f>C75+SUM(C90:C92)</f>
        <v>0</v>
      </c>
      <c r="D93" s="859">
        <f t="shared" si="84"/>
        <v>0</v>
      </c>
      <c r="E93" s="858">
        <f>E75+SUM(E90:E92)</f>
        <v>2850</v>
      </c>
      <c r="F93" s="860">
        <f t="shared" si="85"/>
        <v>0.78947368421052633</v>
      </c>
      <c r="G93" s="861">
        <f t="shared" si="86"/>
        <v>0</v>
      </c>
      <c r="H93" s="858">
        <f>H75+SUM(H90:H92)</f>
        <v>2850</v>
      </c>
      <c r="I93" s="860">
        <f t="shared" si="87"/>
        <v>0.78947368421052633</v>
      </c>
      <c r="J93" s="861">
        <f t="shared" si="88"/>
        <v>0</v>
      </c>
      <c r="K93" s="581">
        <f>K75+SUM(K90:K92)</f>
        <v>2850</v>
      </c>
      <c r="L93" s="860">
        <f t="shared" si="89"/>
        <v>0.78947368421052633</v>
      </c>
      <c r="M93" s="861">
        <f t="shared" si="90"/>
        <v>1</v>
      </c>
      <c r="N93" s="581">
        <f>N75+SUM(N90:N92)</f>
        <v>2850</v>
      </c>
      <c r="O93" s="860">
        <f t="shared" si="91"/>
        <v>0.78947368421052633</v>
      </c>
      <c r="P93" s="861">
        <f t="shared" si="92"/>
        <v>0</v>
      </c>
      <c r="Q93" s="581">
        <f>Q75+SUM(Q90:Q92)</f>
        <v>2850</v>
      </c>
      <c r="R93" s="860">
        <f t="shared" si="93"/>
        <v>0.78947368421052633</v>
      </c>
      <c r="S93" s="861">
        <f t="shared" si="94"/>
        <v>1</v>
      </c>
      <c r="T93" s="581">
        <f t="shared" ref="T93:AI93" si="117">T75+SUM(T90:T92)</f>
        <v>2863.2</v>
      </c>
      <c r="U93" s="581">
        <f t="shared" si="117"/>
        <v>2876.4</v>
      </c>
      <c r="V93" s="581">
        <f t="shared" si="117"/>
        <v>2889.6</v>
      </c>
      <c r="W93" s="581">
        <f t="shared" si="117"/>
        <v>2902.8</v>
      </c>
      <c r="X93" s="581">
        <f t="shared" si="117"/>
        <v>2916</v>
      </c>
      <c r="Y93" s="581">
        <f t="shared" si="117"/>
        <v>2929.2</v>
      </c>
      <c r="Z93" s="581">
        <f t="shared" si="117"/>
        <v>2942.4</v>
      </c>
      <c r="AA93" s="581">
        <f t="shared" si="117"/>
        <v>2955.6</v>
      </c>
      <c r="AB93" s="581">
        <f t="shared" si="117"/>
        <v>2968.8</v>
      </c>
      <c r="AC93" s="581">
        <f t="shared" si="117"/>
        <v>2982</v>
      </c>
      <c r="AD93" s="581">
        <f t="shared" si="117"/>
        <v>2995.2</v>
      </c>
      <c r="AE93" s="581">
        <f t="shared" si="117"/>
        <v>3008.4</v>
      </c>
      <c r="AF93" s="581">
        <f t="shared" si="117"/>
        <v>3021.6</v>
      </c>
      <c r="AG93" s="581">
        <f t="shared" si="117"/>
        <v>3034.7999999999997</v>
      </c>
      <c r="AH93" s="581">
        <f t="shared" si="117"/>
        <v>3048</v>
      </c>
      <c r="AI93" s="581">
        <f t="shared" si="117"/>
        <v>3061.2</v>
      </c>
      <c r="AJ93" s="778"/>
      <c r="AN93" s="497"/>
      <c r="AO93" s="497"/>
      <c r="AP93" s="497"/>
      <c r="AQ93" s="497"/>
    </row>
    <row r="94" spans="1:58" s="496" customFormat="1" ht="12.75" x14ac:dyDescent="0.25">
      <c r="A94" s="583"/>
      <c r="B94" s="508" t="s">
        <v>1130</v>
      </c>
      <c r="C94" s="532"/>
      <c r="D94" s="521"/>
      <c r="E94" s="532">
        <f>(E28-E114+E29+E115)-(C28-C114+C29+C115)+E90-(C114-C115)</f>
        <v>640</v>
      </c>
      <c r="F94" s="521"/>
      <c r="G94" s="521"/>
      <c r="H94" s="532">
        <f>(H28-H114+H29+H115)-(E28-E114+E29+E115)+H90-(E114-E115)</f>
        <v>40</v>
      </c>
      <c r="I94" s="521"/>
      <c r="J94" s="521"/>
      <c r="K94" s="533">
        <f>(K28-K114+K29+K115)-(H28-H114+H29+H115)+K90-(H114-H115)</f>
        <v>40</v>
      </c>
      <c r="L94" s="521"/>
      <c r="M94" s="521"/>
      <c r="N94" s="533">
        <f>(N28-N114+N29+N115)-(H28-H114+H29+H115)+N90-(H114-H115)</f>
        <v>40</v>
      </c>
      <c r="O94" s="521"/>
      <c r="P94" s="521"/>
      <c r="Q94" s="533">
        <f>IF(OR($C$3=$L$913,$C$3=0),(Q28-Q114+Q29+Q115)-(N28-N114+N29+N115)+Q90-(N114-N115),(Q28-Q114+Q29+Q115)-(K28-K114+K29+K115)+Q90-(K114-K115))</f>
        <v>40</v>
      </c>
      <c r="R94" s="521"/>
      <c r="S94" s="521"/>
      <c r="T94" s="533">
        <f>(T28-T114+T29+T115)-(N28-N114+N29+N115)+T90-(N114-N115)</f>
        <v>257.73400000000009</v>
      </c>
      <c r="U94" s="533">
        <f t="shared" ref="U94:AI94" si="118">(U28-U114+U29+U115)-(T28-T114+T29+T115)+U90-(T114-T115)</f>
        <v>277.46799999999996</v>
      </c>
      <c r="V94" s="533">
        <f t="shared" si="118"/>
        <v>297.20200000000011</v>
      </c>
      <c r="W94" s="533">
        <f t="shared" si="118"/>
        <v>316.93599999999998</v>
      </c>
      <c r="X94" s="533">
        <f t="shared" si="118"/>
        <v>336.67000000000007</v>
      </c>
      <c r="Y94" s="533">
        <f t="shared" si="118"/>
        <v>356.40400000000022</v>
      </c>
      <c r="Z94" s="533">
        <f t="shared" si="118"/>
        <v>376.13799999999981</v>
      </c>
      <c r="AA94" s="533">
        <f t="shared" si="118"/>
        <v>395.87200000000041</v>
      </c>
      <c r="AB94" s="533">
        <f t="shared" si="118"/>
        <v>415.6059999999996</v>
      </c>
      <c r="AC94" s="533">
        <f t="shared" si="118"/>
        <v>435.33999999999969</v>
      </c>
      <c r="AD94" s="533">
        <f t="shared" si="118"/>
        <v>455.07399999999978</v>
      </c>
      <c r="AE94" s="533">
        <f t="shared" si="118"/>
        <v>474.80799999999988</v>
      </c>
      <c r="AF94" s="533">
        <f t="shared" si="118"/>
        <v>494.54199999999992</v>
      </c>
      <c r="AG94" s="533">
        <f t="shared" si="118"/>
        <v>514.27599999999961</v>
      </c>
      <c r="AH94" s="533">
        <f t="shared" si="118"/>
        <v>534.00999999999965</v>
      </c>
      <c r="AI94" s="533">
        <f t="shared" si="118"/>
        <v>553.7439999999998</v>
      </c>
      <c r="AJ94" s="778"/>
    </row>
    <row r="95" spans="1:58" s="496" customFormat="1" ht="12.75" x14ac:dyDescent="0.25">
      <c r="A95" s="583"/>
      <c r="B95" s="508" t="s">
        <v>1131</v>
      </c>
      <c r="C95" s="532"/>
      <c r="D95" s="521"/>
      <c r="E95" s="532">
        <f>(E28-E114)-(C28-C114)-(C114-C115)</f>
        <v>540</v>
      </c>
      <c r="F95" s="521"/>
      <c r="G95" s="521"/>
      <c r="H95" s="532">
        <f>(H28-H114)-(E28-E114)-(E114-E115)</f>
        <v>0</v>
      </c>
      <c r="I95" s="521"/>
      <c r="J95" s="521"/>
      <c r="K95" s="533">
        <f>(K28-K114)-(H28-H114)-(H114-H115)</f>
        <v>0</v>
      </c>
      <c r="L95" s="521"/>
      <c r="M95" s="521"/>
      <c r="N95" s="533">
        <f>(N28-N114)-(H28-H114)-(H114-H115)</f>
        <v>0</v>
      </c>
      <c r="O95" s="521"/>
      <c r="P95" s="521"/>
      <c r="Q95" s="533">
        <f>IF(OR($C$3=$L$913,$C$3=0),(Q28-Q114)-(N28-N114)-(N114-N115),(Q28-Q114)-(K28-K114)-(K114-K115))</f>
        <v>0</v>
      </c>
      <c r="R95" s="521"/>
      <c r="S95" s="521"/>
      <c r="T95" s="533">
        <f>(T28-T114)-(N28-N114)-(N114-N115)</f>
        <v>178.20000000000005</v>
      </c>
      <c r="U95" s="533">
        <f t="shared" ref="U95:AI95" si="119">(U28-U114)-(T28-T114)-(T114-T115)</f>
        <v>178.20000000000005</v>
      </c>
      <c r="V95" s="533">
        <f t="shared" si="119"/>
        <v>178.20000000000005</v>
      </c>
      <c r="W95" s="533">
        <f t="shared" si="119"/>
        <v>178.20000000000005</v>
      </c>
      <c r="X95" s="533">
        <f t="shared" si="119"/>
        <v>178.20000000000005</v>
      </c>
      <c r="Y95" s="533">
        <f t="shared" si="119"/>
        <v>178.20000000000005</v>
      </c>
      <c r="Z95" s="533">
        <f t="shared" si="119"/>
        <v>178.20000000000005</v>
      </c>
      <c r="AA95" s="533">
        <f t="shared" si="119"/>
        <v>178.20000000000005</v>
      </c>
      <c r="AB95" s="533">
        <f t="shared" si="119"/>
        <v>178.19999999999982</v>
      </c>
      <c r="AC95" s="533">
        <f t="shared" si="119"/>
        <v>178.19999999999982</v>
      </c>
      <c r="AD95" s="533">
        <f t="shared" si="119"/>
        <v>178.19999999999982</v>
      </c>
      <c r="AE95" s="533">
        <f t="shared" si="119"/>
        <v>178.19999999999982</v>
      </c>
      <c r="AF95" s="533">
        <f t="shared" si="119"/>
        <v>178.19999999999982</v>
      </c>
      <c r="AG95" s="533">
        <f t="shared" si="119"/>
        <v>178.19999999999982</v>
      </c>
      <c r="AH95" s="533">
        <f t="shared" si="119"/>
        <v>178.19999999999982</v>
      </c>
      <c r="AI95" s="533">
        <f t="shared" si="119"/>
        <v>178.19999999999982</v>
      </c>
      <c r="AJ95" s="778"/>
    </row>
    <row r="96" spans="1:58" s="496" customFormat="1" ht="12.75" x14ac:dyDescent="0.2">
      <c r="A96" s="507"/>
      <c r="B96" s="586"/>
      <c r="C96" s="502"/>
      <c r="E96" s="587"/>
      <c r="F96" s="862"/>
      <c r="G96" s="862"/>
      <c r="H96" s="587"/>
      <c r="I96" s="863"/>
      <c r="J96" s="863"/>
      <c r="K96" s="587"/>
      <c r="L96" s="862"/>
      <c r="M96" s="864"/>
      <c r="N96" s="587"/>
      <c r="O96" s="862"/>
      <c r="P96" s="864"/>
      <c r="Q96" s="587"/>
      <c r="S96" s="500"/>
      <c r="V96" s="495"/>
      <c r="W96" s="495"/>
      <c r="X96" s="495"/>
      <c r="Y96" s="495"/>
      <c r="Z96" s="495"/>
      <c r="AA96" s="495"/>
      <c r="AB96" s="495"/>
      <c r="AC96" s="495"/>
      <c r="AD96" s="495"/>
      <c r="AE96" s="589"/>
      <c r="AJ96" s="778"/>
      <c r="AN96" s="497"/>
      <c r="AO96" s="497"/>
      <c r="AP96" s="497"/>
      <c r="AQ96" s="497"/>
    </row>
    <row r="97" spans="1:36" s="496" customFormat="1" ht="12.75" x14ac:dyDescent="0.25">
      <c r="A97" s="498"/>
      <c r="B97" s="590" t="s">
        <v>1132</v>
      </c>
      <c r="C97" s="865"/>
      <c r="D97" s="866">
        <f>IF(OR(C97=0,C$34=0),0,C97/C$34)</f>
        <v>0</v>
      </c>
      <c r="E97" s="591"/>
      <c r="F97" s="867">
        <f>IF(OR(E97=0,E$34=0),0,E97/E$34)</f>
        <v>0</v>
      </c>
      <c r="G97" s="868">
        <f>IF(OR(C97=0,E97=0),0,IF(ABS((E97/C97)-1)&gt;1000000%,0,(E97/C97)-1))</f>
        <v>0</v>
      </c>
      <c r="H97" s="591"/>
      <c r="I97" s="869">
        <f>IF(OR(H97=0,H$34=0),0,H97/H$34)</f>
        <v>0</v>
      </c>
      <c r="J97" s="868">
        <f>IF(OR(E97=0,H97=0),0,IF(ABS((H97/E97)-1)&gt;1000000%,0,(H97/E97)-1))</f>
        <v>0</v>
      </c>
      <c r="K97" s="870"/>
      <c r="L97" s="871">
        <f>IF(OR(K97=0,K$34=0),0,K97/K$34)</f>
        <v>0</v>
      </c>
      <c r="M97" s="871">
        <f>IF(OR(H97=0,K97=0),0,(K97/H97)-1)</f>
        <v>0</v>
      </c>
      <c r="N97" s="591"/>
      <c r="O97" s="869">
        <f>IF(OR(N97=0,N$34=0),0,N97/N$34)</f>
        <v>0</v>
      </c>
      <c r="P97" s="868">
        <f>IF(OR(H97=0,N97=0),0,IF(ABS((N97/H97)-1)&gt;1000000%,0,(N97/H97)-1))</f>
        <v>0</v>
      </c>
      <c r="Q97" s="591"/>
      <c r="R97" s="869">
        <f>IF(OR(Q97=0,Q$34=0),0,Q97/Q$34)</f>
        <v>0</v>
      </c>
      <c r="S97" s="868">
        <f>IF(OR(N97=0,Q97=0),0,IF(ABS((Q97/N97)-1)&gt;1000000%,0,(Q97/N97)-1))</f>
        <v>0</v>
      </c>
      <c r="T97" s="872"/>
      <c r="AJ97" s="778"/>
    </row>
    <row r="98" spans="1:36" s="496" customFormat="1" ht="12.75" x14ac:dyDescent="0.25">
      <c r="A98" s="498"/>
      <c r="B98" s="590" t="s">
        <v>1133</v>
      </c>
      <c r="C98" s="591"/>
      <c r="D98" s="866">
        <f>IF(OR(C98=0,C$59=0),0,C98/C$59)</f>
        <v>0</v>
      </c>
      <c r="E98" s="591"/>
      <c r="F98" s="867">
        <f>IF(OR(E98=0,E$59=0),0,E98/E$59)</f>
        <v>0</v>
      </c>
      <c r="G98" s="868">
        <f>IF(OR(C98=0,E98=0),0,IF(ABS((E98/C98)-1)&gt;1000000%,0,(E98/C98)-1))</f>
        <v>0</v>
      </c>
      <c r="H98" s="591"/>
      <c r="I98" s="869">
        <f>IF(OR(H98=0,H$59=0),0,H98/H$59)</f>
        <v>0</v>
      </c>
      <c r="J98" s="868">
        <f>IF(OR(E98=0,H98=0),0,IF(ABS((H98/E98)-1)&gt;1000000%,0,(H98/E98)-1))</f>
        <v>0</v>
      </c>
      <c r="K98" s="870"/>
      <c r="L98" s="871">
        <f>IF(OR(K98=0,K$59=0),0,K98/K$59)</f>
        <v>0</v>
      </c>
      <c r="M98" s="871">
        <f>IF(OR(H98=0,K98=0),0,(K98/H98)-1)</f>
        <v>0</v>
      </c>
      <c r="N98" s="591"/>
      <c r="O98" s="869">
        <f>IF(OR(N98=0,N$59=0),0,N98/N$59)</f>
        <v>0</v>
      </c>
      <c r="P98" s="868">
        <f>IF(OR(H98=0,N98=0),0,IF(ABS((N98/H98)-1)&gt;1000000%,0,(N98/H98)-1))</f>
        <v>0</v>
      </c>
      <c r="Q98" s="591"/>
      <c r="R98" s="869">
        <f>IF(OR(Q98=0,Q$59=0),0,Q98/Q$59)</f>
        <v>0</v>
      </c>
      <c r="S98" s="868">
        <f>IF(OR(N98=0,Q98=0),0,IF(ABS((Q98/N98)-1)&gt;1000000%,0,(Q98/N98)-1))</f>
        <v>0</v>
      </c>
      <c r="T98" s="872"/>
      <c r="AJ98" s="778"/>
    </row>
    <row r="99" spans="1:36" s="496" customFormat="1" ht="12.75" x14ac:dyDescent="0.25">
      <c r="A99" s="498" t="s">
        <v>1134</v>
      </c>
      <c r="B99" s="594"/>
      <c r="C99" s="502"/>
      <c r="E99" s="502"/>
      <c r="H99" s="502"/>
      <c r="K99" s="502"/>
      <c r="N99" s="502"/>
      <c r="Q99" s="502"/>
      <c r="V99" s="495"/>
      <c r="W99" s="495"/>
      <c r="X99" s="495"/>
      <c r="Y99" s="495"/>
      <c r="Z99" s="495"/>
      <c r="AA99" s="495"/>
      <c r="AB99" s="495"/>
      <c r="AC99" s="495"/>
      <c r="AD99" s="495"/>
      <c r="AE99" s="595"/>
      <c r="AJ99" s="778"/>
    </row>
    <row r="100" spans="1:36" s="496" customFormat="1" ht="12.75" x14ac:dyDescent="0.25">
      <c r="A100" s="498"/>
      <c r="B100" s="586" t="s">
        <v>1135</v>
      </c>
      <c r="C100" s="502"/>
      <c r="E100" s="502"/>
      <c r="H100" s="502"/>
      <c r="K100" s="502"/>
      <c r="N100" s="502"/>
      <c r="Q100" s="502"/>
      <c r="AE100" s="595"/>
      <c r="AJ100" s="778"/>
    </row>
    <row r="101" spans="1:36" s="496" customFormat="1" ht="12.75" x14ac:dyDescent="0.25">
      <c r="A101" s="498"/>
      <c r="B101" s="586"/>
      <c r="C101" s="502"/>
      <c r="E101" s="502"/>
      <c r="H101" s="502"/>
      <c r="K101" s="502"/>
      <c r="N101" s="502"/>
      <c r="Q101" s="502"/>
      <c r="AE101" s="595"/>
      <c r="AJ101" s="778"/>
    </row>
    <row r="102" spans="1:36" s="496" customFormat="1" ht="12.75" x14ac:dyDescent="0.25">
      <c r="A102" s="498"/>
      <c r="B102" s="586"/>
      <c r="C102" s="502"/>
      <c r="E102" s="502"/>
      <c r="H102" s="502"/>
      <c r="K102" s="502"/>
      <c r="N102" s="502"/>
      <c r="Q102" s="502"/>
      <c r="V102" s="495"/>
      <c r="W102" s="495"/>
      <c r="X102" s="495"/>
      <c r="Y102" s="495"/>
      <c r="Z102" s="495"/>
      <c r="AA102" s="495"/>
      <c r="AB102" s="495"/>
      <c r="AC102" s="495"/>
      <c r="AD102" s="495"/>
      <c r="AE102" s="595"/>
      <c r="AJ102" s="778"/>
    </row>
    <row r="103" spans="1:36" s="496" customFormat="1" ht="12.75" x14ac:dyDescent="0.25">
      <c r="A103" s="498"/>
      <c r="B103" s="586"/>
      <c r="C103" s="502"/>
      <c r="E103" s="502"/>
      <c r="H103" s="502"/>
      <c r="K103" s="502"/>
      <c r="N103" s="502"/>
      <c r="Q103" s="502"/>
      <c r="V103" s="495"/>
      <c r="W103" s="495"/>
      <c r="X103" s="495"/>
      <c r="Y103" s="495"/>
      <c r="Z103" s="495"/>
      <c r="AA103" s="495"/>
      <c r="AB103" s="495"/>
      <c r="AC103" s="495"/>
      <c r="AD103" s="495"/>
      <c r="AE103" s="595"/>
      <c r="AJ103" s="778"/>
    </row>
    <row r="104" spans="1:36" s="496" customFormat="1" ht="12.75" x14ac:dyDescent="0.25">
      <c r="A104" s="498"/>
      <c r="B104" s="586"/>
      <c r="C104" s="502"/>
      <c r="E104" s="502"/>
      <c r="H104" s="502"/>
      <c r="K104" s="502"/>
      <c r="N104" s="502"/>
      <c r="Q104" s="502"/>
      <c r="V104" s="495"/>
      <c r="W104" s="495"/>
      <c r="X104" s="495"/>
      <c r="Y104" s="495"/>
      <c r="Z104" s="495"/>
      <c r="AA104" s="495"/>
      <c r="AB104" s="495"/>
      <c r="AC104" s="495"/>
      <c r="AD104" s="495"/>
      <c r="AE104" s="595"/>
      <c r="AJ104" s="778"/>
    </row>
    <row r="105" spans="1:36" s="496" customFormat="1" ht="12.75" x14ac:dyDescent="0.25">
      <c r="A105" s="498"/>
      <c r="B105" s="586"/>
      <c r="C105" s="596"/>
      <c r="E105" s="596"/>
      <c r="H105" s="596"/>
      <c r="K105" s="596"/>
      <c r="N105" s="596"/>
      <c r="Q105" s="596"/>
      <c r="V105" s="495"/>
      <c r="W105" s="495"/>
      <c r="X105" s="495"/>
      <c r="Y105" s="495"/>
      <c r="Z105" s="495"/>
      <c r="AA105" s="495"/>
      <c r="AB105" s="495"/>
      <c r="AC105" s="495"/>
      <c r="AD105" s="495"/>
      <c r="AE105" s="595"/>
      <c r="AJ105" s="778"/>
    </row>
    <row r="106" spans="1:36" s="496" customFormat="1" ht="12.75" x14ac:dyDescent="0.25">
      <c r="A106" s="498"/>
      <c r="B106" s="586"/>
      <c r="C106" s="502"/>
      <c r="E106" s="502"/>
      <c r="H106" s="502"/>
      <c r="K106" s="502"/>
      <c r="N106" s="502"/>
      <c r="Q106" s="502"/>
      <c r="V106" s="495"/>
      <c r="W106" s="495"/>
      <c r="X106" s="495"/>
      <c r="Y106" s="495"/>
      <c r="Z106" s="495"/>
      <c r="AA106" s="495"/>
      <c r="AB106" s="495"/>
      <c r="AC106" s="495"/>
      <c r="AD106" s="495"/>
      <c r="AE106" s="595"/>
      <c r="AJ106" s="778"/>
    </row>
    <row r="107" spans="1:36" s="496" customFormat="1" ht="12.75" x14ac:dyDescent="0.25">
      <c r="A107" s="498"/>
      <c r="B107" s="586"/>
      <c r="C107" s="502"/>
      <c r="E107" s="502"/>
      <c r="H107" s="502"/>
      <c r="K107" s="502"/>
      <c r="N107" s="502"/>
      <c r="Q107" s="502"/>
      <c r="V107" s="495"/>
      <c r="W107" s="495"/>
      <c r="X107" s="495"/>
      <c r="Y107" s="495"/>
      <c r="Z107" s="495"/>
      <c r="AA107" s="495"/>
      <c r="AB107" s="495"/>
      <c r="AC107" s="495"/>
      <c r="AD107" s="495"/>
      <c r="AE107" s="595"/>
      <c r="AJ107" s="778"/>
    </row>
    <row r="108" spans="1:36" s="496" customFormat="1" ht="12.75" x14ac:dyDescent="0.25">
      <c r="A108" s="498"/>
      <c r="B108" s="586"/>
      <c r="C108" s="502"/>
      <c r="E108" s="502"/>
      <c r="H108" s="502"/>
      <c r="K108" s="502"/>
      <c r="N108" s="502"/>
      <c r="Q108" s="502"/>
      <c r="V108" s="495"/>
      <c r="W108" s="495"/>
      <c r="X108" s="495"/>
      <c r="Y108" s="495"/>
      <c r="Z108" s="495"/>
      <c r="AA108" s="495"/>
      <c r="AB108" s="495"/>
      <c r="AC108" s="495"/>
      <c r="AD108" s="495"/>
      <c r="AE108" s="595"/>
      <c r="AJ108" s="778"/>
    </row>
    <row r="109" spans="1:36" s="496" customFormat="1" ht="12.75" x14ac:dyDescent="0.25">
      <c r="A109" s="498"/>
      <c r="B109" s="586"/>
      <c r="C109" s="502"/>
      <c r="E109" s="502"/>
      <c r="H109" s="502"/>
      <c r="K109" s="502"/>
      <c r="N109" s="502"/>
      <c r="Q109" s="502"/>
      <c r="T109" s="598" t="s">
        <v>1136</v>
      </c>
      <c r="U109" s="599"/>
      <c r="V109" s="600"/>
      <c r="W109" s="600"/>
      <c r="X109" s="600"/>
      <c r="Y109" s="600"/>
      <c r="Z109" s="600"/>
      <c r="AA109" s="600"/>
      <c r="AB109" s="600"/>
      <c r="AC109" s="600"/>
      <c r="AD109" s="600"/>
      <c r="AE109" s="595"/>
      <c r="AJ109" s="778"/>
    </row>
    <row r="110" spans="1:36" s="496" customFormat="1" ht="12.75" x14ac:dyDescent="0.25">
      <c r="A110" s="498"/>
      <c r="B110" s="586"/>
      <c r="C110" s="502"/>
      <c r="E110" s="502"/>
      <c r="H110" s="502"/>
      <c r="K110" s="502"/>
      <c r="N110" s="502"/>
      <c r="Q110" s="502"/>
      <c r="T110" s="602"/>
      <c r="U110" s="602"/>
      <c r="V110" s="602"/>
      <c r="W110" s="602"/>
      <c r="X110" s="602"/>
      <c r="Y110" s="602"/>
      <c r="Z110" s="602"/>
      <c r="AA110" s="602"/>
      <c r="AB110" s="602"/>
      <c r="AC110" s="602"/>
      <c r="AD110" s="602"/>
      <c r="AE110" s="602"/>
      <c r="AF110" s="602"/>
      <c r="AG110" s="602"/>
      <c r="AH110" s="602"/>
      <c r="AI110" s="602"/>
      <c r="AJ110" s="778"/>
    </row>
    <row r="111" spans="1:36" s="496" customFormat="1" ht="12.75" x14ac:dyDescent="0.25">
      <c r="A111" s="498"/>
      <c r="B111" s="603"/>
      <c r="V111" s="495"/>
      <c r="W111" s="495"/>
      <c r="X111" s="495"/>
      <c r="Y111" s="495"/>
      <c r="Z111" s="495"/>
      <c r="AA111" s="495"/>
      <c r="AB111" s="495"/>
      <c r="AC111" s="495"/>
      <c r="AD111" s="495"/>
      <c r="AE111" s="495"/>
      <c r="AF111" s="495"/>
      <c r="AG111" s="495"/>
      <c r="AH111" s="495"/>
      <c r="AI111" s="495"/>
      <c r="AJ111" s="778"/>
    </row>
    <row r="112" spans="1:36" s="609" customFormat="1" ht="15" x14ac:dyDescent="0.25">
      <c r="A112" s="605"/>
      <c r="B112" s="606" t="s">
        <v>1137</v>
      </c>
      <c r="C112" s="509">
        <f>C15</f>
        <v>2018</v>
      </c>
      <c r="E112" s="607">
        <f>E15</f>
        <v>2019</v>
      </c>
      <c r="H112" s="607">
        <f>H15</f>
        <v>2020</v>
      </c>
      <c r="I112" s="873"/>
      <c r="J112" s="873"/>
      <c r="K112" s="607">
        <f>K15</f>
        <v>2020</v>
      </c>
      <c r="M112" s="874"/>
      <c r="N112" s="607">
        <f>N15</f>
        <v>2021</v>
      </c>
      <c r="P112" s="874"/>
      <c r="Q112" s="607">
        <f>Q15</f>
        <v>2021</v>
      </c>
      <c r="S112" s="874"/>
      <c r="T112" s="509">
        <f t="shared" ref="T112:AI112" si="120">T15</f>
        <v>2022</v>
      </c>
      <c r="U112" s="509">
        <f t="shared" si="120"/>
        <v>2023</v>
      </c>
      <c r="V112" s="509">
        <f t="shared" si="120"/>
        <v>2024</v>
      </c>
      <c r="W112" s="509">
        <f t="shared" si="120"/>
        <v>2025</v>
      </c>
      <c r="X112" s="509">
        <f t="shared" si="120"/>
        <v>2026</v>
      </c>
      <c r="Y112" s="509">
        <f t="shared" si="120"/>
        <v>2027</v>
      </c>
      <c r="Z112" s="509">
        <f t="shared" si="120"/>
        <v>2028</v>
      </c>
      <c r="AA112" s="509">
        <f t="shared" si="120"/>
        <v>2029</v>
      </c>
      <c r="AB112" s="509">
        <f t="shared" si="120"/>
        <v>2030</v>
      </c>
      <c r="AC112" s="509">
        <f t="shared" si="120"/>
        <v>2031</v>
      </c>
      <c r="AD112" s="509">
        <f t="shared" si="120"/>
        <v>2032</v>
      </c>
      <c r="AE112" s="509">
        <f t="shared" si="120"/>
        <v>2033</v>
      </c>
      <c r="AF112" s="509">
        <f t="shared" si="120"/>
        <v>2034</v>
      </c>
      <c r="AG112" s="509">
        <f t="shared" si="120"/>
        <v>2035</v>
      </c>
      <c r="AH112" s="509">
        <f t="shared" si="120"/>
        <v>2036</v>
      </c>
      <c r="AI112" s="509">
        <f t="shared" si="120"/>
        <v>2037</v>
      </c>
      <c r="AJ112" s="875"/>
    </row>
    <row r="113" spans="1:43" s="496" customFormat="1" ht="12.75" x14ac:dyDescent="0.2">
      <c r="A113" s="498"/>
      <c r="B113" s="610" t="s">
        <v>1138</v>
      </c>
      <c r="C113" s="788"/>
      <c r="E113" s="520"/>
      <c r="H113" s="520"/>
      <c r="I113" s="495"/>
      <c r="J113" s="495"/>
      <c r="K113" s="520"/>
      <c r="M113" s="500"/>
      <c r="N113" s="520"/>
      <c r="P113" s="500"/>
      <c r="Q113" s="520"/>
      <c r="S113" s="500"/>
      <c r="T113" s="612"/>
      <c r="U113" s="612"/>
      <c r="V113" s="612"/>
      <c r="W113" s="612"/>
      <c r="X113" s="612"/>
      <c r="Y113" s="612"/>
      <c r="Z113" s="612"/>
      <c r="AA113" s="612"/>
      <c r="AB113" s="612"/>
      <c r="AC113" s="612"/>
      <c r="AD113" s="612"/>
      <c r="AE113" s="612"/>
      <c r="AF113" s="612"/>
      <c r="AG113" s="612"/>
      <c r="AH113" s="612"/>
      <c r="AI113" s="612"/>
      <c r="AJ113" s="778"/>
      <c r="AN113" s="497"/>
      <c r="AO113" s="497"/>
      <c r="AP113" s="497"/>
      <c r="AQ113" s="497"/>
    </row>
    <row r="114" spans="1:43" s="496" customFormat="1" ht="12.75" x14ac:dyDescent="0.2">
      <c r="A114" s="498"/>
      <c r="B114" s="569" t="s">
        <v>1139</v>
      </c>
      <c r="C114" s="793"/>
      <c r="E114" s="613"/>
      <c r="H114" s="613"/>
      <c r="I114" s="495"/>
      <c r="J114" s="495"/>
      <c r="K114" s="613"/>
      <c r="M114" s="500"/>
      <c r="N114" s="613"/>
      <c r="P114" s="500"/>
      <c r="Q114" s="613"/>
      <c r="S114" s="500"/>
      <c r="T114" s="614"/>
      <c r="U114" s="614"/>
      <c r="V114" s="614"/>
      <c r="W114" s="614"/>
      <c r="X114" s="614"/>
      <c r="Y114" s="614"/>
      <c r="Z114" s="614"/>
      <c r="AA114" s="614"/>
      <c r="AB114" s="614"/>
      <c r="AC114" s="614"/>
      <c r="AD114" s="614"/>
      <c r="AE114" s="614"/>
      <c r="AF114" s="614"/>
      <c r="AG114" s="614"/>
      <c r="AH114" s="614"/>
      <c r="AI114" s="614"/>
      <c r="AJ114" s="778"/>
      <c r="AN114" s="497"/>
      <c r="AO114" s="497"/>
      <c r="AP114" s="497"/>
      <c r="AQ114" s="497"/>
    </row>
    <row r="115" spans="1:43" s="496" customFormat="1" ht="12.75" x14ac:dyDescent="0.2">
      <c r="A115" s="498"/>
      <c r="B115" s="569" t="s">
        <v>1140</v>
      </c>
      <c r="C115" s="793"/>
      <c r="E115" s="613"/>
      <c r="H115" s="613"/>
      <c r="I115" s="495"/>
      <c r="J115" s="495"/>
      <c r="K115" s="613"/>
      <c r="M115" s="500"/>
      <c r="N115" s="613"/>
      <c r="P115" s="500"/>
      <c r="Q115" s="613"/>
      <c r="S115" s="500"/>
      <c r="T115" s="614"/>
      <c r="U115" s="614"/>
      <c r="V115" s="614"/>
      <c r="W115" s="614"/>
      <c r="X115" s="614"/>
      <c r="Y115" s="614"/>
      <c r="Z115" s="614"/>
      <c r="AA115" s="614"/>
      <c r="AB115" s="614"/>
      <c r="AC115" s="614"/>
      <c r="AD115" s="614"/>
      <c r="AE115" s="614"/>
      <c r="AF115" s="614"/>
      <c r="AG115" s="614"/>
      <c r="AH115" s="614"/>
      <c r="AI115" s="614"/>
      <c r="AJ115" s="778"/>
      <c r="AN115" s="497"/>
      <c r="AO115" s="497"/>
      <c r="AP115" s="497"/>
      <c r="AQ115" s="497"/>
    </row>
    <row r="116" spans="1:43" s="496" customFormat="1" ht="12.75" x14ac:dyDescent="0.2">
      <c r="A116" s="498"/>
      <c r="B116" s="524" t="s">
        <v>1141</v>
      </c>
      <c r="C116" s="793"/>
      <c r="E116" s="613"/>
      <c r="H116" s="613"/>
      <c r="I116" s="495"/>
      <c r="J116" s="495"/>
      <c r="K116" s="613"/>
      <c r="M116" s="500"/>
      <c r="N116" s="613"/>
      <c r="P116" s="500"/>
      <c r="Q116" s="613"/>
      <c r="S116" s="500"/>
      <c r="T116" s="614"/>
      <c r="U116" s="614"/>
      <c r="V116" s="614"/>
      <c r="W116" s="614"/>
      <c r="X116" s="614"/>
      <c r="Y116" s="614"/>
      <c r="Z116" s="614"/>
      <c r="AA116" s="614"/>
      <c r="AB116" s="614"/>
      <c r="AC116" s="614"/>
      <c r="AD116" s="614"/>
      <c r="AE116" s="614"/>
      <c r="AF116" s="614"/>
      <c r="AG116" s="614"/>
      <c r="AH116" s="614"/>
      <c r="AI116" s="614"/>
      <c r="AJ116" s="778"/>
      <c r="AN116" s="497"/>
      <c r="AO116" s="497"/>
      <c r="AP116" s="497"/>
      <c r="AQ116" s="497"/>
    </row>
    <row r="117" spans="1:43" s="496" customFormat="1" ht="12.75" x14ac:dyDescent="0.2">
      <c r="A117" s="498"/>
      <c r="B117" s="524" t="s">
        <v>1142</v>
      </c>
      <c r="C117" s="793"/>
      <c r="E117" s="613"/>
      <c r="H117" s="613"/>
      <c r="I117" s="495"/>
      <c r="J117" s="495"/>
      <c r="K117" s="613"/>
      <c r="M117" s="500"/>
      <c r="N117" s="613"/>
      <c r="P117" s="500"/>
      <c r="Q117" s="613"/>
      <c r="S117" s="500"/>
      <c r="T117" s="614"/>
      <c r="U117" s="614"/>
      <c r="V117" s="614"/>
      <c r="W117" s="614"/>
      <c r="X117" s="614"/>
      <c r="Y117" s="614"/>
      <c r="Z117" s="614"/>
      <c r="AA117" s="614"/>
      <c r="AB117" s="614"/>
      <c r="AC117" s="614"/>
      <c r="AD117" s="614"/>
      <c r="AE117" s="614"/>
      <c r="AF117" s="614"/>
      <c r="AG117" s="614"/>
      <c r="AH117" s="614"/>
      <c r="AI117" s="614"/>
      <c r="AJ117" s="778"/>
      <c r="AN117" s="497"/>
      <c r="AO117" s="497"/>
      <c r="AP117" s="497"/>
      <c r="AQ117" s="497"/>
    </row>
    <row r="118" spans="1:43" s="496" customFormat="1" ht="12.75" x14ac:dyDescent="0.2">
      <c r="A118" s="498"/>
      <c r="B118" s="569" t="s">
        <v>1143</v>
      </c>
      <c r="C118" s="793"/>
      <c r="E118" s="613"/>
      <c r="H118" s="613"/>
      <c r="I118" s="495"/>
      <c r="J118" s="495"/>
      <c r="K118" s="613"/>
      <c r="M118" s="500"/>
      <c r="N118" s="613"/>
      <c r="P118" s="500"/>
      <c r="Q118" s="613"/>
      <c r="S118" s="500"/>
      <c r="T118" s="614"/>
      <c r="U118" s="614"/>
      <c r="V118" s="614"/>
      <c r="W118" s="614"/>
      <c r="X118" s="614"/>
      <c r="Y118" s="614"/>
      <c r="Z118" s="614"/>
      <c r="AA118" s="614"/>
      <c r="AB118" s="614"/>
      <c r="AC118" s="614"/>
      <c r="AD118" s="614"/>
      <c r="AE118" s="614"/>
      <c r="AF118" s="614"/>
      <c r="AG118" s="614"/>
      <c r="AH118" s="614"/>
      <c r="AI118" s="614"/>
      <c r="AJ118" s="778"/>
      <c r="AN118" s="497"/>
      <c r="AO118" s="497"/>
      <c r="AP118" s="497"/>
      <c r="AQ118" s="497"/>
    </row>
    <row r="119" spans="1:43" s="496" customFormat="1" ht="12.75" x14ac:dyDescent="0.2">
      <c r="A119" s="498"/>
      <c r="B119" s="524" t="s">
        <v>1144</v>
      </c>
      <c r="C119" s="793"/>
      <c r="E119" s="613"/>
      <c r="H119" s="613"/>
      <c r="I119" s="495"/>
      <c r="J119" s="495"/>
      <c r="K119" s="613"/>
      <c r="M119" s="500"/>
      <c r="N119" s="613"/>
      <c r="P119" s="500"/>
      <c r="Q119" s="613"/>
      <c r="S119" s="500"/>
      <c r="T119" s="614"/>
      <c r="U119" s="614"/>
      <c r="V119" s="614"/>
      <c r="W119" s="614"/>
      <c r="X119" s="614"/>
      <c r="Y119" s="614"/>
      <c r="Z119" s="614"/>
      <c r="AA119" s="614"/>
      <c r="AB119" s="614"/>
      <c r="AC119" s="614"/>
      <c r="AD119" s="614"/>
      <c r="AE119" s="614"/>
      <c r="AF119" s="614"/>
      <c r="AG119" s="614"/>
      <c r="AH119" s="614"/>
      <c r="AI119" s="614"/>
      <c r="AJ119" s="778"/>
      <c r="AN119" s="497"/>
      <c r="AO119" s="497"/>
      <c r="AP119" s="497"/>
      <c r="AQ119" s="497"/>
    </row>
    <row r="120" spans="1:43" s="496" customFormat="1" ht="12.75" x14ac:dyDescent="0.2">
      <c r="A120" s="498"/>
      <c r="B120" s="524" t="s">
        <v>1145</v>
      </c>
      <c r="C120" s="793"/>
      <c r="E120" s="613"/>
      <c r="H120" s="613"/>
      <c r="I120" s="495"/>
      <c r="J120" s="495"/>
      <c r="K120" s="613"/>
      <c r="M120" s="500"/>
      <c r="N120" s="613"/>
      <c r="P120" s="500"/>
      <c r="Q120" s="613"/>
      <c r="S120" s="500"/>
      <c r="T120" s="614"/>
      <c r="U120" s="614"/>
      <c r="V120" s="614"/>
      <c r="W120" s="614"/>
      <c r="X120" s="614"/>
      <c r="Y120" s="614"/>
      <c r="Z120" s="614"/>
      <c r="AA120" s="614"/>
      <c r="AB120" s="614"/>
      <c r="AC120" s="614"/>
      <c r="AD120" s="614"/>
      <c r="AE120" s="614"/>
      <c r="AF120" s="614"/>
      <c r="AG120" s="614"/>
      <c r="AH120" s="614"/>
      <c r="AI120" s="614"/>
      <c r="AJ120" s="778"/>
      <c r="AN120" s="497"/>
      <c r="AO120" s="497"/>
      <c r="AP120" s="497"/>
      <c r="AQ120" s="497"/>
    </row>
    <row r="121" spans="1:43" s="496" customFormat="1" ht="12.75" x14ac:dyDescent="0.2">
      <c r="A121" s="498"/>
      <c r="B121" s="569" t="s">
        <v>1146</v>
      </c>
      <c r="C121" s="793"/>
      <c r="E121" s="613"/>
      <c r="H121" s="613"/>
      <c r="I121" s="495"/>
      <c r="J121" s="495"/>
      <c r="K121" s="613"/>
      <c r="M121" s="500"/>
      <c r="N121" s="613"/>
      <c r="P121" s="500"/>
      <c r="Q121" s="613"/>
      <c r="S121" s="500"/>
      <c r="T121" s="614"/>
      <c r="U121" s="614"/>
      <c r="V121" s="614"/>
      <c r="W121" s="614"/>
      <c r="X121" s="614"/>
      <c r="Y121" s="614"/>
      <c r="Z121" s="614"/>
      <c r="AA121" s="614"/>
      <c r="AB121" s="614"/>
      <c r="AC121" s="614"/>
      <c r="AD121" s="614"/>
      <c r="AE121" s="614"/>
      <c r="AF121" s="614"/>
      <c r="AG121" s="614"/>
      <c r="AH121" s="614"/>
      <c r="AI121" s="614"/>
      <c r="AJ121" s="778"/>
      <c r="AN121" s="497"/>
      <c r="AO121" s="497"/>
      <c r="AP121" s="497"/>
      <c r="AQ121" s="497"/>
    </row>
    <row r="122" spans="1:43" s="496" customFormat="1" ht="12.75" x14ac:dyDescent="0.2">
      <c r="A122" s="498"/>
      <c r="B122" s="569" t="s">
        <v>1147</v>
      </c>
      <c r="C122" s="793"/>
      <c r="E122" s="613"/>
      <c r="H122" s="613"/>
      <c r="I122" s="495"/>
      <c r="J122" s="495"/>
      <c r="K122" s="613"/>
      <c r="M122" s="500"/>
      <c r="N122" s="613"/>
      <c r="P122" s="500"/>
      <c r="Q122" s="613"/>
      <c r="S122" s="500"/>
      <c r="T122" s="614"/>
      <c r="U122" s="614"/>
      <c r="V122" s="614"/>
      <c r="W122" s="614"/>
      <c r="X122" s="614"/>
      <c r="Y122" s="614"/>
      <c r="Z122" s="614"/>
      <c r="AA122" s="614"/>
      <c r="AB122" s="614"/>
      <c r="AC122" s="614"/>
      <c r="AD122" s="614"/>
      <c r="AE122" s="614"/>
      <c r="AF122" s="614"/>
      <c r="AG122" s="614"/>
      <c r="AH122" s="614"/>
      <c r="AI122" s="614"/>
      <c r="AJ122" s="778"/>
      <c r="AN122" s="497"/>
      <c r="AO122" s="497"/>
      <c r="AP122" s="497"/>
      <c r="AQ122" s="497"/>
    </row>
    <row r="123" spans="1:43" s="496" customFormat="1" ht="12.75" x14ac:dyDescent="0.2">
      <c r="A123" s="498"/>
      <c r="B123" s="615" t="s">
        <v>945</v>
      </c>
      <c r="C123" s="876"/>
      <c r="E123" s="616"/>
      <c r="H123" s="616"/>
      <c r="I123" s="495"/>
      <c r="J123" s="495"/>
      <c r="K123" s="616"/>
      <c r="M123" s="500"/>
      <c r="N123" s="616"/>
      <c r="P123" s="500"/>
      <c r="Q123" s="616"/>
      <c r="S123" s="500"/>
      <c r="T123" s="616">
        <f>IF(AND(N123=0,H123=0),0,T228)</f>
        <v>0</v>
      </c>
      <c r="U123" s="616">
        <f t="shared" ref="U123:AI123" si="121">IF(T123=0,0,U228)</f>
        <v>0</v>
      </c>
      <c r="V123" s="616">
        <f t="shared" si="121"/>
        <v>0</v>
      </c>
      <c r="W123" s="616">
        <f t="shared" si="121"/>
        <v>0</v>
      </c>
      <c r="X123" s="616">
        <f t="shared" si="121"/>
        <v>0</v>
      </c>
      <c r="Y123" s="616">
        <f t="shared" si="121"/>
        <v>0</v>
      </c>
      <c r="Z123" s="616">
        <f t="shared" si="121"/>
        <v>0</v>
      </c>
      <c r="AA123" s="616">
        <f t="shared" si="121"/>
        <v>0</v>
      </c>
      <c r="AB123" s="616">
        <f t="shared" si="121"/>
        <v>0</v>
      </c>
      <c r="AC123" s="616">
        <f t="shared" si="121"/>
        <v>0</v>
      </c>
      <c r="AD123" s="616">
        <f t="shared" si="121"/>
        <v>0</v>
      </c>
      <c r="AE123" s="616">
        <f t="shared" si="121"/>
        <v>0</v>
      </c>
      <c r="AF123" s="616">
        <f t="shared" si="121"/>
        <v>0</v>
      </c>
      <c r="AG123" s="616">
        <f t="shared" si="121"/>
        <v>0</v>
      </c>
      <c r="AH123" s="616">
        <f t="shared" si="121"/>
        <v>0</v>
      </c>
      <c r="AI123" s="616">
        <f t="shared" si="121"/>
        <v>0</v>
      </c>
      <c r="AJ123" s="778"/>
      <c r="AN123" s="497"/>
      <c r="AO123" s="497"/>
      <c r="AP123" s="497"/>
      <c r="AQ123" s="497"/>
    </row>
    <row r="124" spans="1:43" s="609" customFormat="1" ht="12.75" x14ac:dyDescent="0.25">
      <c r="A124" s="605"/>
      <c r="B124" s="617" t="s">
        <v>1107</v>
      </c>
      <c r="C124" s="877">
        <f>C113+C114-C115+C116-C117+C118+C119-C120+C121-C122-C123</f>
        <v>0</v>
      </c>
      <c r="E124" s="617">
        <f>E113+E114-E115+E116-E117+E118+E119-E120+E121-E122-E123</f>
        <v>0</v>
      </c>
      <c r="H124" s="617">
        <f>H113+H114-H115+H116-H117+H118+H119-H120+H121-H122-H123</f>
        <v>0</v>
      </c>
      <c r="I124" s="873"/>
      <c r="J124" s="873"/>
      <c r="K124" s="617">
        <f>K113+K114-K115+K116-K117+K118+K119-K120+K121-K122-K123</f>
        <v>0</v>
      </c>
      <c r="M124" s="874"/>
      <c r="N124" s="617">
        <f>N113+N114-N115+N116-N117+N118+N119-N120+N121-N122-N123</f>
        <v>0</v>
      </c>
      <c r="P124" s="874"/>
      <c r="Q124" s="617">
        <f>Q113+Q114-Q115+Q116-Q117+Q118+Q119-Q120+Q121-Q122-Q123</f>
        <v>0</v>
      </c>
      <c r="S124" s="874"/>
      <c r="T124" s="617">
        <f t="shared" ref="T124:AI124" si="122">T113+T114-T115+T116-T117+T118+T119-T120+T121-T122-T123</f>
        <v>0</v>
      </c>
      <c r="U124" s="617">
        <f t="shared" si="122"/>
        <v>0</v>
      </c>
      <c r="V124" s="617">
        <f t="shared" si="122"/>
        <v>0</v>
      </c>
      <c r="W124" s="617">
        <f t="shared" si="122"/>
        <v>0</v>
      </c>
      <c r="X124" s="617">
        <f t="shared" si="122"/>
        <v>0</v>
      </c>
      <c r="Y124" s="617">
        <f t="shared" si="122"/>
        <v>0</v>
      </c>
      <c r="Z124" s="617">
        <f t="shared" si="122"/>
        <v>0</v>
      </c>
      <c r="AA124" s="617">
        <f t="shared" si="122"/>
        <v>0</v>
      </c>
      <c r="AB124" s="617">
        <f t="shared" si="122"/>
        <v>0</v>
      </c>
      <c r="AC124" s="617">
        <f t="shared" si="122"/>
        <v>0</v>
      </c>
      <c r="AD124" s="617">
        <f t="shared" si="122"/>
        <v>0</v>
      </c>
      <c r="AE124" s="617">
        <f t="shared" si="122"/>
        <v>0</v>
      </c>
      <c r="AF124" s="617">
        <f t="shared" si="122"/>
        <v>0</v>
      </c>
      <c r="AG124" s="617">
        <f t="shared" si="122"/>
        <v>0</v>
      </c>
      <c r="AH124" s="617">
        <f t="shared" si="122"/>
        <v>0</v>
      </c>
      <c r="AI124" s="617">
        <f t="shared" si="122"/>
        <v>0</v>
      </c>
      <c r="AJ124" s="875"/>
    </row>
    <row r="125" spans="1:43" s="496" customFormat="1" ht="12.75" x14ac:dyDescent="0.2">
      <c r="A125" s="498"/>
      <c r="B125" s="619" t="s">
        <v>1148</v>
      </c>
      <c r="C125" s="878">
        <f>C124</f>
        <v>0</v>
      </c>
      <c r="E125" s="619">
        <f>E124</f>
        <v>0</v>
      </c>
      <c r="H125" s="619">
        <f>H124</f>
        <v>0</v>
      </c>
      <c r="I125" s="495"/>
      <c r="J125" s="495"/>
      <c r="K125" s="619">
        <f>K124</f>
        <v>0</v>
      </c>
      <c r="M125" s="500"/>
      <c r="N125" s="619">
        <f>N124</f>
        <v>0</v>
      </c>
      <c r="P125" s="500"/>
      <c r="Q125" s="619">
        <f>Q124</f>
        <v>0</v>
      </c>
      <c r="S125" s="500"/>
      <c r="T125" s="619">
        <f t="shared" ref="T125:AI125" si="123">T124</f>
        <v>0</v>
      </c>
      <c r="U125" s="619">
        <f t="shared" si="123"/>
        <v>0</v>
      </c>
      <c r="V125" s="619">
        <f t="shared" si="123"/>
        <v>0</v>
      </c>
      <c r="W125" s="619">
        <f t="shared" si="123"/>
        <v>0</v>
      </c>
      <c r="X125" s="619">
        <f t="shared" si="123"/>
        <v>0</v>
      </c>
      <c r="Y125" s="619">
        <f t="shared" si="123"/>
        <v>0</v>
      </c>
      <c r="Z125" s="619">
        <f t="shared" si="123"/>
        <v>0</v>
      </c>
      <c r="AA125" s="619">
        <f t="shared" si="123"/>
        <v>0</v>
      </c>
      <c r="AB125" s="619">
        <f t="shared" si="123"/>
        <v>0</v>
      </c>
      <c r="AC125" s="619">
        <f t="shared" si="123"/>
        <v>0</v>
      </c>
      <c r="AD125" s="619">
        <f t="shared" si="123"/>
        <v>0</v>
      </c>
      <c r="AE125" s="619">
        <f t="shared" si="123"/>
        <v>0</v>
      </c>
      <c r="AF125" s="619">
        <f t="shared" si="123"/>
        <v>0</v>
      </c>
      <c r="AG125" s="619">
        <f t="shared" si="123"/>
        <v>0</v>
      </c>
      <c r="AH125" s="619">
        <f t="shared" si="123"/>
        <v>0</v>
      </c>
      <c r="AI125" s="619">
        <f t="shared" si="123"/>
        <v>0</v>
      </c>
      <c r="AJ125" s="778"/>
      <c r="AN125" s="497"/>
      <c r="AO125" s="497"/>
      <c r="AP125" s="497"/>
      <c r="AQ125" s="497"/>
    </row>
    <row r="126" spans="1:43" s="496" customFormat="1" ht="12.75" x14ac:dyDescent="0.2">
      <c r="A126" s="498"/>
      <c r="B126" s="621" t="s">
        <v>1149</v>
      </c>
      <c r="C126" s="879">
        <f>C124-C77</f>
        <v>0</v>
      </c>
      <c r="E126" s="622">
        <f>E124-E77</f>
        <v>0</v>
      </c>
      <c r="H126" s="622">
        <f>H124-H77</f>
        <v>0</v>
      </c>
      <c r="I126" s="495"/>
      <c r="J126" s="495"/>
      <c r="K126" s="622">
        <f>K124-K77</f>
        <v>0</v>
      </c>
      <c r="M126" s="500"/>
      <c r="N126" s="622">
        <f>N124-N77</f>
        <v>0</v>
      </c>
      <c r="P126" s="500"/>
      <c r="Q126" s="622">
        <f>Q124-Q77</f>
        <v>0</v>
      </c>
      <c r="S126" s="500"/>
      <c r="T126" s="622">
        <f t="shared" ref="T126:AI126" si="124">T124-T77</f>
        <v>0</v>
      </c>
      <c r="U126" s="622">
        <f t="shared" si="124"/>
        <v>0</v>
      </c>
      <c r="V126" s="622">
        <f t="shared" si="124"/>
        <v>0</v>
      </c>
      <c r="W126" s="622">
        <f t="shared" si="124"/>
        <v>0</v>
      </c>
      <c r="X126" s="622">
        <f t="shared" si="124"/>
        <v>0</v>
      </c>
      <c r="Y126" s="622">
        <f t="shared" si="124"/>
        <v>0</v>
      </c>
      <c r="Z126" s="622">
        <f t="shared" si="124"/>
        <v>0</v>
      </c>
      <c r="AA126" s="622">
        <f t="shared" si="124"/>
        <v>0</v>
      </c>
      <c r="AB126" s="622">
        <f t="shared" si="124"/>
        <v>0</v>
      </c>
      <c r="AC126" s="622">
        <f t="shared" si="124"/>
        <v>0</v>
      </c>
      <c r="AD126" s="622">
        <f t="shared" si="124"/>
        <v>0</v>
      </c>
      <c r="AE126" s="622">
        <f t="shared" si="124"/>
        <v>0</v>
      </c>
      <c r="AF126" s="622">
        <f t="shared" si="124"/>
        <v>0</v>
      </c>
      <c r="AG126" s="622">
        <f t="shared" si="124"/>
        <v>0</v>
      </c>
      <c r="AH126" s="622">
        <f t="shared" si="124"/>
        <v>0</v>
      </c>
      <c r="AI126" s="622">
        <f t="shared" si="124"/>
        <v>0</v>
      </c>
      <c r="AJ126" s="778"/>
      <c r="AN126" s="497"/>
      <c r="AO126" s="497"/>
      <c r="AP126" s="497"/>
      <c r="AQ126" s="497"/>
    </row>
    <row r="127" spans="1:43" s="496" customFormat="1" ht="12.75" x14ac:dyDescent="0.2">
      <c r="A127" s="498"/>
      <c r="B127" s="603"/>
      <c r="I127" s="495"/>
      <c r="J127" s="495"/>
      <c r="M127" s="500"/>
      <c r="P127" s="500"/>
      <c r="S127" s="500"/>
      <c r="V127" s="495"/>
      <c r="W127" s="495"/>
      <c r="X127" s="495"/>
      <c r="Y127" s="495"/>
      <c r="Z127" s="495"/>
      <c r="AA127" s="495"/>
      <c r="AB127" s="495"/>
      <c r="AC127" s="495"/>
      <c r="AD127" s="495"/>
      <c r="AE127" s="589"/>
      <c r="AJ127" s="778"/>
      <c r="AN127" s="497"/>
      <c r="AO127" s="497"/>
      <c r="AP127" s="497"/>
      <c r="AQ127" s="497"/>
    </row>
    <row r="128" spans="1:43" s="496" customFormat="1" ht="12.75" x14ac:dyDescent="0.2">
      <c r="A128" s="498"/>
      <c r="B128" s="603"/>
      <c r="I128" s="495"/>
      <c r="J128" s="495"/>
      <c r="K128" s="495"/>
      <c r="M128" s="500"/>
      <c r="N128" s="495"/>
      <c r="P128" s="500"/>
      <c r="Q128" s="495"/>
      <c r="S128" s="500"/>
      <c r="T128" s="500"/>
      <c r="AJ128" s="778"/>
      <c r="AN128" s="497"/>
      <c r="AO128" s="497"/>
      <c r="AP128" s="497"/>
      <c r="AQ128" s="497"/>
    </row>
    <row r="129" spans="1:36" s="496" customFormat="1" ht="12.75" x14ac:dyDescent="0.25">
      <c r="A129" s="498"/>
      <c r="B129" s="507"/>
      <c r="C129" s="625"/>
      <c r="E129" s="625"/>
      <c r="H129" s="625"/>
      <c r="I129" s="495"/>
      <c r="J129" s="495"/>
      <c r="K129" s="625"/>
      <c r="M129" s="500"/>
      <c r="N129" s="625"/>
      <c r="P129" s="500"/>
      <c r="Q129" s="625"/>
      <c r="S129" s="500"/>
      <c r="T129" s="625"/>
      <c r="U129" s="625"/>
      <c r="V129" s="627"/>
      <c r="W129" s="627"/>
      <c r="X129" s="627"/>
      <c r="Y129" s="627"/>
      <c r="Z129" s="627"/>
      <c r="AA129" s="627"/>
      <c r="AB129" s="627"/>
      <c r="AC129" s="627"/>
      <c r="AD129" s="627"/>
      <c r="AJ129" s="778"/>
    </row>
    <row r="130" spans="1:36" s="496" customFormat="1" ht="12.75" x14ac:dyDescent="0.25">
      <c r="A130" s="498"/>
      <c r="B130" s="507"/>
      <c r="C130" s="625"/>
      <c r="E130" s="625"/>
      <c r="H130" s="625"/>
      <c r="I130" s="495"/>
      <c r="J130" s="495"/>
      <c r="K130" s="625"/>
      <c r="M130" s="500"/>
      <c r="N130" s="625"/>
      <c r="P130" s="500"/>
      <c r="Q130" s="625"/>
      <c r="S130" s="500"/>
      <c r="T130" s="625"/>
      <c r="U130" s="625"/>
      <c r="V130" s="627"/>
      <c r="W130" s="627"/>
      <c r="X130" s="627"/>
      <c r="Y130" s="627"/>
      <c r="Z130" s="627"/>
      <c r="AA130" s="627"/>
      <c r="AB130" s="627"/>
      <c r="AC130" s="627"/>
      <c r="AD130" s="627"/>
      <c r="AJ130" s="778"/>
    </row>
    <row r="131" spans="1:36" s="496" customFormat="1" ht="12.75" x14ac:dyDescent="0.25">
      <c r="A131" s="498"/>
      <c r="B131" s="603"/>
      <c r="I131" s="495"/>
      <c r="J131" s="495"/>
      <c r="M131" s="500"/>
      <c r="P131" s="500"/>
      <c r="S131" s="500"/>
      <c r="V131" s="495"/>
      <c r="W131" s="495"/>
      <c r="X131" s="495"/>
      <c r="Y131" s="495"/>
      <c r="Z131" s="495"/>
      <c r="AA131" s="495"/>
      <c r="AB131" s="495"/>
      <c r="AC131" s="495"/>
      <c r="AD131" s="495"/>
      <c r="AJ131" s="778"/>
    </row>
    <row r="132" spans="1:36" s="496" customFormat="1" ht="15" x14ac:dyDescent="0.25">
      <c r="A132" s="498"/>
      <c r="B132" s="628" t="str">
        <f>B14</f>
        <v>Prueba Da 27.08.23</v>
      </c>
      <c r="C132" s="632"/>
      <c r="I132" s="495"/>
      <c r="J132" s="495"/>
      <c r="M132" s="500"/>
      <c r="P132" s="500"/>
      <c r="S132" s="500"/>
      <c r="T132" s="502" t="str">
        <f>IF($W$241="SI","ESCENARIO "&amp;$V$242,0)</f>
        <v>ESCENARIO BASE</v>
      </c>
      <c r="V132" s="495"/>
      <c r="W132" s="495"/>
      <c r="X132" s="495"/>
      <c r="Y132" s="495"/>
      <c r="Z132" s="495"/>
      <c r="AA132" s="495"/>
      <c r="AB132" s="495"/>
      <c r="AC132" s="495"/>
      <c r="AD132" s="495"/>
      <c r="AE132" s="630"/>
      <c r="AJ132" s="778"/>
    </row>
    <row r="133" spans="1:36" s="496" customFormat="1" ht="12.75" x14ac:dyDescent="0.25">
      <c r="A133" s="498"/>
      <c r="B133" s="631">
        <f ca="1">NOW()</f>
        <v>45165.397987962962</v>
      </c>
      <c r="C133" s="880" t="str">
        <f>C13</f>
        <v>Miles de Lempira HNL</v>
      </c>
      <c r="E133" s="632"/>
      <c r="H133" s="632"/>
      <c r="I133" s="495"/>
      <c r="J133" s="495"/>
      <c r="K133" s="632"/>
      <c r="M133" s="500"/>
      <c r="N133" s="632"/>
      <c r="P133" s="500"/>
      <c r="Q133" s="632"/>
      <c r="S133" s="500"/>
      <c r="T133" s="634" t="s">
        <v>1044</v>
      </c>
      <c r="U133" s="634" t="s">
        <v>1044</v>
      </c>
      <c r="V133" s="634" t="s">
        <v>1044</v>
      </c>
      <c r="W133" s="634" t="s">
        <v>1044</v>
      </c>
      <c r="X133" s="634" t="s">
        <v>1044</v>
      </c>
      <c r="Y133" s="634" t="s">
        <v>1044</v>
      </c>
      <c r="Z133" s="634" t="s">
        <v>1044</v>
      </c>
      <c r="AA133" s="634" t="s">
        <v>1044</v>
      </c>
      <c r="AB133" s="634" t="s">
        <v>1044</v>
      </c>
      <c r="AC133" s="634" t="s">
        <v>1044</v>
      </c>
      <c r="AD133" s="634" t="s">
        <v>1044</v>
      </c>
      <c r="AE133" s="634" t="s">
        <v>1044</v>
      </c>
      <c r="AF133" s="634" t="s">
        <v>1044</v>
      </c>
      <c r="AG133" s="634" t="s">
        <v>1044</v>
      </c>
      <c r="AH133" s="634" t="s">
        <v>1044</v>
      </c>
      <c r="AI133" s="634" t="s">
        <v>1044</v>
      </c>
      <c r="AJ133" s="778"/>
    </row>
    <row r="134" spans="1:36" s="496" customFormat="1" ht="15" x14ac:dyDescent="0.25">
      <c r="A134" s="498"/>
      <c r="B134" s="635" t="str">
        <f>"FLUJO DE CAJA "&amp;IF($R$956&lt;&gt;$E$913," - CORTE "&amp;Q16,0)</f>
        <v>FLUJO DE CAJA 0</v>
      </c>
      <c r="C134" s="881"/>
      <c r="E134" s="636">
        <f>E15</f>
        <v>2019</v>
      </c>
      <c r="H134" s="636">
        <f>H15</f>
        <v>2020</v>
      </c>
      <c r="I134" s="495"/>
      <c r="J134" s="495"/>
      <c r="K134" s="636">
        <f>K15</f>
        <v>2020</v>
      </c>
      <c r="M134" s="500"/>
      <c r="N134" s="636">
        <f>N15</f>
        <v>2021</v>
      </c>
      <c r="P134" s="500"/>
      <c r="Q134" s="636">
        <f>Q15</f>
        <v>2021</v>
      </c>
      <c r="S134" s="500"/>
      <c r="T134" s="638">
        <f t="shared" ref="T134:AI134" si="125">T15</f>
        <v>2022</v>
      </c>
      <c r="U134" s="638">
        <f t="shared" si="125"/>
        <v>2023</v>
      </c>
      <c r="V134" s="638">
        <f t="shared" si="125"/>
        <v>2024</v>
      </c>
      <c r="W134" s="638">
        <f t="shared" si="125"/>
        <v>2025</v>
      </c>
      <c r="X134" s="638">
        <f t="shared" si="125"/>
        <v>2026</v>
      </c>
      <c r="Y134" s="638">
        <f t="shared" si="125"/>
        <v>2027</v>
      </c>
      <c r="Z134" s="638">
        <f t="shared" si="125"/>
        <v>2028</v>
      </c>
      <c r="AA134" s="638">
        <f t="shared" si="125"/>
        <v>2029</v>
      </c>
      <c r="AB134" s="638">
        <f t="shared" si="125"/>
        <v>2030</v>
      </c>
      <c r="AC134" s="638">
        <f t="shared" si="125"/>
        <v>2031</v>
      </c>
      <c r="AD134" s="638">
        <f t="shared" si="125"/>
        <v>2032</v>
      </c>
      <c r="AE134" s="638">
        <f t="shared" si="125"/>
        <v>2033</v>
      </c>
      <c r="AF134" s="638">
        <f t="shared" si="125"/>
        <v>2034</v>
      </c>
      <c r="AG134" s="638">
        <f t="shared" si="125"/>
        <v>2035</v>
      </c>
      <c r="AH134" s="638">
        <f t="shared" si="125"/>
        <v>2036</v>
      </c>
      <c r="AI134" s="638">
        <f t="shared" si="125"/>
        <v>2037</v>
      </c>
      <c r="AJ134" s="778"/>
    </row>
    <row r="135" spans="1:36" s="496" customFormat="1" ht="15" x14ac:dyDescent="0.25">
      <c r="A135" s="498"/>
      <c r="B135" s="639" t="s">
        <v>871</v>
      </c>
      <c r="C135" s="882"/>
      <c r="E135" s="638">
        <f>E17</f>
        <v>360</v>
      </c>
      <c r="H135" s="638">
        <f>H17</f>
        <v>360</v>
      </c>
      <c r="I135" s="495"/>
      <c r="J135" s="495"/>
      <c r="K135" s="638">
        <f>K17</f>
        <v>180</v>
      </c>
      <c r="M135" s="500"/>
      <c r="N135" s="638">
        <f>N17</f>
        <v>360</v>
      </c>
      <c r="P135" s="500"/>
      <c r="Q135" s="638">
        <f>Q17</f>
        <v>180</v>
      </c>
      <c r="S135" s="500"/>
      <c r="T135" s="638">
        <f t="shared" ref="T135:AI135" si="126">T17</f>
        <v>360</v>
      </c>
      <c r="U135" s="638">
        <f t="shared" si="126"/>
        <v>360</v>
      </c>
      <c r="V135" s="638">
        <f t="shared" si="126"/>
        <v>360</v>
      </c>
      <c r="W135" s="638">
        <f t="shared" si="126"/>
        <v>360</v>
      </c>
      <c r="X135" s="638">
        <f t="shared" si="126"/>
        <v>360</v>
      </c>
      <c r="Y135" s="638">
        <f t="shared" si="126"/>
        <v>360</v>
      </c>
      <c r="Z135" s="638">
        <f t="shared" si="126"/>
        <v>360</v>
      </c>
      <c r="AA135" s="638">
        <f t="shared" si="126"/>
        <v>360</v>
      </c>
      <c r="AB135" s="638">
        <f t="shared" si="126"/>
        <v>360</v>
      </c>
      <c r="AC135" s="638">
        <f t="shared" si="126"/>
        <v>360</v>
      </c>
      <c r="AD135" s="638">
        <f t="shared" si="126"/>
        <v>360</v>
      </c>
      <c r="AE135" s="638">
        <f t="shared" si="126"/>
        <v>360</v>
      </c>
      <c r="AF135" s="638">
        <f t="shared" si="126"/>
        <v>360</v>
      </c>
      <c r="AG135" s="638">
        <f t="shared" si="126"/>
        <v>360</v>
      </c>
      <c r="AH135" s="638">
        <f t="shared" si="126"/>
        <v>360</v>
      </c>
      <c r="AI135" s="638">
        <f t="shared" si="126"/>
        <v>360</v>
      </c>
      <c r="AJ135" s="778"/>
    </row>
    <row r="136" spans="1:36" s="496" customFormat="1" ht="12.75" x14ac:dyDescent="0.25">
      <c r="A136" s="640">
        <v>1</v>
      </c>
      <c r="B136" s="641" t="s">
        <v>826</v>
      </c>
      <c r="C136" s="883"/>
      <c r="E136" s="642">
        <f>E75</f>
        <v>2810</v>
      </c>
      <c r="H136" s="642">
        <f>H75</f>
        <v>2810</v>
      </c>
      <c r="I136" s="495"/>
      <c r="J136" s="495"/>
      <c r="K136" s="642">
        <f>K75</f>
        <v>2810</v>
      </c>
      <c r="M136" s="500"/>
      <c r="N136" s="642">
        <f>N75</f>
        <v>2810</v>
      </c>
      <c r="P136" s="500"/>
      <c r="Q136" s="642">
        <f>Q75</f>
        <v>2810</v>
      </c>
      <c r="S136" s="500"/>
      <c r="T136" s="644">
        <f t="shared" ref="T136:AI136" si="127">T75</f>
        <v>2810</v>
      </c>
      <c r="U136" s="644">
        <f t="shared" si="127"/>
        <v>2810</v>
      </c>
      <c r="V136" s="644">
        <f t="shared" si="127"/>
        <v>2810</v>
      </c>
      <c r="W136" s="644">
        <f t="shared" si="127"/>
        <v>2810</v>
      </c>
      <c r="X136" s="644">
        <f t="shared" si="127"/>
        <v>2810</v>
      </c>
      <c r="Y136" s="644">
        <f t="shared" si="127"/>
        <v>2810</v>
      </c>
      <c r="Z136" s="644">
        <f t="shared" si="127"/>
        <v>2810</v>
      </c>
      <c r="AA136" s="644">
        <f t="shared" si="127"/>
        <v>2810</v>
      </c>
      <c r="AB136" s="644">
        <f t="shared" si="127"/>
        <v>2810</v>
      </c>
      <c r="AC136" s="644">
        <f t="shared" si="127"/>
        <v>2810</v>
      </c>
      <c r="AD136" s="644">
        <f t="shared" si="127"/>
        <v>2810</v>
      </c>
      <c r="AE136" s="644">
        <f t="shared" si="127"/>
        <v>2810</v>
      </c>
      <c r="AF136" s="644">
        <f t="shared" si="127"/>
        <v>2810</v>
      </c>
      <c r="AG136" s="644">
        <f t="shared" si="127"/>
        <v>2810</v>
      </c>
      <c r="AH136" s="644">
        <f t="shared" si="127"/>
        <v>2810</v>
      </c>
      <c r="AI136" s="644">
        <f t="shared" si="127"/>
        <v>2810</v>
      </c>
      <c r="AJ136" s="778"/>
    </row>
    <row r="137" spans="1:36" s="496" customFormat="1" ht="12.75" x14ac:dyDescent="0.25">
      <c r="A137" s="645">
        <v>2</v>
      </c>
      <c r="B137" s="646" t="s">
        <v>1150</v>
      </c>
      <c r="C137" s="884"/>
      <c r="E137" s="647">
        <f>SUM(E90:E92)</f>
        <v>40</v>
      </c>
      <c r="H137" s="647">
        <f>SUM(H90:H92)</f>
        <v>40</v>
      </c>
      <c r="I137" s="495"/>
      <c r="J137" s="495"/>
      <c r="K137" s="647">
        <f>SUM(K90:K92)</f>
        <v>40</v>
      </c>
      <c r="M137" s="500"/>
      <c r="N137" s="647">
        <f>SUM(N90:N92)</f>
        <v>40</v>
      </c>
      <c r="P137" s="500"/>
      <c r="Q137" s="647">
        <f>SUM(Q90:Q92)</f>
        <v>40</v>
      </c>
      <c r="S137" s="500"/>
      <c r="T137" s="648">
        <f t="shared" ref="T137:AI137" si="128">SUM(T90:T92)</f>
        <v>53.2</v>
      </c>
      <c r="U137" s="648">
        <f t="shared" si="128"/>
        <v>66.400000000000006</v>
      </c>
      <c r="V137" s="648">
        <f t="shared" si="128"/>
        <v>79.600000000000009</v>
      </c>
      <c r="W137" s="648">
        <f t="shared" si="128"/>
        <v>92.800000000000011</v>
      </c>
      <c r="X137" s="648">
        <f t="shared" si="128"/>
        <v>106.00000000000001</v>
      </c>
      <c r="Y137" s="648">
        <f t="shared" si="128"/>
        <v>119.20000000000002</v>
      </c>
      <c r="Z137" s="648">
        <f t="shared" si="128"/>
        <v>132.4</v>
      </c>
      <c r="AA137" s="648">
        <f t="shared" si="128"/>
        <v>145.60000000000002</v>
      </c>
      <c r="AB137" s="648">
        <f t="shared" si="128"/>
        <v>158.80000000000001</v>
      </c>
      <c r="AC137" s="648">
        <f t="shared" si="128"/>
        <v>172</v>
      </c>
      <c r="AD137" s="648">
        <f t="shared" si="128"/>
        <v>185.2</v>
      </c>
      <c r="AE137" s="648">
        <f t="shared" si="128"/>
        <v>198.39999999999995</v>
      </c>
      <c r="AF137" s="648">
        <f t="shared" si="128"/>
        <v>211.59999999999994</v>
      </c>
      <c r="AG137" s="648">
        <f t="shared" si="128"/>
        <v>224.79999999999993</v>
      </c>
      <c r="AH137" s="648">
        <f t="shared" si="128"/>
        <v>237.99999999999991</v>
      </c>
      <c r="AI137" s="648">
        <f t="shared" si="128"/>
        <v>251.1999999999999</v>
      </c>
      <c r="AJ137" s="778"/>
    </row>
    <row r="138" spans="1:36" s="655" customFormat="1" ht="12.75" x14ac:dyDescent="0.25">
      <c r="A138" s="649"/>
      <c r="B138" s="650" t="s">
        <v>881</v>
      </c>
      <c r="C138" s="885"/>
      <c r="E138" s="651">
        <f>E136+E137</f>
        <v>2850</v>
      </c>
      <c r="H138" s="651">
        <f>H136+H137</f>
        <v>2850</v>
      </c>
      <c r="I138" s="886"/>
      <c r="J138" s="886"/>
      <c r="K138" s="651">
        <f>K136+K137</f>
        <v>2850</v>
      </c>
      <c r="M138" s="653"/>
      <c r="N138" s="651">
        <f>N136+N137</f>
        <v>2850</v>
      </c>
      <c r="P138" s="653"/>
      <c r="Q138" s="651">
        <f>Q136+Q137</f>
        <v>2850</v>
      </c>
      <c r="S138" s="653"/>
      <c r="T138" s="654">
        <f t="shared" ref="T138:AI138" si="129">T136+T137</f>
        <v>2863.2</v>
      </c>
      <c r="U138" s="654">
        <f t="shared" si="129"/>
        <v>2876.4</v>
      </c>
      <c r="V138" s="654">
        <f t="shared" si="129"/>
        <v>2889.6</v>
      </c>
      <c r="W138" s="654">
        <f t="shared" si="129"/>
        <v>2902.8</v>
      </c>
      <c r="X138" s="654">
        <f t="shared" si="129"/>
        <v>2916</v>
      </c>
      <c r="Y138" s="654">
        <f t="shared" si="129"/>
        <v>2929.2</v>
      </c>
      <c r="Z138" s="654">
        <f t="shared" si="129"/>
        <v>2942.4</v>
      </c>
      <c r="AA138" s="654">
        <f t="shared" si="129"/>
        <v>2955.6</v>
      </c>
      <c r="AB138" s="654">
        <f t="shared" si="129"/>
        <v>2968.8</v>
      </c>
      <c r="AC138" s="654">
        <f t="shared" si="129"/>
        <v>2982</v>
      </c>
      <c r="AD138" s="654">
        <f t="shared" si="129"/>
        <v>2995.2</v>
      </c>
      <c r="AE138" s="654">
        <f t="shared" si="129"/>
        <v>3008.4</v>
      </c>
      <c r="AF138" s="654">
        <f t="shared" si="129"/>
        <v>3021.6</v>
      </c>
      <c r="AG138" s="654">
        <f t="shared" si="129"/>
        <v>3034.7999999999997</v>
      </c>
      <c r="AH138" s="654">
        <f t="shared" si="129"/>
        <v>3048</v>
      </c>
      <c r="AI138" s="654">
        <f t="shared" si="129"/>
        <v>3061.2</v>
      </c>
      <c r="AJ138" s="887"/>
    </row>
    <row r="139" spans="1:36" s="655" customFormat="1" ht="12.75" x14ac:dyDescent="0.25">
      <c r="A139" s="640">
        <v>3</v>
      </c>
      <c r="B139" s="656" t="s">
        <v>1151</v>
      </c>
      <c r="C139" s="888"/>
      <c r="E139" s="644">
        <f>-C88</f>
        <v>0</v>
      </c>
      <c r="H139" s="644">
        <f>-E88</f>
        <v>0</v>
      </c>
      <c r="I139" s="886"/>
      <c r="J139" s="886"/>
      <c r="K139" s="644">
        <f>-H88</f>
        <v>0</v>
      </c>
      <c r="M139" s="653"/>
      <c r="N139" s="644">
        <f>-H88</f>
        <v>0</v>
      </c>
      <c r="P139" s="653"/>
      <c r="Q139" s="644">
        <f>IF(OR($C$3=$L$913,$C$3=0),-N88,-K88)</f>
        <v>0</v>
      </c>
      <c r="S139" s="653"/>
      <c r="T139" s="644">
        <f>-N88</f>
        <v>0</v>
      </c>
      <c r="U139" s="644">
        <f t="shared" ref="U139:AI139" si="130">-T88</f>
        <v>0</v>
      </c>
      <c r="V139" s="644">
        <f t="shared" si="130"/>
        <v>0</v>
      </c>
      <c r="W139" s="644">
        <f t="shared" si="130"/>
        <v>0</v>
      </c>
      <c r="X139" s="644">
        <f t="shared" si="130"/>
        <v>0</v>
      </c>
      <c r="Y139" s="644">
        <f t="shared" si="130"/>
        <v>0</v>
      </c>
      <c r="Z139" s="644">
        <f t="shared" si="130"/>
        <v>0</v>
      </c>
      <c r="AA139" s="644">
        <f t="shared" si="130"/>
        <v>0</v>
      </c>
      <c r="AB139" s="644">
        <f t="shared" si="130"/>
        <v>0</v>
      </c>
      <c r="AC139" s="644">
        <f t="shared" si="130"/>
        <v>0</v>
      </c>
      <c r="AD139" s="644">
        <f t="shared" si="130"/>
        <v>0</v>
      </c>
      <c r="AE139" s="644">
        <f t="shared" si="130"/>
        <v>0</v>
      </c>
      <c r="AF139" s="644">
        <f t="shared" si="130"/>
        <v>0</v>
      </c>
      <c r="AG139" s="644">
        <f t="shared" si="130"/>
        <v>0</v>
      </c>
      <c r="AH139" s="644">
        <f t="shared" si="130"/>
        <v>0</v>
      </c>
      <c r="AI139" s="644">
        <f t="shared" si="130"/>
        <v>0</v>
      </c>
      <c r="AJ139" s="887"/>
    </row>
    <row r="140" spans="1:36" s="632" customFormat="1" ht="12" x14ac:dyDescent="0.25">
      <c r="A140" s="645">
        <v>4</v>
      </c>
      <c r="B140" s="658" t="str">
        <f>"-  DIVIDENDOS PAGADOS "&amp;IF(AND($C$3=$L$914,Q234&lt;&gt;0),CONCATENATE("+ RESULTADO ",LEFT(K16,3),". '",RIGHT(TEXT(K15,"0.00"),2)," A ",LEFT(N16,3),". '",RIGHT(TEXT(N15,"0.00"),2)," (PARA EL FLUJO DE ",LEFT(Q16,3),". '",RIGHT(TEXT(Q15,"0.00"),2),")"),0)</f>
        <v>-  DIVIDENDOS PAGADOS 0</v>
      </c>
      <c r="C140" s="889"/>
      <c r="E140" s="648">
        <f>-E233</f>
        <v>0</v>
      </c>
      <c r="H140" s="648">
        <f>-H233</f>
        <v>-2810</v>
      </c>
      <c r="I140" s="890"/>
      <c r="J140" s="890"/>
      <c r="K140" s="648">
        <f>-K233</f>
        <v>-2810</v>
      </c>
      <c r="M140" s="659"/>
      <c r="N140" s="648">
        <f>-N233</f>
        <v>-2810</v>
      </c>
      <c r="P140" s="659"/>
      <c r="Q140" s="648">
        <f>IF(OR($C$3=$L$913,$C$3=0),-Q233,-Q233+Q234)</f>
        <v>-2810</v>
      </c>
      <c r="S140" s="659"/>
      <c r="T140" s="648">
        <f t="shared" ref="T140:AI140" si="131">-T233</f>
        <v>-1882.7000000000003</v>
      </c>
      <c r="U140" s="648">
        <f t="shared" si="131"/>
        <v>-1884.308</v>
      </c>
      <c r="V140" s="648">
        <f t="shared" si="131"/>
        <v>-1884.576</v>
      </c>
      <c r="W140" s="648">
        <f t="shared" si="131"/>
        <v>-1887.2560000000003</v>
      </c>
      <c r="X140" s="648">
        <f t="shared" si="131"/>
        <v>-1887.2560000000003</v>
      </c>
      <c r="Y140" s="648">
        <f t="shared" si="131"/>
        <v>-1887.2560000000003</v>
      </c>
      <c r="Z140" s="648">
        <f t="shared" si="131"/>
        <v>-1887.2559999999994</v>
      </c>
      <c r="AA140" s="648">
        <f t="shared" si="131"/>
        <v>-1887.2560000000012</v>
      </c>
      <c r="AB140" s="648">
        <f t="shared" si="131"/>
        <v>-1887.2559999999994</v>
      </c>
      <c r="AC140" s="648">
        <f t="shared" si="131"/>
        <v>-1887.2560000000012</v>
      </c>
      <c r="AD140" s="648">
        <f t="shared" si="131"/>
        <v>-1887.2559999999994</v>
      </c>
      <c r="AE140" s="648">
        <f t="shared" si="131"/>
        <v>-1887.2560000000012</v>
      </c>
      <c r="AF140" s="648">
        <f t="shared" si="131"/>
        <v>-1887.2559999999994</v>
      </c>
      <c r="AG140" s="648">
        <f t="shared" si="131"/>
        <v>-1887.2560000000012</v>
      </c>
      <c r="AH140" s="648">
        <f t="shared" si="131"/>
        <v>-1887.2559999999994</v>
      </c>
      <c r="AI140" s="648">
        <f t="shared" si="131"/>
        <v>-1887.2560000000012</v>
      </c>
      <c r="AJ140" s="891"/>
    </row>
    <row r="141" spans="1:36" s="632" customFormat="1" ht="12" x14ac:dyDescent="0.25">
      <c r="A141" s="660"/>
      <c r="B141" s="661" t="s">
        <v>1152</v>
      </c>
      <c r="C141" s="892"/>
      <c r="E141" s="662">
        <f>E138+E139+E140</f>
        <v>2850</v>
      </c>
      <c r="H141" s="662">
        <f>H138+H139+H140</f>
        <v>40</v>
      </c>
      <c r="I141" s="890"/>
      <c r="J141" s="890"/>
      <c r="K141" s="662">
        <f>K138+K139+K140</f>
        <v>40</v>
      </c>
      <c r="M141" s="664"/>
      <c r="N141" s="662">
        <f>N138+N139+N140</f>
        <v>40</v>
      </c>
      <c r="P141" s="664"/>
      <c r="Q141" s="662">
        <f>Q138+Q139+Q140</f>
        <v>40</v>
      </c>
      <c r="S141" s="664"/>
      <c r="T141" s="662">
        <f t="shared" ref="T141:AI141" si="132">T138+T139+T140</f>
        <v>980.49999999999955</v>
      </c>
      <c r="U141" s="662">
        <f t="shared" si="132"/>
        <v>992.0920000000001</v>
      </c>
      <c r="V141" s="662">
        <f t="shared" si="132"/>
        <v>1005.0239999999999</v>
      </c>
      <c r="W141" s="662">
        <f t="shared" si="132"/>
        <v>1015.5439999999999</v>
      </c>
      <c r="X141" s="662">
        <f t="shared" si="132"/>
        <v>1028.7439999999997</v>
      </c>
      <c r="Y141" s="662">
        <f t="shared" si="132"/>
        <v>1041.9439999999995</v>
      </c>
      <c r="Z141" s="662">
        <f t="shared" si="132"/>
        <v>1055.1440000000007</v>
      </c>
      <c r="AA141" s="662">
        <f t="shared" si="132"/>
        <v>1068.3439999999987</v>
      </c>
      <c r="AB141" s="662">
        <f t="shared" si="132"/>
        <v>1081.5440000000008</v>
      </c>
      <c r="AC141" s="662">
        <f t="shared" si="132"/>
        <v>1094.7439999999988</v>
      </c>
      <c r="AD141" s="662">
        <f t="shared" si="132"/>
        <v>1107.9440000000004</v>
      </c>
      <c r="AE141" s="662">
        <f t="shared" si="132"/>
        <v>1121.1439999999989</v>
      </c>
      <c r="AF141" s="662">
        <f t="shared" si="132"/>
        <v>1134.3440000000005</v>
      </c>
      <c r="AG141" s="662">
        <f t="shared" si="132"/>
        <v>1147.5439999999985</v>
      </c>
      <c r="AH141" s="662">
        <f t="shared" si="132"/>
        <v>1160.7440000000006</v>
      </c>
      <c r="AI141" s="662">
        <f t="shared" si="132"/>
        <v>1173.9439999999986</v>
      </c>
      <c r="AJ141" s="891"/>
    </row>
    <row r="142" spans="1:36" s="496" customFormat="1" ht="12.75" x14ac:dyDescent="0.25">
      <c r="A142" s="640">
        <v>5</v>
      </c>
      <c r="B142" s="656" t="s">
        <v>1153</v>
      </c>
      <c r="C142" s="888"/>
      <c r="E142" s="642">
        <f>-(E19-C19)</f>
        <v>-120</v>
      </c>
      <c r="H142" s="642">
        <f>-(H19-E19)</f>
        <v>0</v>
      </c>
      <c r="I142" s="495"/>
      <c r="J142" s="495"/>
      <c r="K142" s="642">
        <f>-(K19-H19)</f>
        <v>0</v>
      </c>
      <c r="M142" s="500"/>
      <c r="N142" s="642">
        <f>-(N19-H19)</f>
        <v>0</v>
      </c>
      <c r="P142" s="500"/>
      <c r="Q142" s="642">
        <f>IF(OR($C$3=$L$913,$C$3=0),-(Q19-N19),-(Q19-K19))</f>
        <v>0</v>
      </c>
      <c r="S142" s="500"/>
      <c r="T142" s="644">
        <f>-(T19-N19)</f>
        <v>0</v>
      </c>
      <c r="U142" s="644">
        <f t="shared" ref="U142:AI142" si="133">-(U19-T19)</f>
        <v>0</v>
      </c>
      <c r="V142" s="644">
        <f t="shared" si="133"/>
        <v>0</v>
      </c>
      <c r="W142" s="644">
        <f t="shared" si="133"/>
        <v>0</v>
      </c>
      <c r="X142" s="644">
        <f t="shared" si="133"/>
        <v>0</v>
      </c>
      <c r="Y142" s="644">
        <f t="shared" si="133"/>
        <v>0</v>
      </c>
      <c r="Z142" s="644">
        <f t="shared" si="133"/>
        <v>0</v>
      </c>
      <c r="AA142" s="644">
        <f t="shared" si="133"/>
        <v>0</v>
      </c>
      <c r="AB142" s="644">
        <f t="shared" si="133"/>
        <v>0</v>
      </c>
      <c r="AC142" s="644">
        <f t="shared" si="133"/>
        <v>0</v>
      </c>
      <c r="AD142" s="644">
        <f t="shared" si="133"/>
        <v>0</v>
      </c>
      <c r="AE142" s="644">
        <f t="shared" si="133"/>
        <v>0</v>
      </c>
      <c r="AF142" s="644">
        <f t="shared" si="133"/>
        <v>0</v>
      </c>
      <c r="AG142" s="644">
        <f t="shared" si="133"/>
        <v>0</v>
      </c>
      <c r="AH142" s="644">
        <f t="shared" si="133"/>
        <v>0</v>
      </c>
      <c r="AI142" s="644">
        <f t="shared" si="133"/>
        <v>0</v>
      </c>
      <c r="AJ142" s="778"/>
    </row>
    <row r="143" spans="1:36" s="496" customFormat="1" ht="12.75" x14ac:dyDescent="0.25">
      <c r="A143" s="665">
        <v>6</v>
      </c>
      <c r="B143" s="666" t="s">
        <v>1154</v>
      </c>
      <c r="C143" s="893"/>
      <c r="E143" s="667">
        <f>-(E21-E113-C21+C113)</f>
        <v>-360</v>
      </c>
      <c r="H143" s="667">
        <f>-(H21-H113-E21+E113)</f>
        <v>0</v>
      </c>
      <c r="I143" s="495"/>
      <c r="J143" s="495"/>
      <c r="K143" s="667">
        <f>-(K21-K113-H21+H113)</f>
        <v>0</v>
      </c>
      <c r="M143" s="500"/>
      <c r="N143" s="667">
        <f>-(N21-N113-H21+H113)</f>
        <v>0</v>
      </c>
      <c r="P143" s="500"/>
      <c r="Q143" s="667">
        <f>IF(OR($C$3=$L$913,$C$3=0),-(Q21-Q113-N21+N113),-(Q21-Q113-K21+K113))</f>
        <v>0</v>
      </c>
      <c r="S143" s="500"/>
      <c r="T143" s="668">
        <f>-(T21-T113-N21+N113)</f>
        <v>-5.6843418860808015E-14</v>
      </c>
      <c r="U143" s="668">
        <f t="shared" ref="U143:AI143" si="134">-(U21-U113-T21+T113)</f>
        <v>0</v>
      </c>
      <c r="V143" s="668">
        <f t="shared" si="134"/>
        <v>0</v>
      </c>
      <c r="W143" s="668">
        <f t="shared" si="134"/>
        <v>0</v>
      </c>
      <c r="X143" s="668">
        <f t="shared" si="134"/>
        <v>0</v>
      </c>
      <c r="Y143" s="668">
        <f t="shared" si="134"/>
        <v>0</v>
      </c>
      <c r="Z143" s="668">
        <f t="shared" si="134"/>
        <v>0</v>
      </c>
      <c r="AA143" s="668">
        <f t="shared" si="134"/>
        <v>0</v>
      </c>
      <c r="AB143" s="668">
        <f t="shared" si="134"/>
        <v>0</v>
      </c>
      <c r="AC143" s="668">
        <f t="shared" si="134"/>
        <v>0</v>
      </c>
      <c r="AD143" s="668">
        <f t="shared" si="134"/>
        <v>0</v>
      </c>
      <c r="AE143" s="668">
        <f t="shared" si="134"/>
        <v>0</v>
      </c>
      <c r="AF143" s="668">
        <f t="shared" si="134"/>
        <v>0</v>
      </c>
      <c r="AG143" s="668">
        <f t="shared" si="134"/>
        <v>0</v>
      </c>
      <c r="AH143" s="668">
        <f t="shared" si="134"/>
        <v>0</v>
      </c>
      <c r="AI143" s="668">
        <f t="shared" si="134"/>
        <v>0</v>
      </c>
      <c r="AJ143" s="778"/>
    </row>
    <row r="144" spans="1:36" s="496" customFormat="1" ht="12.75" x14ac:dyDescent="0.25">
      <c r="A144" s="665">
        <v>7</v>
      </c>
      <c r="B144" s="666" t="s">
        <v>1155</v>
      </c>
      <c r="C144" s="893"/>
      <c r="E144" s="667">
        <f>-(E23-C23)</f>
        <v>-60</v>
      </c>
      <c r="H144" s="667">
        <f>-(H23-E23)</f>
        <v>0</v>
      </c>
      <c r="I144" s="495"/>
      <c r="J144" s="495"/>
      <c r="K144" s="667">
        <f>-(K23-H23)</f>
        <v>0</v>
      </c>
      <c r="M144" s="500"/>
      <c r="N144" s="667">
        <f>-(N23-H23)</f>
        <v>0</v>
      </c>
      <c r="P144" s="500"/>
      <c r="Q144" s="667">
        <f>IF(OR($C$3=$L$913,$C$3=0),-(Q23-N23),-(Q23-K23))</f>
        <v>0</v>
      </c>
      <c r="S144" s="500"/>
      <c r="T144" s="668">
        <f>-(T23-N23)</f>
        <v>-1.4210854715202004E-14</v>
      </c>
      <c r="U144" s="668">
        <f t="shared" ref="U144:AI144" si="135">-(U23-T23)</f>
        <v>0</v>
      </c>
      <c r="V144" s="668">
        <f t="shared" si="135"/>
        <v>0</v>
      </c>
      <c r="W144" s="668">
        <f t="shared" si="135"/>
        <v>0</v>
      </c>
      <c r="X144" s="668">
        <f t="shared" si="135"/>
        <v>0</v>
      </c>
      <c r="Y144" s="668">
        <f t="shared" si="135"/>
        <v>0</v>
      </c>
      <c r="Z144" s="668">
        <f t="shared" si="135"/>
        <v>0</v>
      </c>
      <c r="AA144" s="668">
        <f t="shared" si="135"/>
        <v>0</v>
      </c>
      <c r="AB144" s="668">
        <f t="shared" si="135"/>
        <v>0</v>
      </c>
      <c r="AC144" s="668">
        <f t="shared" si="135"/>
        <v>0</v>
      </c>
      <c r="AD144" s="668">
        <f t="shared" si="135"/>
        <v>0</v>
      </c>
      <c r="AE144" s="668">
        <f t="shared" si="135"/>
        <v>0</v>
      </c>
      <c r="AF144" s="668">
        <f t="shared" si="135"/>
        <v>0</v>
      </c>
      <c r="AG144" s="668">
        <f t="shared" si="135"/>
        <v>0</v>
      </c>
      <c r="AH144" s="668">
        <f t="shared" si="135"/>
        <v>0</v>
      </c>
      <c r="AI144" s="668">
        <f t="shared" si="135"/>
        <v>0</v>
      </c>
      <c r="AJ144" s="778"/>
    </row>
    <row r="145" spans="1:36" s="496" customFormat="1" ht="12.75" x14ac:dyDescent="0.25">
      <c r="A145" s="665">
        <v>8</v>
      </c>
      <c r="B145" s="666" t="s">
        <v>1156</v>
      </c>
      <c r="C145" s="893"/>
      <c r="E145" s="667">
        <f>E40-C40</f>
        <v>30</v>
      </c>
      <c r="H145" s="667">
        <f>H40-E40</f>
        <v>0</v>
      </c>
      <c r="I145" s="495"/>
      <c r="J145" s="495"/>
      <c r="K145" s="667">
        <f>K40-H40</f>
        <v>0</v>
      </c>
      <c r="M145" s="500"/>
      <c r="N145" s="667">
        <f>N40-H40</f>
        <v>0</v>
      </c>
      <c r="P145" s="500"/>
      <c r="Q145" s="667">
        <f>IF(OR($C$3=$L$913,$C$3=0),Q40-N40,Q40-K40)</f>
        <v>0</v>
      </c>
      <c r="S145" s="500"/>
      <c r="T145" s="668">
        <f>T40-N40</f>
        <v>0</v>
      </c>
      <c r="U145" s="668">
        <f t="shared" ref="U145:AI145" si="136">U40-T40</f>
        <v>0</v>
      </c>
      <c r="V145" s="668">
        <f t="shared" si="136"/>
        <v>0</v>
      </c>
      <c r="W145" s="668">
        <f t="shared" si="136"/>
        <v>0</v>
      </c>
      <c r="X145" s="668">
        <f t="shared" si="136"/>
        <v>0</v>
      </c>
      <c r="Y145" s="668">
        <f t="shared" si="136"/>
        <v>0</v>
      </c>
      <c r="Z145" s="668">
        <f t="shared" si="136"/>
        <v>0</v>
      </c>
      <c r="AA145" s="668">
        <f t="shared" si="136"/>
        <v>0</v>
      </c>
      <c r="AB145" s="668">
        <f t="shared" si="136"/>
        <v>0</v>
      </c>
      <c r="AC145" s="668">
        <f t="shared" si="136"/>
        <v>0</v>
      </c>
      <c r="AD145" s="668">
        <f t="shared" si="136"/>
        <v>0</v>
      </c>
      <c r="AE145" s="668">
        <f t="shared" si="136"/>
        <v>0</v>
      </c>
      <c r="AF145" s="668">
        <f t="shared" si="136"/>
        <v>0</v>
      </c>
      <c r="AG145" s="668">
        <f t="shared" si="136"/>
        <v>0</v>
      </c>
      <c r="AH145" s="668">
        <f t="shared" si="136"/>
        <v>0</v>
      </c>
      <c r="AI145" s="668">
        <f t="shared" si="136"/>
        <v>0</v>
      </c>
      <c r="AJ145" s="778"/>
    </row>
    <row r="146" spans="1:36" s="675" customFormat="1" ht="12.75" x14ac:dyDescent="0.25">
      <c r="A146" s="669" t="s">
        <v>1157</v>
      </c>
      <c r="B146" s="670" t="s">
        <v>1158</v>
      </c>
      <c r="C146" s="894"/>
      <c r="E146" s="671">
        <f>E41-C41</f>
        <v>60</v>
      </c>
      <c r="H146" s="671">
        <f>H41-E41</f>
        <v>0</v>
      </c>
      <c r="I146" s="895"/>
      <c r="J146" s="895"/>
      <c r="K146" s="671">
        <f>K41-H41</f>
        <v>0</v>
      </c>
      <c r="M146" s="673"/>
      <c r="N146" s="671">
        <f>N41-H41</f>
        <v>0</v>
      </c>
      <c r="P146" s="673"/>
      <c r="Q146" s="671">
        <f>IF(OR($C$3=$L$913,$C$3=0),Q41-N41,Q41-K41)</f>
        <v>0</v>
      </c>
      <c r="S146" s="673"/>
      <c r="T146" s="674">
        <f>T41-N41</f>
        <v>0</v>
      </c>
      <c r="U146" s="674">
        <f t="shared" ref="U146:AI146" si="137">U41-T41</f>
        <v>0</v>
      </c>
      <c r="V146" s="674">
        <f t="shared" si="137"/>
        <v>0</v>
      </c>
      <c r="W146" s="674">
        <f t="shared" si="137"/>
        <v>0</v>
      </c>
      <c r="X146" s="674">
        <f t="shared" si="137"/>
        <v>0</v>
      </c>
      <c r="Y146" s="674">
        <f t="shared" si="137"/>
        <v>0</v>
      </c>
      <c r="Z146" s="674">
        <f t="shared" si="137"/>
        <v>0</v>
      </c>
      <c r="AA146" s="674">
        <f t="shared" si="137"/>
        <v>0</v>
      </c>
      <c r="AB146" s="674">
        <f t="shared" si="137"/>
        <v>0</v>
      </c>
      <c r="AC146" s="674">
        <f t="shared" si="137"/>
        <v>0</v>
      </c>
      <c r="AD146" s="674">
        <f t="shared" si="137"/>
        <v>0</v>
      </c>
      <c r="AE146" s="674">
        <f t="shared" si="137"/>
        <v>0</v>
      </c>
      <c r="AF146" s="674">
        <f t="shared" si="137"/>
        <v>0</v>
      </c>
      <c r="AG146" s="674">
        <f t="shared" si="137"/>
        <v>0</v>
      </c>
      <c r="AH146" s="674">
        <f t="shared" si="137"/>
        <v>0</v>
      </c>
      <c r="AI146" s="674">
        <f t="shared" si="137"/>
        <v>0</v>
      </c>
      <c r="AJ146" s="896"/>
    </row>
    <row r="147" spans="1:36" s="675" customFormat="1" ht="12.75" x14ac:dyDescent="0.25">
      <c r="A147" s="669" t="s">
        <v>1159</v>
      </c>
      <c r="B147" s="670" t="s">
        <v>1160</v>
      </c>
      <c r="C147" s="894"/>
      <c r="E147" s="671">
        <f>E42-C42-(E88-C88)</f>
        <v>40</v>
      </c>
      <c r="H147" s="671">
        <f>H42-E42-(H88-E88)</f>
        <v>0</v>
      </c>
      <c r="I147" s="895"/>
      <c r="J147" s="895"/>
      <c r="K147" s="671">
        <f>K42-H42-(K88-H88)</f>
        <v>0</v>
      </c>
      <c r="M147" s="676"/>
      <c r="N147" s="671">
        <f>N42-H42-(N88-H88)</f>
        <v>0</v>
      </c>
      <c r="P147" s="676"/>
      <c r="Q147" s="671">
        <f>IF(OR($C$3=$L$913,$C$3=0),Q42-N42-(Q88-N88),Q42-K42-(Q88-K88))</f>
        <v>0</v>
      </c>
      <c r="S147" s="676"/>
      <c r="T147" s="674">
        <f>T42-N42-(T88-N88)</f>
        <v>0</v>
      </c>
      <c r="U147" s="674">
        <f t="shared" ref="U147:AI147" si="138">U42-T42-(U88-T88)</f>
        <v>0</v>
      </c>
      <c r="V147" s="674">
        <f t="shared" si="138"/>
        <v>0</v>
      </c>
      <c r="W147" s="674">
        <f t="shared" si="138"/>
        <v>0</v>
      </c>
      <c r="X147" s="674">
        <f t="shared" si="138"/>
        <v>0</v>
      </c>
      <c r="Y147" s="674">
        <f t="shared" si="138"/>
        <v>0</v>
      </c>
      <c r="Z147" s="674">
        <f t="shared" si="138"/>
        <v>0</v>
      </c>
      <c r="AA147" s="674">
        <f t="shared" si="138"/>
        <v>0</v>
      </c>
      <c r="AB147" s="674">
        <f t="shared" si="138"/>
        <v>0</v>
      </c>
      <c r="AC147" s="674">
        <f t="shared" si="138"/>
        <v>0</v>
      </c>
      <c r="AD147" s="674">
        <f t="shared" si="138"/>
        <v>0</v>
      </c>
      <c r="AE147" s="674">
        <f t="shared" si="138"/>
        <v>0</v>
      </c>
      <c r="AF147" s="674">
        <f t="shared" si="138"/>
        <v>0</v>
      </c>
      <c r="AG147" s="674">
        <f t="shared" si="138"/>
        <v>0</v>
      </c>
      <c r="AH147" s="674">
        <f t="shared" si="138"/>
        <v>0</v>
      </c>
      <c r="AI147" s="674">
        <f t="shared" si="138"/>
        <v>0</v>
      </c>
      <c r="AJ147" s="896"/>
    </row>
    <row r="148" spans="1:36" s="675" customFormat="1" ht="12.75" x14ac:dyDescent="0.25">
      <c r="A148" s="669" t="s">
        <v>1161</v>
      </c>
      <c r="B148" s="670" t="s">
        <v>1162</v>
      </c>
      <c r="C148" s="897"/>
      <c r="E148" s="671">
        <f>E44-C44</f>
        <v>120</v>
      </c>
      <c r="H148" s="671">
        <f>H44-E44</f>
        <v>0</v>
      </c>
      <c r="I148" s="895"/>
      <c r="J148" s="895"/>
      <c r="K148" s="671">
        <f>K44-H44</f>
        <v>0</v>
      </c>
      <c r="M148" s="673"/>
      <c r="N148" s="671">
        <f>N44-H44</f>
        <v>0</v>
      </c>
      <c r="P148" s="673"/>
      <c r="Q148" s="671">
        <f>IF(OR($C$3=$L$913,$C$3=0),Q44-N44,Q44-K44)</f>
        <v>0</v>
      </c>
      <c r="S148" s="673"/>
      <c r="T148" s="674">
        <f>T44-N44</f>
        <v>0</v>
      </c>
      <c r="U148" s="674">
        <f t="shared" ref="U148:AI148" si="139">U44-T44</f>
        <v>0</v>
      </c>
      <c r="V148" s="674">
        <f t="shared" si="139"/>
        <v>0</v>
      </c>
      <c r="W148" s="674">
        <f t="shared" si="139"/>
        <v>0</v>
      </c>
      <c r="X148" s="674">
        <f t="shared" si="139"/>
        <v>0</v>
      </c>
      <c r="Y148" s="674">
        <f t="shared" si="139"/>
        <v>0</v>
      </c>
      <c r="Z148" s="674">
        <f t="shared" si="139"/>
        <v>0</v>
      </c>
      <c r="AA148" s="674">
        <f t="shared" si="139"/>
        <v>0</v>
      </c>
      <c r="AB148" s="674">
        <f t="shared" si="139"/>
        <v>0</v>
      </c>
      <c r="AC148" s="674">
        <f t="shared" si="139"/>
        <v>0</v>
      </c>
      <c r="AD148" s="674">
        <f t="shared" si="139"/>
        <v>0</v>
      </c>
      <c r="AE148" s="674">
        <f t="shared" si="139"/>
        <v>0</v>
      </c>
      <c r="AF148" s="674">
        <f t="shared" si="139"/>
        <v>0</v>
      </c>
      <c r="AG148" s="674">
        <f t="shared" si="139"/>
        <v>0</v>
      </c>
      <c r="AH148" s="674">
        <f t="shared" si="139"/>
        <v>0</v>
      </c>
      <c r="AI148" s="674">
        <f t="shared" si="139"/>
        <v>0</v>
      </c>
      <c r="AJ148" s="896"/>
    </row>
    <row r="149" spans="1:36" s="655" customFormat="1" ht="12.75" x14ac:dyDescent="0.25">
      <c r="A149" s="645">
        <v>9</v>
      </c>
      <c r="B149" s="677" t="s">
        <v>1163</v>
      </c>
      <c r="C149" s="898"/>
      <c r="E149" s="899">
        <f>SUM(E146:E148)</f>
        <v>220</v>
      </c>
      <c r="H149" s="678">
        <f>SUM(H146:H148)</f>
        <v>0</v>
      </c>
      <c r="I149" s="886"/>
      <c r="J149" s="886"/>
      <c r="K149" s="678">
        <f>SUM(K146:K148)</f>
        <v>0</v>
      </c>
      <c r="M149" s="680"/>
      <c r="N149" s="678">
        <f>SUM(N146:N148)</f>
        <v>0</v>
      </c>
      <c r="P149" s="680"/>
      <c r="Q149" s="678">
        <f>SUM(Q146:Q148)</f>
        <v>0</v>
      </c>
      <c r="S149" s="680"/>
      <c r="T149" s="681">
        <f t="shared" ref="T149:AI149" si="140">SUM(T146:T148)</f>
        <v>0</v>
      </c>
      <c r="U149" s="681">
        <f t="shared" si="140"/>
        <v>0</v>
      </c>
      <c r="V149" s="681">
        <f t="shared" si="140"/>
        <v>0</v>
      </c>
      <c r="W149" s="681">
        <f t="shared" si="140"/>
        <v>0</v>
      </c>
      <c r="X149" s="681">
        <f t="shared" si="140"/>
        <v>0</v>
      </c>
      <c r="Y149" s="681">
        <f t="shared" si="140"/>
        <v>0</v>
      </c>
      <c r="Z149" s="681">
        <f t="shared" si="140"/>
        <v>0</v>
      </c>
      <c r="AA149" s="681">
        <f t="shared" si="140"/>
        <v>0</v>
      </c>
      <c r="AB149" s="681">
        <f t="shared" si="140"/>
        <v>0</v>
      </c>
      <c r="AC149" s="681">
        <f t="shared" si="140"/>
        <v>0</v>
      </c>
      <c r="AD149" s="681">
        <f t="shared" si="140"/>
        <v>0</v>
      </c>
      <c r="AE149" s="681">
        <f t="shared" si="140"/>
        <v>0</v>
      </c>
      <c r="AF149" s="681">
        <f t="shared" si="140"/>
        <v>0</v>
      </c>
      <c r="AG149" s="681">
        <f t="shared" si="140"/>
        <v>0</v>
      </c>
      <c r="AH149" s="681">
        <f t="shared" si="140"/>
        <v>0</v>
      </c>
      <c r="AI149" s="681">
        <f t="shared" si="140"/>
        <v>0</v>
      </c>
      <c r="AJ149" s="887"/>
    </row>
    <row r="150" spans="1:36" s="686" customFormat="1" ht="12.75" x14ac:dyDescent="0.25">
      <c r="A150" s="682"/>
      <c r="B150" s="661" t="s">
        <v>1164</v>
      </c>
      <c r="C150" s="892"/>
      <c r="E150" s="900">
        <f>SUM(E142:E145)+E149</f>
        <v>-290</v>
      </c>
      <c r="H150" s="683">
        <f>SUM(H142:H145)+H149</f>
        <v>0</v>
      </c>
      <c r="I150" s="901"/>
      <c r="J150" s="901"/>
      <c r="K150" s="683">
        <f>SUM(K142:K145)+K149</f>
        <v>0</v>
      </c>
      <c r="M150" s="685"/>
      <c r="N150" s="683">
        <f>SUM(N142:N145)+N149</f>
        <v>0</v>
      </c>
      <c r="P150" s="685"/>
      <c r="Q150" s="683">
        <f>SUM(Q142:Q145)+Q149</f>
        <v>0</v>
      </c>
      <c r="S150" s="685"/>
      <c r="T150" s="662">
        <f t="shared" ref="T150:AI150" si="141">SUM(T142:T145)+T149</f>
        <v>-7.1054273576010019E-14</v>
      </c>
      <c r="U150" s="662">
        <f t="shared" si="141"/>
        <v>0</v>
      </c>
      <c r="V150" s="662">
        <f t="shared" si="141"/>
        <v>0</v>
      </c>
      <c r="W150" s="662">
        <f t="shared" si="141"/>
        <v>0</v>
      </c>
      <c r="X150" s="662">
        <f t="shared" si="141"/>
        <v>0</v>
      </c>
      <c r="Y150" s="662">
        <f t="shared" si="141"/>
        <v>0</v>
      </c>
      <c r="Z150" s="662">
        <f t="shared" si="141"/>
        <v>0</v>
      </c>
      <c r="AA150" s="662">
        <f t="shared" si="141"/>
        <v>0</v>
      </c>
      <c r="AB150" s="662">
        <f t="shared" si="141"/>
        <v>0</v>
      </c>
      <c r="AC150" s="662">
        <f t="shared" si="141"/>
        <v>0</v>
      </c>
      <c r="AD150" s="662">
        <f t="shared" si="141"/>
        <v>0</v>
      </c>
      <c r="AE150" s="662">
        <f t="shared" si="141"/>
        <v>0</v>
      </c>
      <c r="AF150" s="662">
        <f t="shared" si="141"/>
        <v>0</v>
      </c>
      <c r="AG150" s="662">
        <f t="shared" si="141"/>
        <v>0</v>
      </c>
      <c r="AH150" s="662">
        <f t="shared" si="141"/>
        <v>0</v>
      </c>
      <c r="AI150" s="662">
        <f t="shared" si="141"/>
        <v>0</v>
      </c>
      <c r="AJ150" s="902"/>
    </row>
    <row r="151" spans="1:36" s="496" customFormat="1" ht="12.75" x14ac:dyDescent="0.25">
      <c r="A151" s="498"/>
      <c r="B151" s="687" t="s">
        <v>1165</v>
      </c>
      <c r="C151" s="903"/>
      <c r="D151" s="632"/>
      <c r="E151" s="688">
        <f>E141+E150</f>
        <v>2560</v>
      </c>
      <c r="H151" s="688">
        <f>H141+H150</f>
        <v>40</v>
      </c>
      <c r="I151" s="495"/>
      <c r="J151" s="495"/>
      <c r="K151" s="688">
        <f>K141+K150</f>
        <v>40</v>
      </c>
      <c r="M151" s="500"/>
      <c r="N151" s="688">
        <f>N141+N150</f>
        <v>40</v>
      </c>
      <c r="P151" s="500"/>
      <c r="Q151" s="688">
        <f>Q141+Q150</f>
        <v>40</v>
      </c>
      <c r="S151" s="500"/>
      <c r="T151" s="690">
        <f t="shared" ref="T151:AI151" si="142">T141+T150</f>
        <v>980.49999999999943</v>
      </c>
      <c r="U151" s="690">
        <f t="shared" si="142"/>
        <v>992.0920000000001</v>
      </c>
      <c r="V151" s="690">
        <f t="shared" si="142"/>
        <v>1005.0239999999999</v>
      </c>
      <c r="W151" s="690">
        <f t="shared" si="142"/>
        <v>1015.5439999999999</v>
      </c>
      <c r="X151" s="690">
        <f t="shared" si="142"/>
        <v>1028.7439999999997</v>
      </c>
      <c r="Y151" s="690">
        <f t="shared" si="142"/>
        <v>1041.9439999999995</v>
      </c>
      <c r="Z151" s="690">
        <f t="shared" si="142"/>
        <v>1055.1440000000007</v>
      </c>
      <c r="AA151" s="690">
        <f t="shared" si="142"/>
        <v>1068.3439999999987</v>
      </c>
      <c r="AB151" s="690">
        <f t="shared" si="142"/>
        <v>1081.5440000000008</v>
      </c>
      <c r="AC151" s="690">
        <f t="shared" si="142"/>
        <v>1094.7439999999988</v>
      </c>
      <c r="AD151" s="690">
        <f t="shared" si="142"/>
        <v>1107.9440000000004</v>
      </c>
      <c r="AE151" s="690">
        <f t="shared" si="142"/>
        <v>1121.1439999999989</v>
      </c>
      <c r="AF151" s="690">
        <f t="shared" si="142"/>
        <v>1134.3440000000005</v>
      </c>
      <c r="AG151" s="690">
        <f t="shared" si="142"/>
        <v>1147.5439999999985</v>
      </c>
      <c r="AH151" s="690">
        <f t="shared" si="142"/>
        <v>1160.7440000000006</v>
      </c>
      <c r="AI151" s="690">
        <f t="shared" si="142"/>
        <v>1173.9439999999986</v>
      </c>
      <c r="AJ151" s="778"/>
    </row>
    <row r="152" spans="1:36" s="632" customFormat="1" ht="12" x14ac:dyDescent="0.25">
      <c r="A152" s="691" t="s">
        <v>1166</v>
      </c>
      <c r="B152" s="692" t="s">
        <v>1167</v>
      </c>
      <c r="C152" s="888"/>
      <c r="E152" s="642">
        <f>IF(E36-C36&lt;0,E36-C36,0)</f>
        <v>0</v>
      </c>
      <c r="H152" s="642">
        <f>IF(H36-E36&lt;0,H36-E36,0)</f>
        <v>0</v>
      </c>
      <c r="I152" s="890"/>
      <c r="J152" s="890"/>
      <c r="K152" s="644">
        <f>IF(K36-H36&lt;0,K36-H36,0)</f>
        <v>0</v>
      </c>
      <c r="M152" s="664"/>
      <c r="N152" s="644">
        <f>IF(N36-H36&lt;0,N36-H36,0)</f>
        <v>0</v>
      </c>
      <c r="P152" s="664"/>
      <c r="Q152" s="644">
        <f>IF(OR($C$3=$L$913,$C$3=0),IF(Q36-N36&lt;0,Q36-N36,0),IF(Q36-K36&lt;0,Q36-K36,0))</f>
        <v>0</v>
      </c>
      <c r="S152" s="664"/>
      <c r="T152" s="693">
        <f>IF(T36-N36&lt;0,T36-N36,0)</f>
        <v>-10</v>
      </c>
      <c r="U152" s="644">
        <f t="shared" ref="U152:AI152" si="143">IF(U36-T36&lt;0,U36-T36,0)</f>
        <v>0</v>
      </c>
      <c r="V152" s="644">
        <f t="shared" si="143"/>
        <v>0</v>
      </c>
      <c r="W152" s="644">
        <f t="shared" si="143"/>
        <v>0</v>
      </c>
      <c r="X152" s="644">
        <f t="shared" si="143"/>
        <v>0</v>
      </c>
      <c r="Y152" s="644">
        <f t="shared" si="143"/>
        <v>0</v>
      </c>
      <c r="Z152" s="644">
        <f t="shared" si="143"/>
        <v>0</v>
      </c>
      <c r="AA152" s="644">
        <f t="shared" si="143"/>
        <v>0</v>
      </c>
      <c r="AB152" s="644">
        <f t="shared" si="143"/>
        <v>0</v>
      </c>
      <c r="AC152" s="644">
        <f t="shared" si="143"/>
        <v>0</v>
      </c>
      <c r="AD152" s="644">
        <f t="shared" si="143"/>
        <v>0</v>
      </c>
      <c r="AE152" s="644">
        <f t="shared" si="143"/>
        <v>0</v>
      </c>
      <c r="AF152" s="644">
        <f t="shared" si="143"/>
        <v>0</v>
      </c>
      <c r="AG152" s="644">
        <f t="shared" si="143"/>
        <v>0</v>
      </c>
      <c r="AH152" s="644">
        <f t="shared" si="143"/>
        <v>0</v>
      </c>
      <c r="AI152" s="644">
        <f t="shared" si="143"/>
        <v>0</v>
      </c>
      <c r="AJ152" s="891"/>
    </row>
    <row r="153" spans="1:36" s="632" customFormat="1" ht="12" x14ac:dyDescent="0.25">
      <c r="A153" s="669" t="s">
        <v>1168</v>
      </c>
      <c r="B153" s="694" t="s">
        <v>1169</v>
      </c>
      <c r="C153" s="893"/>
      <c r="E153" s="668">
        <f>IF(((E49-C49)+(E50-C50)+(E37-C37)+(E38-C38))&lt;0,(E49-C49)+(E50-C50)+(E37-C37)+(E38-C38),0)</f>
        <v>0</v>
      </c>
      <c r="H153" s="668">
        <f>IF(((H49-E49)+(H50-E50)+(H37-E37)+(H38-E38))&lt;0,(H49-E49)+(H50-E50)+(H37-E37)+(H38-E38),0)</f>
        <v>0</v>
      </c>
      <c r="I153" s="890"/>
      <c r="J153" s="890"/>
      <c r="K153" s="668">
        <f>IF(((K49-H49)+(K50-H50)+(K37-H37)+(K38-H38))&lt;0,(K49-H49)+(K50-H50)+(K37-H37)+(K38-H38),0)</f>
        <v>0</v>
      </c>
      <c r="M153" s="664"/>
      <c r="N153" s="668">
        <f>IF(((N49-H49)+(N50-H50)+(N37-H37)+(N38-H38))&lt;0,(N49-H49)+(N50-H50)+(N37-H37)+(N38-H38),0)</f>
        <v>0</v>
      </c>
      <c r="P153" s="664"/>
      <c r="Q153" s="668">
        <f>IF(OR($C$3=$L$913,$C$3=0),IF(((Q49-N49)+(Q50-N50)+(Q37-N37)+(Q38-N38))&lt;0,(Q49-N49)+(Q50-N50)+(Q37-N37)+(Q38-N38),0),IF(((Q49-K49)+(Q50-K50)+(Q37-K37)+(Q38-K38))&lt;0,(Q49-K49)+(Q50-K50)+(Q37-K37)+(Q38-K38),0))</f>
        <v>0</v>
      </c>
      <c r="S153" s="664"/>
      <c r="T153" s="695">
        <f>-SUM($T$249,$T$261,$T$275,$T$313,$T$323,$T$333)</f>
        <v>0</v>
      </c>
      <c r="U153" s="668">
        <f>-SUM($U$249,$U$261,$U$275,$U$313,$U$323,$U$333)</f>
        <v>0</v>
      </c>
      <c r="V153" s="668">
        <f>-SUM($V$249,$V$261,$V$275,$V$313,$V$323,$V$333)</f>
        <v>0</v>
      </c>
      <c r="W153" s="668">
        <f>-SUM($W$249,$W$261,$W$275,$W$313,$W$323,$W$333)</f>
        <v>0</v>
      </c>
      <c r="X153" s="668">
        <f>-SUM($X$249,$X$261,$X$275,$X$313,$X$323,$X$333)</f>
        <v>0</v>
      </c>
      <c r="Y153" s="668">
        <f>-SUM($Y$249,$Y$261,$Y$275,$Y$313,$Y$323,$Y$333)</f>
        <v>0</v>
      </c>
      <c r="Z153" s="668">
        <f>-SUM($Z$249,$Z$261,$Z$275,$Z$313,$Z$323,$Z$333)</f>
        <v>0</v>
      </c>
      <c r="AA153" s="668">
        <f>-SUM($AA$249,$AA$261,$AA$275,$AA$313,$AA$323,$AA$333)</f>
        <v>0</v>
      </c>
      <c r="AB153" s="668">
        <f>-SUM($AB$249,$AB$261,$AB$275,$AB$313,$AB$323,$AB$333)</f>
        <v>0</v>
      </c>
      <c r="AC153" s="668">
        <f>-SUM($AC$249,$AC$261,$AC$275,$AC$313,$AC$323,$AC$333)</f>
        <v>0</v>
      </c>
      <c r="AD153" s="668">
        <f t="shared" ref="AD153:AI153" si="144">-SUM($AD$249,$AD$261,$AD$275,$AD$313,$AD$323,$AD$333)</f>
        <v>0</v>
      </c>
      <c r="AE153" s="668">
        <f t="shared" si="144"/>
        <v>0</v>
      </c>
      <c r="AF153" s="668">
        <f t="shared" si="144"/>
        <v>0</v>
      </c>
      <c r="AG153" s="668">
        <f t="shared" si="144"/>
        <v>0</v>
      </c>
      <c r="AH153" s="668">
        <f t="shared" si="144"/>
        <v>0</v>
      </c>
      <c r="AI153" s="668">
        <f t="shared" si="144"/>
        <v>0</v>
      </c>
      <c r="AJ153" s="891"/>
    </row>
    <row r="154" spans="1:36" s="632" customFormat="1" ht="12" x14ac:dyDescent="0.25">
      <c r="A154" s="669" t="s">
        <v>1170</v>
      </c>
      <c r="B154" s="694" t="s">
        <v>1171</v>
      </c>
      <c r="C154" s="893"/>
      <c r="E154" s="668">
        <f>IF(((E51-C51)+(E39-C39))&lt;0,(E51-C51)+(E39-C39),0)</f>
        <v>0</v>
      </c>
      <c r="H154" s="668">
        <f>IF(((H51-E51)+(H39-E39))&lt;0,(H51-E51)+(H39-E39),0)</f>
        <v>0</v>
      </c>
      <c r="I154" s="890"/>
      <c r="J154" s="890"/>
      <c r="K154" s="668">
        <f>IF(((K51-H51)+(K39-H39))&lt;0,(K51-H51)+(K39-H39),0)</f>
        <v>0</v>
      </c>
      <c r="M154" s="664"/>
      <c r="N154" s="668">
        <f>IF(((N51-H51)+(N39-H39))&lt;0,(N51-H51)+(N39-H39),0)</f>
        <v>0</v>
      </c>
      <c r="P154" s="664"/>
      <c r="Q154" s="668">
        <f>IF(OR($C$3=$L$913,$C$3=0),IF(((Q51-N51)+(Q39-N39))&lt;0,(Q51-N51)+(Q39-N39),0),IF(((Q51-K51)+(Q39-K39))&lt;0,(Q51-K51)+(Q39-K39),0))</f>
        <v>0</v>
      </c>
      <c r="S154" s="664"/>
      <c r="T154" s="695">
        <f>-SUM($T$353,$T$363,$T$373)</f>
        <v>0</v>
      </c>
      <c r="U154" s="668">
        <f>-SUM($U$353,$U$363,$U$373)</f>
        <v>0</v>
      </c>
      <c r="V154" s="668">
        <f>-SUM($V$353,$V$363,$V$373)</f>
        <v>0</v>
      </c>
      <c r="W154" s="668">
        <f>-SUM($W$353,$W$363,$W$373)</f>
        <v>0</v>
      </c>
      <c r="X154" s="668">
        <f>-SUM($X$353,$X$363,$X$373)</f>
        <v>0</v>
      </c>
      <c r="Y154" s="668">
        <f>-SUM($Y$353,$Y$363,$Y$373)</f>
        <v>0</v>
      </c>
      <c r="Z154" s="668">
        <f>-SUM($Z$353,$Z$363,$Z$373)</f>
        <v>0</v>
      </c>
      <c r="AA154" s="668">
        <f>-SUM($AA$353,$AA$363,$AA$373)</f>
        <v>0</v>
      </c>
      <c r="AB154" s="668">
        <f>-SUM($AB$353,$AB$363,$AB$373)</f>
        <v>0</v>
      </c>
      <c r="AC154" s="668">
        <f>-SUM($AC$353,$AC$363,$AC$373)</f>
        <v>0</v>
      </c>
      <c r="AD154" s="668">
        <f t="shared" ref="AD154:AI154" si="145">-SUM($AD$353,$AD$363,$AD$373)</f>
        <v>0</v>
      </c>
      <c r="AE154" s="668">
        <f t="shared" si="145"/>
        <v>0</v>
      </c>
      <c r="AF154" s="668">
        <f t="shared" si="145"/>
        <v>0</v>
      </c>
      <c r="AG154" s="668">
        <f t="shared" si="145"/>
        <v>0</v>
      </c>
      <c r="AH154" s="668">
        <f t="shared" si="145"/>
        <v>0</v>
      </c>
      <c r="AI154" s="668">
        <f t="shared" si="145"/>
        <v>0</v>
      </c>
      <c r="AJ154" s="891"/>
    </row>
    <row r="155" spans="1:36" s="632" customFormat="1" ht="12" x14ac:dyDescent="0.25">
      <c r="A155" s="669" t="s">
        <v>1172</v>
      </c>
      <c r="B155" s="670" t="s">
        <v>1173</v>
      </c>
      <c r="C155" s="904">
        <f>IF(C78&lt;0,-C76+C78,-C76)</f>
        <v>0</v>
      </c>
      <c r="E155" s="668">
        <f>IF(E78&lt;0,-E76+E78,-E76)</f>
        <v>-10</v>
      </c>
      <c r="H155" s="668">
        <f>-H76</f>
        <v>-10</v>
      </c>
      <c r="I155" s="890"/>
      <c r="J155" s="890"/>
      <c r="K155" s="668">
        <f>-K76</f>
        <v>-10</v>
      </c>
      <c r="M155" s="664"/>
      <c r="N155" s="668">
        <f>-N76</f>
        <v>-10</v>
      </c>
      <c r="P155" s="664"/>
      <c r="Q155" s="668">
        <f>-Q76</f>
        <v>-10</v>
      </c>
      <c r="S155" s="664"/>
      <c r="T155" s="668">
        <f t="shared" ref="T155:AI155" si="146">-T76</f>
        <v>-7.6000000000000014</v>
      </c>
      <c r="U155" s="668">
        <f t="shared" si="146"/>
        <v>-7.2000000000000011</v>
      </c>
      <c r="V155" s="668">
        <f t="shared" si="146"/>
        <v>-3.2000000000000006</v>
      </c>
      <c r="W155" s="668">
        <f t="shared" si="146"/>
        <v>-3.2000000000000006</v>
      </c>
      <c r="X155" s="668">
        <f t="shared" si="146"/>
        <v>-3.2000000000000006</v>
      </c>
      <c r="Y155" s="668">
        <f t="shared" si="146"/>
        <v>-3.2000000000000006</v>
      </c>
      <c r="Z155" s="668">
        <f t="shared" si="146"/>
        <v>-3.2000000000000006</v>
      </c>
      <c r="AA155" s="668">
        <f t="shared" si="146"/>
        <v>-3.2000000000000006</v>
      </c>
      <c r="AB155" s="668">
        <f t="shared" si="146"/>
        <v>-3.2000000000000006</v>
      </c>
      <c r="AC155" s="668">
        <f t="shared" si="146"/>
        <v>-3.2000000000000006</v>
      </c>
      <c r="AD155" s="668">
        <f t="shared" si="146"/>
        <v>-3.2000000000000006</v>
      </c>
      <c r="AE155" s="668">
        <f t="shared" si="146"/>
        <v>-3.2000000000000006</v>
      </c>
      <c r="AF155" s="668">
        <f t="shared" si="146"/>
        <v>-3.2000000000000006</v>
      </c>
      <c r="AG155" s="668">
        <f t="shared" si="146"/>
        <v>-3.2000000000000006</v>
      </c>
      <c r="AH155" s="668">
        <f t="shared" si="146"/>
        <v>-3.2000000000000006</v>
      </c>
      <c r="AI155" s="668">
        <f t="shared" si="146"/>
        <v>-3.2000000000000006</v>
      </c>
      <c r="AJ155" s="891"/>
    </row>
    <row r="156" spans="1:36" s="698" customFormat="1" ht="12" x14ac:dyDescent="0.25">
      <c r="A156" s="645">
        <v>10</v>
      </c>
      <c r="B156" s="677" t="s">
        <v>1174</v>
      </c>
      <c r="C156" s="898"/>
      <c r="E156" s="681">
        <f>SUM(E152:E155)</f>
        <v>-10</v>
      </c>
      <c r="H156" s="681">
        <f>SUM(H152:H155)</f>
        <v>-10</v>
      </c>
      <c r="I156" s="905"/>
      <c r="J156" s="905"/>
      <c r="K156" s="681">
        <f>SUM(K152:K155)</f>
        <v>-10</v>
      </c>
      <c r="M156" s="697"/>
      <c r="N156" s="681">
        <f>SUM(N152:N155)</f>
        <v>-10</v>
      </c>
      <c r="P156" s="697"/>
      <c r="Q156" s="681">
        <f>SUM(Q152:Q155)</f>
        <v>-10</v>
      </c>
      <c r="S156" s="697"/>
      <c r="T156" s="681">
        <f t="shared" ref="T156:AI156" si="147">SUM(T152:T155)</f>
        <v>-17.600000000000001</v>
      </c>
      <c r="U156" s="681">
        <f t="shared" si="147"/>
        <v>-7.2000000000000011</v>
      </c>
      <c r="V156" s="681">
        <f t="shared" si="147"/>
        <v>-3.2000000000000006</v>
      </c>
      <c r="W156" s="681">
        <f t="shared" si="147"/>
        <v>-3.2000000000000006</v>
      </c>
      <c r="X156" s="681">
        <f t="shared" si="147"/>
        <v>-3.2000000000000006</v>
      </c>
      <c r="Y156" s="681">
        <f t="shared" si="147"/>
        <v>-3.2000000000000006</v>
      </c>
      <c r="Z156" s="681">
        <f t="shared" si="147"/>
        <v>-3.2000000000000006</v>
      </c>
      <c r="AA156" s="681">
        <f t="shared" si="147"/>
        <v>-3.2000000000000006</v>
      </c>
      <c r="AB156" s="681">
        <f t="shared" si="147"/>
        <v>-3.2000000000000006</v>
      </c>
      <c r="AC156" s="681">
        <f t="shared" si="147"/>
        <v>-3.2000000000000006</v>
      </c>
      <c r="AD156" s="681">
        <f t="shared" si="147"/>
        <v>-3.2000000000000006</v>
      </c>
      <c r="AE156" s="681">
        <f t="shared" si="147"/>
        <v>-3.2000000000000006</v>
      </c>
      <c r="AF156" s="681">
        <f t="shared" si="147"/>
        <v>-3.2000000000000006</v>
      </c>
      <c r="AG156" s="681">
        <f t="shared" si="147"/>
        <v>-3.2000000000000006</v>
      </c>
      <c r="AH156" s="681">
        <f t="shared" si="147"/>
        <v>-3.2000000000000006</v>
      </c>
      <c r="AI156" s="681">
        <f t="shared" si="147"/>
        <v>-3.2000000000000006</v>
      </c>
      <c r="AJ156" s="906"/>
    </row>
    <row r="157" spans="1:36" s="702" customFormat="1" ht="12" x14ac:dyDescent="0.25">
      <c r="A157" s="699"/>
      <c r="B157" s="687" t="s">
        <v>1175</v>
      </c>
      <c r="C157" s="907"/>
      <c r="E157" s="690">
        <f>E151+E156</f>
        <v>2550</v>
      </c>
      <c r="H157" s="690">
        <f>H151+H156</f>
        <v>30</v>
      </c>
      <c r="I157" s="908"/>
      <c r="J157" s="908"/>
      <c r="K157" s="690">
        <f>K151+K156</f>
        <v>30</v>
      </c>
      <c r="M157" s="701"/>
      <c r="N157" s="690">
        <f>N151+N156</f>
        <v>30</v>
      </c>
      <c r="P157" s="701"/>
      <c r="Q157" s="690">
        <f>Q151+Q156</f>
        <v>30</v>
      </c>
      <c r="S157" s="701"/>
      <c r="T157" s="690">
        <f t="shared" ref="T157:AI157" si="148">T151+T156</f>
        <v>962.89999999999941</v>
      </c>
      <c r="U157" s="690">
        <f t="shared" si="148"/>
        <v>984.89200000000005</v>
      </c>
      <c r="V157" s="690">
        <f t="shared" si="148"/>
        <v>1001.8239999999998</v>
      </c>
      <c r="W157" s="690">
        <f t="shared" si="148"/>
        <v>1012.3439999999998</v>
      </c>
      <c r="X157" s="690">
        <f t="shared" si="148"/>
        <v>1025.5439999999996</v>
      </c>
      <c r="Y157" s="690">
        <f t="shared" si="148"/>
        <v>1038.7439999999995</v>
      </c>
      <c r="Z157" s="690">
        <f t="shared" si="148"/>
        <v>1051.9440000000006</v>
      </c>
      <c r="AA157" s="690">
        <f t="shared" si="148"/>
        <v>1065.1439999999986</v>
      </c>
      <c r="AB157" s="690">
        <f t="shared" si="148"/>
        <v>1078.3440000000007</v>
      </c>
      <c r="AC157" s="690">
        <f t="shared" si="148"/>
        <v>1091.5439999999987</v>
      </c>
      <c r="AD157" s="690">
        <f t="shared" si="148"/>
        <v>1104.7440000000004</v>
      </c>
      <c r="AE157" s="690">
        <f t="shared" si="148"/>
        <v>1117.9439999999988</v>
      </c>
      <c r="AF157" s="690">
        <f t="shared" si="148"/>
        <v>1131.1440000000005</v>
      </c>
      <c r="AG157" s="690">
        <f t="shared" si="148"/>
        <v>1144.3439999999985</v>
      </c>
      <c r="AH157" s="690">
        <f t="shared" si="148"/>
        <v>1157.5440000000006</v>
      </c>
      <c r="AI157" s="690">
        <f t="shared" si="148"/>
        <v>1170.7439999999986</v>
      </c>
      <c r="AJ157" s="909"/>
    </row>
    <row r="158" spans="1:36" s="496" customFormat="1" ht="12.75" x14ac:dyDescent="0.25">
      <c r="A158" s="640">
        <v>11</v>
      </c>
      <c r="B158" s="656" t="s">
        <v>1176</v>
      </c>
      <c r="C158" s="888"/>
      <c r="E158" s="642">
        <f>IF(E36-C36&gt;=0,E36-C36,0)</f>
        <v>10</v>
      </c>
      <c r="H158" s="642">
        <f>IF(H36-E36&gt;=0,H36-E36,0)</f>
        <v>0</v>
      </c>
      <c r="I158" s="495"/>
      <c r="J158" s="495"/>
      <c r="K158" s="642">
        <f>IF(K36-H36&gt;=0,K36-H36,0)</f>
        <v>0</v>
      </c>
      <c r="M158" s="500"/>
      <c r="N158" s="642">
        <f>IF(N36-H36&gt;=0,N36-H36,0)</f>
        <v>0</v>
      </c>
      <c r="P158" s="500"/>
      <c r="Q158" s="642">
        <f>IF(OR($C$3=$L$913,$C$3=0),IF(Q36-N36&gt;=0,Q36-N36,0),IF(Q36-K36&gt;=0,Q36-K36,0))</f>
        <v>0</v>
      </c>
      <c r="S158" s="500"/>
      <c r="T158" s="644">
        <f>IF(T36-N36&gt;=0,T36-N36,0)</f>
        <v>0</v>
      </c>
      <c r="U158" s="644">
        <f t="shared" ref="U158:AI158" si="149">IF(U36-T36&gt;=0,U36-T36,0)</f>
        <v>0</v>
      </c>
      <c r="V158" s="644">
        <f t="shared" si="149"/>
        <v>0</v>
      </c>
      <c r="W158" s="644">
        <f t="shared" si="149"/>
        <v>0</v>
      </c>
      <c r="X158" s="644">
        <f t="shared" si="149"/>
        <v>0</v>
      </c>
      <c r="Y158" s="644">
        <f t="shared" si="149"/>
        <v>0</v>
      </c>
      <c r="Z158" s="644">
        <f t="shared" si="149"/>
        <v>0</v>
      </c>
      <c r="AA158" s="644">
        <f t="shared" si="149"/>
        <v>0</v>
      </c>
      <c r="AB158" s="644">
        <f t="shared" si="149"/>
        <v>0</v>
      </c>
      <c r="AC158" s="644">
        <f t="shared" si="149"/>
        <v>0</v>
      </c>
      <c r="AD158" s="644">
        <f t="shared" si="149"/>
        <v>0</v>
      </c>
      <c r="AE158" s="644">
        <f t="shared" si="149"/>
        <v>0</v>
      </c>
      <c r="AF158" s="644">
        <f t="shared" si="149"/>
        <v>0</v>
      </c>
      <c r="AG158" s="644">
        <f t="shared" si="149"/>
        <v>0</v>
      </c>
      <c r="AH158" s="644">
        <f t="shared" si="149"/>
        <v>0</v>
      </c>
      <c r="AI158" s="644">
        <f t="shared" si="149"/>
        <v>0</v>
      </c>
      <c r="AJ158" s="778"/>
    </row>
    <row r="159" spans="1:36" s="496" customFormat="1" ht="12.75" x14ac:dyDescent="0.25">
      <c r="A159" s="669" t="s">
        <v>1177</v>
      </c>
      <c r="B159" s="666" t="s">
        <v>1178</v>
      </c>
      <c r="C159" s="893"/>
      <c r="E159" s="667">
        <f>IF(((E49-C49)+(E50-C50)+(E37-C37)+(E38-C38))&gt;=0,(E49-C49)+(E50-C50)+(E37-C37)+(E38-C38),0)</f>
        <v>40</v>
      </c>
      <c r="H159" s="667">
        <f>IF(((H49-E49)+(H50-E50)+(H37-E37)+(H38-E38))&gt;=0,(H49-E49)+(H50-E50)+(H37-E37)+(H38-E38),0)</f>
        <v>0</v>
      </c>
      <c r="I159" s="495"/>
      <c r="J159" s="495"/>
      <c r="K159" s="667">
        <f>IF(((K49-H49)+(K50-H50)+(K37-H37)+(K38-H38))&gt;=0,(K49-H49)+(K50-H50)+(K37-H37)+(K38-H38),0)</f>
        <v>0</v>
      </c>
      <c r="M159" s="500"/>
      <c r="N159" s="667">
        <f>IF(((N49-H49)+(N50-H50)+(N37-H37)+(N38-H38))&gt;=0,(N49-H49)+(N50-H50)+(N37-H37)+(N38-H38),0)</f>
        <v>0</v>
      </c>
      <c r="P159" s="500"/>
      <c r="Q159" s="667">
        <f>IF(OR($C$3=$L$913,$C$3=0),IF(((Q49-N49)+(Q50-N50)+(Q37-N37)+(Q38-N38))&gt;=0,(Q49-N49)+(Q50-N50)+(Q37-N37)+(Q38-N38),0),IF(((Q49-K49)+(Q50-K50)+(Q37-K37)+(Q38-K38))&gt;=0,(Q49-K49)+(Q50-K50)+(Q37-K37)+(Q38-K38),0))</f>
        <v>0</v>
      </c>
      <c r="S159" s="500"/>
      <c r="T159" s="668">
        <f>$T$272+IF(AND($C$310&lt;&gt;0,$C$314=T134),$C$310,0)+IF(AND($C$320&lt;&gt;0,$C$324=T134),$C$320,0)+IF(AND($C$330&lt;&gt;0,$C$334=T134),$C$330,0)</f>
        <v>0</v>
      </c>
      <c r="U159" s="668">
        <f>$U$272+IF(AND($C$310&lt;&gt;0,$C$314=U134),$C$310,0)+IF(AND($C$320&lt;&gt;0,$C$324=U134),$C$320,0)+IF(AND($C$330&lt;&gt;0,$C$334=U134),$C$330,0)</f>
        <v>0</v>
      </c>
      <c r="V159" s="668">
        <f>$V$272+IF(AND($C$310&lt;&gt;0,$C$314=V134),$C$310,0)+IF(AND($C$320&lt;&gt;0,$C$324=V134),$C$320,0)+IF(AND($C$330&lt;&gt;0,$C$334=V134),$C$330,0)</f>
        <v>0</v>
      </c>
      <c r="W159" s="668">
        <f>$W$272+IF(AND($C$310&lt;&gt;0,$C$314=W134),$C$310,0)+IF(AND($C$320&lt;&gt;0,$C$324=W134),$C$320,0)+IF(AND($C$330&lt;&gt;0,$C$334=W134),$C$330,0)</f>
        <v>0</v>
      </c>
      <c r="X159" s="668">
        <f>$X$272+IF(AND($C$310&lt;&gt;0,$C$314=X134),$C$310,0)+IF(AND($C$320&lt;&gt;0,$C$324=X134),$C$320,0)+IF(AND($C$330&lt;&gt;0,$C$334=X134),$C$330,0)</f>
        <v>0</v>
      </c>
      <c r="Y159" s="668">
        <f>$Y$272+IF(AND($C$310&lt;&gt;0,$C$314=Y134),$C$310,0)+IF(AND($C$320&lt;&gt;0,$C$324=Y134),$C$320,0)+IF(AND($C$330&lt;&gt;0,$C$334=Y134),$C$330,0)</f>
        <v>0</v>
      </c>
      <c r="Z159" s="668">
        <f>$Z$272+IF(AND($C$310&lt;&gt;0,$C$314=Z134),$C$310,0)+IF(AND($C$320&lt;&gt;0,$C$324=Z134),$C$320,0)+IF(AND($C$330&lt;&gt;0,$C$334=Z134),$C$330,0)</f>
        <v>0</v>
      </c>
      <c r="AA159" s="668">
        <f>$AA$272+IF(AND($C$310&lt;&gt;0,$C$314=AA134),$C$310,0)+IF(AND($C$320&lt;&gt;0,$C$324=AA134),$C$320,0)+IF(AND($C$330&lt;&gt;0,$C$334=AA134),$C$330,0)</f>
        <v>0</v>
      </c>
      <c r="AB159" s="668">
        <f>$AB$272+IF(AND($C$310&lt;&gt;0,$C$314=AB134),$C$310,0)+IF(AND($C$320&lt;&gt;0,$C$324=AB134),$C$320,0)+IF(AND($C$330&lt;&gt;0,$C$334=AB134),$C$330,0)</f>
        <v>0</v>
      </c>
      <c r="AC159" s="668">
        <f>$AC$272+IF(AND($C$310&lt;&gt;0,$C$314=AC134),$C$310,0)+IF(AND($C$320&lt;&gt;0,$C$324=AC134),$C$320,0)+IF(AND($C$330&lt;&gt;0,$C$334=AC134),$C$330,0)</f>
        <v>0</v>
      </c>
      <c r="AD159" s="668">
        <f>$AD$272+IF(AND($C$310&lt;&gt;0,$C$314=AD134),$C$310,0)+IF(AND($C$320&lt;&gt;0,$C$324=AD134),$C$320,0)+IF(AND($C$330&lt;&gt;0,$C$334=AD134),$C$330,0)</f>
        <v>0</v>
      </c>
      <c r="AE159" s="668">
        <f>$AE$272+IF(AND($C$310&lt;&gt;0,$C$314=AE134),$C$310,0)+IF(AND($C$320&lt;&gt;0,$C$324=AE134),$C$320,0)+IF(AND($C$330&lt;&gt;0,$C$334=AE134),$C$330,0)</f>
        <v>0</v>
      </c>
      <c r="AF159" s="668">
        <f>$AF$272+IF(AND($C$310&lt;&gt;0,$C$314=AF134),$C$310,0)+IF(AND($C$320&lt;&gt;0,$C$324=AF134),$C$320,0)+IF(AND($C$330&lt;&gt;0,$C$334=AF134),$C$330,0)</f>
        <v>0</v>
      </c>
      <c r="AG159" s="668">
        <f>$AG$272+IF(AND($C$310&lt;&gt;0,$C$314=AG134),$C$310,0)+IF(AND($C$320&lt;&gt;0,$C$324=AG134),$C$320,0)+IF(AND($C$330&lt;&gt;0,$C$334=AG134),$C$330,0)</f>
        <v>0</v>
      </c>
      <c r="AH159" s="668">
        <f>$AH$272+IF(AND($C$310&lt;&gt;0,$C$314=AH134),$C$310,0)+IF(AND($C$320&lt;&gt;0,$C$324=AH134),$C$320,0)+IF(AND($C$330&lt;&gt;0,$C$334=AH134),$C$330,0)</f>
        <v>0</v>
      </c>
      <c r="AI159" s="668">
        <f>$AI$272+IF(AND($C$310&lt;&gt;0,$C$314=AI134),$C$310,0)+IF(AND($C$320&lt;&gt;0,$C$324=AI134),$C$320,0)+IF(AND($C$330&lt;&gt;0,$C$334=AI134),$C$330,0)</f>
        <v>0</v>
      </c>
      <c r="AJ159" s="778"/>
    </row>
    <row r="160" spans="1:36" s="496" customFormat="1" ht="12.75" x14ac:dyDescent="0.25">
      <c r="A160" s="669" t="s">
        <v>1179</v>
      </c>
      <c r="B160" s="666" t="s">
        <v>1180</v>
      </c>
      <c r="C160" s="893"/>
      <c r="E160" s="667">
        <f>IF(((E51-C51)+(E39-C39))&gt;=0,(E51-C51)+(E39-C39),0)</f>
        <v>0</v>
      </c>
      <c r="H160" s="667">
        <f>IF(((H51-E51)+(H39-E39))&gt;=0,(H51-E51)+(H39-E39),0)</f>
        <v>0</v>
      </c>
      <c r="I160" s="495"/>
      <c r="J160" s="495"/>
      <c r="K160" s="667">
        <f>IF(((K51-H51)+(K39-H39))&gt;=0,(K51-H51)+(K39-H39),0)</f>
        <v>0</v>
      </c>
      <c r="M160" s="500"/>
      <c r="N160" s="667">
        <f>IF(((N51-H51)+(N39-H39))&gt;=0,(N51-H51)+(N39-H39),0)</f>
        <v>0</v>
      </c>
      <c r="P160" s="500"/>
      <c r="Q160" s="667">
        <f>IF(OR($C$3=$L$913,$C$3=0),IF(((Q51-N51)+(Q39-N39))&gt;=0,(Q51-N51)+(Q39-N39),0),IF(((Q51-K51)+(Q39-K39))&gt;=0,(Q51-K51)+(Q39-K39),0))</f>
        <v>0</v>
      </c>
      <c r="S160" s="500"/>
      <c r="T160" s="668">
        <f t="shared" ref="T160:AI160" si="150">IF(AND($C$350&lt;&gt;0,$C$354=T134),$C$350,0)+IF(AND($C$360&lt;&gt;0,$C$364=T134),$C$360,0)+IF(AND($C$370&lt;&gt;0,$C$374=T134),$C$370,0)</f>
        <v>0</v>
      </c>
      <c r="U160" s="668">
        <f t="shared" si="150"/>
        <v>0</v>
      </c>
      <c r="V160" s="668">
        <f t="shared" si="150"/>
        <v>0</v>
      </c>
      <c r="W160" s="668">
        <f t="shared" si="150"/>
        <v>0</v>
      </c>
      <c r="X160" s="668">
        <f t="shared" si="150"/>
        <v>0</v>
      </c>
      <c r="Y160" s="668">
        <f t="shared" si="150"/>
        <v>0</v>
      </c>
      <c r="Z160" s="668">
        <f t="shared" si="150"/>
        <v>0</v>
      </c>
      <c r="AA160" s="668">
        <f t="shared" si="150"/>
        <v>0</v>
      </c>
      <c r="AB160" s="668">
        <f t="shared" si="150"/>
        <v>0</v>
      </c>
      <c r="AC160" s="668">
        <f t="shared" si="150"/>
        <v>0</v>
      </c>
      <c r="AD160" s="668">
        <f t="shared" si="150"/>
        <v>0</v>
      </c>
      <c r="AE160" s="668">
        <f t="shared" si="150"/>
        <v>0</v>
      </c>
      <c r="AF160" s="668">
        <f t="shared" si="150"/>
        <v>0</v>
      </c>
      <c r="AG160" s="668">
        <f t="shared" si="150"/>
        <v>0</v>
      </c>
      <c r="AH160" s="668">
        <f t="shared" si="150"/>
        <v>0</v>
      </c>
      <c r="AI160" s="668">
        <f t="shared" si="150"/>
        <v>0</v>
      </c>
      <c r="AJ160" s="778"/>
    </row>
    <row r="161" spans="1:36" s="675" customFormat="1" ht="12.75" x14ac:dyDescent="0.25">
      <c r="A161" s="669" t="s">
        <v>1070</v>
      </c>
      <c r="B161" s="703" t="str">
        <f>"+ / - "&amp;B43</f>
        <v>+ / - PASIVOS DIFERIDOS C.P.</v>
      </c>
      <c r="C161" s="897"/>
      <c r="E161" s="671">
        <f>E43-C43</f>
        <v>40</v>
      </c>
      <c r="H161" s="671">
        <f>H43-E43</f>
        <v>0</v>
      </c>
      <c r="I161" s="895"/>
      <c r="J161" s="895"/>
      <c r="K161" s="671">
        <f>K43-H43</f>
        <v>0</v>
      </c>
      <c r="M161" s="676"/>
      <c r="N161" s="671">
        <f>N43-H43</f>
        <v>0</v>
      </c>
      <c r="P161" s="676"/>
      <c r="Q161" s="671">
        <f>IF(OR($C$3=$L$913,$C$3=0),Q43-N43,Q43-K43)</f>
        <v>0</v>
      </c>
      <c r="S161" s="676"/>
      <c r="T161" s="704">
        <f>T43-N43</f>
        <v>0</v>
      </c>
      <c r="U161" s="704">
        <f t="shared" ref="U161:AI161" si="151">U43-T43</f>
        <v>0</v>
      </c>
      <c r="V161" s="704">
        <f t="shared" si="151"/>
        <v>0</v>
      </c>
      <c r="W161" s="704">
        <f t="shared" si="151"/>
        <v>0</v>
      </c>
      <c r="X161" s="704">
        <f t="shared" si="151"/>
        <v>0</v>
      </c>
      <c r="Y161" s="704">
        <f t="shared" si="151"/>
        <v>0</v>
      </c>
      <c r="Z161" s="704">
        <f t="shared" si="151"/>
        <v>0</v>
      </c>
      <c r="AA161" s="704">
        <f t="shared" si="151"/>
        <v>0</v>
      </c>
      <c r="AB161" s="704">
        <f t="shared" si="151"/>
        <v>0</v>
      </c>
      <c r="AC161" s="704">
        <f t="shared" si="151"/>
        <v>0</v>
      </c>
      <c r="AD161" s="704">
        <f t="shared" si="151"/>
        <v>0</v>
      </c>
      <c r="AE161" s="704">
        <f t="shared" si="151"/>
        <v>0</v>
      </c>
      <c r="AF161" s="704">
        <f t="shared" si="151"/>
        <v>0</v>
      </c>
      <c r="AG161" s="704">
        <f t="shared" si="151"/>
        <v>0</v>
      </c>
      <c r="AH161" s="704">
        <f t="shared" si="151"/>
        <v>0</v>
      </c>
      <c r="AI161" s="704">
        <f t="shared" si="151"/>
        <v>0</v>
      </c>
      <c r="AJ161" s="896"/>
    </row>
    <row r="162" spans="1:36" s="675" customFormat="1" ht="12.75" x14ac:dyDescent="0.25">
      <c r="A162" s="669" t="s">
        <v>1072</v>
      </c>
      <c r="B162" s="703" t="str">
        <f>"+ / - "&amp;B45</f>
        <v>+ / - DEUDAS CON SOCIOS  C.P.</v>
      </c>
      <c r="C162" s="897"/>
      <c r="E162" s="671">
        <f>E45-C45</f>
        <v>20</v>
      </c>
      <c r="H162" s="671">
        <f>H45-E45</f>
        <v>0</v>
      </c>
      <c r="I162" s="895"/>
      <c r="J162" s="895"/>
      <c r="K162" s="671">
        <f>K45-H45</f>
        <v>0</v>
      </c>
      <c r="M162" s="676"/>
      <c r="N162" s="671">
        <f>N45-H45</f>
        <v>0</v>
      </c>
      <c r="P162" s="676"/>
      <c r="Q162" s="671">
        <f>IF(OR($C$3=$L$913,$C$3=0),Q45-N45,Q45-K45)</f>
        <v>0</v>
      </c>
      <c r="S162" s="676"/>
      <c r="T162" s="704">
        <f>T45-N45</f>
        <v>0</v>
      </c>
      <c r="U162" s="704">
        <f t="shared" ref="U162:AI162" si="152">U45-T45</f>
        <v>0</v>
      </c>
      <c r="V162" s="704">
        <f t="shared" si="152"/>
        <v>0</v>
      </c>
      <c r="W162" s="704">
        <f t="shared" si="152"/>
        <v>0</v>
      </c>
      <c r="X162" s="704">
        <f t="shared" si="152"/>
        <v>0</v>
      </c>
      <c r="Y162" s="704">
        <f t="shared" si="152"/>
        <v>0</v>
      </c>
      <c r="Z162" s="704">
        <f t="shared" si="152"/>
        <v>0</v>
      </c>
      <c r="AA162" s="704">
        <f t="shared" si="152"/>
        <v>0</v>
      </c>
      <c r="AB162" s="704">
        <f t="shared" si="152"/>
        <v>0</v>
      </c>
      <c r="AC162" s="704">
        <f t="shared" si="152"/>
        <v>0</v>
      </c>
      <c r="AD162" s="704">
        <f t="shared" si="152"/>
        <v>0</v>
      </c>
      <c r="AE162" s="704">
        <f t="shared" si="152"/>
        <v>0</v>
      </c>
      <c r="AF162" s="704">
        <f t="shared" si="152"/>
        <v>0</v>
      </c>
      <c r="AG162" s="704">
        <f t="shared" si="152"/>
        <v>0</v>
      </c>
      <c r="AH162" s="704">
        <f t="shared" si="152"/>
        <v>0</v>
      </c>
      <c r="AI162" s="704">
        <f t="shared" si="152"/>
        <v>0</v>
      </c>
      <c r="AJ162" s="896"/>
    </row>
    <row r="163" spans="1:36" s="675" customFormat="1" ht="12.75" x14ac:dyDescent="0.25">
      <c r="A163" s="669" t="s">
        <v>1074</v>
      </c>
      <c r="B163" s="703" t="str">
        <f>"+ / - "&amp;B46</f>
        <v>+ / - PASIVOS ESTIMADOS Y PROVISIONES</v>
      </c>
      <c r="C163" s="897"/>
      <c r="E163" s="671">
        <f>E46-C46</f>
        <v>90</v>
      </c>
      <c r="H163" s="671">
        <f>H46-E46</f>
        <v>0</v>
      </c>
      <c r="I163" s="895"/>
      <c r="J163" s="895"/>
      <c r="K163" s="671">
        <f>K46-H46</f>
        <v>0</v>
      </c>
      <c r="M163" s="676"/>
      <c r="N163" s="671">
        <f>N46-H46</f>
        <v>0</v>
      </c>
      <c r="P163" s="676"/>
      <c r="Q163" s="671">
        <f>IF(OR($C$3=$L$913,$C$3=0),Q46-N46,Q46-K46)</f>
        <v>0</v>
      </c>
      <c r="S163" s="676"/>
      <c r="T163" s="704">
        <f>T46-N46</f>
        <v>0</v>
      </c>
      <c r="U163" s="704">
        <f t="shared" ref="U163:AI163" si="153">U46-T46</f>
        <v>0</v>
      </c>
      <c r="V163" s="704">
        <f t="shared" si="153"/>
        <v>0</v>
      </c>
      <c r="W163" s="704">
        <f t="shared" si="153"/>
        <v>0</v>
      </c>
      <c r="X163" s="704">
        <f t="shared" si="153"/>
        <v>0</v>
      </c>
      <c r="Y163" s="704">
        <f t="shared" si="153"/>
        <v>0</v>
      </c>
      <c r="Z163" s="704">
        <f t="shared" si="153"/>
        <v>0</v>
      </c>
      <c r="AA163" s="704">
        <f t="shared" si="153"/>
        <v>0</v>
      </c>
      <c r="AB163" s="704">
        <f t="shared" si="153"/>
        <v>0</v>
      </c>
      <c r="AC163" s="704">
        <f t="shared" si="153"/>
        <v>0</v>
      </c>
      <c r="AD163" s="704">
        <f t="shared" si="153"/>
        <v>0</v>
      </c>
      <c r="AE163" s="704">
        <f t="shared" si="153"/>
        <v>0</v>
      </c>
      <c r="AF163" s="704">
        <f t="shared" si="153"/>
        <v>0</v>
      </c>
      <c r="AG163" s="704">
        <f t="shared" si="153"/>
        <v>0</v>
      </c>
      <c r="AH163" s="704">
        <f t="shared" si="153"/>
        <v>0</v>
      </c>
      <c r="AI163" s="704">
        <f t="shared" si="153"/>
        <v>0</v>
      </c>
      <c r="AJ163" s="896"/>
    </row>
    <row r="164" spans="1:36" s="675" customFormat="1" ht="12.75" x14ac:dyDescent="0.25">
      <c r="A164" s="669" t="s">
        <v>1181</v>
      </c>
      <c r="B164" s="703" t="str">
        <f>"+ / - "&amp;B47</f>
        <v>+ / - OTROS CORRIENTES</v>
      </c>
      <c r="C164" s="897"/>
      <c r="E164" s="671">
        <f>E47-C47</f>
        <v>50</v>
      </c>
      <c r="H164" s="671">
        <f>H47-E47</f>
        <v>0</v>
      </c>
      <c r="I164" s="895"/>
      <c r="J164" s="895"/>
      <c r="K164" s="671">
        <f>K47-H47</f>
        <v>0</v>
      </c>
      <c r="M164" s="676"/>
      <c r="N164" s="671">
        <f>N47-H47</f>
        <v>0</v>
      </c>
      <c r="P164" s="676"/>
      <c r="Q164" s="671">
        <f>IF(OR($C$3=$L$913,$C$3=0),Q47-N47,Q47-K47)</f>
        <v>0</v>
      </c>
      <c r="S164" s="676"/>
      <c r="T164" s="704">
        <f>T47-N47</f>
        <v>0</v>
      </c>
      <c r="U164" s="704">
        <f t="shared" ref="U164:AI164" si="154">U47-T47</f>
        <v>0</v>
      </c>
      <c r="V164" s="704">
        <f t="shared" si="154"/>
        <v>0</v>
      </c>
      <c r="W164" s="704">
        <f t="shared" si="154"/>
        <v>0</v>
      </c>
      <c r="X164" s="704">
        <f t="shared" si="154"/>
        <v>0</v>
      </c>
      <c r="Y164" s="704">
        <f t="shared" si="154"/>
        <v>0</v>
      </c>
      <c r="Z164" s="704">
        <f t="shared" si="154"/>
        <v>0</v>
      </c>
      <c r="AA164" s="704">
        <f t="shared" si="154"/>
        <v>0</v>
      </c>
      <c r="AB164" s="704">
        <f t="shared" si="154"/>
        <v>0</v>
      </c>
      <c r="AC164" s="704">
        <f t="shared" si="154"/>
        <v>0</v>
      </c>
      <c r="AD164" s="704">
        <f t="shared" si="154"/>
        <v>0</v>
      </c>
      <c r="AE164" s="704">
        <f t="shared" si="154"/>
        <v>0</v>
      </c>
      <c r="AF164" s="704">
        <f t="shared" si="154"/>
        <v>0</v>
      </c>
      <c r="AG164" s="704">
        <f t="shared" si="154"/>
        <v>0</v>
      </c>
      <c r="AH164" s="704">
        <f t="shared" si="154"/>
        <v>0</v>
      </c>
      <c r="AI164" s="704">
        <f t="shared" si="154"/>
        <v>0</v>
      </c>
      <c r="AJ164" s="896"/>
    </row>
    <row r="165" spans="1:36" s="655" customFormat="1" ht="12.75" x14ac:dyDescent="0.25">
      <c r="A165" s="665">
        <v>13</v>
      </c>
      <c r="B165" s="705" t="s">
        <v>1182</v>
      </c>
      <c r="C165" s="897"/>
      <c r="E165" s="706">
        <f>SUM(E161:E164)</f>
        <v>200</v>
      </c>
      <c r="H165" s="706">
        <f>SUM(H161:H164)</f>
        <v>0</v>
      </c>
      <c r="I165" s="886"/>
      <c r="J165" s="886"/>
      <c r="K165" s="706">
        <f>SUM(K161:K164)</f>
        <v>0</v>
      </c>
      <c r="M165" s="653"/>
      <c r="N165" s="706">
        <f>SUM(N161:N164)</f>
        <v>0</v>
      </c>
      <c r="P165" s="653"/>
      <c r="Q165" s="706">
        <f>SUM(Q161:Q164)</f>
        <v>0</v>
      </c>
      <c r="S165" s="653"/>
      <c r="T165" s="704">
        <f t="shared" ref="T165:AI165" si="155">SUM(T161:T164)</f>
        <v>0</v>
      </c>
      <c r="U165" s="704">
        <f t="shared" si="155"/>
        <v>0</v>
      </c>
      <c r="V165" s="704">
        <f t="shared" si="155"/>
        <v>0</v>
      </c>
      <c r="W165" s="704">
        <f t="shared" si="155"/>
        <v>0</v>
      </c>
      <c r="X165" s="704">
        <f t="shared" si="155"/>
        <v>0</v>
      </c>
      <c r="Y165" s="704">
        <f t="shared" si="155"/>
        <v>0</v>
      </c>
      <c r="Z165" s="704">
        <f t="shared" si="155"/>
        <v>0</v>
      </c>
      <c r="AA165" s="704">
        <f t="shared" si="155"/>
        <v>0</v>
      </c>
      <c r="AB165" s="704">
        <f t="shared" si="155"/>
        <v>0</v>
      </c>
      <c r="AC165" s="704">
        <f t="shared" si="155"/>
        <v>0</v>
      </c>
      <c r="AD165" s="704">
        <f t="shared" si="155"/>
        <v>0</v>
      </c>
      <c r="AE165" s="704">
        <f t="shared" si="155"/>
        <v>0</v>
      </c>
      <c r="AF165" s="704">
        <f t="shared" si="155"/>
        <v>0</v>
      </c>
      <c r="AG165" s="704">
        <f t="shared" si="155"/>
        <v>0</v>
      </c>
      <c r="AH165" s="704">
        <f t="shared" si="155"/>
        <v>0</v>
      </c>
      <c r="AI165" s="704">
        <f t="shared" si="155"/>
        <v>0</v>
      </c>
      <c r="AJ165" s="887"/>
    </row>
    <row r="166" spans="1:36" s="675" customFormat="1" ht="12.75" x14ac:dyDescent="0.25">
      <c r="A166" s="669" t="s">
        <v>1183</v>
      </c>
      <c r="B166" s="703" t="str">
        <f t="shared" ref="B166:B171" si="156">"+ / - "&amp;B52</f>
        <v>+ / - PRESTACIONES SOCIALES L.P.</v>
      </c>
      <c r="C166" s="894"/>
      <c r="E166" s="910">
        <f>E52-C52</f>
        <v>60</v>
      </c>
      <c r="H166" s="671">
        <f>H52-E52</f>
        <v>0</v>
      </c>
      <c r="I166" s="895"/>
      <c r="J166" s="895"/>
      <c r="K166" s="671">
        <f>K52-H52</f>
        <v>0</v>
      </c>
      <c r="M166" s="676"/>
      <c r="N166" s="671">
        <f>N52-H52</f>
        <v>0</v>
      </c>
      <c r="P166" s="676"/>
      <c r="Q166" s="671">
        <f>IF(OR($C$3=$L$913,$C$3=0),Q52-N52,Q52-K52)</f>
        <v>0</v>
      </c>
      <c r="S166" s="676"/>
      <c r="T166" s="674">
        <f>T52-N52</f>
        <v>0</v>
      </c>
      <c r="U166" s="674">
        <f t="shared" ref="U166:AI166" si="157">U52-T52</f>
        <v>0</v>
      </c>
      <c r="V166" s="674">
        <f t="shared" si="157"/>
        <v>0</v>
      </c>
      <c r="W166" s="674">
        <f t="shared" si="157"/>
        <v>0</v>
      </c>
      <c r="X166" s="674">
        <f t="shared" si="157"/>
        <v>0</v>
      </c>
      <c r="Y166" s="674">
        <f t="shared" si="157"/>
        <v>0</v>
      </c>
      <c r="Z166" s="674">
        <f t="shared" si="157"/>
        <v>0</v>
      </c>
      <c r="AA166" s="674">
        <f t="shared" si="157"/>
        <v>0</v>
      </c>
      <c r="AB166" s="674">
        <f t="shared" si="157"/>
        <v>0</v>
      </c>
      <c r="AC166" s="674">
        <f t="shared" si="157"/>
        <v>0</v>
      </c>
      <c r="AD166" s="674">
        <f t="shared" si="157"/>
        <v>0</v>
      </c>
      <c r="AE166" s="674">
        <f t="shared" si="157"/>
        <v>0</v>
      </c>
      <c r="AF166" s="674">
        <f t="shared" si="157"/>
        <v>0</v>
      </c>
      <c r="AG166" s="674">
        <f t="shared" si="157"/>
        <v>0</v>
      </c>
      <c r="AH166" s="674">
        <f t="shared" si="157"/>
        <v>0</v>
      </c>
      <c r="AI166" s="674">
        <f t="shared" si="157"/>
        <v>0</v>
      </c>
      <c r="AJ166" s="896"/>
    </row>
    <row r="167" spans="1:36" s="675" customFormat="1" ht="12.75" x14ac:dyDescent="0.25">
      <c r="A167" s="669" t="s">
        <v>1184</v>
      </c>
      <c r="B167" s="703" t="str">
        <f t="shared" si="156"/>
        <v>+ / - PENSIONES DE JUBILACIÓN</v>
      </c>
      <c r="C167" s="894"/>
      <c r="E167" s="910">
        <f>E53-C53</f>
        <v>10</v>
      </c>
      <c r="H167" s="671">
        <f>H53-E53</f>
        <v>0</v>
      </c>
      <c r="I167" s="895"/>
      <c r="J167" s="895"/>
      <c r="K167" s="671">
        <f>K53-H53</f>
        <v>0</v>
      </c>
      <c r="M167" s="676"/>
      <c r="N167" s="671">
        <f>N53-H53</f>
        <v>0</v>
      </c>
      <c r="P167" s="676"/>
      <c r="Q167" s="671">
        <f>IF(OR($C$3=$L$913,$C$3=0),Q53-N53,Q53-K53)</f>
        <v>0</v>
      </c>
      <c r="S167" s="676"/>
      <c r="T167" s="674">
        <f>T53-N53</f>
        <v>0</v>
      </c>
      <c r="U167" s="674">
        <f t="shared" ref="U167:AI167" si="158">U53-T53</f>
        <v>0</v>
      </c>
      <c r="V167" s="674">
        <f t="shared" si="158"/>
        <v>0</v>
      </c>
      <c r="W167" s="674">
        <f t="shared" si="158"/>
        <v>0</v>
      </c>
      <c r="X167" s="674">
        <f t="shared" si="158"/>
        <v>0</v>
      </c>
      <c r="Y167" s="674">
        <f t="shared" si="158"/>
        <v>0</v>
      </c>
      <c r="Z167" s="674">
        <f t="shared" si="158"/>
        <v>0</v>
      </c>
      <c r="AA167" s="674">
        <f t="shared" si="158"/>
        <v>0</v>
      </c>
      <c r="AB167" s="674">
        <f t="shared" si="158"/>
        <v>0</v>
      </c>
      <c r="AC167" s="674">
        <f t="shared" si="158"/>
        <v>0</v>
      </c>
      <c r="AD167" s="674">
        <f t="shared" si="158"/>
        <v>0</v>
      </c>
      <c r="AE167" s="674">
        <f t="shared" si="158"/>
        <v>0</v>
      </c>
      <c r="AF167" s="674">
        <f t="shared" si="158"/>
        <v>0</v>
      </c>
      <c r="AG167" s="674">
        <f t="shared" si="158"/>
        <v>0</v>
      </c>
      <c r="AH167" s="674">
        <f t="shared" si="158"/>
        <v>0</v>
      </c>
      <c r="AI167" s="674">
        <f t="shared" si="158"/>
        <v>0</v>
      </c>
      <c r="AJ167" s="896"/>
    </row>
    <row r="168" spans="1:36" s="675" customFormat="1" ht="12.75" x14ac:dyDescent="0.25">
      <c r="A168" s="669" t="s">
        <v>1185</v>
      </c>
      <c r="B168" s="703" t="str">
        <f t="shared" si="156"/>
        <v>+ / - DEUDAS CON SOCIOS L.P.</v>
      </c>
      <c r="C168" s="894"/>
      <c r="E168" s="910">
        <f>E54-C54</f>
        <v>20</v>
      </c>
      <c r="H168" s="671">
        <f>H54-E54</f>
        <v>0</v>
      </c>
      <c r="I168" s="895"/>
      <c r="J168" s="895"/>
      <c r="K168" s="671">
        <f>K54-H54</f>
        <v>0</v>
      </c>
      <c r="M168" s="676"/>
      <c r="N168" s="671">
        <f>N54-H54</f>
        <v>0</v>
      </c>
      <c r="P168" s="676"/>
      <c r="Q168" s="671">
        <f>IF(OR($C$3=$L$913,$C$3=0),Q54-N54,Q54-K54)</f>
        <v>0</v>
      </c>
      <c r="S168" s="676"/>
      <c r="T168" s="674">
        <f>T54-N54</f>
        <v>0</v>
      </c>
      <c r="U168" s="674">
        <f t="shared" ref="U168:AI168" si="159">U54-T54</f>
        <v>0</v>
      </c>
      <c r="V168" s="674">
        <f t="shared" si="159"/>
        <v>0</v>
      </c>
      <c r="W168" s="674">
        <f t="shared" si="159"/>
        <v>0</v>
      </c>
      <c r="X168" s="674">
        <f t="shared" si="159"/>
        <v>0</v>
      </c>
      <c r="Y168" s="674">
        <f t="shared" si="159"/>
        <v>0</v>
      </c>
      <c r="Z168" s="674">
        <f t="shared" si="159"/>
        <v>0</v>
      </c>
      <c r="AA168" s="674">
        <f t="shared" si="159"/>
        <v>0</v>
      </c>
      <c r="AB168" s="674">
        <f t="shared" si="159"/>
        <v>0</v>
      </c>
      <c r="AC168" s="674">
        <f t="shared" si="159"/>
        <v>0</v>
      </c>
      <c r="AD168" s="674">
        <f t="shared" si="159"/>
        <v>0</v>
      </c>
      <c r="AE168" s="674">
        <f t="shared" si="159"/>
        <v>0</v>
      </c>
      <c r="AF168" s="674">
        <f t="shared" si="159"/>
        <v>0</v>
      </c>
      <c r="AG168" s="674">
        <f t="shared" si="159"/>
        <v>0</v>
      </c>
      <c r="AH168" s="674">
        <f t="shared" si="159"/>
        <v>0</v>
      </c>
      <c r="AI168" s="674">
        <f t="shared" si="159"/>
        <v>0</v>
      </c>
      <c r="AJ168" s="896"/>
    </row>
    <row r="169" spans="1:36" s="675" customFormat="1" ht="12.75" x14ac:dyDescent="0.25">
      <c r="A169" s="669" t="s">
        <v>1186</v>
      </c>
      <c r="B169" s="703" t="str">
        <f t="shared" si="156"/>
        <v>+ / - IMPUESTOS DE L.P. (DIFERIDOS)</v>
      </c>
      <c r="C169" s="894"/>
      <c r="E169" s="910">
        <f>E55-C55</f>
        <v>40</v>
      </c>
      <c r="H169" s="671">
        <f>H55-E55</f>
        <v>0</v>
      </c>
      <c r="I169" s="895"/>
      <c r="J169" s="895"/>
      <c r="K169" s="671">
        <f>K55-H55</f>
        <v>0</v>
      </c>
      <c r="M169" s="676"/>
      <c r="N169" s="671">
        <f>N55-H55</f>
        <v>0</v>
      </c>
      <c r="P169" s="676"/>
      <c r="Q169" s="671">
        <f>IF(OR($C$3=$L$913,$C$3=0),Q55-N55,Q55-K55)</f>
        <v>0</v>
      </c>
      <c r="S169" s="676"/>
      <c r="T169" s="674">
        <f>T55-N55</f>
        <v>0</v>
      </c>
      <c r="U169" s="674">
        <f t="shared" ref="U169:AI169" si="160">U55-T55</f>
        <v>0</v>
      </c>
      <c r="V169" s="674">
        <f t="shared" si="160"/>
        <v>0</v>
      </c>
      <c r="W169" s="674">
        <f t="shared" si="160"/>
        <v>0</v>
      </c>
      <c r="X169" s="674">
        <f t="shared" si="160"/>
        <v>0</v>
      </c>
      <c r="Y169" s="674">
        <f t="shared" si="160"/>
        <v>0</v>
      </c>
      <c r="Z169" s="674">
        <f t="shared" si="160"/>
        <v>0</v>
      </c>
      <c r="AA169" s="674">
        <f t="shared" si="160"/>
        <v>0</v>
      </c>
      <c r="AB169" s="674">
        <f t="shared" si="160"/>
        <v>0</v>
      </c>
      <c r="AC169" s="674">
        <f t="shared" si="160"/>
        <v>0</v>
      </c>
      <c r="AD169" s="674">
        <f t="shared" si="160"/>
        <v>0</v>
      </c>
      <c r="AE169" s="674">
        <f t="shared" si="160"/>
        <v>0</v>
      </c>
      <c r="AF169" s="674">
        <f t="shared" si="160"/>
        <v>0</v>
      </c>
      <c r="AG169" s="674">
        <f t="shared" si="160"/>
        <v>0</v>
      </c>
      <c r="AH169" s="674">
        <f t="shared" si="160"/>
        <v>0</v>
      </c>
      <c r="AI169" s="674">
        <f t="shared" si="160"/>
        <v>0</v>
      </c>
      <c r="AJ169" s="896"/>
    </row>
    <row r="170" spans="1:36" s="675" customFormat="1" ht="12.75" x14ac:dyDescent="0.25">
      <c r="A170" s="669" t="s">
        <v>1187</v>
      </c>
      <c r="B170" s="707" t="str">
        <f t="shared" si="156"/>
        <v>+ / - PASIVOS ESTIMADOS Y PROVISIONES (DIFERIDOS)</v>
      </c>
      <c r="C170" s="911"/>
      <c r="E170" s="671">
        <f>E56-C56</f>
        <v>80</v>
      </c>
      <c r="H170" s="671">
        <f>H56-E56</f>
        <v>0</v>
      </c>
      <c r="I170" s="895"/>
      <c r="J170" s="895"/>
      <c r="K170" s="671">
        <f>K56-H56</f>
        <v>0</v>
      </c>
      <c r="M170" s="676"/>
      <c r="N170" s="671">
        <f>N56-H56</f>
        <v>0</v>
      </c>
      <c r="P170" s="676"/>
      <c r="Q170" s="671">
        <f>IF(OR($C$3=$L$913,$C$3=0),Q56-N56,Q56-K56)</f>
        <v>0</v>
      </c>
      <c r="S170" s="676"/>
      <c r="T170" s="674">
        <f>T56-N56</f>
        <v>0</v>
      </c>
      <c r="U170" s="674">
        <f t="shared" ref="U170:AI170" si="161">U56-T56</f>
        <v>0</v>
      </c>
      <c r="V170" s="674">
        <f t="shared" si="161"/>
        <v>0</v>
      </c>
      <c r="W170" s="674">
        <f t="shared" si="161"/>
        <v>0</v>
      </c>
      <c r="X170" s="674">
        <f t="shared" si="161"/>
        <v>0</v>
      </c>
      <c r="Y170" s="674">
        <f t="shared" si="161"/>
        <v>0</v>
      </c>
      <c r="Z170" s="674">
        <f t="shared" si="161"/>
        <v>0</v>
      </c>
      <c r="AA170" s="674">
        <f t="shared" si="161"/>
        <v>0</v>
      </c>
      <c r="AB170" s="674">
        <f t="shared" si="161"/>
        <v>0</v>
      </c>
      <c r="AC170" s="674">
        <f t="shared" si="161"/>
        <v>0</v>
      </c>
      <c r="AD170" s="674">
        <f t="shared" si="161"/>
        <v>0</v>
      </c>
      <c r="AE170" s="674">
        <f t="shared" si="161"/>
        <v>0</v>
      </c>
      <c r="AF170" s="674">
        <f t="shared" si="161"/>
        <v>0</v>
      </c>
      <c r="AG170" s="674">
        <f t="shared" si="161"/>
        <v>0</v>
      </c>
      <c r="AH170" s="674">
        <f t="shared" si="161"/>
        <v>0</v>
      </c>
      <c r="AI170" s="674">
        <f t="shared" si="161"/>
        <v>0</v>
      </c>
      <c r="AJ170" s="896"/>
    </row>
    <row r="171" spans="1:36" s="675" customFormat="1" ht="12.75" x14ac:dyDescent="0.25">
      <c r="A171" s="669" t="s">
        <v>1188</v>
      </c>
      <c r="B171" s="703" t="str">
        <f t="shared" si="156"/>
        <v xml:space="preserve">+ / - OTROS PASIVOS DE LARGO PLAZO </v>
      </c>
      <c r="C171" s="894"/>
      <c r="E171" s="910">
        <f>E57-E122-C57+C122</f>
        <v>220</v>
      </c>
      <c r="H171" s="671">
        <f>H57-H122-E57+E122</f>
        <v>0</v>
      </c>
      <c r="I171" s="895"/>
      <c r="J171" s="895"/>
      <c r="K171" s="671">
        <f>K57-K122-H57+H122</f>
        <v>0</v>
      </c>
      <c r="M171" s="676"/>
      <c r="N171" s="671">
        <f>N57-N122-H57+H122</f>
        <v>0</v>
      </c>
      <c r="P171" s="676"/>
      <c r="Q171" s="671">
        <f>IF(OR($C$3=$L$913,$C$3=0),Q57-Q122-N57+N122,Q57-Q122-K57+K122)</f>
        <v>0</v>
      </c>
      <c r="S171" s="676"/>
      <c r="T171" s="674">
        <f>T57-T122-N57+N122</f>
        <v>2.8421709430404007E-14</v>
      </c>
      <c r="U171" s="674">
        <f t="shared" ref="U171:AI171" si="162">U57-U122-T57+T122</f>
        <v>0</v>
      </c>
      <c r="V171" s="674">
        <f t="shared" si="162"/>
        <v>0</v>
      </c>
      <c r="W171" s="674">
        <f t="shared" si="162"/>
        <v>0</v>
      </c>
      <c r="X171" s="674">
        <f t="shared" si="162"/>
        <v>0</v>
      </c>
      <c r="Y171" s="674">
        <f t="shared" si="162"/>
        <v>0</v>
      </c>
      <c r="Z171" s="674">
        <f t="shared" si="162"/>
        <v>0</v>
      </c>
      <c r="AA171" s="674">
        <f t="shared" si="162"/>
        <v>0</v>
      </c>
      <c r="AB171" s="674">
        <f t="shared" si="162"/>
        <v>0</v>
      </c>
      <c r="AC171" s="674">
        <f t="shared" si="162"/>
        <v>0</v>
      </c>
      <c r="AD171" s="674">
        <f t="shared" si="162"/>
        <v>0</v>
      </c>
      <c r="AE171" s="674">
        <f t="shared" si="162"/>
        <v>0</v>
      </c>
      <c r="AF171" s="674">
        <f t="shared" si="162"/>
        <v>0</v>
      </c>
      <c r="AG171" s="674">
        <f t="shared" si="162"/>
        <v>0</v>
      </c>
      <c r="AH171" s="674">
        <f t="shared" si="162"/>
        <v>0</v>
      </c>
      <c r="AI171" s="674">
        <f t="shared" si="162"/>
        <v>0</v>
      </c>
      <c r="AJ171" s="896"/>
    </row>
    <row r="172" spans="1:36" s="655" customFormat="1" ht="12.75" x14ac:dyDescent="0.25">
      <c r="A172" s="665">
        <v>14</v>
      </c>
      <c r="B172" s="705" t="s">
        <v>1189</v>
      </c>
      <c r="C172" s="897"/>
      <c r="E172" s="912">
        <f>SUM(E166:E171)</f>
        <v>430</v>
      </c>
      <c r="H172" s="706">
        <f>SUM(H166:H171)</f>
        <v>0</v>
      </c>
      <c r="I172" s="886"/>
      <c r="J172" s="886"/>
      <c r="K172" s="706">
        <f>SUM(K166:K171)</f>
        <v>0</v>
      </c>
      <c r="M172" s="653"/>
      <c r="N172" s="706">
        <f>SUM(N166:N171)</f>
        <v>0</v>
      </c>
      <c r="P172" s="653"/>
      <c r="Q172" s="706">
        <f>SUM(Q166:Q171)</f>
        <v>0</v>
      </c>
      <c r="S172" s="653"/>
      <c r="T172" s="704">
        <f t="shared" ref="T172:AI172" si="163">SUM(T166:T171)</f>
        <v>2.8421709430404007E-14</v>
      </c>
      <c r="U172" s="704">
        <f t="shared" si="163"/>
        <v>0</v>
      </c>
      <c r="V172" s="704">
        <f t="shared" si="163"/>
        <v>0</v>
      </c>
      <c r="W172" s="704">
        <f t="shared" si="163"/>
        <v>0</v>
      </c>
      <c r="X172" s="704">
        <f t="shared" si="163"/>
        <v>0</v>
      </c>
      <c r="Y172" s="704">
        <f t="shared" si="163"/>
        <v>0</v>
      </c>
      <c r="Z172" s="704">
        <f t="shared" si="163"/>
        <v>0</v>
      </c>
      <c r="AA172" s="704">
        <f t="shared" si="163"/>
        <v>0</v>
      </c>
      <c r="AB172" s="704">
        <f t="shared" si="163"/>
        <v>0</v>
      </c>
      <c r="AC172" s="704">
        <f t="shared" si="163"/>
        <v>0</v>
      </c>
      <c r="AD172" s="704">
        <f t="shared" si="163"/>
        <v>0</v>
      </c>
      <c r="AE172" s="704">
        <f t="shared" si="163"/>
        <v>0</v>
      </c>
      <c r="AF172" s="704">
        <f t="shared" si="163"/>
        <v>0</v>
      </c>
      <c r="AG172" s="704">
        <f t="shared" si="163"/>
        <v>0</v>
      </c>
      <c r="AH172" s="704">
        <f t="shared" si="163"/>
        <v>0</v>
      </c>
      <c r="AI172" s="704">
        <f t="shared" si="163"/>
        <v>0</v>
      </c>
      <c r="AJ172" s="887"/>
    </row>
    <row r="173" spans="1:36" s="496" customFormat="1" ht="12.75" x14ac:dyDescent="0.25">
      <c r="A173" s="665">
        <v>15</v>
      </c>
      <c r="B173" s="666" t="s">
        <v>1190</v>
      </c>
      <c r="C173" s="893"/>
      <c r="E173" s="667">
        <f>E232</f>
        <v>120</v>
      </c>
      <c r="H173" s="667">
        <f>H232</f>
        <v>0</v>
      </c>
      <c r="I173" s="495"/>
      <c r="J173" s="495"/>
      <c r="K173" s="667">
        <f>K232</f>
        <v>0</v>
      </c>
      <c r="M173" s="500"/>
      <c r="N173" s="667">
        <f>N232</f>
        <v>0</v>
      </c>
      <c r="P173" s="500"/>
      <c r="Q173" s="667">
        <f>Q232</f>
        <v>0</v>
      </c>
      <c r="S173" s="500"/>
      <c r="T173" s="668">
        <f t="shared" ref="T173:AI173" si="164">T232</f>
        <v>0</v>
      </c>
      <c r="U173" s="668">
        <f t="shared" si="164"/>
        <v>0</v>
      </c>
      <c r="V173" s="668">
        <f t="shared" si="164"/>
        <v>0</v>
      </c>
      <c r="W173" s="668">
        <f t="shared" si="164"/>
        <v>0</v>
      </c>
      <c r="X173" s="668">
        <f t="shared" si="164"/>
        <v>0</v>
      </c>
      <c r="Y173" s="668">
        <f t="shared" si="164"/>
        <v>0</v>
      </c>
      <c r="Z173" s="668">
        <f t="shared" si="164"/>
        <v>0</v>
      </c>
      <c r="AA173" s="668">
        <f t="shared" si="164"/>
        <v>0</v>
      </c>
      <c r="AB173" s="668">
        <f t="shared" si="164"/>
        <v>0</v>
      </c>
      <c r="AC173" s="668">
        <f t="shared" si="164"/>
        <v>0</v>
      </c>
      <c r="AD173" s="668">
        <f t="shared" si="164"/>
        <v>0</v>
      </c>
      <c r="AE173" s="668">
        <f t="shared" si="164"/>
        <v>0</v>
      </c>
      <c r="AF173" s="668">
        <f t="shared" si="164"/>
        <v>0</v>
      </c>
      <c r="AG173" s="668">
        <f t="shared" si="164"/>
        <v>0</v>
      </c>
      <c r="AH173" s="668">
        <f t="shared" si="164"/>
        <v>0</v>
      </c>
      <c r="AI173" s="668">
        <f t="shared" si="164"/>
        <v>0</v>
      </c>
      <c r="AJ173" s="778"/>
    </row>
    <row r="174" spans="1:36" s="632" customFormat="1" ht="12" x14ac:dyDescent="0.25">
      <c r="A174" s="669" t="s">
        <v>1191</v>
      </c>
      <c r="B174" s="670" t="s">
        <v>1192</v>
      </c>
      <c r="C174" s="894"/>
      <c r="E174" s="674">
        <f>E79-E80</f>
        <v>0</v>
      </c>
      <c r="H174" s="674">
        <f>H79-H80</f>
        <v>0</v>
      </c>
      <c r="I174" s="890"/>
      <c r="J174" s="890"/>
      <c r="K174" s="674">
        <f>K79-K80</f>
        <v>0</v>
      </c>
      <c r="M174" s="664"/>
      <c r="N174" s="674">
        <f>N79-N80</f>
        <v>0</v>
      </c>
      <c r="P174" s="664"/>
      <c r="Q174" s="674">
        <f>Q79-Q80</f>
        <v>0</v>
      </c>
      <c r="S174" s="664"/>
      <c r="T174" s="674">
        <f t="shared" ref="T174:AI174" si="165">T79-T80</f>
        <v>0</v>
      </c>
      <c r="U174" s="674">
        <f t="shared" si="165"/>
        <v>0</v>
      </c>
      <c r="V174" s="674">
        <f t="shared" si="165"/>
        <v>0</v>
      </c>
      <c r="W174" s="674">
        <f t="shared" si="165"/>
        <v>0</v>
      </c>
      <c r="X174" s="674">
        <f t="shared" si="165"/>
        <v>0</v>
      </c>
      <c r="Y174" s="674">
        <f t="shared" si="165"/>
        <v>0</v>
      </c>
      <c r="Z174" s="674">
        <f t="shared" si="165"/>
        <v>0</v>
      </c>
      <c r="AA174" s="674">
        <f t="shared" si="165"/>
        <v>0</v>
      </c>
      <c r="AB174" s="674">
        <f t="shared" si="165"/>
        <v>0</v>
      </c>
      <c r="AC174" s="674">
        <f t="shared" si="165"/>
        <v>0</v>
      </c>
      <c r="AD174" s="674">
        <f t="shared" si="165"/>
        <v>0</v>
      </c>
      <c r="AE174" s="674">
        <f t="shared" si="165"/>
        <v>0</v>
      </c>
      <c r="AF174" s="674">
        <f t="shared" si="165"/>
        <v>0</v>
      </c>
      <c r="AG174" s="674">
        <f t="shared" si="165"/>
        <v>0</v>
      </c>
      <c r="AH174" s="674">
        <f t="shared" si="165"/>
        <v>0</v>
      </c>
      <c r="AI174" s="674">
        <f t="shared" si="165"/>
        <v>0</v>
      </c>
      <c r="AJ174" s="891"/>
    </row>
    <row r="175" spans="1:36" s="675" customFormat="1" ht="12.75" x14ac:dyDescent="0.25">
      <c r="A175" s="709" t="s">
        <v>1193</v>
      </c>
      <c r="B175" s="703" t="str">
        <f>"+ / - "&amp;B81</f>
        <v>+ / - INGRESOS FINANCIEROS</v>
      </c>
      <c r="C175" s="894"/>
      <c r="E175" s="671">
        <f>E81</f>
        <v>20</v>
      </c>
      <c r="H175" s="671">
        <f>H81</f>
        <v>20</v>
      </c>
      <c r="I175" s="895"/>
      <c r="J175" s="895"/>
      <c r="K175" s="671">
        <f>K81</f>
        <v>20</v>
      </c>
      <c r="M175" s="676"/>
      <c r="N175" s="671">
        <f>N81</f>
        <v>20</v>
      </c>
      <c r="P175" s="676"/>
      <c r="Q175" s="671">
        <f>Q81</f>
        <v>20</v>
      </c>
      <c r="S175" s="676"/>
      <c r="T175" s="674">
        <f t="shared" ref="T175:AI175" si="166">T81</f>
        <v>20</v>
      </c>
      <c r="U175" s="674">
        <f t="shared" si="166"/>
        <v>20</v>
      </c>
      <c r="V175" s="674">
        <f t="shared" si="166"/>
        <v>20</v>
      </c>
      <c r="W175" s="674">
        <f t="shared" si="166"/>
        <v>20</v>
      </c>
      <c r="X175" s="674">
        <f t="shared" si="166"/>
        <v>20</v>
      </c>
      <c r="Y175" s="674">
        <f t="shared" si="166"/>
        <v>20</v>
      </c>
      <c r="Z175" s="674">
        <f t="shared" si="166"/>
        <v>20</v>
      </c>
      <c r="AA175" s="674">
        <f t="shared" si="166"/>
        <v>20</v>
      </c>
      <c r="AB175" s="674">
        <f t="shared" si="166"/>
        <v>20</v>
      </c>
      <c r="AC175" s="674">
        <f t="shared" si="166"/>
        <v>20</v>
      </c>
      <c r="AD175" s="674">
        <f t="shared" si="166"/>
        <v>20</v>
      </c>
      <c r="AE175" s="674">
        <f t="shared" si="166"/>
        <v>20</v>
      </c>
      <c r="AF175" s="674">
        <f t="shared" si="166"/>
        <v>20</v>
      </c>
      <c r="AG175" s="674">
        <f t="shared" si="166"/>
        <v>20</v>
      </c>
      <c r="AH175" s="674">
        <f t="shared" si="166"/>
        <v>20</v>
      </c>
      <c r="AI175" s="674">
        <f t="shared" si="166"/>
        <v>20</v>
      </c>
      <c r="AJ175" s="896"/>
    </row>
    <row r="176" spans="1:36" s="675" customFormat="1" ht="12.75" x14ac:dyDescent="0.25">
      <c r="A176" s="669" t="s">
        <v>1194</v>
      </c>
      <c r="B176" s="703" t="str">
        <f>"+ / - "&amp;B82</f>
        <v>+ / - UTILIDAD (PÉRDIDA) EN VENTA DE ACTIVOS FIJOS</v>
      </c>
      <c r="C176" s="894"/>
      <c r="E176" s="671">
        <f>E82</f>
        <v>0</v>
      </c>
      <c r="H176" s="671">
        <f>H82</f>
        <v>0</v>
      </c>
      <c r="I176" s="895"/>
      <c r="J176" s="895"/>
      <c r="K176" s="671">
        <f>K82</f>
        <v>0</v>
      </c>
      <c r="M176" s="676"/>
      <c r="N176" s="671">
        <f>N82</f>
        <v>0</v>
      </c>
      <c r="P176" s="676"/>
      <c r="Q176" s="671">
        <f>Q82</f>
        <v>0</v>
      </c>
      <c r="S176" s="676"/>
      <c r="T176" s="674">
        <f t="shared" ref="T176:AI176" si="167">T82</f>
        <v>0</v>
      </c>
      <c r="U176" s="674">
        <f t="shared" si="167"/>
        <v>0</v>
      </c>
      <c r="V176" s="674">
        <f t="shared" si="167"/>
        <v>0</v>
      </c>
      <c r="W176" s="674">
        <f t="shared" si="167"/>
        <v>0</v>
      </c>
      <c r="X176" s="674">
        <f t="shared" si="167"/>
        <v>0</v>
      </c>
      <c r="Y176" s="674">
        <f t="shared" si="167"/>
        <v>0</v>
      </c>
      <c r="Z176" s="674">
        <f t="shared" si="167"/>
        <v>0</v>
      </c>
      <c r="AA176" s="674">
        <f t="shared" si="167"/>
        <v>0</v>
      </c>
      <c r="AB176" s="674">
        <f t="shared" si="167"/>
        <v>0</v>
      </c>
      <c r="AC176" s="674">
        <f t="shared" si="167"/>
        <v>0</v>
      </c>
      <c r="AD176" s="674">
        <f t="shared" si="167"/>
        <v>0</v>
      </c>
      <c r="AE176" s="674">
        <f t="shared" si="167"/>
        <v>0</v>
      </c>
      <c r="AF176" s="674">
        <f t="shared" si="167"/>
        <v>0</v>
      </c>
      <c r="AG176" s="674">
        <f t="shared" si="167"/>
        <v>0</v>
      </c>
      <c r="AH176" s="674">
        <f t="shared" si="167"/>
        <v>0</v>
      </c>
      <c r="AI176" s="674">
        <f t="shared" si="167"/>
        <v>0</v>
      </c>
      <c r="AJ176" s="896"/>
    </row>
    <row r="177" spans="1:36" s="675" customFormat="1" ht="12.75" x14ac:dyDescent="0.25">
      <c r="A177" s="669" t="s">
        <v>1195</v>
      </c>
      <c r="B177" s="703" t="str">
        <f>"+ / - "&amp;B83</f>
        <v>+ / - UTILIDAD (PÉRDIDA) EN VENTA DE INVERSIONES</v>
      </c>
      <c r="C177" s="894"/>
      <c r="E177" s="671">
        <f>E83</f>
        <v>0</v>
      </c>
      <c r="H177" s="671">
        <f>H83</f>
        <v>0</v>
      </c>
      <c r="I177" s="895"/>
      <c r="J177" s="895"/>
      <c r="K177" s="671">
        <f>K83</f>
        <v>0</v>
      </c>
      <c r="M177" s="676"/>
      <c r="N177" s="671">
        <f>N83</f>
        <v>0</v>
      </c>
      <c r="P177" s="676"/>
      <c r="Q177" s="671">
        <f>Q83</f>
        <v>0</v>
      </c>
      <c r="S177" s="676"/>
      <c r="T177" s="674">
        <f t="shared" ref="T177:AI177" si="168">T83</f>
        <v>0</v>
      </c>
      <c r="U177" s="674">
        <f t="shared" si="168"/>
        <v>0</v>
      </c>
      <c r="V177" s="674">
        <f t="shared" si="168"/>
        <v>0</v>
      </c>
      <c r="W177" s="674">
        <f t="shared" si="168"/>
        <v>0</v>
      </c>
      <c r="X177" s="674">
        <f t="shared" si="168"/>
        <v>0</v>
      </c>
      <c r="Y177" s="674">
        <f t="shared" si="168"/>
        <v>0</v>
      </c>
      <c r="Z177" s="674">
        <f t="shared" si="168"/>
        <v>0</v>
      </c>
      <c r="AA177" s="674">
        <f t="shared" si="168"/>
        <v>0</v>
      </c>
      <c r="AB177" s="674">
        <f t="shared" si="168"/>
        <v>0</v>
      </c>
      <c r="AC177" s="674">
        <f t="shared" si="168"/>
        <v>0</v>
      </c>
      <c r="AD177" s="674">
        <f t="shared" si="168"/>
        <v>0</v>
      </c>
      <c r="AE177" s="674">
        <f t="shared" si="168"/>
        <v>0</v>
      </c>
      <c r="AF177" s="674">
        <f t="shared" si="168"/>
        <v>0</v>
      </c>
      <c r="AG177" s="674">
        <f t="shared" si="168"/>
        <v>0</v>
      </c>
      <c r="AH177" s="674">
        <f t="shared" si="168"/>
        <v>0</v>
      </c>
      <c r="AI177" s="674">
        <f t="shared" si="168"/>
        <v>0</v>
      </c>
      <c r="AJ177" s="896"/>
    </row>
    <row r="178" spans="1:36" s="675" customFormat="1" ht="12.75" x14ac:dyDescent="0.25">
      <c r="A178" s="669" t="s">
        <v>1196</v>
      </c>
      <c r="B178" s="703" t="str">
        <f>"+ / - "&amp;B84</f>
        <v>+ / - INGRESOS (EGRESOS) POR MÉTODO DE PARTICIPACIÓN</v>
      </c>
      <c r="C178" s="911"/>
      <c r="E178" s="671">
        <f>E84</f>
        <v>0</v>
      </c>
      <c r="H178" s="671">
        <f>H84</f>
        <v>0</v>
      </c>
      <c r="I178" s="895"/>
      <c r="J178" s="895"/>
      <c r="K178" s="671">
        <f>K84</f>
        <v>0</v>
      </c>
      <c r="M178" s="676"/>
      <c r="N178" s="671">
        <f>N84</f>
        <v>0</v>
      </c>
      <c r="P178" s="676"/>
      <c r="Q178" s="671">
        <f>Q84</f>
        <v>0</v>
      </c>
      <c r="S178" s="676"/>
      <c r="T178" s="674">
        <f t="shared" ref="T178:AI178" si="169">T84</f>
        <v>0</v>
      </c>
      <c r="U178" s="674">
        <f t="shared" si="169"/>
        <v>0</v>
      </c>
      <c r="V178" s="674">
        <f t="shared" si="169"/>
        <v>0</v>
      </c>
      <c r="W178" s="674">
        <f t="shared" si="169"/>
        <v>0</v>
      </c>
      <c r="X178" s="674">
        <f t="shared" si="169"/>
        <v>0</v>
      </c>
      <c r="Y178" s="674">
        <f t="shared" si="169"/>
        <v>0</v>
      </c>
      <c r="Z178" s="674">
        <f t="shared" si="169"/>
        <v>0</v>
      </c>
      <c r="AA178" s="674">
        <f t="shared" si="169"/>
        <v>0</v>
      </c>
      <c r="AB178" s="674">
        <f t="shared" si="169"/>
        <v>0</v>
      </c>
      <c r="AC178" s="674">
        <f t="shared" si="169"/>
        <v>0</v>
      </c>
      <c r="AD178" s="674">
        <f t="shared" si="169"/>
        <v>0</v>
      </c>
      <c r="AE178" s="674">
        <f t="shared" si="169"/>
        <v>0</v>
      </c>
      <c r="AF178" s="674">
        <f t="shared" si="169"/>
        <v>0</v>
      </c>
      <c r="AG178" s="674">
        <f t="shared" si="169"/>
        <v>0</v>
      </c>
      <c r="AH178" s="674">
        <f t="shared" si="169"/>
        <v>0</v>
      </c>
      <c r="AI178" s="674">
        <f t="shared" si="169"/>
        <v>0</v>
      </c>
      <c r="AJ178" s="896"/>
    </row>
    <row r="179" spans="1:36" s="675" customFormat="1" ht="12.75" x14ac:dyDescent="0.25">
      <c r="A179" s="669" t="s">
        <v>1197</v>
      </c>
      <c r="B179" s="710" t="s">
        <v>1198</v>
      </c>
      <c r="C179" s="911"/>
      <c r="E179" s="671">
        <f>IF(E78&gt;=0,E78+E85-E86,E85-E86)</f>
        <v>-10</v>
      </c>
      <c r="H179" s="671">
        <f>IF(H78&gt;=0,H78+H85-H86,H85-H86)</f>
        <v>-10</v>
      </c>
      <c r="I179" s="895"/>
      <c r="J179" s="895"/>
      <c r="K179" s="671">
        <f>IF(K78&gt;=0,K78+K85-K86,K85-K86)</f>
        <v>-10</v>
      </c>
      <c r="M179" s="676"/>
      <c r="N179" s="671">
        <f>IF(N78&gt;=0,N78+N85-N86,N85-N86)</f>
        <v>-10</v>
      </c>
      <c r="P179" s="676"/>
      <c r="Q179" s="671">
        <f>IF(Q78&gt;=0,Q78+Q85-Q86,Q85-Q86)</f>
        <v>-10</v>
      </c>
      <c r="S179" s="676"/>
      <c r="T179" s="674">
        <f t="shared" ref="T179:AI179" si="170">IF(T78&gt;=0,T78+T85-T86,T85-T86)</f>
        <v>-10.000000000000014</v>
      </c>
      <c r="U179" s="674">
        <f t="shared" si="170"/>
        <v>-10.000000000000014</v>
      </c>
      <c r="V179" s="674">
        <f t="shared" si="170"/>
        <v>-10.000000000000014</v>
      </c>
      <c r="W179" s="674">
        <f t="shared" si="170"/>
        <v>-10.000000000000014</v>
      </c>
      <c r="X179" s="674">
        <f t="shared" si="170"/>
        <v>-10.000000000000014</v>
      </c>
      <c r="Y179" s="674">
        <f t="shared" si="170"/>
        <v>-10.000000000000014</v>
      </c>
      <c r="Z179" s="674">
        <f t="shared" si="170"/>
        <v>-10.000000000000014</v>
      </c>
      <c r="AA179" s="674">
        <f t="shared" si="170"/>
        <v>-10.000000000000014</v>
      </c>
      <c r="AB179" s="674">
        <f t="shared" si="170"/>
        <v>-10.000000000000014</v>
      </c>
      <c r="AC179" s="674">
        <f t="shared" si="170"/>
        <v>-10.000000000000014</v>
      </c>
      <c r="AD179" s="674">
        <f t="shared" si="170"/>
        <v>-10.000000000000014</v>
      </c>
      <c r="AE179" s="674">
        <f t="shared" si="170"/>
        <v>-10.000000000000014</v>
      </c>
      <c r="AF179" s="674">
        <f t="shared" si="170"/>
        <v>-10.000000000000014</v>
      </c>
      <c r="AG179" s="674">
        <f t="shared" si="170"/>
        <v>-10.000000000000014</v>
      </c>
      <c r="AH179" s="674">
        <f t="shared" si="170"/>
        <v>-10.000000000000014</v>
      </c>
      <c r="AI179" s="674">
        <f t="shared" si="170"/>
        <v>-10.000000000000014</v>
      </c>
      <c r="AJ179" s="896"/>
    </row>
    <row r="180" spans="1:36" s="655" customFormat="1" ht="12.75" x14ac:dyDescent="0.25">
      <c r="A180" s="645">
        <v>16</v>
      </c>
      <c r="B180" s="711" t="s">
        <v>1199</v>
      </c>
      <c r="C180" s="898"/>
      <c r="E180" s="678">
        <f>SUM(E174:E179)</f>
        <v>10</v>
      </c>
      <c r="H180" s="678">
        <f>SUM(H174:H179)</f>
        <v>10</v>
      </c>
      <c r="I180" s="886"/>
      <c r="J180" s="886"/>
      <c r="K180" s="678">
        <f>SUM(K174:K179)</f>
        <v>10</v>
      </c>
      <c r="M180" s="653"/>
      <c r="N180" s="678">
        <f>SUM(N174:N179)</f>
        <v>10</v>
      </c>
      <c r="P180" s="653"/>
      <c r="Q180" s="678">
        <f>SUM(Q174:Q179)</f>
        <v>10</v>
      </c>
      <c r="S180" s="653"/>
      <c r="T180" s="681">
        <f t="shared" ref="T180:AI180" si="171">SUM(T174:T179)</f>
        <v>9.9999999999999858</v>
      </c>
      <c r="U180" s="681">
        <f t="shared" si="171"/>
        <v>9.9999999999999858</v>
      </c>
      <c r="V180" s="681">
        <f t="shared" si="171"/>
        <v>9.9999999999999858</v>
      </c>
      <c r="W180" s="681">
        <f t="shared" si="171"/>
        <v>9.9999999999999858</v>
      </c>
      <c r="X180" s="681">
        <f t="shared" si="171"/>
        <v>9.9999999999999858</v>
      </c>
      <c r="Y180" s="681">
        <f t="shared" si="171"/>
        <v>9.9999999999999858</v>
      </c>
      <c r="Z180" s="681">
        <f t="shared" si="171"/>
        <v>9.9999999999999858</v>
      </c>
      <c r="AA180" s="681">
        <f t="shared" si="171"/>
        <v>9.9999999999999858</v>
      </c>
      <c r="AB180" s="681">
        <f t="shared" si="171"/>
        <v>9.9999999999999858</v>
      </c>
      <c r="AC180" s="681">
        <f t="shared" si="171"/>
        <v>9.9999999999999858</v>
      </c>
      <c r="AD180" s="681">
        <f t="shared" si="171"/>
        <v>9.9999999999999858</v>
      </c>
      <c r="AE180" s="681">
        <f t="shared" si="171"/>
        <v>9.9999999999999858</v>
      </c>
      <c r="AF180" s="681">
        <f t="shared" si="171"/>
        <v>9.9999999999999858</v>
      </c>
      <c r="AG180" s="681">
        <f t="shared" si="171"/>
        <v>9.9999999999999858</v>
      </c>
      <c r="AH180" s="681">
        <f t="shared" si="171"/>
        <v>9.9999999999999858</v>
      </c>
      <c r="AI180" s="681">
        <f t="shared" si="171"/>
        <v>9.9999999999999858</v>
      </c>
      <c r="AJ180" s="887"/>
    </row>
    <row r="181" spans="1:36" s="496" customFormat="1" ht="12.75" x14ac:dyDescent="0.25">
      <c r="A181" s="712"/>
      <c r="B181" s="661" t="s">
        <v>1200</v>
      </c>
      <c r="C181" s="913"/>
      <c r="E181" s="683">
        <f>SUM(E158:E160)+E165+SUM(E172:E173)+E180</f>
        <v>810</v>
      </c>
      <c r="H181" s="683">
        <f>SUM(H158:H160)+H165+SUM(H172:H173)+H180</f>
        <v>10</v>
      </c>
      <c r="I181" s="495"/>
      <c r="J181" s="495"/>
      <c r="K181" s="683">
        <f>SUM(K158:K160)+K165+SUM(K172:K173)+K180</f>
        <v>10</v>
      </c>
      <c r="M181" s="500"/>
      <c r="N181" s="683">
        <f>SUM(N158:N160)+N165+SUM(N172:N173)+N180</f>
        <v>10</v>
      </c>
      <c r="P181" s="500"/>
      <c r="Q181" s="683">
        <f>SUM(Q158:Q160)+Q165+SUM(Q172:Q173)+Q180</f>
        <v>10</v>
      </c>
      <c r="S181" s="500"/>
      <c r="T181" s="662">
        <f t="shared" ref="T181:AI181" si="172">SUM(T158:T160)+T165+SUM(T172:T173)+T180</f>
        <v>10.000000000000014</v>
      </c>
      <c r="U181" s="662">
        <f t="shared" si="172"/>
        <v>9.9999999999999858</v>
      </c>
      <c r="V181" s="662">
        <f t="shared" si="172"/>
        <v>9.9999999999999858</v>
      </c>
      <c r="W181" s="662">
        <f t="shared" si="172"/>
        <v>9.9999999999999858</v>
      </c>
      <c r="X181" s="662">
        <f t="shared" si="172"/>
        <v>9.9999999999999858</v>
      </c>
      <c r="Y181" s="662">
        <f t="shared" si="172"/>
        <v>9.9999999999999858</v>
      </c>
      <c r="Z181" s="662">
        <f t="shared" si="172"/>
        <v>9.9999999999999858</v>
      </c>
      <c r="AA181" s="662">
        <f t="shared" si="172"/>
        <v>9.9999999999999858</v>
      </c>
      <c r="AB181" s="662">
        <f t="shared" si="172"/>
        <v>9.9999999999999858</v>
      </c>
      <c r="AC181" s="662">
        <f t="shared" si="172"/>
        <v>9.9999999999999858</v>
      </c>
      <c r="AD181" s="662">
        <f t="shared" si="172"/>
        <v>9.9999999999999858</v>
      </c>
      <c r="AE181" s="662">
        <f t="shared" si="172"/>
        <v>9.9999999999999858</v>
      </c>
      <c r="AF181" s="662">
        <f t="shared" si="172"/>
        <v>9.9999999999999858</v>
      </c>
      <c r="AG181" s="662">
        <f t="shared" si="172"/>
        <v>9.9999999999999858</v>
      </c>
      <c r="AH181" s="662">
        <f t="shared" si="172"/>
        <v>9.9999999999999858</v>
      </c>
      <c r="AI181" s="662">
        <f t="shared" si="172"/>
        <v>9.9999999999999858</v>
      </c>
      <c r="AJ181" s="778"/>
    </row>
    <row r="182" spans="1:36" s="632" customFormat="1" ht="12" x14ac:dyDescent="0.25">
      <c r="A182" s="640">
        <v>17</v>
      </c>
      <c r="B182" s="656" t="s">
        <v>1201</v>
      </c>
      <c r="C182" s="888"/>
      <c r="E182" s="914">
        <f>-E95</f>
        <v>-540</v>
      </c>
      <c r="H182" s="642">
        <f>-H95</f>
        <v>0</v>
      </c>
      <c r="I182" s="890"/>
      <c r="J182" s="890"/>
      <c r="K182" s="642">
        <f>-K95</f>
        <v>0</v>
      </c>
      <c r="M182" s="664"/>
      <c r="N182" s="642">
        <f>-N95</f>
        <v>0</v>
      </c>
      <c r="P182" s="664"/>
      <c r="Q182" s="642">
        <f>-Q95</f>
        <v>0</v>
      </c>
      <c r="S182" s="664"/>
      <c r="T182" s="644">
        <f t="shared" ref="T182:AI182" si="173">-T95</f>
        <v>-178.20000000000005</v>
      </c>
      <c r="U182" s="644">
        <f t="shared" si="173"/>
        <v>-178.20000000000005</v>
      </c>
      <c r="V182" s="644">
        <f t="shared" si="173"/>
        <v>-178.20000000000005</v>
      </c>
      <c r="W182" s="644">
        <f t="shared" si="173"/>
        <v>-178.20000000000005</v>
      </c>
      <c r="X182" s="644">
        <f t="shared" si="173"/>
        <v>-178.20000000000005</v>
      </c>
      <c r="Y182" s="644">
        <f t="shared" si="173"/>
        <v>-178.20000000000005</v>
      </c>
      <c r="Z182" s="644">
        <f t="shared" si="173"/>
        <v>-178.20000000000005</v>
      </c>
      <c r="AA182" s="644">
        <f t="shared" si="173"/>
        <v>-178.20000000000005</v>
      </c>
      <c r="AB182" s="644">
        <f t="shared" si="173"/>
        <v>-178.19999999999982</v>
      </c>
      <c r="AC182" s="644">
        <f t="shared" si="173"/>
        <v>-178.19999999999982</v>
      </c>
      <c r="AD182" s="644">
        <f t="shared" si="173"/>
        <v>-178.19999999999982</v>
      </c>
      <c r="AE182" s="644">
        <f t="shared" si="173"/>
        <v>-178.19999999999982</v>
      </c>
      <c r="AF182" s="644">
        <f t="shared" si="173"/>
        <v>-178.19999999999982</v>
      </c>
      <c r="AG182" s="644">
        <f t="shared" si="173"/>
        <v>-178.19999999999982</v>
      </c>
      <c r="AH182" s="644">
        <f t="shared" si="173"/>
        <v>-178.19999999999982</v>
      </c>
      <c r="AI182" s="644">
        <f t="shared" si="173"/>
        <v>-178.19999999999982</v>
      </c>
      <c r="AJ182" s="891"/>
    </row>
    <row r="183" spans="1:36" s="675" customFormat="1" ht="12.75" x14ac:dyDescent="0.25">
      <c r="A183" s="669" t="s">
        <v>1202</v>
      </c>
      <c r="B183" s="703" t="str">
        <f>"- / + "&amp;B24</f>
        <v>- / + DEUDORES VARIOS</v>
      </c>
      <c r="C183" s="897"/>
      <c r="E183" s="671">
        <f>-(E24-C24)</f>
        <v>-360</v>
      </c>
      <c r="H183" s="706">
        <f>-(H24-E24)</f>
        <v>0</v>
      </c>
      <c r="I183" s="895"/>
      <c r="J183" s="895"/>
      <c r="K183" s="706">
        <f>-(K24-H24)</f>
        <v>0</v>
      </c>
      <c r="M183" s="676"/>
      <c r="N183" s="706">
        <f>-(N24-H24)</f>
        <v>0</v>
      </c>
      <c r="P183" s="676"/>
      <c r="Q183" s="706">
        <f>IF(OR($C$3=$L$913,$C$3=0),-(Q24-N24),-(Q24-K24))</f>
        <v>0</v>
      </c>
      <c r="S183" s="676"/>
      <c r="T183" s="704">
        <f>-(T24-N24)</f>
        <v>0</v>
      </c>
      <c r="U183" s="704">
        <f t="shared" ref="U183:AI183" si="174">-(U24-T24)</f>
        <v>0</v>
      </c>
      <c r="V183" s="704">
        <f t="shared" si="174"/>
        <v>0</v>
      </c>
      <c r="W183" s="704">
        <f t="shared" si="174"/>
        <v>0</v>
      </c>
      <c r="X183" s="704">
        <f t="shared" si="174"/>
        <v>0</v>
      </c>
      <c r="Y183" s="704">
        <f t="shared" si="174"/>
        <v>0</v>
      </c>
      <c r="Z183" s="704">
        <f t="shared" si="174"/>
        <v>0</v>
      </c>
      <c r="AA183" s="704">
        <f t="shared" si="174"/>
        <v>0</v>
      </c>
      <c r="AB183" s="704">
        <f t="shared" si="174"/>
        <v>0</v>
      </c>
      <c r="AC183" s="704">
        <f t="shared" si="174"/>
        <v>0</v>
      </c>
      <c r="AD183" s="704">
        <f t="shared" si="174"/>
        <v>0</v>
      </c>
      <c r="AE183" s="704">
        <f t="shared" si="174"/>
        <v>0</v>
      </c>
      <c r="AF183" s="704">
        <f t="shared" si="174"/>
        <v>0</v>
      </c>
      <c r="AG183" s="704">
        <f t="shared" si="174"/>
        <v>0</v>
      </c>
      <c r="AH183" s="704">
        <f t="shared" si="174"/>
        <v>0</v>
      </c>
      <c r="AI183" s="704">
        <f t="shared" si="174"/>
        <v>0</v>
      </c>
      <c r="AJ183" s="896"/>
    </row>
    <row r="184" spans="1:36" s="675" customFormat="1" ht="12.75" x14ac:dyDescent="0.25">
      <c r="A184" s="669" t="s">
        <v>1203</v>
      </c>
      <c r="B184" s="703" t="str">
        <f>"- / + "&amp;B25</f>
        <v>- / + OTROS CORRIENTES</v>
      </c>
      <c r="C184" s="897"/>
      <c r="E184" s="671">
        <f>-(E25-C25)</f>
        <v>-570</v>
      </c>
      <c r="H184" s="706">
        <f>-(H25-E25)</f>
        <v>0</v>
      </c>
      <c r="I184" s="895"/>
      <c r="J184" s="895"/>
      <c r="K184" s="706">
        <f>-(K25-H25)</f>
        <v>0</v>
      </c>
      <c r="M184" s="676"/>
      <c r="N184" s="706">
        <f>-(N25-H25)</f>
        <v>0</v>
      </c>
      <c r="P184" s="676"/>
      <c r="Q184" s="706">
        <f>IF(OR($C$3=$L$913,$C$3=0),-(Q25-N25),-(Q25-K25))</f>
        <v>0</v>
      </c>
      <c r="S184" s="676"/>
      <c r="T184" s="704">
        <f>-(T25-N25)</f>
        <v>0</v>
      </c>
      <c r="U184" s="704">
        <f t="shared" ref="U184:AI184" si="175">-(U25-T25)</f>
        <v>0</v>
      </c>
      <c r="V184" s="704">
        <f t="shared" si="175"/>
        <v>0</v>
      </c>
      <c r="W184" s="704">
        <f t="shared" si="175"/>
        <v>0</v>
      </c>
      <c r="X184" s="704">
        <f t="shared" si="175"/>
        <v>0</v>
      </c>
      <c r="Y184" s="704">
        <f t="shared" si="175"/>
        <v>0</v>
      </c>
      <c r="Z184" s="704">
        <f t="shared" si="175"/>
        <v>0</v>
      </c>
      <c r="AA184" s="704">
        <f t="shared" si="175"/>
        <v>0</v>
      </c>
      <c r="AB184" s="704">
        <f t="shared" si="175"/>
        <v>0</v>
      </c>
      <c r="AC184" s="704">
        <f t="shared" si="175"/>
        <v>0</v>
      </c>
      <c r="AD184" s="704">
        <f t="shared" si="175"/>
        <v>0</v>
      </c>
      <c r="AE184" s="704">
        <f t="shared" si="175"/>
        <v>0</v>
      </c>
      <c r="AF184" s="704">
        <f t="shared" si="175"/>
        <v>0</v>
      </c>
      <c r="AG184" s="704">
        <f t="shared" si="175"/>
        <v>0</v>
      </c>
      <c r="AH184" s="704">
        <f t="shared" si="175"/>
        <v>0</v>
      </c>
      <c r="AI184" s="704">
        <f t="shared" si="175"/>
        <v>0</v>
      </c>
      <c r="AJ184" s="896"/>
    </row>
    <row r="185" spans="1:36" s="655" customFormat="1" ht="12.75" x14ac:dyDescent="0.25">
      <c r="A185" s="665">
        <v>18</v>
      </c>
      <c r="B185" s="705" t="s">
        <v>1204</v>
      </c>
      <c r="C185" s="897"/>
      <c r="E185" s="706">
        <f>SUM(E183:E184)</f>
        <v>-930</v>
      </c>
      <c r="H185" s="706">
        <f>SUM(H183:H184)</f>
        <v>0</v>
      </c>
      <c r="I185" s="886"/>
      <c r="J185" s="886"/>
      <c r="K185" s="706">
        <f>SUM(K183:K184)</f>
        <v>0</v>
      </c>
      <c r="M185" s="653"/>
      <c r="N185" s="706">
        <f>SUM(N183:N184)</f>
        <v>0</v>
      </c>
      <c r="P185" s="653"/>
      <c r="Q185" s="706">
        <f>SUM(Q183:Q184)</f>
        <v>0</v>
      </c>
      <c r="S185" s="653"/>
      <c r="T185" s="704">
        <f t="shared" ref="T185:AI185" si="176">SUM(T183:T184)</f>
        <v>0</v>
      </c>
      <c r="U185" s="704">
        <f t="shared" si="176"/>
        <v>0</v>
      </c>
      <c r="V185" s="704">
        <f t="shared" si="176"/>
        <v>0</v>
      </c>
      <c r="W185" s="704">
        <f t="shared" si="176"/>
        <v>0</v>
      </c>
      <c r="X185" s="704">
        <f t="shared" si="176"/>
        <v>0</v>
      </c>
      <c r="Y185" s="704">
        <f t="shared" si="176"/>
        <v>0</v>
      </c>
      <c r="Z185" s="704">
        <f t="shared" si="176"/>
        <v>0</v>
      </c>
      <c r="AA185" s="704">
        <f t="shared" si="176"/>
        <v>0</v>
      </c>
      <c r="AB185" s="704">
        <f t="shared" si="176"/>
        <v>0</v>
      </c>
      <c r="AC185" s="704">
        <f t="shared" si="176"/>
        <v>0</v>
      </c>
      <c r="AD185" s="704">
        <f t="shared" si="176"/>
        <v>0</v>
      </c>
      <c r="AE185" s="704">
        <f t="shared" si="176"/>
        <v>0</v>
      </c>
      <c r="AF185" s="704">
        <f t="shared" si="176"/>
        <v>0</v>
      </c>
      <c r="AG185" s="704">
        <f t="shared" si="176"/>
        <v>0</v>
      </c>
      <c r="AH185" s="704">
        <f t="shared" si="176"/>
        <v>0</v>
      </c>
      <c r="AI185" s="704">
        <f t="shared" si="176"/>
        <v>0</v>
      </c>
      <c r="AJ185" s="887"/>
    </row>
    <row r="186" spans="1:36" s="714" customFormat="1" ht="12" x14ac:dyDescent="0.25">
      <c r="A186" s="669" t="s">
        <v>1205</v>
      </c>
      <c r="B186" s="703" t="str">
        <f>"- / + "&amp;B27</f>
        <v>- / + INVERSIONES EN FILIALES Y ASOCIADAS (PERMANENTES)</v>
      </c>
      <c r="C186" s="894"/>
      <c r="E186" s="910">
        <f>-(E27-E118-C27+C118)</f>
        <v>-270</v>
      </c>
      <c r="H186" s="671">
        <f>-(H27-H118-E27+E118)</f>
        <v>0</v>
      </c>
      <c r="I186" s="915"/>
      <c r="J186" s="915"/>
      <c r="K186" s="671">
        <f>-(K27-K118-H27+H118)</f>
        <v>0</v>
      </c>
      <c r="M186" s="713"/>
      <c r="N186" s="671">
        <f>-(N27-N118-H27+H118)</f>
        <v>0</v>
      </c>
      <c r="P186" s="713"/>
      <c r="Q186" s="671">
        <f>IF(OR($C$3=$L$913,$C$3=0),-(Q27-Q118-N27+N118),-(Q27-Q118-K27+K118))</f>
        <v>0</v>
      </c>
      <c r="S186" s="713"/>
      <c r="T186" s="674">
        <f>-(T27-T118-N27+N118)</f>
        <v>0</v>
      </c>
      <c r="U186" s="674">
        <f t="shared" ref="U186:AI186" si="177">-(U27-U118-T27+T118)</f>
        <v>0</v>
      </c>
      <c r="V186" s="674">
        <f t="shared" si="177"/>
        <v>0</v>
      </c>
      <c r="W186" s="674">
        <f t="shared" si="177"/>
        <v>0</v>
      </c>
      <c r="X186" s="674">
        <f t="shared" si="177"/>
        <v>0</v>
      </c>
      <c r="Y186" s="674">
        <f t="shared" si="177"/>
        <v>0</v>
      </c>
      <c r="Z186" s="674">
        <f t="shared" si="177"/>
        <v>0</v>
      </c>
      <c r="AA186" s="674">
        <f t="shared" si="177"/>
        <v>0</v>
      </c>
      <c r="AB186" s="674">
        <f t="shared" si="177"/>
        <v>0</v>
      </c>
      <c r="AC186" s="674">
        <f t="shared" si="177"/>
        <v>0</v>
      </c>
      <c r="AD186" s="674">
        <f t="shared" si="177"/>
        <v>0</v>
      </c>
      <c r="AE186" s="674">
        <f t="shared" si="177"/>
        <v>0</v>
      </c>
      <c r="AF186" s="674">
        <f t="shared" si="177"/>
        <v>0</v>
      </c>
      <c r="AG186" s="674">
        <f t="shared" si="177"/>
        <v>0</v>
      </c>
      <c r="AH186" s="674">
        <f t="shared" si="177"/>
        <v>0</v>
      </c>
      <c r="AI186" s="674">
        <f t="shared" si="177"/>
        <v>0</v>
      </c>
      <c r="AJ186" s="916"/>
    </row>
    <row r="187" spans="1:36" s="714" customFormat="1" ht="12" x14ac:dyDescent="0.25">
      <c r="A187" s="669" t="s">
        <v>1206</v>
      </c>
      <c r="B187" s="703" t="str">
        <f>"- / + "&amp;B30</f>
        <v>- / + INTANGIBLES NETO</v>
      </c>
      <c r="C187" s="894"/>
      <c r="E187" s="910">
        <f>-(E30-(E116-E117)-C30+(C116-C117)+E91)</f>
        <v>-210</v>
      </c>
      <c r="H187" s="671">
        <f>-(H30-(H116-H117)-E30+(E116-E117)+H91)</f>
        <v>0</v>
      </c>
      <c r="I187" s="915"/>
      <c r="J187" s="915"/>
      <c r="K187" s="671">
        <f>-(K30-(K116-K117)-H30+(H116-H117)+K91)</f>
        <v>0</v>
      </c>
      <c r="M187" s="713"/>
      <c r="N187" s="671">
        <f>-(N30-(N116-N117)-H30+(H116-H117)+N91)</f>
        <v>0</v>
      </c>
      <c r="P187" s="713"/>
      <c r="Q187" s="671">
        <f>IF(OR($C$3=$L$913,$C$3=0),-(Q30-(Q116-Q117)-N30+(N116-N117)+Q91),-(Q30-(Q116-Q117)-K30+(K116-K117)+Q91))</f>
        <v>0</v>
      </c>
      <c r="S187" s="713"/>
      <c r="T187" s="674">
        <f>-(T30-(T116-T117)-N30+(N116-N117)+T91)</f>
        <v>0</v>
      </c>
      <c r="U187" s="674">
        <f t="shared" ref="U187:AI187" si="178">-(U30-(U116-U117)-T30+(T116-T117)+U91)</f>
        <v>0</v>
      </c>
      <c r="V187" s="674">
        <f t="shared" si="178"/>
        <v>0</v>
      </c>
      <c r="W187" s="674">
        <f t="shared" si="178"/>
        <v>0</v>
      </c>
      <c r="X187" s="674">
        <f t="shared" si="178"/>
        <v>0</v>
      </c>
      <c r="Y187" s="674">
        <f t="shared" si="178"/>
        <v>0</v>
      </c>
      <c r="Z187" s="674">
        <f t="shared" si="178"/>
        <v>0</v>
      </c>
      <c r="AA187" s="674">
        <f t="shared" si="178"/>
        <v>0</v>
      </c>
      <c r="AB187" s="674">
        <f t="shared" si="178"/>
        <v>0</v>
      </c>
      <c r="AC187" s="674">
        <f t="shared" si="178"/>
        <v>0</v>
      </c>
      <c r="AD187" s="674">
        <f t="shared" si="178"/>
        <v>0</v>
      </c>
      <c r="AE187" s="674">
        <f t="shared" si="178"/>
        <v>0</v>
      </c>
      <c r="AF187" s="674">
        <f t="shared" si="178"/>
        <v>0</v>
      </c>
      <c r="AG187" s="674">
        <f t="shared" si="178"/>
        <v>0</v>
      </c>
      <c r="AH187" s="674">
        <f t="shared" si="178"/>
        <v>0</v>
      </c>
      <c r="AI187" s="674">
        <f t="shared" si="178"/>
        <v>0</v>
      </c>
      <c r="AJ187" s="916"/>
    </row>
    <row r="188" spans="1:36" s="675" customFormat="1" ht="12.75" x14ac:dyDescent="0.25">
      <c r="A188" s="669" t="s">
        <v>1207</v>
      </c>
      <c r="B188" s="703" t="str">
        <f>"- / + "&amp;B31</f>
        <v>- / + CARGOS DIFERIDOS NETO</v>
      </c>
      <c r="C188" s="894"/>
      <c r="E188" s="910">
        <f>-(E31-(E119-E120)-C31+(C119-C120)+E92)</f>
        <v>-180</v>
      </c>
      <c r="H188" s="671">
        <f>-(H31-(H119-H120)-E31+(E119-E120)+H92)</f>
        <v>0</v>
      </c>
      <c r="I188" s="895"/>
      <c r="J188" s="895"/>
      <c r="K188" s="671">
        <f>-(K31-(K119-K120)-H31+(H119-H120)+K92)</f>
        <v>0</v>
      </c>
      <c r="M188" s="673"/>
      <c r="N188" s="671">
        <f>-(N31-(N119-N120)-H31+(H119-H120)+N92)</f>
        <v>0</v>
      </c>
      <c r="P188" s="673"/>
      <c r="Q188" s="671">
        <f>IF(OR($C$3=$L$913,$C$3=0),-(Q31-(Q119-Q120)-N31+(N119-N120)+Q92),-(Q31-(Q119-Q120)-K31+(K119-K120)+Q92))</f>
        <v>0</v>
      </c>
      <c r="S188" s="673"/>
      <c r="T188" s="674">
        <f>-(T31-(T119-T120)-N31+(N119-N120)+T92)</f>
        <v>0</v>
      </c>
      <c r="U188" s="674">
        <f t="shared" ref="U188:AI188" si="179">-(U31-(U119-U120)-T31+(T119-T120)+U92)</f>
        <v>0</v>
      </c>
      <c r="V188" s="674">
        <f t="shared" si="179"/>
        <v>0</v>
      </c>
      <c r="W188" s="674">
        <f t="shared" si="179"/>
        <v>0</v>
      </c>
      <c r="X188" s="674">
        <f t="shared" si="179"/>
        <v>0</v>
      </c>
      <c r="Y188" s="674">
        <f t="shared" si="179"/>
        <v>0</v>
      </c>
      <c r="Z188" s="674">
        <f t="shared" si="179"/>
        <v>0</v>
      </c>
      <c r="AA188" s="674">
        <f t="shared" si="179"/>
        <v>0</v>
      </c>
      <c r="AB188" s="674">
        <f t="shared" si="179"/>
        <v>0</v>
      </c>
      <c r="AC188" s="674">
        <f t="shared" si="179"/>
        <v>0</v>
      </c>
      <c r="AD188" s="674">
        <f t="shared" si="179"/>
        <v>0</v>
      </c>
      <c r="AE188" s="674">
        <f t="shared" si="179"/>
        <v>0</v>
      </c>
      <c r="AF188" s="674">
        <f t="shared" si="179"/>
        <v>0</v>
      </c>
      <c r="AG188" s="674">
        <f t="shared" si="179"/>
        <v>0</v>
      </c>
      <c r="AH188" s="674">
        <f t="shared" si="179"/>
        <v>0</v>
      </c>
      <c r="AI188" s="674">
        <f t="shared" si="179"/>
        <v>0</v>
      </c>
      <c r="AJ188" s="896"/>
    </row>
    <row r="189" spans="1:36" s="675" customFormat="1" ht="12.75" x14ac:dyDescent="0.25">
      <c r="A189" s="669" t="s">
        <v>1208</v>
      </c>
      <c r="B189" s="703" t="str">
        <f>"- / + "&amp;B32</f>
        <v>- / + OTROS ACTIVOS L.P.</v>
      </c>
      <c r="C189" s="894"/>
      <c r="E189" s="910">
        <f>-(E32-E121-C32+C121)</f>
        <v>-750</v>
      </c>
      <c r="H189" s="671">
        <f>-(H32-H121-E32+E121)</f>
        <v>0</v>
      </c>
      <c r="I189" s="895"/>
      <c r="J189" s="895"/>
      <c r="K189" s="671">
        <f>-(K32-K121-H32+H121)</f>
        <v>0</v>
      </c>
      <c r="M189" s="676"/>
      <c r="N189" s="671">
        <f>-(N32-N121-H32+H121)</f>
        <v>0</v>
      </c>
      <c r="P189" s="676"/>
      <c r="Q189" s="671">
        <f>IF(OR($C$3=$L$913,$C$3=0),-(Q32-Q121-N32+N121),-(Q32-Q121-K32+K121))</f>
        <v>0</v>
      </c>
      <c r="S189" s="676"/>
      <c r="T189" s="674">
        <f>-(T32-T121-N32+N121)</f>
        <v>0</v>
      </c>
      <c r="U189" s="674">
        <f t="shared" ref="U189:AI189" si="180">-(U32-U121-T32+T121)</f>
        <v>0</v>
      </c>
      <c r="V189" s="674">
        <f t="shared" si="180"/>
        <v>0</v>
      </c>
      <c r="W189" s="674">
        <f t="shared" si="180"/>
        <v>0</v>
      </c>
      <c r="X189" s="674">
        <f t="shared" si="180"/>
        <v>0</v>
      </c>
      <c r="Y189" s="674">
        <f t="shared" si="180"/>
        <v>0</v>
      </c>
      <c r="Z189" s="674">
        <f t="shared" si="180"/>
        <v>0</v>
      </c>
      <c r="AA189" s="674">
        <f t="shared" si="180"/>
        <v>0</v>
      </c>
      <c r="AB189" s="674">
        <f t="shared" si="180"/>
        <v>0</v>
      </c>
      <c r="AC189" s="674">
        <f t="shared" si="180"/>
        <v>0</v>
      </c>
      <c r="AD189" s="674">
        <f t="shared" si="180"/>
        <v>0</v>
      </c>
      <c r="AE189" s="674">
        <f t="shared" si="180"/>
        <v>0</v>
      </c>
      <c r="AF189" s="674">
        <f t="shared" si="180"/>
        <v>0</v>
      </c>
      <c r="AG189" s="674">
        <f t="shared" si="180"/>
        <v>0</v>
      </c>
      <c r="AH189" s="674">
        <f t="shared" si="180"/>
        <v>0</v>
      </c>
      <c r="AI189" s="674">
        <f t="shared" si="180"/>
        <v>0</v>
      </c>
      <c r="AJ189" s="896"/>
    </row>
    <row r="190" spans="1:36" s="655" customFormat="1" ht="12.75" x14ac:dyDescent="0.25">
      <c r="A190" s="645">
        <v>19</v>
      </c>
      <c r="B190" s="677" t="s">
        <v>1209</v>
      </c>
      <c r="C190" s="898"/>
      <c r="E190" s="917">
        <f>SUM(E186:E189)</f>
        <v>-1410</v>
      </c>
      <c r="H190" s="678">
        <f>SUM(H186:H189)</f>
        <v>0</v>
      </c>
      <c r="I190" s="886"/>
      <c r="J190" s="886"/>
      <c r="K190" s="678">
        <f>SUM(K186:K189)</f>
        <v>0</v>
      </c>
      <c r="M190" s="653"/>
      <c r="N190" s="678">
        <f>SUM(N186:N189)</f>
        <v>0</v>
      </c>
      <c r="P190" s="653"/>
      <c r="Q190" s="678">
        <f>SUM(Q186:Q189)</f>
        <v>0</v>
      </c>
      <c r="S190" s="653"/>
      <c r="T190" s="681">
        <f t="shared" ref="T190:AI190" si="181">SUM(T186:T189)</f>
        <v>0</v>
      </c>
      <c r="U190" s="681">
        <f t="shared" si="181"/>
        <v>0</v>
      </c>
      <c r="V190" s="681">
        <f t="shared" si="181"/>
        <v>0</v>
      </c>
      <c r="W190" s="681">
        <f t="shared" si="181"/>
        <v>0</v>
      </c>
      <c r="X190" s="681">
        <f t="shared" si="181"/>
        <v>0</v>
      </c>
      <c r="Y190" s="681">
        <f t="shared" si="181"/>
        <v>0</v>
      </c>
      <c r="Z190" s="681">
        <f t="shared" si="181"/>
        <v>0</v>
      </c>
      <c r="AA190" s="681">
        <f t="shared" si="181"/>
        <v>0</v>
      </c>
      <c r="AB190" s="681">
        <f t="shared" si="181"/>
        <v>0</v>
      </c>
      <c r="AC190" s="681">
        <f t="shared" si="181"/>
        <v>0</v>
      </c>
      <c r="AD190" s="681">
        <f t="shared" si="181"/>
        <v>0</v>
      </c>
      <c r="AE190" s="681">
        <f t="shared" si="181"/>
        <v>0</v>
      </c>
      <c r="AF190" s="681">
        <f t="shared" si="181"/>
        <v>0</v>
      </c>
      <c r="AG190" s="681">
        <f t="shared" si="181"/>
        <v>0</v>
      </c>
      <c r="AH190" s="681">
        <f t="shared" si="181"/>
        <v>0</v>
      </c>
      <c r="AI190" s="681">
        <f t="shared" si="181"/>
        <v>0</v>
      </c>
      <c r="AJ190" s="887"/>
    </row>
    <row r="191" spans="1:36" s="496" customFormat="1" ht="12.75" x14ac:dyDescent="0.25">
      <c r="A191" s="498"/>
      <c r="B191" s="715" t="s">
        <v>1210</v>
      </c>
      <c r="C191" s="918"/>
      <c r="E191" s="716">
        <f>E182+E185+E190</f>
        <v>-2880</v>
      </c>
      <c r="H191" s="716">
        <f>H182+H185+H190</f>
        <v>0</v>
      </c>
      <c r="I191" s="495"/>
      <c r="J191" s="495"/>
      <c r="K191" s="716">
        <f>K182+K185+K190</f>
        <v>0</v>
      </c>
      <c r="M191" s="500"/>
      <c r="N191" s="716">
        <f>N182+N185+N190</f>
        <v>0</v>
      </c>
      <c r="P191" s="500"/>
      <c r="Q191" s="716">
        <f>Q182+Q185+Q190</f>
        <v>0</v>
      </c>
      <c r="S191" s="500"/>
      <c r="T191" s="718">
        <f t="shared" ref="T191:AI191" si="182">T182+T185+T190</f>
        <v>-178.20000000000005</v>
      </c>
      <c r="U191" s="718">
        <f t="shared" si="182"/>
        <v>-178.20000000000005</v>
      </c>
      <c r="V191" s="718">
        <f t="shared" si="182"/>
        <v>-178.20000000000005</v>
      </c>
      <c r="W191" s="718">
        <f t="shared" si="182"/>
        <v>-178.20000000000005</v>
      </c>
      <c r="X191" s="718">
        <f t="shared" si="182"/>
        <v>-178.20000000000005</v>
      </c>
      <c r="Y191" s="718">
        <f t="shared" si="182"/>
        <v>-178.20000000000005</v>
      </c>
      <c r="Z191" s="718">
        <f t="shared" si="182"/>
        <v>-178.20000000000005</v>
      </c>
      <c r="AA191" s="718">
        <f t="shared" si="182"/>
        <v>-178.20000000000005</v>
      </c>
      <c r="AB191" s="718">
        <f t="shared" si="182"/>
        <v>-178.19999999999982</v>
      </c>
      <c r="AC191" s="718">
        <f t="shared" si="182"/>
        <v>-178.19999999999982</v>
      </c>
      <c r="AD191" s="718">
        <f t="shared" si="182"/>
        <v>-178.19999999999982</v>
      </c>
      <c r="AE191" s="718">
        <f t="shared" si="182"/>
        <v>-178.19999999999982</v>
      </c>
      <c r="AF191" s="718">
        <f t="shared" si="182"/>
        <v>-178.19999999999982</v>
      </c>
      <c r="AG191" s="718">
        <f t="shared" si="182"/>
        <v>-178.19999999999982</v>
      </c>
      <c r="AH191" s="718">
        <f t="shared" si="182"/>
        <v>-178.19999999999982</v>
      </c>
      <c r="AI191" s="718">
        <f t="shared" si="182"/>
        <v>-178.19999999999982</v>
      </c>
      <c r="AJ191" s="778"/>
    </row>
    <row r="192" spans="1:36" s="702" customFormat="1" ht="12" x14ac:dyDescent="0.25">
      <c r="A192" s="719" t="s">
        <v>1080</v>
      </c>
      <c r="B192" s="720" t="s">
        <v>1211</v>
      </c>
      <c r="C192" s="919"/>
      <c r="E192" s="721">
        <f>-E29-E115+C29+C115</f>
        <v>-60</v>
      </c>
      <c r="H192" s="721">
        <f>-H29-H115+E29+E115</f>
        <v>0</v>
      </c>
      <c r="I192" s="908"/>
      <c r="J192" s="908"/>
      <c r="K192" s="721">
        <f>-K29-K115+H29+H115</f>
        <v>0</v>
      </c>
      <c r="M192" s="701"/>
      <c r="N192" s="721">
        <f>-N29-N115+H29+H115</f>
        <v>0</v>
      </c>
      <c r="P192" s="701"/>
      <c r="Q192" s="721">
        <f>IF(OR($C$3=$L$913,$C$3=0),-Q29-Q115+N29+N115,-Q29-Q115+K29+K115)</f>
        <v>0</v>
      </c>
      <c r="S192" s="701"/>
      <c r="T192" s="721">
        <f>-T29-T115+N29+N115</f>
        <v>-26.334000000000003</v>
      </c>
      <c r="U192" s="721">
        <f t="shared" ref="U192:AI192" si="183">-U29-U115+T29+T115</f>
        <v>-32.867999999999995</v>
      </c>
      <c r="V192" s="721">
        <f t="shared" si="183"/>
        <v>-39.402000000000015</v>
      </c>
      <c r="W192" s="721">
        <f t="shared" si="183"/>
        <v>-45.936000000000007</v>
      </c>
      <c r="X192" s="721">
        <f t="shared" si="183"/>
        <v>-52.470000000000027</v>
      </c>
      <c r="Y192" s="721">
        <f t="shared" si="183"/>
        <v>-59.004000000000019</v>
      </c>
      <c r="Z192" s="721">
        <f t="shared" si="183"/>
        <v>-65.538000000000011</v>
      </c>
      <c r="AA192" s="721">
        <f t="shared" si="183"/>
        <v>-72.072000000000003</v>
      </c>
      <c r="AB192" s="721">
        <f t="shared" si="183"/>
        <v>-78.606000000000051</v>
      </c>
      <c r="AC192" s="721">
        <f t="shared" si="183"/>
        <v>-85.139999999999986</v>
      </c>
      <c r="AD192" s="721">
        <f t="shared" si="183"/>
        <v>-91.673999999999978</v>
      </c>
      <c r="AE192" s="721">
        <f t="shared" si="183"/>
        <v>-98.20799999999997</v>
      </c>
      <c r="AF192" s="721">
        <f t="shared" si="183"/>
        <v>-104.74199999999996</v>
      </c>
      <c r="AG192" s="721">
        <f t="shared" si="183"/>
        <v>-111.27599999999995</v>
      </c>
      <c r="AH192" s="721">
        <f t="shared" si="183"/>
        <v>-117.80999999999995</v>
      </c>
      <c r="AI192" s="721">
        <f t="shared" si="183"/>
        <v>-124.34400000000005</v>
      </c>
      <c r="AJ192" s="909"/>
    </row>
    <row r="193" spans="1:36" s="675" customFormat="1" ht="12.75" x14ac:dyDescent="0.25">
      <c r="A193" s="719" t="s">
        <v>1081</v>
      </c>
      <c r="B193" s="710" t="s">
        <v>1212</v>
      </c>
      <c r="C193" s="911"/>
      <c r="E193" s="671">
        <f>-E20+C20</f>
        <v>30</v>
      </c>
      <c r="H193" s="671">
        <f>-H20+E20</f>
        <v>0</v>
      </c>
      <c r="I193" s="895"/>
      <c r="J193" s="895"/>
      <c r="K193" s="671">
        <f>-K20+H20</f>
        <v>0</v>
      </c>
      <c r="M193" s="676"/>
      <c r="N193" s="671">
        <f>-N20+H20</f>
        <v>0</v>
      </c>
      <c r="P193" s="676"/>
      <c r="Q193" s="671">
        <f>IF(OR($C$3=$L$913,$C$3=0),-Q20+N20,-Q20+K20)</f>
        <v>0</v>
      </c>
      <c r="S193" s="676"/>
      <c r="T193" s="674">
        <f>-T20+N20</f>
        <v>0</v>
      </c>
      <c r="U193" s="674">
        <f t="shared" ref="U193:AI193" si="184">-U20+T20</f>
        <v>0</v>
      </c>
      <c r="V193" s="674">
        <f t="shared" si="184"/>
        <v>0</v>
      </c>
      <c r="W193" s="674">
        <f t="shared" si="184"/>
        <v>0</v>
      </c>
      <c r="X193" s="674">
        <f t="shared" si="184"/>
        <v>0</v>
      </c>
      <c r="Y193" s="674">
        <f t="shared" si="184"/>
        <v>0</v>
      </c>
      <c r="Z193" s="674">
        <f t="shared" si="184"/>
        <v>0</v>
      </c>
      <c r="AA193" s="674">
        <f t="shared" si="184"/>
        <v>0</v>
      </c>
      <c r="AB193" s="674">
        <f t="shared" si="184"/>
        <v>0</v>
      </c>
      <c r="AC193" s="674">
        <f t="shared" si="184"/>
        <v>0</v>
      </c>
      <c r="AD193" s="674">
        <f t="shared" si="184"/>
        <v>0</v>
      </c>
      <c r="AE193" s="674">
        <f t="shared" si="184"/>
        <v>0</v>
      </c>
      <c r="AF193" s="674">
        <f t="shared" si="184"/>
        <v>0</v>
      </c>
      <c r="AG193" s="674">
        <f t="shared" si="184"/>
        <v>0</v>
      </c>
      <c r="AH193" s="674">
        <f t="shared" si="184"/>
        <v>0</v>
      </c>
      <c r="AI193" s="674">
        <f t="shared" si="184"/>
        <v>0</v>
      </c>
      <c r="AJ193" s="896"/>
    </row>
    <row r="194" spans="1:36" s="675" customFormat="1" ht="12.75" x14ac:dyDescent="0.25">
      <c r="A194" s="719" t="s">
        <v>1213</v>
      </c>
      <c r="B194" s="710" t="s">
        <v>1214</v>
      </c>
      <c r="C194" s="911"/>
      <c r="E194" s="671">
        <f>-E22+C22</f>
        <v>-30</v>
      </c>
      <c r="H194" s="671">
        <f>-H22+E22</f>
        <v>0</v>
      </c>
      <c r="I194" s="895"/>
      <c r="J194" s="895"/>
      <c r="K194" s="671">
        <f>-K22+H22</f>
        <v>0</v>
      </c>
      <c r="M194" s="676"/>
      <c r="N194" s="671">
        <f>-N22+H22</f>
        <v>0</v>
      </c>
      <c r="P194" s="676"/>
      <c r="Q194" s="671">
        <f>IF(OR($C$3=$L$913,$C$3=0),-Q22+N22,-Q22+K22)</f>
        <v>0</v>
      </c>
      <c r="S194" s="676"/>
      <c r="T194" s="674">
        <f>-T22+N22</f>
        <v>0</v>
      </c>
      <c r="U194" s="674">
        <f t="shared" ref="U194:AI194" si="185">-U22+T22</f>
        <v>0</v>
      </c>
      <c r="V194" s="674">
        <f t="shared" si="185"/>
        <v>0</v>
      </c>
      <c r="W194" s="674">
        <f t="shared" si="185"/>
        <v>0</v>
      </c>
      <c r="X194" s="674">
        <f t="shared" si="185"/>
        <v>0</v>
      </c>
      <c r="Y194" s="674">
        <f t="shared" si="185"/>
        <v>0</v>
      </c>
      <c r="Z194" s="674">
        <f t="shared" si="185"/>
        <v>0</v>
      </c>
      <c r="AA194" s="674">
        <f t="shared" si="185"/>
        <v>0</v>
      </c>
      <c r="AB194" s="674">
        <f t="shared" si="185"/>
        <v>0</v>
      </c>
      <c r="AC194" s="674">
        <f t="shared" si="185"/>
        <v>0</v>
      </c>
      <c r="AD194" s="674">
        <f t="shared" si="185"/>
        <v>0</v>
      </c>
      <c r="AE194" s="674">
        <f t="shared" si="185"/>
        <v>0</v>
      </c>
      <c r="AF194" s="674">
        <f t="shared" si="185"/>
        <v>0</v>
      </c>
      <c r="AG194" s="674">
        <f t="shared" si="185"/>
        <v>0</v>
      </c>
      <c r="AH194" s="674">
        <f t="shared" si="185"/>
        <v>0</v>
      </c>
      <c r="AI194" s="674">
        <f t="shared" si="185"/>
        <v>0</v>
      </c>
      <c r="AJ194" s="896"/>
    </row>
    <row r="195" spans="1:36" s="675" customFormat="1" ht="12.75" x14ac:dyDescent="0.25">
      <c r="A195" s="719" t="s">
        <v>1215</v>
      </c>
      <c r="B195" s="670" t="s">
        <v>1216</v>
      </c>
      <c r="C195" s="894"/>
      <c r="E195" s="671">
        <f>-E90</f>
        <v>-40</v>
      </c>
      <c r="H195" s="671">
        <f>-H90</f>
        <v>-40</v>
      </c>
      <c r="I195" s="895"/>
      <c r="J195" s="895"/>
      <c r="K195" s="671">
        <f>-K90</f>
        <v>-40</v>
      </c>
      <c r="M195" s="676"/>
      <c r="N195" s="671">
        <f>-N90</f>
        <v>-40</v>
      </c>
      <c r="P195" s="676"/>
      <c r="Q195" s="671">
        <f>-Q90</f>
        <v>-40</v>
      </c>
      <c r="S195" s="676"/>
      <c r="T195" s="674">
        <f t="shared" ref="T195:AI195" si="186">-T90</f>
        <v>-53.2</v>
      </c>
      <c r="U195" s="674">
        <f t="shared" si="186"/>
        <v>-66.400000000000006</v>
      </c>
      <c r="V195" s="674">
        <f t="shared" si="186"/>
        <v>-79.600000000000009</v>
      </c>
      <c r="W195" s="674">
        <f t="shared" si="186"/>
        <v>-92.800000000000011</v>
      </c>
      <c r="X195" s="674">
        <f t="shared" si="186"/>
        <v>-106.00000000000001</v>
      </c>
      <c r="Y195" s="674">
        <f t="shared" si="186"/>
        <v>-119.20000000000002</v>
      </c>
      <c r="Z195" s="674">
        <f t="shared" si="186"/>
        <v>-132.4</v>
      </c>
      <c r="AA195" s="674">
        <f t="shared" si="186"/>
        <v>-145.60000000000002</v>
      </c>
      <c r="AB195" s="674">
        <f t="shared" si="186"/>
        <v>-158.80000000000001</v>
      </c>
      <c r="AC195" s="674">
        <f t="shared" si="186"/>
        <v>-172</v>
      </c>
      <c r="AD195" s="674">
        <f t="shared" si="186"/>
        <v>-185.2</v>
      </c>
      <c r="AE195" s="674">
        <f t="shared" si="186"/>
        <v>-198.39999999999995</v>
      </c>
      <c r="AF195" s="674">
        <f t="shared" si="186"/>
        <v>-211.59999999999994</v>
      </c>
      <c r="AG195" s="674">
        <f t="shared" si="186"/>
        <v>-224.79999999999993</v>
      </c>
      <c r="AH195" s="674">
        <f t="shared" si="186"/>
        <v>-237.99999999999991</v>
      </c>
      <c r="AI195" s="674">
        <f t="shared" si="186"/>
        <v>-251.1999999999999</v>
      </c>
      <c r="AJ195" s="896"/>
    </row>
    <row r="196" spans="1:36" s="655" customFormat="1" ht="12.75" x14ac:dyDescent="0.25">
      <c r="A196" s="640">
        <v>20</v>
      </c>
      <c r="B196" s="705" t="s">
        <v>1217</v>
      </c>
      <c r="C196" s="897"/>
      <c r="E196" s="706">
        <f>SUM(E192:E195)</f>
        <v>-100</v>
      </c>
      <c r="H196" s="706">
        <f>SUM(H192:H195)</f>
        <v>-40</v>
      </c>
      <c r="I196" s="886"/>
      <c r="J196" s="886"/>
      <c r="K196" s="706">
        <f>SUM(K192:K195)</f>
        <v>-40</v>
      </c>
      <c r="M196" s="653"/>
      <c r="N196" s="706">
        <f>SUM(N192:N195)</f>
        <v>-40</v>
      </c>
      <c r="P196" s="653"/>
      <c r="Q196" s="706">
        <f>SUM(Q192:Q195)</f>
        <v>-40</v>
      </c>
      <c r="S196" s="653"/>
      <c r="T196" s="704">
        <f t="shared" ref="T196:AI196" si="187">SUM(T192:T195)</f>
        <v>-79.534000000000006</v>
      </c>
      <c r="U196" s="704">
        <f t="shared" si="187"/>
        <v>-99.268000000000001</v>
      </c>
      <c r="V196" s="704">
        <f t="shared" si="187"/>
        <v>-119.00200000000002</v>
      </c>
      <c r="W196" s="704">
        <f t="shared" si="187"/>
        <v>-138.73600000000002</v>
      </c>
      <c r="X196" s="704">
        <f t="shared" si="187"/>
        <v>-158.47000000000003</v>
      </c>
      <c r="Y196" s="704">
        <f t="shared" si="187"/>
        <v>-178.20400000000004</v>
      </c>
      <c r="Z196" s="704">
        <f t="shared" si="187"/>
        <v>-197.93800000000002</v>
      </c>
      <c r="AA196" s="704">
        <f t="shared" si="187"/>
        <v>-217.67200000000003</v>
      </c>
      <c r="AB196" s="704">
        <f t="shared" si="187"/>
        <v>-237.40600000000006</v>
      </c>
      <c r="AC196" s="704">
        <f t="shared" si="187"/>
        <v>-257.14</v>
      </c>
      <c r="AD196" s="704">
        <f t="shared" si="187"/>
        <v>-276.87399999999997</v>
      </c>
      <c r="AE196" s="704">
        <f t="shared" si="187"/>
        <v>-296.60799999999995</v>
      </c>
      <c r="AF196" s="704">
        <f t="shared" si="187"/>
        <v>-316.34199999999987</v>
      </c>
      <c r="AG196" s="704">
        <f t="shared" si="187"/>
        <v>-336.07599999999991</v>
      </c>
      <c r="AH196" s="704">
        <f t="shared" si="187"/>
        <v>-355.80999999999983</v>
      </c>
      <c r="AI196" s="704">
        <f t="shared" si="187"/>
        <v>-375.54399999999998</v>
      </c>
      <c r="AJ196" s="887"/>
    </row>
    <row r="197" spans="1:36" s="675" customFormat="1" ht="12.75" x14ac:dyDescent="0.25">
      <c r="A197" s="669" t="s">
        <v>1082</v>
      </c>
      <c r="B197" s="670" t="s">
        <v>1218</v>
      </c>
      <c r="C197" s="894"/>
      <c r="E197" s="910">
        <f>-(E113-C113)</f>
        <v>0</v>
      </c>
      <c r="H197" s="671">
        <f>-(H113-E113)</f>
        <v>0</v>
      </c>
      <c r="I197" s="895"/>
      <c r="J197" s="895"/>
      <c r="K197" s="671">
        <f>-(K113-H113)</f>
        <v>0</v>
      </c>
      <c r="M197" s="676"/>
      <c r="N197" s="671">
        <f>-(N113-H113)</f>
        <v>0</v>
      </c>
      <c r="P197" s="676"/>
      <c r="Q197" s="671">
        <f>IF(OR($C$3=$L$913,$C$3=0),-(Q113-N113),-(Q113-K113))</f>
        <v>0</v>
      </c>
      <c r="S197" s="676"/>
      <c r="T197" s="671">
        <f>-(T113-N113)</f>
        <v>0</v>
      </c>
      <c r="U197" s="674">
        <f t="shared" ref="U197:AI197" si="188">-(U113-T113)</f>
        <v>0</v>
      </c>
      <c r="V197" s="674">
        <f t="shared" si="188"/>
        <v>0</v>
      </c>
      <c r="W197" s="674">
        <f t="shared" si="188"/>
        <v>0</v>
      </c>
      <c r="X197" s="674">
        <f t="shared" si="188"/>
        <v>0</v>
      </c>
      <c r="Y197" s="674">
        <f t="shared" si="188"/>
        <v>0</v>
      </c>
      <c r="Z197" s="674">
        <f t="shared" si="188"/>
        <v>0</v>
      </c>
      <c r="AA197" s="674">
        <f t="shared" si="188"/>
        <v>0</v>
      </c>
      <c r="AB197" s="674">
        <f t="shared" si="188"/>
        <v>0</v>
      </c>
      <c r="AC197" s="674">
        <f t="shared" si="188"/>
        <v>0</v>
      </c>
      <c r="AD197" s="674">
        <f t="shared" si="188"/>
        <v>0</v>
      </c>
      <c r="AE197" s="674">
        <f t="shared" si="188"/>
        <v>0</v>
      </c>
      <c r="AF197" s="674">
        <f t="shared" si="188"/>
        <v>0</v>
      </c>
      <c r="AG197" s="674">
        <f t="shared" si="188"/>
        <v>0</v>
      </c>
      <c r="AH197" s="674">
        <f t="shared" si="188"/>
        <v>0</v>
      </c>
      <c r="AI197" s="674">
        <f t="shared" si="188"/>
        <v>0</v>
      </c>
      <c r="AJ197" s="896"/>
    </row>
    <row r="198" spans="1:36" s="675" customFormat="1" ht="12.75" x14ac:dyDescent="0.25">
      <c r="A198" s="669" t="s">
        <v>1083</v>
      </c>
      <c r="B198" s="710" t="s">
        <v>1219</v>
      </c>
      <c r="C198" s="911"/>
      <c r="E198" s="671">
        <f>-E114</f>
        <v>0</v>
      </c>
      <c r="H198" s="671">
        <f>-H114</f>
        <v>0</v>
      </c>
      <c r="I198" s="895"/>
      <c r="J198" s="895"/>
      <c r="K198" s="671">
        <f>-K114</f>
        <v>0</v>
      </c>
      <c r="M198" s="676"/>
      <c r="N198" s="671">
        <f>-N114</f>
        <v>0</v>
      </c>
      <c r="P198" s="676"/>
      <c r="Q198" s="671">
        <f>-Q114</f>
        <v>0</v>
      </c>
      <c r="S198" s="676"/>
      <c r="T198" s="671">
        <f t="shared" ref="T198:AI198" si="189">-T114</f>
        <v>0</v>
      </c>
      <c r="U198" s="674">
        <f t="shared" si="189"/>
        <v>0</v>
      </c>
      <c r="V198" s="674">
        <f t="shared" si="189"/>
        <v>0</v>
      </c>
      <c r="W198" s="674">
        <f t="shared" si="189"/>
        <v>0</v>
      </c>
      <c r="X198" s="674">
        <f t="shared" si="189"/>
        <v>0</v>
      </c>
      <c r="Y198" s="674">
        <f t="shared" si="189"/>
        <v>0</v>
      </c>
      <c r="Z198" s="674">
        <f t="shared" si="189"/>
        <v>0</v>
      </c>
      <c r="AA198" s="674">
        <f t="shared" si="189"/>
        <v>0</v>
      </c>
      <c r="AB198" s="674">
        <f t="shared" si="189"/>
        <v>0</v>
      </c>
      <c r="AC198" s="674">
        <f t="shared" si="189"/>
        <v>0</v>
      </c>
      <c r="AD198" s="674">
        <f t="shared" si="189"/>
        <v>0</v>
      </c>
      <c r="AE198" s="674">
        <f t="shared" si="189"/>
        <v>0</v>
      </c>
      <c r="AF198" s="674">
        <f t="shared" si="189"/>
        <v>0</v>
      </c>
      <c r="AG198" s="674">
        <f t="shared" si="189"/>
        <v>0</v>
      </c>
      <c r="AH198" s="674">
        <f t="shared" si="189"/>
        <v>0</v>
      </c>
      <c r="AI198" s="674">
        <f t="shared" si="189"/>
        <v>0</v>
      </c>
      <c r="AJ198" s="896"/>
    </row>
    <row r="199" spans="1:36" s="675" customFormat="1" ht="12.75" x14ac:dyDescent="0.25">
      <c r="A199" s="669" t="s">
        <v>1085</v>
      </c>
      <c r="B199" s="710" t="s">
        <v>1220</v>
      </c>
      <c r="C199" s="911"/>
      <c r="E199" s="671">
        <f>E115</f>
        <v>0</v>
      </c>
      <c r="H199" s="671">
        <f>H115</f>
        <v>0</v>
      </c>
      <c r="I199" s="895"/>
      <c r="J199" s="895"/>
      <c r="K199" s="671">
        <f>K115</f>
        <v>0</v>
      </c>
      <c r="M199" s="676"/>
      <c r="N199" s="671">
        <f>N115</f>
        <v>0</v>
      </c>
      <c r="P199" s="676"/>
      <c r="Q199" s="671">
        <f>Q115</f>
        <v>0</v>
      </c>
      <c r="S199" s="676"/>
      <c r="T199" s="671">
        <f t="shared" ref="T199:AI199" si="190">T115</f>
        <v>0</v>
      </c>
      <c r="U199" s="674">
        <f t="shared" si="190"/>
        <v>0</v>
      </c>
      <c r="V199" s="674">
        <f t="shared" si="190"/>
        <v>0</v>
      </c>
      <c r="W199" s="674">
        <f t="shared" si="190"/>
        <v>0</v>
      </c>
      <c r="X199" s="674">
        <f t="shared" si="190"/>
        <v>0</v>
      </c>
      <c r="Y199" s="674">
        <f t="shared" si="190"/>
        <v>0</v>
      </c>
      <c r="Z199" s="674">
        <f t="shared" si="190"/>
        <v>0</v>
      </c>
      <c r="AA199" s="674">
        <f t="shared" si="190"/>
        <v>0</v>
      </c>
      <c r="AB199" s="674">
        <f t="shared" si="190"/>
        <v>0</v>
      </c>
      <c r="AC199" s="674">
        <f t="shared" si="190"/>
        <v>0</v>
      </c>
      <c r="AD199" s="674">
        <f t="shared" si="190"/>
        <v>0</v>
      </c>
      <c r="AE199" s="674">
        <f t="shared" si="190"/>
        <v>0</v>
      </c>
      <c r="AF199" s="674">
        <f t="shared" si="190"/>
        <v>0</v>
      </c>
      <c r="AG199" s="674">
        <f t="shared" si="190"/>
        <v>0</v>
      </c>
      <c r="AH199" s="674">
        <f t="shared" si="190"/>
        <v>0</v>
      </c>
      <c r="AI199" s="674">
        <f t="shared" si="190"/>
        <v>0</v>
      </c>
      <c r="AJ199" s="896"/>
    </row>
    <row r="200" spans="1:36" s="675" customFormat="1" ht="12.75" x14ac:dyDescent="0.25">
      <c r="A200" s="669" t="s">
        <v>1221</v>
      </c>
      <c r="B200" s="710" t="s">
        <v>1222</v>
      </c>
      <c r="C200" s="911"/>
      <c r="E200" s="671">
        <f>-(E118-C118)</f>
        <v>0</v>
      </c>
      <c r="H200" s="671">
        <f>-(H118-E118)</f>
        <v>0</v>
      </c>
      <c r="I200" s="895"/>
      <c r="J200" s="895"/>
      <c r="K200" s="671">
        <f>-(K118-H118)</f>
        <v>0</v>
      </c>
      <c r="M200" s="676"/>
      <c r="N200" s="671">
        <f>-(N118-H118)</f>
        <v>0</v>
      </c>
      <c r="P200" s="676"/>
      <c r="Q200" s="671">
        <f>IF(OR($C$3=$L$913,$C$3=0),-(Q118-N118),-(Q118-K118))</f>
        <v>0</v>
      </c>
      <c r="S200" s="676"/>
      <c r="T200" s="671">
        <f>-(T118-N118)</f>
        <v>0</v>
      </c>
      <c r="U200" s="674">
        <f t="shared" ref="U200:AI200" si="191">-(U118-T118)</f>
        <v>0</v>
      </c>
      <c r="V200" s="674">
        <f t="shared" si="191"/>
        <v>0</v>
      </c>
      <c r="W200" s="674">
        <f t="shared" si="191"/>
        <v>0</v>
      </c>
      <c r="X200" s="674">
        <f t="shared" si="191"/>
        <v>0</v>
      </c>
      <c r="Y200" s="674">
        <f t="shared" si="191"/>
        <v>0</v>
      </c>
      <c r="Z200" s="674">
        <f t="shared" si="191"/>
        <v>0</v>
      </c>
      <c r="AA200" s="674">
        <f t="shared" si="191"/>
        <v>0</v>
      </c>
      <c r="AB200" s="674">
        <f t="shared" si="191"/>
        <v>0</v>
      </c>
      <c r="AC200" s="674">
        <f t="shared" si="191"/>
        <v>0</v>
      </c>
      <c r="AD200" s="674">
        <f t="shared" si="191"/>
        <v>0</v>
      </c>
      <c r="AE200" s="674">
        <f t="shared" si="191"/>
        <v>0</v>
      </c>
      <c r="AF200" s="674">
        <f t="shared" si="191"/>
        <v>0</v>
      </c>
      <c r="AG200" s="674">
        <f t="shared" si="191"/>
        <v>0</v>
      </c>
      <c r="AH200" s="674">
        <f t="shared" si="191"/>
        <v>0</v>
      </c>
      <c r="AI200" s="674">
        <f t="shared" si="191"/>
        <v>0</v>
      </c>
      <c r="AJ200" s="896"/>
    </row>
    <row r="201" spans="1:36" s="675" customFormat="1" ht="12.75" x14ac:dyDescent="0.25">
      <c r="A201" s="669" t="s">
        <v>1223</v>
      </c>
      <c r="B201" s="710" t="s">
        <v>1224</v>
      </c>
      <c r="C201" s="911"/>
      <c r="E201" s="671">
        <f>-(E116-C116)</f>
        <v>0</v>
      </c>
      <c r="H201" s="671">
        <f>-(H116-E116)</f>
        <v>0</v>
      </c>
      <c r="I201" s="895"/>
      <c r="J201" s="895"/>
      <c r="K201" s="671">
        <f>-(K116-H116)</f>
        <v>0</v>
      </c>
      <c r="M201" s="676"/>
      <c r="N201" s="671">
        <f>-(N116-H116)</f>
        <v>0</v>
      </c>
      <c r="P201" s="676"/>
      <c r="Q201" s="671">
        <f>IF(OR($C$3=$L$913,$C$3=0),-(Q116-N116),-(Q116-K116))</f>
        <v>0</v>
      </c>
      <c r="S201" s="676"/>
      <c r="T201" s="671">
        <f>-(T116-N116)</f>
        <v>0</v>
      </c>
      <c r="U201" s="674">
        <f t="shared" ref="U201:AI201" si="192">-(U116-T116)</f>
        <v>0</v>
      </c>
      <c r="V201" s="674">
        <f t="shared" si="192"/>
        <v>0</v>
      </c>
      <c r="W201" s="674">
        <f t="shared" si="192"/>
        <v>0</v>
      </c>
      <c r="X201" s="674">
        <f t="shared" si="192"/>
        <v>0</v>
      </c>
      <c r="Y201" s="674">
        <f t="shared" si="192"/>
        <v>0</v>
      </c>
      <c r="Z201" s="674">
        <f t="shared" si="192"/>
        <v>0</v>
      </c>
      <c r="AA201" s="674">
        <f t="shared" si="192"/>
        <v>0</v>
      </c>
      <c r="AB201" s="674">
        <f t="shared" si="192"/>
        <v>0</v>
      </c>
      <c r="AC201" s="674">
        <f t="shared" si="192"/>
        <v>0</v>
      </c>
      <c r="AD201" s="674">
        <f t="shared" si="192"/>
        <v>0</v>
      </c>
      <c r="AE201" s="674">
        <f t="shared" si="192"/>
        <v>0</v>
      </c>
      <c r="AF201" s="674">
        <f t="shared" si="192"/>
        <v>0</v>
      </c>
      <c r="AG201" s="674">
        <f t="shared" si="192"/>
        <v>0</v>
      </c>
      <c r="AH201" s="674">
        <f t="shared" si="192"/>
        <v>0</v>
      </c>
      <c r="AI201" s="674">
        <f t="shared" si="192"/>
        <v>0</v>
      </c>
      <c r="AJ201" s="896"/>
    </row>
    <row r="202" spans="1:36" s="675" customFormat="1" ht="12.75" x14ac:dyDescent="0.25">
      <c r="A202" s="669" t="s">
        <v>1225</v>
      </c>
      <c r="B202" s="710" t="s">
        <v>1226</v>
      </c>
      <c r="C202" s="911"/>
      <c r="E202" s="671">
        <f>E117-C117</f>
        <v>0</v>
      </c>
      <c r="H202" s="671">
        <f>H117-E117</f>
        <v>0</v>
      </c>
      <c r="I202" s="895"/>
      <c r="J202" s="895"/>
      <c r="K202" s="671">
        <f>K117-H117</f>
        <v>0</v>
      </c>
      <c r="M202" s="676"/>
      <c r="N202" s="671">
        <f>N117-H117</f>
        <v>0</v>
      </c>
      <c r="P202" s="676"/>
      <c r="Q202" s="671">
        <f>IF(OR($C$3=$L$913,$C$3=0),Q117-N117,Q117-K117)</f>
        <v>0</v>
      </c>
      <c r="S202" s="676"/>
      <c r="T202" s="671">
        <f>T117-N117</f>
        <v>0</v>
      </c>
      <c r="U202" s="674">
        <f t="shared" ref="U202:AI202" si="193">U117-T117</f>
        <v>0</v>
      </c>
      <c r="V202" s="674">
        <f t="shared" si="193"/>
        <v>0</v>
      </c>
      <c r="W202" s="674">
        <f t="shared" si="193"/>
        <v>0</v>
      </c>
      <c r="X202" s="674">
        <f t="shared" si="193"/>
        <v>0</v>
      </c>
      <c r="Y202" s="674">
        <f t="shared" si="193"/>
        <v>0</v>
      </c>
      <c r="Z202" s="674">
        <f t="shared" si="193"/>
        <v>0</v>
      </c>
      <c r="AA202" s="674">
        <f t="shared" si="193"/>
        <v>0</v>
      </c>
      <c r="AB202" s="674">
        <f t="shared" si="193"/>
        <v>0</v>
      </c>
      <c r="AC202" s="674">
        <f t="shared" si="193"/>
        <v>0</v>
      </c>
      <c r="AD202" s="674">
        <f t="shared" si="193"/>
        <v>0</v>
      </c>
      <c r="AE202" s="674">
        <f t="shared" si="193"/>
        <v>0</v>
      </c>
      <c r="AF202" s="674">
        <f t="shared" si="193"/>
        <v>0</v>
      </c>
      <c r="AG202" s="674">
        <f t="shared" si="193"/>
        <v>0</v>
      </c>
      <c r="AH202" s="674">
        <f t="shared" si="193"/>
        <v>0</v>
      </c>
      <c r="AI202" s="674">
        <f t="shared" si="193"/>
        <v>0</v>
      </c>
      <c r="AJ202" s="896"/>
    </row>
    <row r="203" spans="1:36" s="675" customFormat="1" ht="12.75" x14ac:dyDescent="0.25">
      <c r="A203" s="669" t="s">
        <v>1227</v>
      </c>
      <c r="B203" s="710" t="s">
        <v>1228</v>
      </c>
      <c r="C203" s="911"/>
      <c r="E203" s="671">
        <f>-(E119-C119)</f>
        <v>0</v>
      </c>
      <c r="H203" s="671">
        <f>-(H119-E119)</f>
        <v>0</v>
      </c>
      <c r="I203" s="895"/>
      <c r="J203" s="895"/>
      <c r="K203" s="671">
        <f>-(K119-H119)</f>
        <v>0</v>
      </c>
      <c r="M203" s="673"/>
      <c r="N203" s="671">
        <f>-(N119-H119)</f>
        <v>0</v>
      </c>
      <c r="P203" s="673"/>
      <c r="Q203" s="671">
        <f>IF(OR($C$3=$L$913,$C$3=0),-(Q119-N119),-(Q119-K119))</f>
        <v>0</v>
      </c>
      <c r="S203" s="673"/>
      <c r="T203" s="671">
        <f>-(T119-N119)</f>
        <v>0</v>
      </c>
      <c r="U203" s="674">
        <f t="shared" ref="U203:AI203" si="194">-(U119-T119)</f>
        <v>0</v>
      </c>
      <c r="V203" s="674">
        <f t="shared" si="194"/>
        <v>0</v>
      </c>
      <c r="W203" s="674">
        <f t="shared" si="194"/>
        <v>0</v>
      </c>
      <c r="X203" s="674">
        <f t="shared" si="194"/>
        <v>0</v>
      </c>
      <c r="Y203" s="674">
        <f t="shared" si="194"/>
        <v>0</v>
      </c>
      <c r="Z203" s="674">
        <f t="shared" si="194"/>
        <v>0</v>
      </c>
      <c r="AA203" s="674">
        <f t="shared" si="194"/>
        <v>0</v>
      </c>
      <c r="AB203" s="674">
        <f t="shared" si="194"/>
        <v>0</v>
      </c>
      <c r="AC203" s="674">
        <f t="shared" si="194"/>
        <v>0</v>
      </c>
      <c r="AD203" s="674">
        <f t="shared" si="194"/>
        <v>0</v>
      </c>
      <c r="AE203" s="674">
        <f t="shared" si="194"/>
        <v>0</v>
      </c>
      <c r="AF203" s="674">
        <f t="shared" si="194"/>
        <v>0</v>
      </c>
      <c r="AG203" s="674">
        <f t="shared" si="194"/>
        <v>0</v>
      </c>
      <c r="AH203" s="674">
        <f t="shared" si="194"/>
        <v>0</v>
      </c>
      <c r="AI203" s="674">
        <f t="shared" si="194"/>
        <v>0</v>
      </c>
      <c r="AJ203" s="896"/>
    </row>
    <row r="204" spans="1:36" s="675" customFormat="1" ht="12.75" x14ac:dyDescent="0.25">
      <c r="A204" s="669" t="s">
        <v>1229</v>
      </c>
      <c r="B204" s="710" t="s">
        <v>1230</v>
      </c>
      <c r="C204" s="911"/>
      <c r="E204" s="671">
        <f>E120-C120</f>
        <v>0</v>
      </c>
      <c r="H204" s="671">
        <f>H120-E120</f>
        <v>0</v>
      </c>
      <c r="I204" s="895"/>
      <c r="J204" s="895"/>
      <c r="K204" s="671">
        <f>K120-H120</f>
        <v>0</v>
      </c>
      <c r="M204" s="676"/>
      <c r="N204" s="671">
        <f>N120-H120</f>
        <v>0</v>
      </c>
      <c r="P204" s="676"/>
      <c r="Q204" s="671">
        <f>IF(OR($C$3=$L$913,$C$3=0),Q120-N120,Q120-K120)</f>
        <v>0</v>
      </c>
      <c r="S204" s="676"/>
      <c r="T204" s="671">
        <f>T120-N120</f>
        <v>0</v>
      </c>
      <c r="U204" s="674">
        <f t="shared" ref="U204:AI204" si="195">U120-T120</f>
        <v>0</v>
      </c>
      <c r="V204" s="674">
        <f t="shared" si="195"/>
        <v>0</v>
      </c>
      <c r="W204" s="674">
        <f t="shared" si="195"/>
        <v>0</v>
      </c>
      <c r="X204" s="674">
        <f t="shared" si="195"/>
        <v>0</v>
      </c>
      <c r="Y204" s="674">
        <f t="shared" si="195"/>
        <v>0</v>
      </c>
      <c r="Z204" s="674">
        <f t="shared" si="195"/>
        <v>0</v>
      </c>
      <c r="AA204" s="674">
        <f t="shared" si="195"/>
        <v>0</v>
      </c>
      <c r="AB204" s="674">
        <f t="shared" si="195"/>
        <v>0</v>
      </c>
      <c r="AC204" s="674">
        <f t="shared" si="195"/>
        <v>0</v>
      </c>
      <c r="AD204" s="674">
        <f t="shared" si="195"/>
        <v>0</v>
      </c>
      <c r="AE204" s="674">
        <f t="shared" si="195"/>
        <v>0</v>
      </c>
      <c r="AF204" s="674">
        <f t="shared" si="195"/>
        <v>0</v>
      </c>
      <c r="AG204" s="674">
        <f t="shared" si="195"/>
        <v>0</v>
      </c>
      <c r="AH204" s="674">
        <f t="shared" si="195"/>
        <v>0</v>
      </c>
      <c r="AI204" s="674">
        <f t="shared" si="195"/>
        <v>0</v>
      </c>
      <c r="AJ204" s="896"/>
    </row>
    <row r="205" spans="1:36" s="675" customFormat="1" ht="12.75" x14ac:dyDescent="0.25">
      <c r="A205" s="669" t="s">
        <v>1231</v>
      </c>
      <c r="B205" s="710" t="s">
        <v>1232</v>
      </c>
      <c r="C205" s="911"/>
      <c r="E205" s="671">
        <f>-(E121-C121)</f>
        <v>0</v>
      </c>
      <c r="H205" s="671">
        <f>-(H121-E121)</f>
        <v>0</v>
      </c>
      <c r="I205" s="895"/>
      <c r="J205" s="895"/>
      <c r="K205" s="671">
        <f>-(K121-H121)</f>
        <v>0</v>
      </c>
      <c r="M205" s="676"/>
      <c r="N205" s="671">
        <f>-(N121-H121)</f>
        <v>0</v>
      </c>
      <c r="P205" s="676"/>
      <c r="Q205" s="671">
        <f>IF(OR($C$3=$L$913,$C$3=0),-(Q121-N121),-(Q121-K121))</f>
        <v>0</v>
      </c>
      <c r="S205" s="676"/>
      <c r="T205" s="671">
        <f>-(T121-N121)</f>
        <v>0</v>
      </c>
      <c r="U205" s="674">
        <f t="shared" ref="U205:AI205" si="196">-(U121-T121)</f>
        <v>0</v>
      </c>
      <c r="V205" s="674">
        <f t="shared" si="196"/>
        <v>0</v>
      </c>
      <c r="W205" s="674">
        <f t="shared" si="196"/>
        <v>0</v>
      </c>
      <c r="X205" s="674">
        <f t="shared" si="196"/>
        <v>0</v>
      </c>
      <c r="Y205" s="674">
        <f t="shared" si="196"/>
        <v>0</v>
      </c>
      <c r="Z205" s="674">
        <f t="shared" si="196"/>
        <v>0</v>
      </c>
      <c r="AA205" s="674">
        <f t="shared" si="196"/>
        <v>0</v>
      </c>
      <c r="AB205" s="674">
        <f t="shared" si="196"/>
        <v>0</v>
      </c>
      <c r="AC205" s="674">
        <f t="shared" si="196"/>
        <v>0</v>
      </c>
      <c r="AD205" s="674">
        <f t="shared" si="196"/>
        <v>0</v>
      </c>
      <c r="AE205" s="674">
        <f t="shared" si="196"/>
        <v>0</v>
      </c>
      <c r="AF205" s="674">
        <f t="shared" si="196"/>
        <v>0</v>
      </c>
      <c r="AG205" s="674">
        <f t="shared" si="196"/>
        <v>0</v>
      </c>
      <c r="AH205" s="674">
        <f t="shared" si="196"/>
        <v>0</v>
      </c>
      <c r="AI205" s="674">
        <f t="shared" si="196"/>
        <v>0</v>
      </c>
      <c r="AJ205" s="896"/>
    </row>
    <row r="206" spans="1:36" s="675" customFormat="1" ht="12.75" x14ac:dyDescent="0.25">
      <c r="A206" s="669" t="s">
        <v>1233</v>
      </c>
      <c r="B206" s="710" t="s">
        <v>1234</v>
      </c>
      <c r="C206" s="911"/>
      <c r="E206" s="671">
        <f>E122-C122</f>
        <v>0</v>
      </c>
      <c r="H206" s="671">
        <f>H122-E122</f>
        <v>0</v>
      </c>
      <c r="I206" s="895"/>
      <c r="J206" s="895"/>
      <c r="K206" s="671">
        <f>K122-H122</f>
        <v>0</v>
      </c>
      <c r="M206" s="676"/>
      <c r="N206" s="671">
        <f>N122-H122</f>
        <v>0</v>
      </c>
      <c r="P206" s="676"/>
      <c r="Q206" s="671">
        <f>IF(OR($C$3=$L$913,$C$3=0),Q122-N122,Q122-K122)</f>
        <v>0</v>
      </c>
      <c r="S206" s="676"/>
      <c r="T206" s="671">
        <f>T122-N122</f>
        <v>0</v>
      </c>
      <c r="U206" s="674">
        <f t="shared" ref="U206:AI206" si="197">U122-T122</f>
        <v>0</v>
      </c>
      <c r="V206" s="674">
        <f t="shared" si="197"/>
        <v>0</v>
      </c>
      <c r="W206" s="674">
        <f t="shared" si="197"/>
        <v>0</v>
      </c>
      <c r="X206" s="674">
        <f t="shared" si="197"/>
        <v>0</v>
      </c>
      <c r="Y206" s="674">
        <f t="shared" si="197"/>
        <v>0</v>
      </c>
      <c r="Z206" s="674">
        <f t="shared" si="197"/>
        <v>0</v>
      </c>
      <c r="AA206" s="674">
        <f t="shared" si="197"/>
        <v>0</v>
      </c>
      <c r="AB206" s="674">
        <f t="shared" si="197"/>
        <v>0</v>
      </c>
      <c r="AC206" s="674">
        <f t="shared" si="197"/>
        <v>0</v>
      </c>
      <c r="AD206" s="674">
        <f t="shared" si="197"/>
        <v>0</v>
      </c>
      <c r="AE206" s="674">
        <f t="shared" si="197"/>
        <v>0</v>
      </c>
      <c r="AF206" s="674">
        <f t="shared" si="197"/>
        <v>0</v>
      </c>
      <c r="AG206" s="674">
        <f t="shared" si="197"/>
        <v>0</v>
      </c>
      <c r="AH206" s="674">
        <f t="shared" si="197"/>
        <v>0</v>
      </c>
      <c r="AI206" s="674">
        <f t="shared" si="197"/>
        <v>0</v>
      </c>
      <c r="AJ206" s="896"/>
    </row>
    <row r="207" spans="1:36" s="675" customFormat="1" ht="12.75" x14ac:dyDescent="0.25">
      <c r="A207" s="669" t="s">
        <v>1235</v>
      </c>
      <c r="B207" s="710" t="s">
        <v>1236</v>
      </c>
      <c r="C207" s="911"/>
      <c r="E207" s="671">
        <f>E65-C65+E230</f>
        <v>40</v>
      </c>
      <c r="H207" s="671">
        <f>H65-E65+H230</f>
        <v>0</v>
      </c>
      <c r="I207" s="895"/>
      <c r="J207" s="895"/>
      <c r="K207" s="671">
        <f>K65-H65+K230</f>
        <v>0</v>
      </c>
      <c r="M207" s="676"/>
      <c r="N207" s="671">
        <f>N65-H65+N230</f>
        <v>0</v>
      </c>
      <c r="P207" s="676"/>
      <c r="Q207" s="671">
        <f>IF(OR($C$3=$L$913,$C$3=0),Q65-N65+Q230,Q65-K65+Q230)</f>
        <v>0</v>
      </c>
      <c r="S207" s="676"/>
      <c r="T207" s="671">
        <f>T65-N65+T230</f>
        <v>0</v>
      </c>
      <c r="U207" s="674">
        <f t="shared" ref="U207:AI207" si="198">U65-T65+U230</f>
        <v>0</v>
      </c>
      <c r="V207" s="674">
        <f t="shared" si="198"/>
        <v>0</v>
      </c>
      <c r="W207" s="674">
        <f t="shared" si="198"/>
        <v>0</v>
      </c>
      <c r="X207" s="674">
        <f t="shared" si="198"/>
        <v>0</v>
      </c>
      <c r="Y207" s="674">
        <f t="shared" si="198"/>
        <v>0</v>
      </c>
      <c r="Z207" s="674">
        <f t="shared" si="198"/>
        <v>0</v>
      </c>
      <c r="AA207" s="674">
        <f t="shared" si="198"/>
        <v>0</v>
      </c>
      <c r="AB207" s="674">
        <f t="shared" si="198"/>
        <v>0</v>
      </c>
      <c r="AC207" s="674">
        <f t="shared" si="198"/>
        <v>0</v>
      </c>
      <c r="AD207" s="674">
        <f t="shared" si="198"/>
        <v>0</v>
      </c>
      <c r="AE207" s="674">
        <f t="shared" si="198"/>
        <v>0</v>
      </c>
      <c r="AF207" s="674">
        <f t="shared" si="198"/>
        <v>0</v>
      </c>
      <c r="AG207" s="674">
        <f t="shared" si="198"/>
        <v>0</v>
      </c>
      <c r="AH207" s="674">
        <f t="shared" si="198"/>
        <v>0</v>
      </c>
      <c r="AI207" s="674">
        <f t="shared" si="198"/>
        <v>0</v>
      </c>
      <c r="AJ207" s="896"/>
    </row>
    <row r="208" spans="1:36" s="675" customFormat="1" ht="12.75" x14ac:dyDescent="0.25">
      <c r="A208" s="669" t="s">
        <v>1237</v>
      </c>
      <c r="B208" s="710" t="s">
        <v>1238</v>
      </c>
      <c r="C208" s="911"/>
      <c r="E208" s="671">
        <f>E77</f>
        <v>0</v>
      </c>
      <c r="H208" s="671">
        <f>H77</f>
        <v>0</v>
      </c>
      <c r="I208" s="895"/>
      <c r="J208" s="895"/>
      <c r="K208" s="671">
        <f>K77</f>
        <v>0</v>
      </c>
      <c r="M208" s="676"/>
      <c r="N208" s="671">
        <f>N77</f>
        <v>0</v>
      </c>
      <c r="P208" s="676"/>
      <c r="Q208" s="671">
        <f>Q77</f>
        <v>0</v>
      </c>
      <c r="S208" s="676"/>
      <c r="T208" s="671">
        <f t="shared" ref="T208:AI208" si="199">T77</f>
        <v>0</v>
      </c>
      <c r="U208" s="674">
        <f t="shared" si="199"/>
        <v>0</v>
      </c>
      <c r="V208" s="674">
        <f t="shared" si="199"/>
        <v>0</v>
      </c>
      <c r="W208" s="674">
        <f t="shared" si="199"/>
        <v>0</v>
      </c>
      <c r="X208" s="674">
        <f t="shared" si="199"/>
        <v>0</v>
      </c>
      <c r="Y208" s="674">
        <f t="shared" si="199"/>
        <v>0</v>
      </c>
      <c r="Z208" s="674">
        <f t="shared" si="199"/>
        <v>0</v>
      </c>
      <c r="AA208" s="674">
        <f t="shared" si="199"/>
        <v>0</v>
      </c>
      <c r="AB208" s="674">
        <f t="shared" si="199"/>
        <v>0</v>
      </c>
      <c r="AC208" s="674">
        <f t="shared" si="199"/>
        <v>0</v>
      </c>
      <c r="AD208" s="674">
        <f t="shared" si="199"/>
        <v>0</v>
      </c>
      <c r="AE208" s="674">
        <f t="shared" si="199"/>
        <v>0</v>
      </c>
      <c r="AF208" s="674">
        <f t="shared" si="199"/>
        <v>0</v>
      </c>
      <c r="AG208" s="674">
        <f t="shared" si="199"/>
        <v>0</v>
      </c>
      <c r="AH208" s="674">
        <f t="shared" si="199"/>
        <v>0</v>
      </c>
      <c r="AI208" s="674">
        <f t="shared" si="199"/>
        <v>0</v>
      </c>
      <c r="AJ208" s="896"/>
    </row>
    <row r="209" spans="1:36" s="655" customFormat="1" ht="12.75" x14ac:dyDescent="0.25">
      <c r="A209" s="645">
        <v>21</v>
      </c>
      <c r="B209" s="711" t="s">
        <v>1239</v>
      </c>
      <c r="C209" s="920"/>
      <c r="E209" s="678">
        <f>SUM(E197:E208)</f>
        <v>40</v>
      </c>
      <c r="H209" s="678">
        <f>SUM(H197:H208)</f>
        <v>0</v>
      </c>
      <c r="I209" s="886"/>
      <c r="J209" s="886"/>
      <c r="K209" s="678">
        <f>SUM(K197:K208)</f>
        <v>0</v>
      </c>
      <c r="M209" s="653"/>
      <c r="N209" s="678">
        <f>SUM(N197:N208)</f>
        <v>0</v>
      </c>
      <c r="P209" s="653"/>
      <c r="Q209" s="678">
        <f>SUM(Q197:Q208)</f>
        <v>0</v>
      </c>
      <c r="S209" s="653"/>
      <c r="T209" s="678">
        <f t="shared" ref="T209:AI209" si="200">SUM(T197:T208)</f>
        <v>0</v>
      </c>
      <c r="U209" s="681">
        <f t="shared" si="200"/>
        <v>0</v>
      </c>
      <c r="V209" s="681">
        <f t="shared" si="200"/>
        <v>0</v>
      </c>
      <c r="W209" s="681">
        <f t="shared" si="200"/>
        <v>0</v>
      </c>
      <c r="X209" s="681">
        <f t="shared" si="200"/>
        <v>0</v>
      </c>
      <c r="Y209" s="681">
        <f t="shared" si="200"/>
        <v>0</v>
      </c>
      <c r="Z209" s="681">
        <f t="shared" si="200"/>
        <v>0</v>
      </c>
      <c r="AA209" s="681">
        <f t="shared" si="200"/>
        <v>0</v>
      </c>
      <c r="AB209" s="681">
        <f t="shared" si="200"/>
        <v>0</v>
      </c>
      <c r="AC209" s="681">
        <f t="shared" si="200"/>
        <v>0</v>
      </c>
      <c r="AD209" s="681">
        <f t="shared" si="200"/>
        <v>0</v>
      </c>
      <c r="AE209" s="681">
        <f t="shared" si="200"/>
        <v>0</v>
      </c>
      <c r="AF209" s="681">
        <f t="shared" si="200"/>
        <v>0</v>
      </c>
      <c r="AG209" s="681">
        <f t="shared" si="200"/>
        <v>0</v>
      </c>
      <c r="AH209" s="681">
        <f t="shared" si="200"/>
        <v>0</v>
      </c>
      <c r="AI209" s="681">
        <f t="shared" si="200"/>
        <v>0</v>
      </c>
      <c r="AJ209" s="887"/>
    </row>
    <row r="210" spans="1:36" s="655" customFormat="1" ht="12.75" x14ac:dyDescent="0.25">
      <c r="A210" s="649"/>
      <c r="B210" s="722" t="s">
        <v>1240</v>
      </c>
      <c r="C210" s="921"/>
      <c r="E210" s="683">
        <f>E196+E209</f>
        <v>-60</v>
      </c>
      <c r="H210" s="683">
        <f>H196+H209</f>
        <v>-40</v>
      </c>
      <c r="I210" s="886"/>
      <c r="J210" s="886"/>
      <c r="K210" s="683">
        <f>K196+K209</f>
        <v>-40</v>
      </c>
      <c r="M210" s="653"/>
      <c r="N210" s="683">
        <f>N196+N209</f>
        <v>-40</v>
      </c>
      <c r="P210" s="653"/>
      <c r="Q210" s="683">
        <f>Q196+Q209</f>
        <v>-40</v>
      </c>
      <c r="S210" s="653"/>
      <c r="T210" s="662">
        <f t="shared" ref="T210:AI210" si="201">T196+T209</f>
        <v>-79.534000000000006</v>
      </c>
      <c r="U210" s="662">
        <f t="shared" si="201"/>
        <v>-99.268000000000001</v>
      </c>
      <c r="V210" s="662">
        <f t="shared" si="201"/>
        <v>-119.00200000000002</v>
      </c>
      <c r="W210" s="662">
        <f t="shared" si="201"/>
        <v>-138.73600000000002</v>
      </c>
      <c r="X210" s="662">
        <f t="shared" si="201"/>
        <v>-158.47000000000003</v>
      </c>
      <c r="Y210" s="662">
        <f t="shared" si="201"/>
        <v>-178.20400000000004</v>
      </c>
      <c r="Z210" s="662">
        <f t="shared" si="201"/>
        <v>-197.93800000000002</v>
      </c>
      <c r="AA210" s="662">
        <f t="shared" si="201"/>
        <v>-217.67200000000003</v>
      </c>
      <c r="AB210" s="662">
        <f t="shared" si="201"/>
        <v>-237.40600000000006</v>
      </c>
      <c r="AC210" s="662">
        <f t="shared" si="201"/>
        <v>-257.14</v>
      </c>
      <c r="AD210" s="662">
        <f t="shared" si="201"/>
        <v>-276.87399999999997</v>
      </c>
      <c r="AE210" s="662">
        <f t="shared" si="201"/>
        <v>-296.60799999999995</v>
      </c>
      <c r="AF210" s="662">
        <f t="shared" si="201"/>
        <v>-316.34199999999987</v>
      </c>
      <c r="AG210" s="662">
        <f t="shared" si="201"/>
        <v>-336.07599999999991</v>
      </c>
      <c r="AH210" s="662">
        <f t="shared" si="201"/>
        <v>-355.80999999999983</v>
      </c>
      <c r="AI210" s="662">
        <f t="shared" si="201"/>
        <v>-375.54399999999998</v>
      </c>
      <c r="AJ210" s="887"/>
    </row>
    <row r="211" spans="1:36" s="496" customFormat="1" ht="12.75" x14ac:dyDescent="0.25">
      <c r="A211" s="498"/>
      <c r="B211" s="715" t="s">
        <v>1241</v>
      </c>
      <c r="C211" s="918"/>
      <c r="E211" s="716">
        <f>-E157-E181-E191-E210</f>
        <v>-420</v>
      </c>
      <c r="H211" s="716">
        <f>-H157-H181-H191-H210</f>
        <v>0</v>
      </c>
      <c r="I211" s="495"/>
      <c r="J211" s="495"/>
      <c r="K211" s="716">
        <f>-K157-K181-K191-K210</f>
        <v>0</v>
      </c>
      <c r="M211" s="500"/>
      <c r="N211" s="716">
        <f>-N157-N181-N191-N210</f>
        <v>0</v>
      </c>
      <c r="P211" s="500"/>
      <c r="Q211" s="716">
        <f>-Q157-Q181-Q191-Q210</f>
        <v>0</v>
      </c>
      <c r="S211" s="500"/>
      <c r="T211" s="718">
        <f t="shared" ref="T211:AI211" si="202">-T157-T181-T191-T210</f>
        <v>-715.16599999999937</v>
      </c>
      <c r="U211" s="718">
        <f t="shared" si="202"/>
        <v>-717.42399999999998</v>
      </c>
      <c r="V211" s="718">
        <f t="shared" si="202"/>
        <v>-714.62199999999973</v>
      </c>
      <c r="W211" s="718">
        <f t="shared" si="202"/>
        <v>-705.40799999999979</v>
      </c>
      <c r="X211" s="718">
        <f t="shared" si="202"/>
        <v>-698.87399999999957</v>
      </c>
      <c r="Y211" s="718">
        <f t="shared" si="202"/>
        <v>-692.33999999999935</v>
      </c>
      <c r="Z211" s="718">
        <f t="shared" si="202"/>
        <v>-685.80600000000061</v>
      </c>
      <c r="AA211" s="718">
        <f t="shared" si="202"/>
        <v>-679.27199999999857</v>
      </c>
      <c r="AB211" s="718">
        <f t="shared" si="202"/>
        <v>-672.73800000000085</v>
      </c>
      <c r="AC211" s="718">
        <f t="shared" si="202"/>
        <v>-666.20399999999893</v>
      </c>
      <c r="AD211" s="718">
        <f t="shared" si="202"/>
        <v>-659.67000000000053</v>
      </c>
      <c r="AE211" s="718">
        <f t="shared" si="202"/>
        <v>-653.13599999999906</v>
      </c>
      <c r="AF211" s="718">
        <f t="shared" si="202"/>
        <v>-646.60200000000077</v>
      </c>
      <c r="AG211" s="718">
        <f t="shared" si="202"/>
        <v>-640.06799999999873</v>
      </c>
      <c r="AH211" s="718">
        <f t="shared" si="202"/>
        <v>-633.5340000000009</v>
      </c>
      <c r="AI211" s="718">
        <f t="shared" si="202"/>
        <v>-626.99999999999875</v>
      </c>
      <c r="AJ211" s="778"/>
    </row>
    <row r="212" spans="1:36" s="496" customFormat="1" ht="12.75" x14ac:dyDescent="0.25">
      <c r="A212" s="498"/>
      <c r="B212" s="715" t="s">
        <v>1242</v>
      </c>
      <c r="C212" s="918"/>
      <c r="E212" s="922"/>
      <c r="H212" s="716">
        <f>H18-E18</f>
        <v>0</v>
      </c>
      <c r="I212" s="495"/>
      <c r="J212" s="495"/>
      <c r="K212" s="716">
        <f>K18-H18</f>
        <v>0</v>
      </c>
      <c r="M212" s="500"/>
      <c r="N212" s="716">
        <f>N18-H18</f>
        <v>0</v>
      </c>
      <c r="P212" s="500"/>
      <c r="Q212" s="716">
        <f>IF(OR($C$3=$L$913,$C$3=0),Q18-N18,Q18-K18)</f>
        <v>0</v>
      </c>
      <c r="S212" s="500"/>
      <c r="T212" s="718">
        <f>T18-N18</f>
        <v>715.16599999999926</v>
      </c>
      <c r="U212" s="718">
        <f t="shared" ref="U212:AI212" si="203">U18-T18</f>
        <v>717.42399999999998</v>
      </c>
      <c r="V212" s="718">
        <f t="shared" si="203"/>
        <v>714.62199999999984</v>
      </c>
      <c r="W212" s="718">
        <f t="shared" si="203"/>
        <v>705.4079999999999</v>
      </c>
      <c r="X212" s="718">
        <f t="shared" si="203"/>
        <v>698.8739999999998</v>
      </c>
      <c r="Y212" s="718">
        <f t="shared" si="203"/>
        <v>692.33999999999924</v>
      </c>
      <c r="Z212" s="718">
        <f t="shared" si="203"/>
        <v>685.80600000000049</v>
      </c>
      <c r="AA212" s="718">
        <f t="shared" si="203"/>
        <v>679.27199999999812</v>
      </c>
      <c r="AB212" s="718">
        <f t="shared" si="203"/>
        <v>672.73800000000119</v>
      </c>
      <c r="AC212" s="718">
        <f t="shared" si="203"/>
        <v>666.20399999999881</v>
      </c>
      <c r="AD212" s="718">
        <f t="shared" si="203"/>
        <v>659.67000000000098</v>
      </c>
      <c r="AE212" s="718">
        <f t="shared" si="203"/>
        <v>653.1359999999986</v>
      </c>
      <c r="AF212" s="718">
        <f t="shared" si="203"/>
        <v>646.60200000000077</v>
      </c>
      <c r="AG212" s="718">
        <f t="shared" si="203"/>
        <v>640.0679999999993</v>
      </c>
      <c r="AH212" s="718">
        <f t="shared" si="203"/>
        <v>633.53400000000147</v>
      </c>
      <c r="AI212" s="718">
        <f t="shared" si="203"/>
        <v>626.99999999999818</v>
      </c>
      <c r="AJ212" s="778"/>
    </row>
    <row r="213" spans="1:36" s="496" customFormat="1" ht="12.75" x14ac:dyDescent="0.25">
      <c r="A213" s="498"/>
      <c r="B213" s="723" t="s">
        <v>1243</v>
      </c>
      <c r="C213" s="923"/>
      <c r="E213" s="621">
        <f>E211+E212</f>
        <v>-420</v>
      </c>
      <c r="H213" s="621">
        <f>H211+H212</f>
        <v>0</v>
      </c>
      <c r="I213" s="495"/>
      <c r="J213" s="495"/>
      <c r="K213" s="621">
        <f>K211+K212</f>
        <v>0</v>
      </c>
      <c r="M213" s="500"/>
      <c r="N213" s="621">
        <f>N211+N212</f>
        <v>0</v>
      </c>
      <c r="P213" s="500"/>
      <c r="Q213" s="621">
        <f>Q211+Q212</f>
        <v>0</v>
      </c>
      <c r="S213" s="500"/>
      <c r="T213" s="622">
        <f t="shared" ref="T213:AI213" si="204">T211+T212</f>
        <v>0</v>
      </c>
      <c r="U213" s="622">
        <f t="shared" si="204"/>
        <v>0</v>
      </c>
      <c r="V213" s="622">
        <f t="shared" si="204"/>
        <v>0</v>
      </c>
      <c r="W213" s="622">
        <f t="shared" si="204"/>
        <v>0</v>
      </c>
      <c r="X213" s="622">
        <f t="shared" si="204"/>
        <v>0</v>
      </c>
      <c r="Y213" s="622">
        <f t="shared" si="204"/>
        <v>0</v>
      </c>
      <c r="Z213" s="622">
        <f t="shared" si="204"/>
        <v>0</v>
      </c>
      <c r="AA213" s="622">
        <f t="shared" si="204"/>
        <v>0</v>
      </c>
      <c r="AB213" s="622">
        <f t="shared" si="204"/>
        <v>0</v>
      </c>
      <c r="AC213" s="622">
        <f t="shared" si="204"/>
        <v>0</v>
      </c>
      <c r="AD213" s="622">
        <f t="shared" si="204"/>
        <v>0</v>
      </c>
      <c r="AE213" s="622">
        <f t="shared" si="204"/>
        <v>0</v>
      </c>
      <c r="AF213" s="622">
        <f t="shared" si="204"/>
        <v>0</v>
      </c>
      <c r="AG213" s="622">
        <f t="shared" si="204"/>
        <v>0</v>
      </c>
      <c r="AH213" s="622">
        <f t="shared" si="204"/>
        <v>0</v>
      </c>
      <c r="AI213" s="622">
        <f t="shared" si="204"/>
        <v>0</v>
      </c>
      <c r="AJ213" s="778"/>
    </row>
    <row r="214" spans="1:36" s="500" customFormat="1" ht="11.25" x14ac:dyDescent="0.2">
      <c r="A214" s="725"/>
      <c r="B214" s="726" t="s">
        <v>1244</v>
      </c>
      <c r="C214" s="727"/>
      <c r="E214" s="727"/>
      <c r="H214" s="727"/>
      <c r="K214" s="727"/>
      <c r="N214" s="727"/>
      <c r="Q214" s="727"/>
      <c r="V214" s="728"/>
      <c r="W214" s="728"/>
      <c r="X214" s="728"/>
      <c r="Y214" s="728"/>
      <c r="Z214" s="728"/>
      <c r="AA214" s="728"/>
      <c r="AB214" s="728"/>
      <c r="AC214" s="728"/>
      <c r="AD214" s="728"/>
      <c r="AE214" s="729"/>
      <c r="AJ214" s="924"/>
    </row>
    <row r="215" spans="1:36" s="500" customFormat="1" ht="11.25" x14ac:dyDescent="0.25">
      <c r="A215" s="725"/>
      <c r="B215" s="730" t="s">
        <v>1245</v>
      </c>
      <c r="E215" s="731" t="str">
        <f>IF(E216=0,0,"DIFERENCIA EN CONCILIACIÓN")</f>
        <v>DIFERENCIA EN CONCILIACIÓN</v>
      </c>
      <c r="H215" s="731">
        <f>IF(H216=0,0,"DIFERENCIA EN CONCILIACIÓN")</f>
        <v>0</v>
      </c>
      <c r="K215" s="731">
        <f>IF(K216=0,0,"DIFERENCIA EN CONCILIACIÓN")</f>
        <v>0</v>
      </c>
      <c r="N215" s="731">
        <f>IF(N216=0,0,"DIFERENCIA EN CONCILIACIÓN")</f>
        <v>0</v>
      </c>
      <c r="Q215" s="731">
        <f>IF(Q216=0,0,"DIFERENCIA EN CONCILIACIÓN")</f>
        <v>0</v>
      </c>
      <c r="V215" s="728"/>
      <c r="W215" s="728"/>
      <c r="X215" s="728"/>
      <c r="Y215" s="728"/>
      <c r="Z215" s="728"/>
      <c r="AA215" s="728"/>
      <c r="AB215" s="728"/>
      <c r="AC215" s="728"/>
      <c r="AD215" s="728"/>
      <c r="AJ215" s="924"/>
    </row>
    <row r="216" spans="1:36" s="500" customFormat="1" ht="11.25" x14ac:dyDescent="0.25">
      <c r="A216" s="725"/>
      <c r="B216" s="730" t="s">
        <v>1246</v>
      </c>
      <c r="C216" s="727"/>
      <c r="E216" s="732">
        <f>IF(OR(E227&lt;&gt;0,ABS(SUM(E222:E224)-SUM(C222:C225))&lt;0.5),0,SUM(E222:E224)-SUM(C222:C225))</f>
        <v>60</v>
      </c>
      <c r="H216" s="732">
        <f>IF(OR(H227&lt;&gt;0,ABS(SUM(H222:H224)-SUM(E222:E225))&lt;0.5),0,SUM(H222:H224)-SUM(E222:E225))</f>
        <v>0</v>
      </c>
      <c r="K216" s="732">
        <f>IF(OR(K227&lt;&gt;0,ABS(SUM(K222:K224)-SUM(H222:H225))&lt;0.5),0,SUM(K222:K224)-SUM(H222:H225))</f>
        <v>0</v>
      </c>
      <c r="N216" s="732">
        <f>IF(OR(N227&lt;&gt;0,ABS(SUM(N222:N224)-SUM(H222:H225))&lt;0.5),0,SUM(N222:N224)-SUM(H222:H225))</f>
        <v>0</v>
      </c>
      <c r="Q216" s="732">
        <f>IF(OR($C$3=$L$913,$C$3=0),IF(OR(Q227&lt;&gt;0,ABS(SUM(Q222:Q224)-SUM(N222:N225))&lt;0.5),0,SUM(Q222:Q224)-SUM(N222:N225)),IF(OR(Q227&lt;&gt;0,ABS(SUM(Q222:Q224)-SUM(K222:K225,Q226))&lt;0.5),0,SUM(Q222:Q224)-SUM(K222:K225,Q226)))</f>
        <v>0</v>
      </c>
      <c r="V216" s="728"/>
      <c r="W216" s="728"/>
      <c r="X216" s="728"/>
      <c r="Y216" s="728"/>
      <c r="Z216" s="728"/>
      <c r="AA216" s="728"/>
      <c r="AB216" s="728"/>
      <c r="AC216" s="728"/>
      <c r="AD216" s="728"/>
      <c r="AE216" s="733"/>
      <c r="AJ216" s="924"/>
    </row>
    <row r="217" spans="1:36" s="496" customFormat="1" ht="14.25" x14ac:dyDescent="0.25">
      <c r="A217" s="498"/>
      <c r="B217" s="603"/>
      <c r="C217" s="925"/>
      <c r="E217" s="925"/>
      <c r="H217" s="925"/>
      <c r="I217" s="495"/>
      <c r="J217" s="495"/>
      <c r="K217" s="734"/>
      <c r="M217" s="500"/>
      <c r="N217" s="734"/>
      <c r="P217" s="500"/>
      <c r="Q217" s="734"/>
      <c r="S217" s="500"/>
      <c r="T217" s="634" t="s">
        <v>1044</v>
      </c>
      <c r="U217" s="634" t="s">
        <v>1044</v>
      </c>
      <c r="V217" s="634" t="s">
        <v>1044</v>
      </c>
      <c r="W217" s="634" t="s">
        <v>1044</v>
      </c>
      <c r="X217" s="634" t="s">
        <v>1044</v>
      </c>
      <c r="Y217" s="634" t="s">
        <v>1044</v>
      </c>
      <c r="Z217" s="634" t="s">
        <v>1044</v>
      </c>
      <c r="AA217" s="634" t="s">
        <v>1044</v>
      </c>
      <c r="AB217" s="634" t="s">
        <v>1044</v>
      </c>
      <c r="AC217" s="634" t="s">
        <v>1044</v>
      </c>
      <c r="AD217" s="634" t="s">
        <v>1044</v>
      </c>
      <c r="AE217" s="634" t="s">
        <v>1044</v>
      </c>
      <c r="AF217" s="634" t="s">
        <v>1044</v>
      </c>
      <c r="AG217" s="634" t="s">
        <v>1044</v>
      </c>
      <c r="AH217" s="634" t="s">
        <v>1044</v>
      </c>
      <c r="AI217" s="634" t="s">
        <v>1044</v>
      </c>
      <c r="AJ217" s="778"/>
    </row>
    <row r="218" spans="1:36" s="740" customFormat="1" ht="15.75" x14ac:dyDescent="0.25">
      <c r="A218" s="736"/>
      <c r="B218" s="737" t="s">
        <v>1247</v>
      </c>
      <c r="C218" s="926">
        <f>C15</f>
        <v>2018</v>
      </c>
      <c r="E218" s="738">
        <f>E15</f>
        <v>2019</v>
      </c>
      <c r="H218" s="738">
        <f>H15</f>
        <v>2020</v>
      </c>
      <c r="I218" s="927"/>
      <c r="J218" s="927"/>
      <c r="K218" s="738">
        <f>K15</f>
        <v>2020</v>
      </c>
      <c r="M218" s="758"/>
      <c r="N218" s="738">
        <f>N15</f>
        <v>2021</v>
      </c>
      <c r="P218" s="758"/>
      <c r="Q218" s="738">
        <f>Q15</f>
        <v>2021</v>
      </c>
      <c r="S218" s="758"/>
      <c r="T218" s="738">
        <f t="shared" ref="T218:AI218" si="205">T15</f>
        <v>2022</v>
      </c>
      <c r="U218" s="738">
        <f t="shared" si="205"/>
        <v>2023</v>
      </c>
      <c r="V218" s="738">
        <f t="shared" si="205"/>
        <v>2024</v>
      </c>
      <c r="W218" s="738">
        <f t="shared" si="205"/>
        <v>2025</v>
      </c>
      <c r="X218" s="738">
        <f t="shared" si="205"/>
        <v>2026</v>
      </c>
      <c r="Y218" s="738">
        <f t="shared" si="205"/>
        <v>2027</v>
      </c>
      <c r="Z218" s="738">
        <f t="shared" si="205"/>
        <v>2028</v>
      </c>
      <c r="AA218" s="738">
        <f t="shared" si="205"/>
        <v>2029</v>
      </c>
      <c r="AB218" s="738">
        <f t="shared" si="205"/>
        <v>2030</v>
      </c>
      <c r="AC218" s="738">
        <f t="shared" si="205"/>
        <v>2031</v>
      </c>
      <c r="AD218" s="738">
        <f t="shared" si="205"/>
        <v>2032</v>
      </c>
      <c r="AE218" s="738">
        <f t="shared" si="205"/>
        <v>2033</v>
      </c>
      <c r="AF218" s="738">
        <f t="shared" si="205"/>
        <v>2034</v>
      </c>
      <c r="AG218" s="738">
        <f t="shared" si="205"/>
        <v>2035</v>
      </c>
      <c r="AH218" s="738">
        <f t="shared" si="205"/>
        <v>2036</v>
      </c>
      <c r="AI218" s="738">
        <f t="shared" si="205"/>
        <v>2037</v>
      </c>
      <c r="AJ218" s="928"/>
    </row>
    <row r="219" spans="1:36" s="496" customFormat="1" ht="12.75" x14ac:dyDescent="0.25">
      <c r="A219" s="498"/>
      <c r="B219" s="741" t="s">
        <v>938</v>
      </c>
      <c r="C219" s="929">
        <f>C60</f>
        <v>0</v>
      </c>
      <c r="E219" s="742">
        <f>E60</f>
        <v>70</v>
      </c>
      <c r="H219" s="742">
        <f>H60</f>
        <v>70</v>
      </c>
      <c r="I219" s="495"/>
      <c r="J219" s="495"/>
      <c r="K219" s="742">
        <f>K60</f>
        <v>70</v>
      </c>
      <c r="M219" s="500"/>
      <c r="N219" s="742">
        <f>N60</f>
        <v>70</v>
      </c>
      <c r="P219" s="500"/>
      <c r="Q219" s="742">
        <f>Q60</f>
        <v>70</v>
      </c>
      <c r="S219" s="500"/>
      <c r="T219" s="743">
        <f t="shared" ref="T219:AI219" si="206">T60</f>
        <v>70</v>
      </c>
      <c r="U219" s="743">
        <f t="shared" si="206"/>
        <v>70</v>
      </c>
      <c r="V219" s="743">
        <f t="shared" si="206"/>
        <v>70</v>
      </c>
      <c r="W219" s="743">
        <f t="shared" si="206"/>
        <v>70</v>
      </c>
      <c r="X219" s="743">
        <f t="shared" si="206"/>
        <v>70</v>
      </c>
      <c r="Y219" s="743">
        <f t="shared" si="206"/>
        <v>70</v>
      </c>
      <c r="Z219" s="743">
        <f t="shared" si="206"/>
        <v>70</v>
      </c>
      <c r="AA219" s="743">
        <f t="shared" si="206"/>
        <v>70</v>
      </c>
      <c r="AB219" s="743">
        <f t="shared" si="206"/>
        <v>70</v>
      </c>
      <c r="AC219" s="743">
        <f t="shared" si="206"/>
        <v>70</v>
      </c>
      <c r="AD219" s="743">
        <f t="shared" si="206"/>
        <v>70</v>
      </c>
      <c r="AE219" s="743">
        <f t="shared" si="206"/>
        <v>70</v>
      </c>
      <c r="AF219" s="743">
        <f t="shared" si="206"/>
        <v>70</v>
      </c>
      <c r="AG219" s="743">
        <f t="shared" si="206"/>
        <v>70</v>
      </c>
      <c r="AH219" s="743">
        <f t="shared" si="206"/>
        <v>70</v>
      </c>
      <c r="AI219" s="743">
        <f t="shared" si="206"/>
        <v>70</v>
      </c>
      <c r="AJ219" s="778"/>
    </row>
    <row r="220" spans="1:36" s="496" customFormat="1" ht="12.75" x14ac:dyDescent="0.25">
      <c r="A220" s="498"/>
      <c r="B220" s="744" t="s">
        <v>1248</v>
      </c>
      <c r="C220" s="930">
        <f>C61</f>
        <v>0</v>
      </c>
      <c r="E220" s="745">
        <f>E61</f>
        <v>50</v>
      </c>
      <c r="H220" s="745">
        <f>H61</f>
        <v>50</v>
      </c>
      <c r="I220" s="495"/>
      <c r="J220" s="495"/>
      <c r="K220" s="745">
        <f>K61</f>
        <v>50</v>
      </c>
      <c r="M220" s="500"/>
      <c r="N220" s="745">
        <f>N61</f>
        <v>50</v>
      </c>
      <c r="P220" s="500"/>
      <c r="Q220" s="745">
        <f>Q61</f>
        <v>50</v>
      </c>
      <c r="S220" s="500"/>
      <c r="T220" s="746">
        <f t="shared" ref="T220:AI220" si="207">T61</f>
        <v>50</v>
      </c>
      <c r="U220" s="746">
        <f t="shared" si="207"/>
        <v>50</v>
      </c>
      <c r="V220" s="746">
        <f t="shared" si="207"/>
        <v>50</v>
      </c>
      <c r="W220" s="746">
        <f t="shared" si="207"/>
        <v>50</v>
      </c>
      <c r="X220" s="746">
        <f t="shared" si="207"/>
        <v>50</v>
      </c>
      <c r="Y220" s="746">
        <f t="shared" si="207"/>
        <v>50</v>
      </c>
      <c r="Z220" s="746">
        <f t="shared" si="207"/>
        <v>50</v>
      </c>
      <c r="AA220" s="746">
        <f t="shared" si="207"/>
        <v>50</v>
      </c>
      <c r="AB220" s="746">
        <f t="shared" si="207"/>
        <v>50</v>
      </c>
      <c r="AC220" s="746">
        <f t="shared" si="207"/>
        <v>50</v>
      </c>
      <c r="AD220" s="746">
        <f t="shared" si="207"/>
        <v>50</v>
      </c>
      <c r="AE220" s="746">
        <f t="shared" si="207"/>
        <v>50</v>
      </c>
      <c r="AF220" s="746">
        <f t="shared" si="207"/>
        <v>50</v>
      </c>
      <c r="AG220" s="746">
        <f t="shared" si="207"/>
        <v>50</v>
      </c>
      <c r="AH220" s="746">
        <f t="shared" si="207"/>
        <v>50</v>
      </c>
      <c r="AI220" s="746">
        <f t="shared" si="207"/>
        <v>50</v>
      </c>
      <c r="AJ220" s="778"/>
    </row>
    <row r="221" spans="1:36" s="740" customFormat="1" ht="12.75" x14ac:dyDescent="0.25">
      <c r="A221" s="736"/>
      <c r="B221" s="747" t="s">
        <v>1249</v>
      </c>
      <c r="C221" s="931"/>
      <c r="E221" s="748">
        <f>SUM(E219:E220)-SUM(C219:C220)</f>
        <v>120</v>
      </c>
      <c r="H221" s="748">
        <f>SUM(H219:H220)-SUM(E219:E220)</f>
        <v>0</v>
      </c>
      <c r="I221" s="927"/>
      <c r="J221" s="927"/>
      <c r="K221" s="748">
        <f>SUM(K219:K220)-SUM(H219:H220)</f>
        <v>0</v>
      </c>
      <c r="M221" s="758"/>
      <c r="N221" s="748">
        <f>SUM(N219:N220)-SUM(H219:H220)</f>
        <v>0</v>
      </c>
      <c r="P221" s="758"/>
      <c r="Q221" s="748">
        <f>IF(OR($C$3=$L$913,$C$3=0),SUM(Q219:Q220)-SUM(N219:N220),SUM(Q219:Q220)-SUM(K219:K220))</f>
        <v>0</v>
      </c>
      <c r="S221" s="758"/>
      <c r="T221" s="748">
        <f>SUM(T219:T220)-SUM(N219:N220)</f>
        <v>0</v>
      </c>
      <c r="U221" s="749">
        <f t="shared" ref="U221:AI221" si="208">SUM(U219:U220)-SUM(T219:T220)</f>
        <v>0</v>
      </c>
      <c r="V221" s="749">
        <f t="shared" si="208"/>
        <v>0</v>
      </c>
      <c r="W221" s="749">
        <f t="shared" si="208"/>
        <v>0</v>
      </c>
      <c r="X221" s="749">
        <f t="shared" si="208"/>
        <v>0</v>
      </c>
      <c r="Y221" s="749">
        <f t="shared" si="208"/>
        <v>0</v>
      </c>
      <c r="Z221" s="749">
        <f t="shared" si="208"/>
        <v>0</v>
      </c>
      <c r="AA221" s="749">
        <f t="shared" si="208"/>
        <v>0</v>
      </c>
      <c r="AB221" s="749">
        <f t="shared" si="208"/>
        <v>0</v>
      </c>
      <c r="AC221" s="749">
        <f t="shared" si="208"/>
        <v>0</v>
      </c>
      <c r="AD221" s="749">
        <f t="shared" si="208"/>
        <v>0</v>
      </c>
      <c r="AE221" s="749">
        <f t="shared" si="208"/>
        <v>0</v>
      </c>
      <c r="AF221" s="749">
        <f t="shared" si="208"/>
        <v>0</v>
      </c>
      <c r="AG221" s="749">
        <f t="shared" si="208"/>
        <v>0</v>
      </c>
      <c r="AH221" s="749">
        <f t="shared" si="208"/>
        <v>0</v>
      </c>
      <c r="AI221" s="749">
        <f t="shared" si="208"/>
        <v>0</v>
      </c>
      <c r="AJ221" s="928"/>
    </row>
    <row r="222" spans="1:36" s="496" customFormat="1" ht="12.75" x14ac:dyDescent="0.25">
      <c r="A222" s="498"/>
      <c r="B222" s="741" t="s">
        <v>940</v>
      </c>
      <c r="C222" s="929">
        <f>C62</f>
        <v>0</v>
      </c>
      <c r="E222" s="742">
        <f>E62</f>
        <v>10</v>
      </c>
      <c r="H222" s="742">
        <f>H62</f>
        <v>10</v>
      </c>
      <c r="I222" s="495"/>
      <c r="J222" s="495"/>
      <c r="K222" s="742">
        <f>K62</f>
        <v>10</v>
      </c>
      <c r="M222" s="727"/>
      <c r="N222" s="742">
        <f>N62</f>
        <v>10</v>
      </c>
      <c r="P222" s="727"/>
      <c r="Q222" s="742">
        <f>Q62</f>
        <v>10</v>
      </c>
      <c r="S222" s="727"/>
      <c r="T222" s="743">
        <f t="shared" ref="T222:AI222" si="209">T62</f>
        <v>35</v>
      </c>
      <c r="U222" s="743">
        <f t="shared" si="209"/>
        <v>35</v>
      </c>
      <c r="V222" s="743">
        <f t="shared" si="209"/>
        <v>35</v>
      </c>
      <c r="W222" s="743">
        <f t="shared" si="209"/>
        <v>35</v>
      </c>
      <c r="X222" s="743">
        <f t="shared" si="209"/>
        <v>35</v>
      </c>
      <c r="Y222" s="743">
        <f t="shared" si="209"/>
        <v>35</v>
      </c>
      <c r="Z222" s="743">
        <f t="shared" si="209"/>
        <v>35</v>
      </c>
      <c r="AA222" s="743">
        <f t="shared" si="209"/>
        <v>35</v>
      </c>
      <c r="AB222" s="743">
        <f t="shared" si="209"/>
        <v>35</v>
      </c>
      <c r="AC222" s="743">
        <f t="shared" si="209"/>
        <v>35</v>
      </c>
      <c r="AD222" s="743">
        <f t="shared" si="209"/>
        <v>35</v>
      </c>
      <c r="AE222" s="743">
        <f t="shared" si="209"/>
        <v>35</v>
      </c>
      <c r="AF222" s="743">
        <f t="shared" si="209"/>
        <v>35</v>
      </c>
      <c r="AG222" s="743">
        <f t="shared" si="209"/>
        <v>35</v>
      </c>
      <c r="AH222" s="743">
        <f t="shared" si="209"/>
        <v>35</v>
      </c>
      <c r="AI222" s="743">
        <f t="shared" si="209"/>
        <v>35</v>
      </c>
      <c r="AJ222" s="778"/>
    </row>
    <row r="223" spans="1:36" s="496" customFormat="1" ht="12.75" x14ac:dyDescent="0.25">
      <c r="A223" s="498"/>
      <c r="B223" s="750" t="s">
        <v>1250</v>
      </c>
      <c r="C223" s="932">
        <f>C63</f>
        <v>0</v>
      </c>
      <c r="E223" s="751">
        <f>E63</f>
        <v>10</v>
      </c>
      <c r="H223" s="751">
        <f>H63</f>
        <v>10</v>
      </c>
      <c r="I223" s="495"/>
      <c r="J223" s="495"/>
      <c r="K223" s="751">
        <f>K63</f>
        <v>10</v>
      </c>
      <c r="M223" s="500"/>
      <c r="N223" s="751">
        <f>N63</f>
        <v>10</v>
      </c>
      <c r="P223" s="500"/>
      <c r="Q223" s="751">
        <f>Q63</f>
        <v>10</v>
      </c>
      <c r="S223" s="500"/>
      <c r="T223" s="752">
        <f t="shared" ref="T223:AI223" si="210">T63</f>
        <v>912.29999999999984</v>
      </c>
      <c r="U223" s="752">
        <f t="shared" si="210"/>
        <v>1840.3919999999998</v>
      </c>
      <c r="V223" s="752">
        <f t="shared" si="210"/>
        <v>2768.616</v>
      </c>
      <c r="W223" s="752">
        <f t="shared" si="210"/>
        <v>3698.16</v>
      </c>
      <c r="X223" s="752">
        <f t="shared" si="210"/>
        <v>4627.7039999999997</v>
      </c>
      <c r="Y223" s="752">
        <f t="shared" si="210"/>
        <v>5557.2479999999996</v>
      </c>
      <c r="Z223" s="752">
        <f t="shared" si="210"/>
        <v>6486.7919999999995</v>
      </c>
      <c r="AA223" s="752">
        <f t="shared" si="210"/>
        <v>7416.3359999999993</v>
      </c>
      <c r="AB223" s="752">
        <f t="shared" si="210"/>
        <v>8345.8799999999992</v>
      </c>
      <c r="AC223" s="752">
        <f t="shared" si="210"/>
        <v>9275.4239999999991</v>
      </c>
      <c r="AD223" s="752">
        <f t="shared" si="210"/>
        <v>10204.967999999999</v>
      </c>
      <c r="AE223" s="752">
        <f t="shared" si="210"/>
        <v>11134.511999999999</v>
      </c>
      <c r="AF223" s="752">
        <f t="shared" si="210"/>
        <v>12064.055999999999</v>
      </c>
      <c r="AG223" s="752">
        <f t="shared" si="210"/>
        <v>12993.599999999999</v>
      </c>
      <c r="AH223" s="752">
        <f t="shared" si="210"/>
        <v>13923.143999999998</v>
      </c>
      <c r="AI223" s="752">
        <f t="shared" si="210"/>
        <v>14852.687999999998</v>
      </c>
      <c r="AJ223" s="778"/>
    </row>
    <row r="224" spans="1:36" s="496" customFormat="1" ht="12.75" x14ac:dyDescent="0.25">
      <c r="A224" s="498"/>
      <c r="B224" s="750" t="str">
        <f>B66</f>
        <v>OTROS PATRIMONIO</v>
      </c>
      <c r="C224" s="932">
        <f>C66</f>
        <v>0</v>
      </c>
      <c r="E224" s="751">
        <f>E66</f>
        <v>40</v>
      </c>
      <c r="H224" s="751">
        <f>H66</f>
        <v>40</v>
      </c>
      <c r="I224" s="495"/>
      <c r="J224" s="495"/>
      <c r="K224" s="751">
        <f>K66</f>
        <v>40</v>
      </c>
      <c r="M224" s="500"/>
      <c r="N224" s="751">
        <f>N66</f>
        <v>40</v>
      </c>
      <c r="P224" s="500"/>
      <c r="Q224" s="751">
        <f>Q66</f>
        <v>40</v>
      </c>
      <c r="S224" s="500"/>
      <c r="T224" s="752">
        <f t="shared" ref="T224:AI224" si="211">T66</f>
        <v>40</v>
      </c>
      <c r="U224" s="752">
        <f t="shared" si="211"/>
        <v>40</v>
      </c>
      <c r="V224" s="752">
        <f t="shared" si="211"/>
        <v>40</v>
      </c>
      <c r="W224" s="752">
        <f t="shared" si="211"/>
        <v>40</v>
      </c>
      <c r="X224" s="752">
        <f t="shared" si="211"/>
        <v>40</v>
      </c>
      <c r="Y224" s="752">
        <f t="shared" si="211"/>
        <v>40</v>
      </c>
      <c r="Z224" s="752">
        <f t="shared" si="211"/>
        <v>40</v>
      </c>
      <c r="AA224" s="752">
        <f t="shared" si="211"/>
        <v>40</v>
      </c>
      <c r="AB224" s="752">
        <f t="shared" si="211"/>
        <v>40</v>
      </c>
      <c r="AC224" s="752">
        <f t="shared" si="211"/>
        <v>40</v>
      </c>
      <c r="AD224" s="752">
        <f t="shared" si="211"/>
        <v>40</v>
      </c>
      <c r="AE224" s="752">
        <f t="shared" si="211"/>
        <v>40</v>
      </c>
      <c r="AF224" s="752">
        <f t="shared" si="211"/>
        <v>40</v>
      </c>
      <c r="AG224" s="752">
        <f t="shared" si="211"/>
        <v>40</v>
      </c>
      <c r="AH224" s="752">
        <f t="shared" si="211"/>
        <v>40</v>
      </c>
      <c r="AI224" s="752">
        <f t="shared" si="211"/>
        <v>40</v>
      </c>
      <c r="AJ224" s="778"/>
    </row>
    <row r="225" spans="1:102" s="496" customFormat="1" ht="12.75" x14ac:dyDescent="0.25">
      <c r="A225" s="498"/>
      <c r="B225" s="753" t="s">
        <v>943</v>
      </c>
      <c r="C225" s="933">
        <f>C64</f>
        <v>0</v>
      </c>
      <c r="E225" s="754">
        <f>E64</f>
        <v>2810</v>
      </c>
      <c r="H225" s="754">
        <f>H64</f>
        <v>2810</v>
      </c>
      <c r="I225" s="495"/>
      <c r="J225" s="495"/>
      <c r="K225" s="754">
        <f>K64</f>
        <v>2810</v>
      </c>
      <c r="M225" s="500"/>
      <c r="N225" s="754">
        <f>N64</f>
        <v>2810</v>
      </c>
      <c r="P225" s="500"/>
      <c r="Q225" s="754">
        <f>Q64</f>
        <v>2810</v>
      </c>
      <c r="S225" s="500"/>
      <c r="T225" s="755">
        <f t="shared" ref="T225:AI225" si="212">T64</f>
        <v>2812.4</v>
      </c>
      <c r="U225" s="755">
        <f t="shared" si="212"/>
        <v>2812.8</v>
      </c>
      <c r="V225" s="755">
        <f t="shared" si="212"/>
        <v>2816.8</v>
      </c>
      <c r="W225" s="755">
        <f t="shared" si="212"/>
        <v>2816.8</v>
      </c>
      <c r="X225" s="755">
        <f t="shared" si="212"/>
        <v>2816.8</v>
      </c>
      <c r="Y225" s="755">
        <f t="shared" si="212"/>
        <v>2816.8</v>
      </c>
      <c r="Z225" s="755">
        <f t="shared" si="212"/>
        <v>2816.8</v>
      </c>
      <c r="AA225" s="755">
        <f t="shared" si="212"/>
        <v>2816.8</v>
      </c>
      <c r="AB225" s="755">
        <f t="shared" si="212"/>
        <v>2816.8</v>
      </c>
      <c r="AC225" s="755">
        <f t="shared" si="212"/>
        <v>2816.8</v>
      </c>
      <c r="AD225" s="755">
        <f t="shared" si="212"/>
        <v>2816.8</v>
      </c>
      <c r="AE225" s="755">
        <f t="shared" si="212"/>
        <v>2816.8</v>
      </c>
      <c r="AF225" s="755">
        <f t="shared" si="212"/>
        <v>2816.8</v>
      </c>
      <c r="AG225" s="755">
        <f t="shared" si="212"/>
        <v>2816.8</v>
      </c>
      <c r="AH225" s="755">
        <f t="shared" si="212"/>
        <v>2816.8</v>
      </c>
      <c r="AI225" s="755">
        <f t="shared" si="212"/>
        <v>2816.8</v>
      </c>
      <c r="AJ225" s="778"/>
    </row>
    <row r="226" spans="1:102" s="758" customFormat="1" ht="12.75" x14ac:dyDescent="0.25">
      <c r="A226" s="756"/>
      <c r="B226" s="744" t="str">
        <f>CONCATENATE("RESULTADO ",LEFT(K16,3),". ",TEXT(K15,"0.00")," A ",LEFT(N16,3),". ",TEXT(N15,"0.00")," (SÓLO APLICA PARA CORTE ",LEFT(Q16,3),". '",RIGHT(TEXT(Q15,"0.00"),2),")")</f>
        <v>RESULTADO Jun. 2.020 A Dic. 2.021 (SÓLO APLICA PARA CORTE Jun. '21)</v>
      </c>
      <c r="C226" s="930"/>
      <c r="D226" s="496"/>
      <c r="E226" s="746" t="s">
        <v>1260</v>
      </c>
      <c r="F226" s="496"/>
      <c r="G226" s="496"/>
      <c r="H226" s="746" t="s">
        <v>1260</v>
      </c>
      <c r="I226" s="495"/>
      <c r="J226" s="495"/>
      <c r="K226" s="746" t="s">
        <v>1260</v>
      </c>
      <c r="L226" s="496"/>
      <c r="M226" s="500"/>
      <c r="N226" s="746" t="s">
        <v>1260</v>
      </c>
      <c r="O226" s="496"/>
      <c r="P226" s="500"/>
      <c r="Q226" s="745">
        <f>N64-K64</f>
        <v>0</v>
      </c>
      <c r="R226" s="496"/>
      <c r="S226" s="500"/>
      <c r="T226" s="746"/>
      <c r="U226" s="746"/>
      <c r="V226" s="746"/>
      <c r="W226" s="746"/>
      <c r="X226" s="746"/>
      <c r="Y226" s="746"/>
      <c r="Z226" s="746"/>
      <c r="AA226" s="746"/>
      <c r="AB226" s="746"/>
      <c r="AC226" s="746"/>
      <c r="AD226" s="746"/>
      <c r="AE226" s="746"/>
      <c r="AF226" s="746"/>
      <c r="AG226" s="746"/>
      <c r="AH226" s="746"/>
      <c r="AI226" s="746"/>
      <c r="AJ226" s="934"/>
    </row>
    <row r="227" spans="1:102" s="496" customFormat="1" ht="12.75" x14ac:dyDescent="0.25">
      <c r="A227" s="498"/>
      <c r="B227" s="759" t="s">
        <v>1251</v>
      </c>
      <c r="C227" s="935"/>
      <c r="D227" s="758"/>
      <c r="E227" s="760">
        <f>IF(OR(SUM(C222:C225)&gt;=SUM(E222:E224),ABS(SUM(E222:E224)-SUM(C222:C225))&lt;0.5),SUM(C222:C225)-SUM(E222:E224),0)</f>
        <v>0</v>
      </c>
      <c r="F227" s="758"/>
      <c r="G227" s="758"/>
      <c r="H227" s="760">
        <f>IF(OR(SUM(E222:E225)&gt;=SUM(H222:H224),ABS(SUM(H222:H224)-SUM(E222:E225))&lt;0.5),SUM(E222:E225)-SUM(H222:H224),0)</f>
        <v>2810</v>
      </c>
      <c r="I227" s="758"/>
      <c r="J227" s="758"/>
      <c r="K227" s="760">
        <f>IF(OR(SUM(H222:H225)&gt;=SUM(K222:K224),ABS(SUM(K222:K224)-SUM(H222:H225))&lt;0.5),SUM(H222:H225)-SUM(K222:K224),0)</f>
        <v>2810</v>
      </c>
      <c r="L227" s="758"/>
      <c r="M227" s="936"/>
      <c r="N227" s="760">
        <f>IF(OR(SUM(H222:H225)&gt;=SUM(N222:N224),ABS(SUM(N222:N224)-SUM(H222:H225))&lt;0.5),SUM(H222:H225)-SUM(N222:N224),0)</f>
        <v>2810</v>
      </c>
      <c r="O227" s="758"/>
      <c r="P227" s="936"/>
      <c r="Q227" s="760">
        <f>IF(OR($C$3=$L$913,$C$3=0),IF(OR(SUM(N222:N225)&gt;=SUM(Q222:Q224),ABS(SUM(Q222:Q224)-SUM(N222:N225))&lt;0.5),SUM(N222:N225)-SUM(Q222:Q224),0),IF(OR(SUM(K222:K225,Q226)&gt;=SUM(Q222:Q224),ABS(SUM(Q222:Q224)-SUM(K222:K225,Q226))&lt;0.5),SUM(K222:K225,Q226)-SUM(Q222:Q224),0))</f>
        <v>2810</v>
      </c>
      <c r="R227" s="758"/>
      <c r="S227" s="936"/>
      <c r="T227" s="760">
        <f>IF(OR(SUM(N222:N225)&gt;=SUM(T222:T224),ABS(SUM(T222:T224)-SUM(N222:N225))&lt;0.5),SUM(N222:N225)-SUM(T222:T224),0)</f>
        <v>1882.7000000000003</v>
      </c>
      <c r="U227" s="762">
        <f t="shared" ref="U227:AI227" si="213">IF(OR(SUM(T222:T225)&gt;=SUM(U222:U224),ABS(SUM(U222:U224)-SUM(T222:T225))&lt;0.5),SUM(T222:T225)-SUM(U222:U224),0)</f>
        <v>1884.308</v>
      </c>
      <c r="V227" s="762">
        <f t="shared" si="213"/>
        <v>1884.576</v>
      </c>
      <c r="W227" s="762">
        <f t="shared" si="213"/>
        <v>1887.2560000000003</v>
      </c>
      <c r="X227" s="762">
        <f t="shared" si="213"/>
        <v>1887.2560000000003</v>
      </c>
      <c r="Y227" s="762">
        <f t="shared" si="213"/>
        <v>1887.2560000000003</v>
      </c>
      <c r="Z227" s="762">
        <f t="shared" si="213"/>
        <v>1887.2559999999994</v>
      </c>
      <c r="AA227" s="762">
        <f t="shared" si="213"/>
        <v>1887.2560000000012</v>
      </c>
      <c r="AB227" s="762">
        <f t="shared" si="213"/>
        <v>1887.2559999999994</v>
      </c>
      <c r="AC227" s="762">
        <f t="shared" si="213"/>
        <v>1887.2560000000012</v>
      </c>
      <c r="AD227" s="762">
        <f t="shared" si="213"/>
        <v>1887.2559999999994</v>
      </c>
      <c r="AE227" s="762">
        <f t="shared" si="213"/>
        <v>1887.2560000000012</v>
      </c>
      <c r="AF227" s="762">
        <f t="shared" si="213"/>
        <v>1887.2559999999994</v>
      </c>
      <c r="AG227" s="762">
        <f t="shared" si="213"/>
        <v>1887.2560000000012</v>
      </c>
      <c r="AH227" s="762">
        <f t="shared" si="213"/>
        <v>1887.2559999999994</v>
      </c>
      <c r="AI227" s="762">
        <f t="shared" si="213"/>
        <v>1887.2560000000012</v>
      </c>
      <c r="AJ227" s="778"/>
    </row>
    <row r="228" spans="1:102" s="496" customFormat="1" ht="12.75" x14ac:dyDescent="0.25">
      <c r="A228" s="498"/>
      <c r="B228" s="763" t="s">
        <v>1252</v>
      </c>
      <c r="C228" s="937"/>
      <c r="E228" s="764">
        <f>E65-C65</f>
        <v>40</v>
      </c>
      <c r="H228" s="764">
        <f>H65-E65</f>
        <v>0</v>
      </c>
      <c r="I228" s="495"/>
      <c r="J228" s="495"/>
      <c r="K228" s="764">
        <f>K65-H65</f>
        <v>0</v>
      </c>
      <c r="M228" s="500"/>
      <c r="N228" s="764">
        <f>N65-H65</f>
        <v>0</v>
      </c>
      <c r="P228" s="500"/>
      <c r="Q228" s="764">
        <f>IF(OR($C$3=$L$913,$C$3=0),Q65-N65,Q65-K65)</f>
        <v>0</v>
      </c>
      <c r="S228" s="500"/>
      <c r="T228" s="765">
        <f>T65-N65</f>
        <v>0</v>
      </c>
      <c r="U228" s="765">
        <f t="shared" ref="U228:AI228" si="214">U65-T65</f>
        <v>0</v>
      </c>
      <c r="V228" s="765">
        <f t="shared" si="214"/>
        <v>0</v>
      </c>
      <c r="W228" s="765">
        <f t="shared" si="214"/>
        <v>0</v>
      </c>
      <c r="X228" s="765">
        <f t="shared" si="214"/>
        <v>0</v>
      </c>
      <c r="Y228" s="765">
        <f t="shared" si="214"/>
        <v>0</v>
      </c>
      <c r="Z228" s="765">
        <f t="shared" si="214"/>
        <v>0</v>
      </c>
      <c r="AA228" s="765">
        <f t="shared" si="214"/>
        <v>0</v>
      </c>
      <c r="AB228" s="765">
        <f t="shared" si="214"/>
        <v>0</v>
      </c>
      <c r="AC228" s="765">
        <f t="shared" si="214"/>
        <v>0</v>
      </c>
      <c r="AD228" s="765">
        <f t="shared" si="214"/>
        <v>0</v>
      </c>
      <c r="AE228" s="765">
        <f t="shared" si="214"/>
        <v>0</v>
      </c>
      <c r="AF228" s="765">
        <f t="shared" si="214"/>
        <v>0</v>
      </c>
      <c r="AG228" s="765">
        <f t="shared" si="214"/>
        <v>0</v>
      </c>
      <c r="AH228" s="765">
        <f t="shared" si="214"/>
        <v>0</v>
      </c>
      <c r="AI228" s="765">
        <f t="shared" si="214"/>
        <v>0</v>
      </c>
      <c r="AJ228" s="778"/>
    </row>
    <row r="229" spans="1:102" s="740" customFormat="1" ht="12.75" x14ac:dyDescent="0.25">
      <c r="A229" s="736"/>
      <c r="B229" s="766" t="s">
        <v>1253</v>
      </c>
      <c r="C229" s="938"/>
      <c r="E229" s="767">
        <f>IF(E228&gt;0,0,IF(AND(E228&lt;=0,C63&lt;0,E63&gt;C63,(E63-C63)&gt;(C63+C64)),0,IF(AND(E228&lt;=0,E221&gt;=0),-E228,0)))</f>
        <v>0</v>
      </c>
      <c r="H229" s="767">
        <f>IF(H228&gt;0,0,IF(AND(H228&lt;=0,E63&lt;0,H63&gt;E63,(H63-E63)&gt;(E63+E64)),0,IF(AND(H228&lt;=0,H221&gt;=0),-H228,0)))</f>
        <v>0</v>
      </c>
      <c r="I229" s="927"/>
      <c r="J229" s="927"/>
      <c r="K229" s="767">
        <f>IF(K228&gt;0,0,IF(AND(K228&lt;=0,H63&lt;0,K63&gt;H63,(K63-H63)&gt;(H63+H64)),0,IF(AND(K228&lt;=0,K221&gt;=0),-K228,0)))</f>
        <v>0</v>
      </c>
      <c r="M229" s="758"/>
      <c r="N229" s="767">
        <f>IF(N228&gt;0,0,IF(AND(N228&lt;=0,H63&lt;0,N63&gt;H63,(N63-H63)&gt;(H63+H64)),0,IF(AND(N228&lt;=0,N221&gt;=0),-N228,0)))</f>
        <v>0</v>
      </c>
      <c r="P229" s="758"/>
      <c r="Q229" s="767">
        <f>IF(OR($C$3=$L$913,$C$3=0),IF(Q228&gt;0,0,IF(AND(Q228&lt;=0,N63&lt;0,Q63&gt;N63,(Q63-N63)&gt;(N63+N64)),0,IF(AND(Q228&lt;=0,Q221&gt;=0),-Q228,0))),IF(Q228&gt;0,0,IF(AND(Q228&lt;=0,K63&lt;0,Q63&gt;K63,(Q63-K63)&gt;(K63+K64)),0,IF(AND(Q228&lt;=0,Q221&gt;=0),-Q228,0))))</f>
        <v>0</v>
      </c>
      <c r="S229" s="758"/>
      <c r="T229" s="768">
        <f>IF(T228&gt;0,0,IF(AND(T228&lt;=0,N63&lt;0,T63&gt;N63,(T63-N63)&gt;(N63+N64)),0,IF(AND(T228&lt;=0,T221&gt;=0),-T228,0)))</f>
        <v>0</v>
      </c>
      <c r="U229" s="768">
        <f t="shared" ref="U229:AI229" si="215">IF(U228&gt;0,0,IF(AND(U228&lt;=0,T63&lt;0,U63&gt;T63,(U63-T63)&gt;(T63+T64)),0,IF(AND(U228&lt;=0,U221&gt;=0),-U228,0)))</f>
        <v>0</v>
      </c>
      <c r="V229" s="768">
        <f t="shared" si="215"/>
        <v>0</v>
      </c>
      <c r="W229" s="768">
        <f t="shared" si="215"/>
        <v>0</v>
      </c>
      <c r="X229" s="768">
        <f t="shared" si="215"/>
        <v>0</v>
      </c>
      <c r="Y229" s="768">
        <f t="shared" si="215"/>
        <v>0</v>
      </c>
      <c r="Z229" s="768">
        <f t="shared" si="215"/>
        <v>0</v>
      </c>
      <c r="AA229" s="768">
        <f t="shared" si="215"/>
        <v>0</v>
      </c>
      <c r="AB229" s="768">
        <f t="shared" si="215"/>
        <v>0</v>
      </c>
      <c r="AC229" s="768">
        <f t="shared" si="215"/>
        <v>0</v>
      </c>
      <c r="AD229" s="768">
        <f t="shared" si="215"/>
        <v>0</v>
      </c>
      <c r="AE229" s="768">
        <f t="shared" si="215"/>
        <v>0</v>
      </c>
      <c r="AF229" s="768">
        <f t="shared" si="215"/>
        <v>0</v>
      </c>
      <c r="AG229" s="768">
        <f t="shared" si="215"/>
        <v>0</v>
      </c>
      <c r="AH229" s="768">
        <f t="shared" si="215"/>
        <v>0</v>
      </c>
      <c r="AI229" s="768">
        <f t="shared" si="215"/>
        <v>0</v>
      </c>
      <c r="AJ229" s="928"/>
    </row>
    <row r="230" spans="1:102" s="740" customFormat="1" ht="12.75" x14ac:dyDescent="0.25">
      <c r="A230" s="736"/>
      <c r="B230" s="741" t="s">
        <v>1253</v>
      </c>
      <c r="C230" s="929"/>
      <c r="D230" s="496"/>
      <c r="E230" s="742">
        <f>IF(E221&gt;0,E229,0)</f>
        <v>0</v>
      </c>
      <c r="F230" s="496"/>
      <c r="G230" s="496"/>
      <c r="H230" s="742">
        <f>IF(H221&gt;0,H229,0)</f>
        <v>0</v>
      </c>
      <c r="I230" s="495"/>
      <c r="J230" s="495"/>
      <c r="K230" s="742">
        <f>IF(K221&gt;0,K229,0)</f>
        <v>0</v>
      </c>
      <c r="L230" s="496"/>
      <c r="M230" s="500"/>
      <c r="N230" s="742">
        <f>IF(N221&gt;0,N229,0)</f>
        <v>0</v>
      </c>
      <c r="O230" s="496"/>
      <c r="P230" s="500"/>
      <c r="Q230" s="742">
        <f>IF(Q221&gt;0,Q229,0)</f>
        <v>0</v>
      </c>
      <c r="R230" s="496"/>
      <c r="S230" s="500"/>
      <c r="T230" s="743">
        <f t="shared" ref="T230:AI230" si="216">IF(T221&gt;0,T229,0)</f>
        <v>0</v>
      </c>
      <c r="U230" s="743">
        <f t="shared" si="216"/>
        <v>0</v>
      </c>
      <c r="V230" s="743">
        <f t="shared" si="216"/>
        <v>0</v>
      </c>
      <c r="W230" s="743">
        <f t="shared" si="216"/>
        <v>0</v>
      </c>
      <c r="X230" s="743">
        <f t="shared" si="216"/>
        <v>0</v>
      </c>
      <c r="Y230" s="743">
        <f t="shared" si="216"/>
        <v>0</v>
      </c>
      <c r="Z230" s="743">
        <f t="shared" si="216"/>
        <v>0</v>
      </c>
      <c r="AA230" s="743">
        <f t="shared" si="216"/>
        <v>0</v>
      </c>
      <c r="AB230" s="743">
        <f t="shared" si="216"/>
        <v>0</v>
      </c>
      <c r="AC230" s="743">
        <f t="shared" si="216"/>
        <v>0</v>
      </c>
      <c r="AD230" s="743">
        <f t="shared" si="216"/>
        <v>0</v>
      </c>
      <c r="AE230" s="743">
        <f t="shared" si="216"/>
        <v>0</v>
      </c>
      <c r="AF230" s="743">
        <f t="shared" si="216"/>
        <v>0</v>
      </c>
      <c r="AG230" s="743">
        <f t="shared" si="216"/>
        <v>0</v>
      </c>
      <c r="AH230" s="743">
        <f t="shared" si="216"/>
        <v>0</v>
      </c>
      <c r="AI230" s="743">
        <f t="shared" si="216"/>
        <v>0</v>
      </c>
      <c r="AJ230" s="928"/>
    </row>
    <row r="231" spans="1:102" s="496" customFormat="1" ht="12.75" x14ac:dyDescent="0.25">
      <c r="A231" s="498"/>
      <c r="B231" s="750" t="s">
        <v>1254</v>
      </c>
      <c r="C231" s="932"/>
      <c r="E231" s="751">
        <f>IF(AND(E221&gt;0,E221-E229&gt;0,E221-E229&gt;E227),E227,IF(E221&lt;0,0,E221-E229))</f>
        <v>0</v>
      </c>
      <c r="H231" s="751">
        <f>IF(AND(H221&gt;0,H221-H229&gt;0,H221-H229&gt;H227),H227,IF(H221&lt;0,0,H221-H229))</f>
        <v>0</v>
      </c>
      <c r="I231" s="495"/>
      <c r="J231" s="495"/>
      <c r="K231" s="751">
        <f>IF(AND(K221&gt;0,K221-K229&gt;0,K221-K229&gt;K227),K227,IF(K221&lt;=0,0,K221-K229))</f>
        <v>0</v>
      </c>
      <c r="M231" s="500"/>
      <c r="N231" s="769">
        <f>IF(AND(N221&gt;0,N221-N229&gt;0,N221-N229&gt;N227),N227,IF(N221&lt;=0,0,N221-N229))</f>
        <v>0</v>
      </c>
      <c r="P231" s="500"/>
      <c r="Q231" s="751">
        <f>IF(AND(Q221&gt;0,Q221-Q229&gt;0,Q221-Q229&gt;Q227),Q227,IF(Q221&lt;=0,0,Q221-Q229))</f>
        <v>0</v>
      </c>
      <c r="S231" s="500"/>
      <c r="T231" s="752">
        <f t="shared" ref="T231:AI231" si="217">IF(AND(T221&gt;0,T221-T229&gt;0,T221-T229&gt;T227),T227,IF(T221&lt;0,0,T221-T229))</f>
        <v>0</v>
      </c>
      <c r="U231" s="752">
        <f t="shared" si="217"/>
        <v>0</v>
      </c>
      <c r="V231" s="752">
        <f t="shared" si="217"/>
        <v>0</v>
      </c>
      <c r="W231" s="752">
        <f t="shared" si="217"/>
        <v>0</v>
      </c>
      <c r="X231" s="752">
        <f t="shared" si="217"/>
        <v>0</v>
      </c>
      <c r="Y231" s="752">
        <f t="shared" si="217"/>
        <v>0</v>
      </c>
      <c r="Z231" s="752">
        <f t="shared" si="217"/>
        <v>0</v>
      </c>
      <c r="AA231" s="752">
        <f t="shared" si="217"/>
        <v>0</v>
      </c>
      <c r="AB231" s="752">
        <f t="shared" si="217"/>
        <v>0</v>
      </c>
      <c r="AC231" s="752">
        <f t="shared" si="217"/>
        <v>0</v>
      </c>
      <c r="AD231" s="752">
        <f t="shared" si="217"/>
        <v>0</v>
      </c>
      <c r="AE231" s="752">
        <f t="shared" si="217"/>
        <v>0</v>
      </c>
      <c r="AF231" s="752">
        <f t="shared" si="217"/>
        <v>0</v>
      </c>
      <c r="AG231" s="752">
        <f t="shared" si="217"/>
        <v>0</v>
      </c>
      <c r="AH231" s="752">
        <f t="shared" si="217"/>
        <v>0</v>
      </c>
      <c r="AI231" s="752">
        <f t="shared" si="217"/>
        <v>0</v>
      </c>
      <c r="AJ231" s="778"/>
    </row>
    <row r="232" spans="1:102" s="496" customFormat="1" ht="12.75" x14ac:dyDescent="0.25">
      <c r="A232" s="498"/>
      <c r="B232" s="750" t="s">
        <v>1255</v>
      </c>
      <c r="C232" s="932"/>
      <c r="E232" s="751">
        <f>IF(E221-E230-E231&lt;&gt;0,E221-E230-E231,0)</f>
        <v>120</v>
      </c>
      <c r="H232" s="751">
        <f>IF(H221-H230-H231&lt;&gt;0,H221-H230-H231,0)</f>
        <v>0</v>
      </c>
      <c r="I232" s="495"/>
      <c r="J232" s="495"/>
      <c r="K232" s="751">
        <f>IF(K221-K230-K231&lt;&gt;0,K221-K230-K231,0)</f>
        <v>0</v>
      </c>
      <c r="M232" s="500"/>
      <c r="N232" s="751">
        <f>IF(N221-N230-N231&lt;&gt;0,N221-N230-N231,0)</f>
        <v>0</v>
      </c>
      <c r="P232" s="500"/>
      <c r="Q232" s="751">
        <f>IF(Q221-Q230-Q231&lt;&gt;0,Q221-Q230-Q231,0)</f>
        <v>0</v>
      </c>
      <c r="S232" s="500"/>
      <c r="T232" s="752">
        <f t="shared" ref="T232:AI232" si="218">IF(T221-T230-T231&lt;&gt;0,T221-T230-T231-IF(T234&gt;0,T234,0),0)</f>
        <v>0</v>
      </c>
      <c r="U232" s="752">
        <f t="shared" si="218"/>
        <v>0</v>
      </c>
      <c r="V232" s="752">
        <f t="shared" si="218"/>
        <v>0</v>
      </c>
      <c r="W232" s="752">
        <f t="shared" si="218"/>
        <v>0</v>
      </c>
      <c r="X232" s="752">
        <f t="shared" si="218"/>
        <v>0</v>
      </c>
      <c r="Y232" s="752">
        <f t="shared" si="218"/>
        <v>0</v>
      </c>
      <c r="Z232" s="752">
        <f t="shared" si="218"/>
        <v>0</v>
      </c>
      <c r="AA232" s="752">
        <f t="shared" si="218"/>
        <v>0</v>
      </c>
      <c r="AB232" s="752">
        <f t="shared" si="218"/>
        <v>0</v>
      </c>
      <c r="AC232" s="752">
        <f t="shared" si="218"/>
        <v>0</v>
      </c>
      <c r="AD232" s="752">
        <f t="shared" si="218"/>
        <v>0</v>
      </c>
      <c r="AE232" s="752">
        <f t="shared" si="218"/>
        <v>0</v>
      </c>
      <c r="AF232" s="752">
        <f t="shared" si="218"/>
        <v>0</v>
      </c>
      <c r="AG232" s="752">
        <f t="shared" si="218"/>
        <v>0</v>
      </c>
      <c r="AH232" s="752">
        <f t="shared" si="218"/>
        <v>0</v>
      </c>
      <c r="AI232" s="752">
        <f t="shared" si="218"/>
        <v>0</v>
      </c>
      <c r="AJ232" s="778"/>
    </row>
    <row r="233" spans="1:102" s="496" customFormat="1" ht="12.75" x14ac:dyDescent="0.25">
      <c r="A233" s="498"/>
      <c r="B233" s="753" t="s">
        <v>1256</v>
      </c>
      <c r="C233" s="933"/>
      <c r="D233" s="500"/>
      <c r="E233" s="754">
        <f>IF(E227-E231&gt;0,E227-E231,0)</f>
        <v>0</v>
      </c>
      <c r="F233" s="500"/>
      <c r="G233" s="500"/>
      <c r="H233" s="754">
        <f>IF(H227-H231&gt;0,H227-H231,0)</f>
        <v>2810</v>
      </c>
      <c r="I233" s="500"/>
      <c r="J233" s="500"/>
      <c r="K233" s="754">
        <f>IF(K227-K231&gt;0,K227-K231,0)</f>
        <v>2810</v>
      </c>
      <c r="L233" s="500"/>
      <c r="M233" s="500"/>
      <c r="N233" s="754">
        <f>IF(N227-N231&gt;0,N227-N231,0)</f>
        <v>2810</v>
      </c>
      <c r="O233" s="500"/>
      <c r="P233" s="500"/>
      <c r="Q233" s="754">
        <f>IF(Q227-Q231&gt;0,Q227-Q231,0)</f>
        <v>2810</v>
      </c>
      <c r="R233" s="500"/>
      <c r="S233" s="500"/>
      <c r="T233" s="755">
        <f t="shared" ref="T233:AI233" si="219">IF(T227-T231&gt;0,T227-T231,0)</f>
        <v>1882.7000000000003</v>
      </c>
      <c r="U233" s="755">
        <f t="shared" si="219"/>
        <v>1884.308</v>
      </c>
      <c r="V233" s="755">
        <f t="shared" si="219"/>
        <v>1884.576</v>
      </c>
      <c r="W233" s="755">
        <f t="shared" si="219"/>
        <v>1887.2560000000003</v>
      </c>
      <c r="X233" s="755">
        <f t="shared" si="219"/>
        <v>1887.2560000000003</v>
      </c>
      <c r="Y233" s="755">
        <f t="shared" si="219"/>
        <v>1887.2560000000003</v>
      </c>
      <c r="Z233" s="755">
        <f t="shared" si="219"/>
        <v>1887.2559999999994</v>
      </c>
      <c r="AA233" s="755">
        <f t="shared" si="219"/>
        <v>1887.2560000000012</v>
      </c>
      <c r="AB233" s="755">
        <f t="shared" si="219"/>
        <v>1887.2559999999994</v>
      </c>
      <c r="AC233" s="755">
        <f t="shared" si="219"/>
        <v>1887.2560000000012</v>
      </c>
      <c r="AD233" s="755">
        <f t="shared" si="219"/>
        <v>1887.2559999999994</v>
      </c>
      <c r="AE233" s="755">
        <f t="shared" si="219"/>
        <v>1887.2560000000012</v>
      </c>
      <c r="AF233" s="755">
        <f t="shared" si="219"/>
        <v>1887.2559999999994</v>
      </c>
      <c r="AG233" s="755">
        <f t="shared" si="219"/>
        <v>1887.2560000000012</v>
      </c>
      <c r="AH233" s="755">
        <f t="shared" si="219"/>
        <v>1887.2559999999994</v>
      </c>
      <c r="AI233" s="755">
        <f t="shared" si="219"/>
        <v>1887.2560000000012</v>
      </c>
      <c r="AJ233" s="778"/>
    </row>
    <row r="234" spans="1:102" s="500" customFormat="1" ht="12.75" x14ac:dyDescent="0.25">
      <c r="A234" s="725"/>
      <c r="B234" s="744" t="str">
        <f>CONCATENATE("HIST.: RESULT. ENTRE ",LEFT(K16,3),". ",RIGHT(TEXT(K15,"0.00"),2)," Y ",LEFT(N16,3),". ",RIGHT(TEXT(N15,"0.00"),2)," / PROY.: NUEVA DEUDA PARA CAPITALIZAR")</f>
        <v>HIST.: RESULT. ENTRE Jun. 20 Y Dic. 21 / PROY.: NUEVA DEUDA PARA CAPITALIZAR</v>
      </c>
      <c r="C234" s="939" t="s">
        <v>1260</v>
      </c>
      <c r="D234" s="740"/>
      <c r="E234" s="746" t="s">
        <v>1260</v>
      </c>
      <c r="F234" s="740"/>
      <c r="G234" s="740"/>
      <c r="H234" s="746" t="s">
        <v>1260</v>
      </c>
      <c r="I234" s="927"/>
      <c r="J234" s="927"/>
      <c r="K234" s="746" t="s">
        <v>1260</v>
      </c>
      <c r="L234" s="740"/>
      <c r="M234" s="758"/>
      <c r="N234" s="746" t="s">
        <v>1260</v>
      </c>
      <c r="O234" s="740"/>
      <c r="P234" s="758"/>
      <c r="Q234" s="745">
        <f>Q226</f>
        <v>0</v>
      </c>
      <c r="R234" s="740"/>
      <c r="S234" s="758"/>
      <c r="T234" s="746">
        <f t="shared" ref="T234:AI234" si="220">SUM(IF(AND($C$315=$B$926,$C$315&lt;&gt;0,$C$314=T218,$C$310&gt;0),$C$310,0),IF(AND($C$325=$B$926,$C$325&lt;&gt;0,$C$324=T218,$C$320&gt;0),$C$320,0),IF(AND($C$335=$B$926,$C$335&lt;&gt;0,$C$334=T218,$C$330&gt;0),$C$330,0),IF(AND($C$355=$B$926,$C$355&lt;&gt;0,$C$354=T218,$C$350&gt;0),$C$350,0),IF(AND($C$365=$B$926,$C$365&lt;&gt;0,$C$364=T218,$C$360&gt;0),$C$360,0),IF(AND($C$375=$B$926,$C$375&lt;&gt;0,$C$374=T218,$C$370&gt;0),$C$370,0))</f>
        <v>0</v>
      </c>
      <c r="U234" s="746">
        <f t="shared" si="220"/>
        <v>0</v>
      </c>
      <c r="V234" s="746">
        <f t="shared" si="220"/>
        <v>0</v>
      </c>
      <c r="W234" s="746">
        <f t="shared" si="220"/>
        <v>0</v>
      </c>
      <c r="X234" s="746">
        <f t="shared" si="220"/>
        <v>0</v>
      </c>
      <c r="Y234" s="746">
        <f t="shared" si="220"/>
        <v>0</v>
      </c>
      <c r="Z234" s="746">
        <f t="shared" si="220"/>
        <v>0</v>
      </c>
      <c r="AA234" s="746">
        <f t="shared" si="220"/>
        <v>0</v>
      </c>
      <c r="AB234" s="746">
        <f t="shared" si="220"/>
        <v>0</v>
      </c>
      <c r="AC234" s="746">
        <f t="shared" si="220"/>
        <v>0</v>
      </c>
      <c r="AD234" s="746">
        <f t="shared" si="220"/>
        <v>0</v>
      </c>
      <c r="AE234" s="746">
        <f t="shared" si="220"/>
        <v>0</v>
      </c>
      <c r="AF234" s="746">
        <f t="shared" si="220"/>
        <v>0</v>
      </c>
      <c r="AG234" s="746">
        <f t="shared" si="220"/>
        <v>0</v>
      </c>
      <c r="AH234" s="746">
        <f t="shared" si="220"/>
        <v>0</v>
      </c>
      <c r="AI234" s="746">
        <f t="shared" si="220"/>
        <v>0</v>
      </c>
      <c r="AJ234" s="924"/>
    </row>
    <row r="235" spans="1:102" s="776" customFormat="1" ht="13.5" thickBot="1" x14ac:dyDescent="0.3">
      <c r="A235" s="771"/>
      <c r="B235" s="772"/>
      <c r="C235" s="940"/>
      <c r="E235" s="773"/>
      <c r="H235" s="773"/>
      <c r="I235" s="941"/>
      <c r="J235" s="941"/>
      <c r="N235" s="773"/>
      <c r="P235" s="942"/>
      <c r="Q235" s="773"/>
      <c r="S235" s="942"/>
      <c r="T235" s="943"/>
      <c r="U235" s="773"/>
      <c r="V235" s="775"/>
      <c r="W235" s="775"/>
      <c r="X235" s="775"/>
      <c r="Y235" s="775"/>
      <c r="Z235" s="775"/>
      <c r="AA235" s="775"/>
      <c r="AB235" s="775"/>
      <c r="AC235" s="775"/>
      <c r="AD235" s="775"/>
      <c r="AF235" s="589"/>
      <c r="AG235" s="496"/>
      <c r="AH235" s="496"/>
      <c r="AI235" s="496"/>
      <c r="AJ235" s="778"/>
      <c r="AK235" s="496"/>
      <c r="AL235" s="496"/>
      <c r="AM235" s="496"/>
      <c r="AN235" s="496"/>
      <c r="AO235" s="496"/>
      <c r="AP235" s="496"/>
      <c r="AQ235" s="496"/>
      <c r="AR235" s="496"/>
      <c r="AS235" s="496"/>
      <c r="AT235" s="496"/>
      <c r="AU235" s="496"/>
      <c r="AV235" s="496"/>
      <c r="AW235" s="496"/>
      <c r="AX235" s="496"/>
      <c r="AY235" s="496"/>
      <c r="AZ235" s="496"/>
      <c r="BA235" s="496"/>
      <c r="BB235" s="496"/>
      <c r="BC235" s="496"/>
      <c r="BD235" s="496"/>
      <c r="BE235" s="496"/>
      <c r="BF235" s="496"/>
      <c r="BG235" s="496"/>
      <c r="BH235" s="496"/>
      <c r="BI235" s="496"/>
      <c r="BJ235" s="496"/>
      <c r="BK235" s="496"/>
      <c r="BL235" s="496"/>
      <c r="BM235" s="496"/>
      <c r="BN235" s="496"/>
      <c r="BO235" s="496"/>
      <c r="BP235" s="496"/>
      <c r="BQ235" s="496"/>
      <c r="BR235" s="496"/>
      <c r="BS235" s="496"/>
      <c r="BT235" s="496"/>
      <c r="BU235" s="496"/>
      <c r="BV235" s="496"/>
      <c r="BW235" s="496"/>
      <c r="BX235" s="496"/>
      <c r="BY235" s="496"/>
      <c r="BZ235" s="496"/>
      <c r="CA235" s="496"/>
      <c r="CB235" s="496"/>
      <c r="CC235" s="496"/>
      <c r="CD235" s="496"/>
      <c r="CE235" s="496"/>
      <c r="CF235" s="496"/>
      <c r="CG235" s="496"/>
      <c r="CH235" s="496"/>
      <c r="CI235" s="496"/>
      <c r="CJ235" s="496"/>
      <c r="CK235" s="496"/>
      <c r="CL235" s="496"/>
      <c r="CM235" s="496"/>
      <c r="CN235" s="496"/>
      <c r="CO235" s="496"/>
      <c r="CP235" s="496"/>
      <c r="CQ235" s="496"/>
      <c r="CR235" s="496"/>
      <c r="CS235" s="496"/>
      <c r="CT235" s="496"/>
      <c r="CU235" s="496"/>
      <c r="CV235" s="496"/>
      <c r="CW235" s="496"/>
      <c r="CX235" s="496"/>
    </row>
    <row r="236" spans="1:102" s="496" customFormat="1" ht="24" thickTop="1" x14ac:dyDescent="0.2">
      <c r="A236" s="498"/>
      <c r="B236" s="944" t="s">
        <v>1261</v>
      </c>
      <c r="C236" s="625"/>
      <c r="E236" s="945"/>
      <c r="H236" s="945"/>
      <c r="I236" s="495"/>
      <c r="J236" s="495"/>
      <c r="K236" s="495"/>
      <c r="M236" s="500"/>
      <c r="N236" s="945"/>
      <c r="P236" s="500"/>
      <c r="Q236" s="945"/>
      <c r="S236" s="500"/>
      <c r="T236" s="946"/>
      <c r="U236" s="945"/>
      <c r="V236" s="947"/>
      <c r="W236" s="947"/>
      <c r="X236" s="947"/>
      <c r="Y236" s="947"/>
      <c r="Z236" s="947"/>
      <c r="AA236" s="947"/>
      <c r="AB236" s="947"/>
      <c r="AC236" s="947"/>
      <c r="AD236" s="947"/>
      <c r="AF236" s="948"/>
      <c r="AG236" s="948"/>
      <c r="AH236" s="948"/>
      <c r="AI236" s="948"/>
      <c r="AJ236" s="949"/>
      <c r="AN236" s="497"/>
      <c r="AO236" s="497"/>
      <c r="AP236" s="497"/>
      <c r="AQ236" s="497"/>
    </row>
    <row r="237" spans="1:102" s="496" customFormat="1" ht="23.25" x14ac:dyDescent="0.2">
      <c r="A237" s="498"/>
      <c r="B237" s="944"/>
      <c r="C237" s="625"/>
      <c r="E237" s="945"/>
      <c r="H237" s="945"/>
      <c r="I237" s="495"/>
      <c r="J237" s="495"/>
      <c r="K237" s="495"/>
      <c r="M237" s="500"/>
      <c r="N237" s="945"/>
      <c r="P237" s="500"/>
      <c r="Q237" s="945"/>
      <c r="S237" s="500"/>
      <c r="T237" s="946"/>
      <c r="U237" s="945"/>
      <c r="V237" s="947"/>
      <c r="W237" s="947"/>
      <c r="X237" s="947"/>
      <c r="Y237" s="947"/>
      <c r="Z237" s="947"/>
      <c r="AA237" s="947"/>
      <c r="AB237" s="947"/>
      <c r="AC237" s="947"/>
      <c r="AD237" s="947"/>
      <c r="AJ237" s="778"/>
      <c r="AN237" s="497"/>
      <c r="AO237" s="497"/>
      <c r="AP237" s="497"/>
      <c r="AQ237" s="497"/>
    </row>
    <row r="238" spans="1:102" s="496" customFormat="1" ht="12.75" x14ac:dyDescent="0.2">
      <c r="A238" s="498"/>
      <c r="B238" s="950" t="s">
        <v>536</v>
      </c>
      <c r="C238" s="516">
        <f>C15</f>
        <v>2018</v>
      </c>
      <c r="E238" s="951">
        <f>E15</f>
        <v>2019</v>
      </c>
      <c r="H238" s="951">
        <f>H15</f>
        <v>2020</v>
      </c>
      <c r="I238" s="495"/>
      <c r="J238" s="495"/>
      <c r="K238" s="952" t="s">
        <v>1262</v>
      </c>
      <c r="M238" s="500"/>
      <c r="N238" s="951">
        <f>N15</f>
        <v>2021</v>
      </c>
      <c r="P238" s="500"/>
      <c r="Q238" s="951">
        <f>Q15</f>
        <v>2021</v>
      </c>
      <c r="S238" s="500"/>
      <c r="T238" s="946"/>
      <c r="U238" s="945"/>
      <c r="V238" s="947"/>
      <c r="W238" s="947"/>
      <c r="X238" s="947"/>
      <c r="Y238" s="947"/>
      <c r="Z238" s="947"/>
      <c r="AA238" s="947"/>
      <c r="AB238" s="947"/>
      <c r="AC238" s="947"/>
      <c r="AD238" s="947"/>
      <c r="AJ238" s="778"/>
      <c r="AN238" s="497"/>
      <c r="AO238" s="497"/>
      <c r="AP238" s="497"/>
      <c r="AQ238" s="497"/>
    </row>
    <row r="239" spans="1:102" s="496" customFormat="1" ht="12.75" x14ac:dyDescent="0.2">
      <c r="A239" s="498"/>
      <c r="B239" s="950" t="s">
        <v>871</v>
      </c>
      <c r="C239" s="516">
        <f>C17</f>
        <v>360</v>
      </c>
      <c r="E239" s="951">
        <f>E17</f>
        <v>360</v>
      </c>
      <c r="H239" s="951">
        <f>H17</f>
        <v>360</v>
      </c>
      <c r="I239" s="495"/>
      <c r="J239" s="495"/>
      <c r="K239" s="952" t="s">
        <v>1263</v>
      </c>
      <c r="M239" s="500"/>
      <c r="N239" s="951">
        <f>N17</f>
        <v>360</v>
      </c>
      <c r="P239" s="500"/>
      <c r="Q239" s="951">
        <f>Q17</f>
        <v>180</v>
      </c>
      <c r="S239" s="500"/>
      <c r="T239" s="946"/>
      <c r="U239" s="945"/>
      <c r="V239" s="947"/>
      <c r="W239" s="947"/>
      <c r="X239" s="947"/>
      <c r="Y239" s="947"/>
      <c r="Z239" s="947"/>
      <c r="AA239" s="627"/>
      <c r="AB239" s="947"/>
      <c r="AC239" s="947"/>
      <c r="AD239" s="947"/>
      <c r="AJ239" s="778"/>
      <c r="AN239" s="497"/>
      <c r="AO239" s="497"/>
      <c r="AP239" s="497"/>
      <c r="AQ239" s="497"/>
    </row>
    <row r="240" spans="1:102" s="496" customFormat="1" ht="12.75" x14ac:dyDescent="0.2">
      <c r="A240" s="498"/>
      <c r="B240" s="617" t="s">
        <v>1264</v>
      </c>
      <c r="C240" s="953"/>
      <c r="E240" s="954"/>
      <c r="H240" s="954"/>
      <c r="I240" s="495"/>
      <c r="J240" s="495"/>
      <c r="K240" s="952" t="s">
        <v>1265</v>
      </c>
      <c r="M240" s="500"/>
      <c r="N240" s="954"/>
      <c r="P240" s="500"/>
      <c r="Q240" s="954"/>
      <c r="R240" s="955">
        <f>SUM($C$240,$E$240,$H$240,$N$240,$Q$240)</f>
        <v>0</v>
      </c>
      <c r="S240" s="500"/>
      <c r="T240" s="500"/>
      <c r="X240" s="947"/>
      <c r="Y240" s="947"/>
      <c r="Z240" s="947"/>
      <c r="AA240" s="947"/>
      <c r="AB240" s="947"/>
      <c r="AC240" s="947"/>
      <c r="AD240" s="947"/>
      <c r="AJ240" s="778"/>
      <c r="AN240" s="497"/>
      <c r="AO240" s="497"/>
      <c r="AP240" s="497"/>
      <c r="AQ240" s="497"/>
    </row>
    <row r="241" spans="1:43" s="496" customFormat="1" ht="12.75" x14ac:dyDescent="0.2">
      <c r="A241" s="498"/>
      <c r="B241" s="621" t="s">
        <v>1266</v>
      </c>
      <c r="C241" s="956">
        <f>IF($Q$239=360,IF(SUM($C$240,$E$240,$H$240,$N$240)&lt;&gt;1,0,C240),IF(SUM($C$240,$E$240,$H$240,$N$240,$Q$240)&lt;&gt;1,0,C240))</f>
        <v>0</v>
      </c>
      <c r="E241" s="957">
        <f>IF($Q$239=360,IF(SUM($C$240,$E$240,$H$240,$N$240)&lt;&gt;1,0.33,E240),IF(SUM($C$240,$E$240,$H$240,$N$240,$Q$240)&lt;&gt;1,0.33,E240))</f>
        <v>0.33</v>
      </c>
      <c r="H241" s="957">
        <f>IF($Q$239=360,IF(SUM($C$240,$E$240,$H$240,$N$240)&lt;&gt;1,0.33,H240),IF(SUM($C$240,$E$240,$H$240,$N$240,$Q$240)&lt;&gt;1,0.33,H240))</f>
        <v>0.33</v>
      </c>
      <c r="I241" s="958"/>
      <c r="J241" s="958"/>
      <c r="K241" s="495"/>
      <c r="M241" s="500"/>
      <c r="N241" s="957">
        <f>IF($Q$239=360,IF(SUM($C$240,$E$240,$H$240,$N$240)&lt;&gt;1,0.34,N240),IF(SUM($C$240,$E$240,$H$240,$N$240,$Q$240)&lt;&gt;1,0.34,N240))</f>
        <v>0.34</v>
      </c>
      <c r="P241" s="500"/>
      <c r="Q241" s="957">
        <f>IF($Q$239=360,0,IF(SUM($C$240,$E$240,$H$240,$N$240,$Q$240)&lt;&gt;1,0,Q240))</f>
        <v>0</v>
      </c>
      <c r="R241" s="959">
        <f>SUM($C$241,$E$241,$H$241,$N$241,$Q$241)</f>
        <v>1</v>
      </c>
      <c r="S241" s="500"/>
      <c r="T241" s="960" t="s">
        <v>1267</v>
      </c>
      <c r="U241" s="961"/>
      <c r="V241" s="962"/>
      <c r="W241" s="963" t="s">
        <v>1268</v>
      </c>
      <c r="X241" s="495"/>
      <c r="Y241" s="495"/>
      <c r="Z241" s="495"/>
      <c r="AA241" s="495"/>
      <c r="AB241" s="495"/>
      <c r="AC241" s="495"/>
      <c r="AD241" s="495"/>
      <c r="AJ241" s="778"/>
      <c r="AN241" s="497"/>
      <c r="AO241" s="497"/>
      <c r="AP241" s="497"/>
      <c r="AQ241" s="497"/>
    </row>
    <row r="242" spans="1:43" s="496" customFormat="1" ht="13.5" thickBot="1" x14ac:dyDescent="0.25">
      <c r="A242" s="498"/>
      <c r="B242" s="603"/>
      <c r="I242" s="495"/>
      <c r="J242" s="495"/>
      <c r="K242" s="495"/>
      <c r="M242" s="500"/>
      <c r="P242" s="500"/>
      <c r="S242" s="500"/>
      <c r="T242" s="964" t="s">
        <v>1269</v>
      </c>
      <c r="U242" s="965"/>
      <c r="V242" s="966" t="s">
        <v>1270</v>
      </c>
      <c r="W242" s="967"/>
      <c r="X242" s="495"/>
      <c r="Y242" s="495"/>
      <c r="Z242" s="495"/>
      <c r="AA242" s="495"/>
      <c r="AB242" s="495"/>
      <c r="AC242" s="495"/>
      <c r="AD242" s="495"/>
      <c r="AJ242" s="778"/>
      <c r="AN242" s="497"/>
      <c r="AO242" s="497"/>
      <c r="AP242" s="497"/>
      <c r="AQ242" s="497"/>
    </row>
    <row r="243" spans="1:43" s="496" customFormat="1" ht="13.5" thickBot="1" x14ac:dyDescent="0.25">
      <c r="A243" s="498"/>
      <c r="B243" s="968" t="s">
        <v>1271</v>
      </c>
      <c r="C243" s="969"/>
      <c r="I243" s="495"/>
      <c r="J243" s="495"/>
      <c r="K243" s="495"/>
      <c r="M243" s="500"/>
      <c r="P243" s="500"/>
      <c r="S243" s="500"/>
      <c r="T243" s="500"/>
      <c r="X243" s="495"/>
      <c r="Y243" s="495"/>
      <c r="Z243" s="495"/>
      <c r="AA243" s="495"/>
      <c r="AB243" s="495"/>
      <c r="AC243" s="495"/>
      <c r="AD243" s="495"/>
      <c r="AF243" s="970"/>
      <c r="AJ243" s="778"/>
      <c r="AN243" s="497"/>
      <c r="AO243" s="497"/>
      <c r="AP243" s="497"/>
      <c r="AQ243" s="497"/>
    </row>
    <row r="244" spans="1:43" s="496" customFormat="1" ht="12.75" x14ac:dyDescent="0.2">
      <c r="A244" s="498"/>
      <c r="B244" s="971" t="s">
        <v>1272</v>
      </c>
      <c r="C244" s="972"/>
      <c r="D244" s="973">
        <f>IF(C246=0,C244*12,(C244*12)-((C246-T247)*12))</f>
        <v>0</v>
      </c>
      <c r="E244" s="974"/>
      <c r="F244" s="974"/>
      <c r="G244" s="974"/>
      <c r="H244" s="974"/>
      <c r="I244" s="975"/>
      <c r="J244" s="975"/>
      <c r="K244" s="974"/>
      <c r="L244" s="974"/>
      <c r="M244" s="976"/>
      <c r="N244" s="974"/>
      <c r="O244" s="974"/>
      <c r="P244" s="976"/>
      <c r="Q244" s="974"/>
      <c r="R244" s="974"/>
      <c r="S244" s="976"/>
      <c r="T244" s="974"/>
      <c r="U244" s="974"/>
      <c r="V244" s="974"/>
      <c r="W244" s="974"/>
      <c r="X244" s="974"/>
      <c r="Y244" s="974"/>
      <c r="Z244" s="974"/>
      <c r="AA244" s="974"/>
      <c r="AB244" s="974"/>
      <c r="AC244" s="974"/>
      <c r="AD244" s="974"/>
      <c r="AE244" s="974"/>
      <c r="AF244" s="974"/>
      <c r="AG244" s="974"/>
      <c r="AH244" s="974"/>
      <c r="AI244" s="977"/>
      <c r="AJ244" s="778"/>
      <c r="AN244" s="497"/>
      <c r="AO244" s="497"/>
      <c r="AP244" s="497"/>
      <c r="AQ244" s="497"/>
    </row>
    <row r="245" spans="1:43" s="496" customFormat="1" ht="12.75" x14ac:dyDescent="0.2">
      <c r="A245" s="498"/>
      <c r="B245" s="978" t="s">
        <v>1273</v>
      </c>
      <c r="C245" s="979"/>
      <c r="D245" s="980">
        <f>IF(C245=0,0,VLOOKUP(C245,$B$950:$C$961,2,0))</f>
        <v>0</v>
      </c>
      <c r="I245" s="495"/>
      <c r="J245" s="495"/>
      <c r="M245" s="500"/>
      <c r="P245" s="500"/>
      <c r="S245" s="500"/>
      <c r="T245" s="981"/>
      <c r="U245" s="981"/>
      <c r="V245" s="981"/>
      <c r="W245" s="981"/>
      <c r="X245" s="981"/>
      <c r="Y245" s="981"/>
      <c r="Z245" s="981"/>
      <c r="AA245" s="981"/>
      <c r="AB245" s="981"/>
      <c r="AC245" s="981"/>
      <c r="AD245" s="981"/>
      <c r="AE245" s="982"/>
      <c r="AF245" s="982"/>
      <c r="AG245" s="982"/>
      <c r="AH245" s="982"/>
      <c r="AI245" s="983"/>
      <c r="AJ245" s="778"/>
      <c r="AN245" s="497"/>
      <c r="AO245" s="497"/>
      <c r="AP245" s="497"/>
      <c r="AQ245" s="497"/>
    </row>
    <row r="246" spans="1:43" s="496" customFormat="1" ht="12.75" x14ac:dyDescent="0.2">
      <c r="A246" s="498"/>
      <c r="B246" s="978" t="s">
        <v>1274</v>
      </c>
      <c r="C246" s="979"/>
      <c r="D246" s="984">
        <f>IF($C$246=0,0,$C$246-$T$247)</f>
        <v>0</v>
      </c>
      <c r="I246" s="495"/>
      <c r="J246" s="495"/>
      <c r="M246" s="500"/>
      <c r="P246" s="500"/>
      <c r="S246" s="500"/>
      <c r="T246" s="985" t="s">
        <v>1044</v>
      </c>
      <c r="U246" s="985" t="s">
        <v>1044</v>
      </c>
      <c r="V246" s="985" t="s">
        <v>1044</v>
      </c>
      <c r="W246" s="985" t="s">
        <v>1044</v>
      </c>
      <c r="X246" s="985" t="s">
        <v>1044</v>
      </c>
      <c r="Y246" s="985" t="s">
        <v>1044</v>
      </c>
      <c r="Z246" s="985" t="s">
        <v>1044</v>
      </c>
      <c r="AA246" s="985" t="s">
        <v>1044</v>
      </c>
      <c r="AB246" s="985" t="s">
        <v>1044</v>
      </c>
      <c r="AC246" s="985" t="s">
        <v>1044</v>
      </c>
      <c r="AD246" s="986" t="s">
        <v>1044</v>
      </c>
      <c r="AE246" s="986" t="s">
        <v>1044</v>
      </c>
      <c r="AF246" s="986" t="s">
        <v>1044</v>
      </c>
      <c r="AG246" s="986" t="s">
        <v>1044</v>
      </c>
      <c r="AH246" s="986" t="s">
        <v>1044</v>
      </c>
      <c r="AI246" s="986" t="s">
        <v>1044</v>
      </c>
      <c r="AJ246" s="778"/>
      <c r="AN246" s="497"/>
      <c r="AO246" s="497"/>
      <c r="AP246" s="497"/>
      <c r="AQ246" s="497"/>
    </row>
    <row r="247" spans="1:43" s="496" customFormat="1" ht="12.75" x14ac:dyDescent="0.2">
      <c r="A247" s="498"/>
      <c r="B247" s="987"/>
      <c r="C247" s="988">
        <f>C15</f>
        <v>2018</v>
      </c>
      <c r="D247" s="989"/>
      <c r="E247" s="985">
        <f>E15</f>
        <v>2019</v>
      </c>
      <c r="F247" s="989"/>
      <c r="G247" s="989"/>
      <c r="H247" s="985">
        <f>H15</f>
        <v>2020</v>
      </c>
      <c r="I247" s="600"/>
      <c r="J247" s="600"/>
      <c r="K247" s="985">
        <f>K15</f>
        <v>2020</v>
      </c>
      <c r="L247" s="989"/>
      <c r="M247" s="500"/>
      <c r="N247" s="985">
        <f>N15</f>
        <v>2021</v>
      </c>
      <c r="O247" s="989"/>
      <c r="P247" s="500"/>
      <c r="Q247" s="985">
        <f>Q15</f>
        <v>2021</v>
      </c>
      <c r="R247" s="989"/>
      <c r="S247" s="500"/>
      <c r="T247" s="985">
        <f t="shared" ref="T247:AI247" si="221">T385</f>
        <v>2022</v>
      </c>
      <c r="U247" s="985">
        <f t="shared" si="221"/>
        <v>2023</v>
      </c>
      <c r="V247" s="985">
        <f t="shared" si="221"/>
        <v>2024</v>
      </c>
      <c r="W247" s="985">
        <f t="shared" si="221"/>
        <v>2025</v>
      </c>
      <c r="X247" s="985">
        <f t="shared" si="221"/>
        <v>2026</v>
      </c>
      <c r="Y247" s="985">
        <f t="shared" si="221"/>
        <v>2027</v>
      </c>
      <c r="Z247" s="985">
        <f t="shared" si="221"/>
        <v>2028</v>
      </c>
      <c r="AA247" s="985">
        <f t="shared" si="221"/>
        <v>2029</v>
      </c>
      <c r="AB247" s="985">
        <f t="shared" si="221"/>
        <v>2030</v>
      </c>
      <c r="AC247" s="985">
        <f t="shared" si="221"/>
        <v>2031</v>
      </c>
      <c r="AD247" s="986">
        <f t="shared" si="221"/>
        <v>2032</v>
      </c>
      <c r="AE247" s="986">
        <f t="shared" si="221"/>
        <v>2033</v>
      </c>
      <c r="AF247" s="986">
        <f t="shared" si="221"/>
        <v>2034</v>
      </c>
      <c r="AG247" s="986">
        <f t="shared" si="221"/>
        <v>2035</v>
      </c>
      <c r="AH247" s="986">
        <f t="shared" si="221"/>
        <v>2036</v>
      </c>
      <c r="AI247" s="986">
        <f t="shared" si="221"/>
        <v>2037</v>
      </c>
      <c r="AJ247" s="778"/>
      <c r="AN247" s="497"/>
      <c r="AO247" s="497"/>
      <c r="AP247" s="497"/>
      <c r="AQ247" s="497"/>
    </row>
    <row r="248" spans="1:43" s="496" customFormat="1" ht="12.75" x14ac:dyDescent="0.2">
      <c r="A248" s="499"/>
      <c r="B248" s="990" t="s">
        <v>1275</v>
      </c>
      <c r="C248" s="495"/>
      <c r="E248" s="495"/>
      <c r="H248" s="495"/>
      <c r="I248" s="495"/>
      <c r="J248" s="495"/>
      <c r="K248" s="495"/>
      <c r="M248" s="500"/>
      <c r="N248" s="495"/>
      <c r="P248" s="500"/>
      <c r="Q248" s="495"/>
      <c r="S248" s="500"/>
      <c r="T248" s="991">
        <f>IF(AND($C$943=3,$C$354=$T$351,$C$933=3,$C$314=$T$311),IF($N250+$N251-$C$350-$C$310&lt;=0,1,($C$350+$C$310)/($N250+$N251)),IF(AND($C$943=3,$C$354=$T$351),IF($N250+$N251-$C$350&lt;=0,1,$C$350/($N250+$N251)),IF(AND($C$933=3,$C$314=$T$311),IF($N250+$N251-$C$310&lt;=0,1,$C$310/($N250+$N251)),IF(OR($D246&gt;=1,$C244=0),0,IF($C$246=T247,$D245/($C244-$D246),1/($C244-$D246))))))</f>
        <v>0</v>
      </c>
      <c r="U248" s="991">
        <f>IF(AND($C$943=3,$C$354=$U$351,$C$933=3,$C$314=$U$311),IF($N250+$N251-$C$350-$C$310&lt;=0,1,($C$350+$C$310)/($N250+$N251)),IF(AND($C$943=3,$C$354=$U$351),IF($N250+$N251-$C$350&lt;=0,1,$C$350/($N250+$N251)),IF(AND($C$933=3,$C$314=$U$311),IF($N250+$N251-$C$310&lt;=0,1,$C$310/($N250+$N251)),IF(OR($D246&gt;=2,$C244=0,T248=1),0,IF($C$246=U247,$D245/($C244-$D246),IF(T248+(1/($C244-$D246))&gt;1,1-T248,1/($C244-$D246)))))))</f>
        <v>0</v>
      </c>
      <c r="V248" s="991">
        <f>IF(OR($D246&gt;=3,$C244=0,SUM($T248:U248)&gt;=1),0,IF($C$246=V247,$D245/($C244-$D246),IF(SUM($T248:U248)+(1/($C244-$D246))&gt;1,1-SUM($T248:U248),1/($C244-$D246))))</f>
        <v>0</v>
      </c>
      <c r="W248" s="991">
        <f>IF(OR($D246&gt;=4,$C244=0,SUM($T248:V248)&gt;=1),0,IF($C$246=W247,$D245/($C244-$D246),IF(SUM($T248:V248)+(1/($C244-$D246))&gt;1,1-SUM($T248:V248),1/($C244-$D246))))</f>
        <v>0</v>
      </c>
      <c r="X248" s="991">
        <f>IF(OR($D246&gt;=5,$C244=0,SUM($T248:W248)&gt;=1),0,IF($C$246=X247,$D245/($C244-$D246),IF(SUM($T248:W248)+(1/($C244-$D246))&gt;1,1-SUM($T248:W248),1/($C244-$D246))))</f>
        <v>0</v>
      </c>
      <c r="Y248" s="991">
        <f>IF(OR($D246&gt;=6,$C244=0,SUM($T248:X248)&gt;=1),0,IF($C$246=Y247,$D245/($C244-$D246),IF(SUM($T248:X248)+(1/($C244-$D246))&gt;1,1-SUM($T248:X248),1/($C244-$D246))))</f>
        <v>0</v>
      </c>
      <c r="Z248" s="991">
        <f>IF(OR($D246&gt;=7,$C244=0,SUM($T248:Y248)&gt;=1),0,IF($C$246=Z247,$D245/($C244-$D246),IF(SUM($T248:Y248)+(1/($C244-$D246))&gt;1,1-SUM($T248:Y248),1/($C244-$D246))))</f>
        <v>0</v>
      </c>
      <c r="AA248" s="991">
        <f>IF(OR($D246&gt;=8,$C244=0,SUM($T248:Z248)&gt;=1),0,IF($C$246=AA247,$D245/($C244-$D246),IF(SUM($T248:Z248)+(1/($C244-$D246))&gt;1,1-SUM($T248:Z248),1/($C244-$D246))))</f>
        <v>0</v>
      </c>
      <c r="AB248" s="991">
        <f>IF(OR($D246&gt;=9,$C244=0,SUM($T248:AA248)&gt;=1),0,IF($C$246=AB247,$D245/($C244-$D246),IF(SUM($T248:AA248)+(1/($C244-$D246))&gt;1,1-SUM($T248:AA248),1/($C244-$D246))))</f>
        <v>0</v>
      </c>
      <c r="AC248" s="991">
        <f>IF(OR($D246&gt;=10,$C244=0,SUM($T248:AB248)&gt;=1),0,IF($C$246=AC247,$D245/($C244-$D246),IF(SUM($T248:AB248)+(1/($C244-$D246))&gt;1,1-SUM($T248:AB248),1/($C244-$D246))))</f>
        <v>0</v>
      </c>
      <c r="AD248" s="992">
        <f>IF(OR($D246&gt;=11,$C244=0,SUM($T248:AC248)&gt;=1),0,IF($C$246=AD247,$D245/($C244-$D246),IF(SUM($T248:AC248)+(1/($C244-$D246))&gt;1,1-SUM($T248:AC248),1/($C244-$D246))))</f>
        <v>0</v>
      </c>
      <c r="AE248" s="992">
        <f>IF(OR($D246&gt;=11,$C244=0,SUM($T248:AD248)&gt;=1),0,IF($C$246=AE247,$D245/($C244-$D246),IF(SUM($T248:AD248)+(1/($C244-$D246))&gt;1,1-SUM($T248:AD248),1/($C244-$D246))))</f>
        <v>0</v>
      </c>
      <c r="AF248" s="992">
        <f>IF(OR($D246&gt;=11,$C244=0,SUM($T248:AE248)&gt;=1),0,IF($C$246=AF247,$D245/($C244-$D246),IF(SUM($T248:AE248)+(1/($C244-$D246))&gt;1,1-SUM($T248:AE248),1/($C244-$D246))))</f>
        <v>0</v>
      </c>
      <c r="AG248" s="992">
        <f>IF(OR($D246&gt;=11,$C244=0,SUM($T248:AF248)&gt;=1),0,IF($C$246=AG247,$D245/($C244-$D246),IF(SUM($T248:AF248)+(1/($C244-$D246))&gt;1,1-SUM($T248:AF248),1/($C244-$D246))))</f>
        <v>0</v>
      </c>
      <c r="AH248" s="992">
        <f>IF(OR($D246&gt;=11,$C244=0,SUM($T248:AG248)&gt;=1),0,IF($C$246=AH247,$D245/($C244-$D246),IF(SUM($T248:AG248)+(1/($C244-$D246))&gt;1,1-SUM($T248:AG248),1/($C244-$D246))))</f>
        <v>0</v>
      </c>
      <c r="AI248" s="992">
        <f>IF(OR($D246&gt;=11,$C244=0,SUM($T248:AH248)&gt;=1),0,IF($C$246=AI247,$D245/($C244-$D246),IF(SUM($T248:AH248)+(1/($C244-$D246))&gt;1,1-SUM($T248:AH248),1/($C244-$D246))))</f>
        <v>0</v>
      </c>
      <c r="AJ248" s="778"/>
      <c r="AN248" s="497"/>
      <c r="AO248" s="497"/>
      <c r="AP248" s="497"/>
      <c r="AQ248" s="497"/>
    </row>
    <row r="249" spans="1:43" s="496" customFormat="1" ht="12.75" x14ac:dyDescent="0.2">
      <c r="A249" s="499"/>
      <c r="B249" s="993" t="s">
        <v>1276</v>
      </c>
      <c r="C249" s="495"/>
      <c r="E249" s="495"/>
      <c r="H249" s="495"/>
      <c r="I249" s="495"/>
      <c r="J249" s="495"/>
      <c r="K249" s="495"/>
      <c r="M249" s="500"/>
      <c r="N249" s="495"/>
      <c r="P249" s="500"/>
      <c r="Q249" s="495"/>
      <c r="S249" s="500"/>
      <c r="T249" s="994">
        <f>SUM($N250:$N251)*T248</f>
        <v>0</v>
      </c>
      <c r="U249" s="994">
        <f>SUM($N250:$N251)*U248</f>
        <v>0</v>
      </c>
      <c r="V249" s="994">
        <f>SUM($N250:$N251)*V248</f>
        <v>0</v>
      </c>
      <c r="W249" s="994">
        <f t="shared" ref="W249:AI249" si="222">IF(SUM($N250:$N251)*W248&gt;U251,U251,SUM($N250:$N251)*W248)</f>
        <v>0</v>
      </c>
      <c r="X249" s="994">
        <f t="shared" si="222"/>
        <v>0</v>
      </c>
      <c r="Y249" s="994">
        <f t="shared" si="222"/>
        <v>0</v>
      </c>
      <c r="Z249" s="994">
        <f t="shared" si="222"/>
        <v>0</v>
      </c>
      <c r="AA249" s="994">
        <f t="shared" si="222"/>
        <v>0</v>
      </c>
      <c r="AB249" s="994">
        <f t="shared" si="222"/>
        <v>0</v>
      </c>
      <c r="AC249" s="994">
        <f t="shared" si="222"/>
        <v>0</v>
      </c>
      <c r="AD249" s="995">
        <f t="shared" si="222"/>
        <v>0</v>
      </c>
      <c r="AE249" s="995">
        <f t="shared" si="222"/>
        <v>0</v>
      </c>
      <c r="AF249" s="995">
        <f t="shared" si="222"/>
        <v>0</v>
      </c>
      <c r="AG249" s="995">
        <f t="shared" si="222"/>
        <v>0</v>
      </c>
      <c r="AH249" s="995">
        <f t="shared" si="222"/>
        <v>0</v>
      </c>
      <c r="AI249" s="995">
        <f t="shared" si="222"/>
        <v>0</v>
      </c>
      <c r="AJ249" s="778"/>
      <c r="AN249" s="497"/>
      <c r="AO249" s="497"/>
      <c r="AP249" s="497"/>
      <c r="AQ249" s="497"/>
    </row>
    <row r="250" spans="1:43" s="496" customFormat="1" ht="12.75" x14ac:dyDescent="0.2">
      <c r="A250" s="498"/>
      <c r="B250" s="993" t="s">
        <v>1277</v>
      </c>
      <c r="C250" s="996">
        <f>C37</f>
        <v>0</v>
      </c>
      <c r="E250" s="997">
        <f>E37</f>
        <v>10</v>
      </c>
      <c r="H250" s="997">
        <f>H37</f>
        <v>10</v>
      </c>
      <c r="I250" s="495"/>
      <c r="J250" s="495"/>
      <c r="K250" s="997">
        <f>K37</f>
        <v>10</v>
      </c>
      <c r="M250" s="500"/>
      <c r="N250" s="997">
        <f>N37</f>
        <v>10</v>
      </c>
      <c r="P250" s="500"/>
      <c r="Q250" s="997">
        <f>Q37</f>
        <v>10</v>
      </c>
      <c r="S250" s="500"/>
      <c r="T250" s="998">
        <f>SUM($N250:$N251)*U248</f>
        <v>0</v>
      </c>
      <c r="U250" s="998">
        <f>SUM($N250:$N251)*V248</f>
        <v>0</v>
      </c>
      <c r="V250" s="998">
        <f t="shared" ref="V250:AI250" si="223">IF(SUM($N250:$N251)*W248&gt;U251,U251,SUM($N250:$N251)*W248)</f>
        <v>0</v>
      </c>
      <c r="W250" s="998">
        <f t="shared" si="223"/>
        <v>0</v>
      </c>
      <c r="X250" s="998">
        <f t="shared" si="223"/>
        <v>0</v>
      </c>
      <c r="Y250" s="998">
        <f t="shared" si="223"/>
        <v>0</v>
      </c>
      <c r="Z250" s="998">
        <f t="shared" si="223"/>
        <v>0</v>
      </c>
      <c r="AA250" s="998">
        <f t="shared" si="223"/>
        <v>0</v>
      </c>
      <c r="AB250" s="998">
        <f t="shared" si="223"/>
        <v>0</v>
      </c>
      <c r="AC250" s="998">
        <f t="shared" si="223"/>
        <v>0</v>
      </c>
      <c r="AD250" s="999">
        <f t="shared" si="223"/>
        <v>0</v>
      </c>
      <c r="AE250" s="999">
        <f t="shared" si="223"/>
        <v>0</v>
      </c>
      <c r="AF250" s="999">
        <f t="shared" si="223"/>
        <v>0</v>
      </c>
      <c r="AG250" s="999">
        <f t="shared" si="223"/>
        <v>0</v>
      </c>
      <c r="AH250" s="999">
        <f t="shared" si="223"/>
        <v>0</v>
      </c>
      <c r="AI250" s="999">
        <f t="shared" si="223"/>
        <v>0</v>
      </c>
      <c r="AJ250" s="778"/>
      <c r="AN250" s="497"/>
      <c r="AO250" s="497"/>
      <c r="AP250" s="497"/>
      <c r="AQ250" s="497"/>
    </row>
    <row r="251" spans="1:43" s="496" customFormat="1" ht="12.75" x14ac:dyDescent="0.2">
      <c r="A251" s="498"/>
      <c r="B251" s="993" t="s">
        <v>1278</v>
      </c>
      <c r="C251" s="1000">
        <f>C49</f>
        <v>0</v>
      </c>
      <c r="E251" s="1001">
        <f>E49</f>
        <v>10</v>
      </c>
      <c r="H251" s="1001">
        <f>H49</f>
        <v>10</v>
      </c>
      <c r="I251" s="495"/>
      <c r="J251" s="495"/>
      <c r="K251" s="1001">
        <f>K49</f>
        <v>10</v>
      </c>
      <c r="M251" s="500"/>
      <c r="N251" s="1001">
        <f>N49</f>
        <v>10</v>
      </c>
      <c r="P251" s="500"/>
      <c r="Q251" s="1001">
        <f>Q49</f>
        <v>10</v>
      </c>
      <c r="S251" s="500"/>
      <c r="T251" s="1002">
        <f>IF(SUM($N250:$N251)-T249-T250&lt;0.005,0,SUM($N250:$N251)-T249-T250)</f>
        <v>20</v>
      </c>
      <c r="U251" s="1002">
        <f t="shared" ref="U251:AI251" si="224">IF(SUM(T250:T251)-U249-U250&lt;0.005,0,SUM(T250:T251)-U249-U250)</f>
        <v>20</v>
      </c>
      <c r="V251" s="1002">
        <f t="shared" si="224"/>
        <v>20</v>
      </c>
      <c r="W251" s="1002">
        <f t="shared" si="224"/>
        <v>20</v>
      </c>
      <c r="X251" s="1002">
        <f t="shared" si="224"/>
        <v>20</v>
      </c>
      <c r="Y251" s="1002">
        <f t="shared" si="224"/>
        <v>20</v>
      </c>
      <c r="Z251" s="1002">
        <f t="shared" si="224"/>
        <v>20</v>
      </c>
      <c r="AA251" s="1002">
        <f t="shared" si="224"/>
        <v>20</v>
      </c>
      <c r="AB251" s="1002">
        <f t="shared" si="224"/>
        <v>20</v>
      </c>
      <c r="AC251" s="1002">
        <f t="shared" si="224"/>
        <v>20</v>
      </c>
      <c r="AD251" s="1003">
        <f t="shared" si="224"/>
        <v>20</v>
      </c>
      <c r="AE251" s="1003">
        <f t="shared" si="224"/>
        <v>20</v>
      </c>
      <c r="AF251" s="1003">
        <f t="shared" si="224"/>
        <v>20</v>
      </c>
      <c r="AG251" s="1003">
        <f t="shared" si="224"/>
        <v>20</v>
      </c>
      <c r="AH251" s="1003">
        <f t="shared" si="224"/>
        <v>20</v>
      </c>
      <c r="AI251" s="1003">
        <f t="shared" si="224"/>
        <v>20</v>
      </c>
      <c r="AJ251" s="778"/>
      <c r="AN251" s="497"/>
      <c r="AO251" s="497"/>
      <c r="AP251" s="497"/>
      <c r="AQ251" s="497"/>
    </row>
    <row r="252" spans="1:43" s="1011" customFormat="1" ht="12.75" x14ac:dyDescent="0.25">
      <c r="A252" s="1004"/>
      <c r="B252" s="993" t="s">
        <v>1279</v>
      </c>
      <c r="C252" s="1005">
        <f>IF(OR(C253=0,AND(C69=0,AN704=0)),0,C253/(AN704+C69))</f>
        <v>0</v>
      </c>
      <c r="D252" s="1006"/>
      <c r="E252" s="1007">
        <f>IF(OR(E253=0,AND(E69=0,AP704=0)),0,E253/(AP704+E69))</f>
        <v>0.08</v>
      </c>
      <c r="F252" s="1006"/>
      <c r="G252" s="1006"/>
      <c r="H252" s="1007">
        <f>IF(OR(H253=0,AND(H69=0,AS704=0)),0,H253/(AS704+H69))</f>
        <v>0.08</v>
      </c>
      <c r="I252" s="1006"/>
      <c r="J252" s="1006"/>
      <c r="K252" s="1007">
        <f>IF(OR(K253=0,AND(K69=0,AV704=0)),0,K253/(AV704+K69))</f>
        <v>0.08</v>
      </c>
      <c r="L252" s="1006"/>
      <c r="M252" s="1006"/>
      <c r="N252" s="1007">
        <f>IF(OR(N253=0,AND(N69=0,AY704=0)),0,N253/(AY704+N69))</f>
        <v>0.08</v>
      </c>
      <c r="O252" s="1006"/>
      <c r="P252" s="1006"/>
      <c r="Q252" s="1007">
        <f>IF(OR(Q253=0,AND(Q69=0,BB704=0)),0,Q253/(BB704+Q69))</f>
        <v>0.08</v>
      </c>
      <c r="R252" s="1006"/>
      <c r="S252" s="1006"/>
      <c r="T252" s="1008">
        <f>IF($N$71=0,0,C252*$C$241+E252*$E$241+H252*$H$241+N252*$N$241+Q252*$Q$241)</f>
        <v>8.0000000000000016E-2</v>
      </c>
      <c r="U252" s="1008">
        <f t="shared" ref="U252:AI252" si="225">T252</f>
        <v>8.0000000000000016E-2</v>
      </c>
      <c r="V252" s="1008">
        <f t="shared" si="225"/>
        <v>8.0000000000000016E-2</v>
      </c>
      <c r="W252" s="1008">
        <f t="shared" si="225"/>
        <v>8.0000000000000016E-2</v>
      </c>
      <c r="X252" s="1008">
        <f t="shared" si="225"/>
        <v>8.0000000000000016E-2</v>
      </c>
      <c r="Y252" s="1008">
        <f t="shared" si="225"/>
        <v>8.0000000000000016E-2</v>
      </c>
      <c r="Z252" s="1008">
        <f t="shared" si="225"/>
        <v>8.0000000000000016E-2</v>
      </c>
      <c r="AA252" s="1008">
        <f t="shared" si="225"/>
        <v>8.0000000000000016E-2</v>
      </c>
      <c r="AB252" s="1008">
        <f t="shared" si="225"/>
        <v>8.0000000000000016E-2</v>
      </c>
      <c r="AC252" s="1008">
        <f t="shared" si="225"/>
        <v>8.0000000000000016E-2</v>
      </c>
      <c r="AD252" s="1009">
        <f t="shared" si="225"/>
        <v>8.0000000000000016E-2</v>
      </c>
      <c r="AE252" s="1009">
        <f t="shared" si="225"/>
        <v>8.0000000000000016E-2</v>
      </c>
      <c r="AF252" s="1009">
        <f t="shared" si="225"/>
        <v>8.0000000000000016E-2</v>
      </c>
      <c r="AG252" s="1009">
        <f t="shared" si="225"/>
        <v>8.0000000000000016E-2</v>
      </c>
      <c r="AH252" s="1009">
        <f t="shared" si="225"/>
        <v>8.0000000000000016E-2</v>
      </c>
      <c r="AI252" s="1009">
        <f t="shared" si="225"/>
        <v>8.0000000000000016E-2</v>
      </c>
      <c r="AJ252" s="1010"/>
    </row>
    <row r="253" spans="1:43" s="496" customFormat="1" ht="13.5" thickBot="1" x14ac:dyDescent="0.25">
      <c r="A253" s="498"/>
      <c r="B253" s="1012" t="s">
        <v>1280</v>
      </c>
      <c r="C253" s="1013">
        <f>IF(AND(C45&lt;&gt;"DEUDAS CON SOCIOS C.P.",C54&lt;&gt;"DEUDAS CON SOCIOS L.P."),IF(AND(AN704=0,C69=0),0,C76*((C37+C49)/(AN704+C69))),IF(C45&lt;&gt;"DEUDAS CON SOCIOS C.P.",IF(AND(AN704=0,C69=0,C54=0),0,C76*((C37+C49)/(AN704+C69+C54))),IF(C54&lt;&gt;"DEUDAS CON SOCIOS L.P.",IF(AND(AN704=0,C69=0,C45=0),0,C76*((C37+C49)/(AN704+C69+C45))),IF(AND(AN704=0,C69=0,C45=0,C54=0),0,C76*((C37+C49)/(AN704+C69+C45+C54))))))</f>
        <v>0</v>
      </c>
      <c r="D253" s="970"/>
      <c r="E253" s="1014">
        <f>IF(AND(E45&lt;&gt;"DEUDAS CON SOCIOS C.P.",E54&lt;&gt;"DEUDAS CON SOCIOS L.P."),IF(AND(AP704=0,E69=0),0,E76*((E37+E49)/(AP704+E69))),IF(E45&lt;&gt;"DEUDAS CON SOCIOS C.P.",IF(AND(AP704=0,E69=0,E54=0),0,E76*((E37+E49)/(AP704+E69+E54))),IF(E54&lt;&gt;"DEUDAS CON SOCIOS L.P.",IF(AND(AP704=0,E69=0,E45=0),0,E76*((E37+E49)/(AP704+E69+E45))),IF(AND(AP704=0,E69=0,E45=0,E54=0),0,E76*((E37+E49)/(AP704+E69+E45+E54))))))</f>
        <v>4</v>
      </c>
      <c r="F253" s="970"/>
      <c r="G253" s="970"/>
      <c r="H253" s="1014">
        <f>IF(AND(H45&lt;&gt;"DEUDAS CON SOCIOS C.P.",H54&lt;&gt;"DEUDAS CON SOCIOS L.P."),IF(AND(AS704=0,H69=0),0,H76*((H37+H49)/(AS704+H69))),IF(H45&lt;&gt;"DEUDAS CON SOCIOS C.P.",IF(AND(AS704=0,H69=0,H54=0),0,H76*((H37+H49)/(AS704+H69+H54))),IF(H54&lt;&gt;"DEUDAS CON SOCIOS L.P.",IF(AND(AS704=0,H69=0,H45=0),0,H76*((H37+H49)/(AS704+H69+H45))),IF(AND(AS704=0,H69=0,H45=0,H54=0),0,H76*((H37+H49)/(AS704+H69+H45+H54))))))</f>
        <v>4</v>
      </c>
      <c r="I253" s="1015"/>
      <c r="J253" s="1015"/>
      <c r="K253" s="1014">
        <f>IF(AND(K45&lt;&gt;"DEUDAS CON SOCIOS C.P.",K54&lt;&gt;"DEUDAS CON SOCIOS L.P."),IF(AND(AV704=0,K69=0),0,K76*((K37+K49)/(AV704+K69))),IF(K45&lt;&gt;"DEUDAS CON SOCIOS C.P.",IF(AND(AV704=0,K69=0,K54=0),0,K76*((K37+K49)/(AV704+K69+K54))),IF(K54&lt;&gt;"DEUDAS CON SOCIOS L.P.",IF(AND(AV704=0,K69=0,K45=0),0,K76*((K37+K49)/(AV704+K69+K45))),IF(AND(AV704=0,K69=0,K45=0,K54=0),0,K76*((K37+K49)/(AV704+K69+K45+K54))))))</f>
        <v>4</v>
      </c>
      <c r="L253" s="970"/>
      <c r="M253" s="1016"/>
      <c r="N253" s="1014">
        <f>IF(AND(N45&lt;&gt;"DEUDAS CON SOCIOS C.P.",N54&lt;&gt;"DEUDAS CON SOCIOS L.P."),IF(AND(AY704=0,N69=0),0,N76*((N37+N49)/(AY704+N69))),IF(N45&lt;&gt;"DEUDAS CON SOCIOS C.P.",IF(AND(AY704=0,N69=0,N54=0),0,N76*((N37+N49)/(AY704+N69+N54))),IF(N54&lt;&gt;"DEUDAS CON SOCIOS L.P.",IF(AND(AY704=0,N69=0,N45=0),0,N76*((N37+N49)/(AY704+N69+N45))),IF(AND(AY704=0,N69=0,N45=0,N54=0),0,N76*((N37+N49)/(AY704+N69+N45+N54))))))</f>
        <v>4</v>
      </c>
      <c r="O253" s="970"/>
      <c r="P253" s="1016"/>
      <c r="Q253" s="1014">
        <f>IF(AND(Q45&lt;&gt;"DEUDAS CON SOCIOS C.P.",Q54&lt;&gt;"DEUDAS CON SOCIOS L.P."),IF(AND(BB704=0,Q69=0),0,Q76*((Q37+Q49)/(BB704+Q69))),IF(Q45&lt;&gt;"DEUDAS CON SOCIOS C.P.",IF(AND(BB704=0,Q69=0,Q54=0),0,Q76*((Q37+Q49)/(BB704+Q69+Q54))),IF(Q54&lt;&gt;"DEUDAS CON SOCIOS L.P.",IF(AND(BB704=0,Q69=0,Q45=0),0,Q76*((Q37+Q49)/(BB704+Q69+Q45))),IF(AND(BB704=0,Q69=0,Q45=0,Q54=0),0,Q76*((Q37+Q49)/(BB704+Q69+Q45+Q54))))))</f>
        <v>4</v>
      </c>
      <c r="R253" s="970"/>
      <c r="S253" s="1016"/>
      <c r="T253" s="1017">
        <f>(N250+N251)*T252</f>
        <v>1.6000000000000003</v>
      </c>
      <c r="U253" s="1017">
        <f t="shared" ref="U253:AI253" si="226">(T251+T250)*U252</f>
        <v>1.6000000000000003</v>
      </c>
      <c r="V253" s="1017">
        <f t="shared" si="226"/>
        <v>1.6000000000000003</v>
      </c>
      <c r="W253" s="1017">
        <f t="shared" si="226"/>
        <v>1.6000000000000003</v>
      </c>
      <c r="X253" s="1017">
        <f t="shared" si="226"/>
        <v>1.6000000000000003</v>
      </c>
      <c r="Y253" s="1017">
        <f t="shared" si="226"/>
        <v>1.6000000000000003</v>
      </c>
      <c r="Z253" s="1017">
        <f t="shared" si="226"/>
        <v>1.6000000000000003</v>
      </c>
      <c r="AA253" s="1017">
        <f t="shared" si="226"/>
        <v>1.6000000000000003</v>
      </c>
      <c r="AB253" s="1017">
        <f t="shared" si="226"/>
        <v>1.6000000000000003</v>
      </c>
      <c r="AC253" s="1017">
        <f t="shared" si="226"/>
        <v>1.6000000000000003</v>
      </c>
      <c r="AD253" s="1018">
        <f t="shared" si="226"/>
        <v>1.6000000000000003</v>
      </c>
      <c r="AE253" s="1018">
        <f t="shared" si="226"/>
        <v>1.6000000000000003</v>
      </c>
      <c r="AF253" s="1018">
        <f t="shared" si="226"/>
        <v>1.6000000000000003</v>
      </c>
      <c r="AG253" s="1018">
        <f t="shared" si="226"/>
        <v>1.6000000000000003</v>
      </c>
      <c r="AH253" s="1018">
        <f t="shared" si="226"/>
        <v>1.6000000000000003</v>
      </c>
      <c r="AI253" s="1018">
        <f t="shared" si="226"/>
        <v>1.6000000000000003</v>
      </c>
      <c r="AJ253" s="778"/>
      <c r="AN253" s="497"/>
      <c r="AO253" s="497"/>
      <c r="AP253" s="497"/>
      <c r="AQ253" s="497"/>
    </row>
    <row r="254" spans="1:43" s="496" customFormat="1" ht="13.5" thickBot="1" x14ac:dyDescent="0.25">
      <c r="A254" s="498"/>
      <c r="B254" s="603"/>
      <c r="I254" s="495"/>
      <c r="J254" s="495"/>
      <c r="M254" s="500"/>
      <c r="P254" s="500"/>
      <c r="S254" s="500"/>
      <c r="T254" s="502"/>
      <c r="U254" s="1019"/>
      <c r="V254" s="1020"/>
      <c r="W254" s="947"/>
      <c r="X254" s="495"/>
      <c r="Y254" s="495"/>
      <c r="Z254" s="495"/>
      <c r="AA254" s="495"/>
      <c r="AB254" s="495"/>
      <c r="AC254" s="495"/>
      <c r="AD254" s="495"/>
      <c r="AF254" s="974"/>
      <c r="AJ254" s="778"/>
      <c r="AN254" s="497"/>
      <c r="AO254" s="497"/>
      <c r="AP254" s="497"/>
      <c r="AQ254" s="497"/>
    </row>
    <row r="255" spans="1:43" s="496" customFormat="1" ht="13.5" thickBot="1" x14ac:dyDescent="0.25">
      <c r="A255" s="498"/>
      <c r="B255" s="1021" t="s">
        <v>1281</v>
      </c>
      <c r="C255" s="1022"/>
      <c r="I255" s="495"/>
      <c r="J255" s="495"/>
      <c r="M255" s="500"/>
      <c r="P255" s="500"/>
      <c r="S255" s="500"/>
      <c r="T255" s="500"/>
      <c r="X255" s="495"/>
      <c r="Y255" s="495"/>
      <c r="Z255" s="495"/>
      <c r="AA255" s="495"/>
      <c r="AB255" s="495"/>
      <c r="AC255" s="495"/>
      <c r="AD255" s="495"/>
      <c r="AF255" s="1023"/>
      <c r="AJ255" s="778"/>
      <c r="AN255" s="497"/>
      <c r="AO255" s="497"/>
      <c r="AP255" s="497"/>
      <c r="AQ255" s="497"/>
    </row>
    <row r="256" spans="1:43" s="496" customFormat="1" ht="12.75" x14ac:dyDescent="0.2">
      <c r="A256" s="498"/>
      <c r="B256" s="1024" t="s">
        <v>1272</v>
      </c>
      <c r="C256" s="1025"/>
      <c r="D256" s="1026">
        <f>IF(C258=0,C256*12,(C256*12)-((C258-T259)*12))</f>
        <v>0</v>
      </c>
      <c r="E256" s="1027"/>
      <c r="F256" s="1027"/>
      <c r="G256" s="1027"/>
      <c r="H256" s="1027"/>
      <c r="I256" s="1028"/>
      <c r="J256" s="1028"/>
      <c r="K256" s="1027"/>
      <c r="L256" s="1027"/>
      <c r="M256" s="1029"/>
      <c r="N256" s="1027"/>
      <c r="O256" s="1027"/>
      <c r="P256" s="1029"/>
      <c r="Q256" s="1027"/>
      <c r="R256" s="1027"/>
      <c r="S256" s="1029"/>
      <c r="T256" s="1027"/>
      <c r="U256" s="1027"/>
      <c r="V256" s="1027"/>
      <c r="W256" s="1027"/>
      <c r="X256" s="1027"/>
      <c r="Y256" s="1027"/>
      <c r="Z256" s="1027"/>
      <c r="AA256" s="1027"/>
      <c r="AB256" s="1027"/>
      <c r="AC256" s="1027"/>
      <c r="AD256" s="1027"/>
      <c r="AE256" s="1027"/>
      <c r="AF256" s="1027"/>
      <c r="AG256" s="1027"/>
      <c r="AH256" s="1027"/>
      <c r="AI256" s="1030"/>
      <c r="AJ256" s="778"/>
      <c r="AN256" s="497"/>
      <c r="AO256" s="497"/>
      <c r="AP256" s="497"/>
      <c r="AQ256" s="497"/>
    </row>
    <row r="257" spans="1:43" s="496" customFormat="1" ht="12.75" x14ac:dyDescent="0.2">
      <c r="A257" s="498"/>
      <c r="B257" s="1031" t="s">
        <v>1273</v>
      </c>
      <c r="C257" s="1032"/>
      <c r="D257" s="980">
        <f>IF(C257=0,0,VLOOKUP(C257,$B$950:$C$961,2,0))</f>
        <v>0</v>
      </c>
      <c r="I257" s="495"/>
      <c r="J257" s="495"/>
      <c r="M257" s="500"/>
      <c r="P257" s="500"/>
      <c r="S257" s="500"/>
      <c r="T257" s="981"/>
      <c r="U257" s="981"/>
      <c r="V257" s="981"/>
      <c r="W257" s="981"/>
      <c r="X257" s="981"/>
      <c r="Y257" s="981"/>
      <c r="Z257" s="981"/>
      <c r="AA257" s="981"/>
      <c r="AB257" s="981"/>
      <c r="AC257" s="981"/>
      <c r="AD257" s="981"/>
      <c r="AE257" s="1033"/>
      <c r="AF257" s="1033"/>
      <c r="AG257" s="1033"/>
      <c r="AH257" s="1033"/>
      <c r="AI257" s="1034"/>
      <c r="AJ257" s="778"/>
      <c r="AN257" s="497"/>
      <c r="AO257" s="497"/>
      <c r="AP257" s="497"/>
      <c r="AQ257" s="497"/>
    </row>
    <row r="258" spans="1:43" s="496" customFormat="1" ht="12.75" x14ac:dyDescent="0.2">
      <c r="A258" s="498"/>
      <c r="B258" s="1035" t="s">
        <v>1274</v>
      </c>
      <c r="C258" s="1036"/>
      <c r="D258" s="984">
        <f>IF($C$258=0,0,$C$258-$T$259)</f>
        <v>0</v>
      </c>
      <c r="I258" s="495"/>
      <c r="J258" s="495"/>
      <c r="M258" s="500"/>
      <c r="P258" s="500"/>
      <c r="S258" s="500"/>
      <c r="T258" s="1037" t="s">
        <v>1044</v>
      </c>
      <c r="U258" s="1037" t="s">
        <v>1044</v>
      </c>
      <c r="V258" s="1037" t="s">
        <v>1044</v>
      </c>
      <c r="W258" s="1037" t="s">
        <v>1044</v>
      </c>
      <c r="X258" s="1037" t="s">
        <v>1044</v>
      </c>
      <c r="Y258" s="1037" t="s">
        <v>1044</v>
      </c>
      <c r="Z258" s="1037" t="s">
        <v>1044</v>
      </c>
      <c r="AA258" s="1037" t="s">
        <v>1044</v>
      </c>
      <c r="AB258" s="1037" t="s">
        <v>1044</v>
      </c>
      <c r="AC258" s="1037" t="s">
        <v>1044</v>
      </c>
      <c r="AD258" s="1038" t="s">
        <v>1044</v>
      </c>
      <c r="AE258" s="1038" t="s">
        <v>1044</v>
      </c>
      <c r="AF258" s="1038" t="s">
        <v>1044</v>
      </c>
      <c r="AG258" s="1038" t="s">
        <v>1044</v>
      </c>
      <c r="AH258" s="1038" t="s">
        <v>1044</v>
      </c>
      <c r="AI258" s="1038" t="s">
        <v>1044</v>
      </c>
      <c r="AJ258" s="778"/>
      <c r="AN258" s="497"/>
      <c r="AO258" s="497"/>
      <c r="AP258" s="497"/>
      <c r="AQ258" s="497"/>
    </row>
    <row r="259" spans="1:43" s="496" customFormat="1" ht="12.75" x14ac:dyDescent="0.2">
      <c r="A259" s="498"/>
      <c r="B259" s="1039"/>
      <c r="C259" s="1040">
        <f>C15</f>
        <v>2018</v>
      </c>
      <c r="D259" s="989"/>
      <c r="E259" s="1037">
        <f>E15</f>
        <v>2019</v>
      </c>
      <c r="F259" s="989"/>
      <c r="G259" s="989"/>
      <c r="H259" s="1037">
        <f>H15</f>
        <v>2020</v>
      </c>
      <c r="I259" s="600"/>
      <c r="J259" s="600"/>
      <c r="K259" s="1037">
        <f>K15</f>
        <v>2020</v>
      </c>
      <c r="L259" s="989"/>
      <c r="M259" s="500"/>
      <c r="N259" s="1037">
        <f>N15</f>
        <v>2021</v>
      </c>
      <c r="O259" s="989"/>
      <c r="P259" s="500"/>
      <c r="Q259" s="1037">
        <f>Q15</f>
        <v>2021</v>
      </c>
      <c r="R259" s="989"/>
      <c r="S259" s="500"/>
      <c r="T259" s="1037">
        <f t="shared" ref="T259:AI259" si="227">T15</f>
        <v>2022</v>
      </c>
      <c r="U259" s="1037">
        <f t="shared" si="227"/>
        <v>2023</v>
      </c>
      <c r="V259" s="1037">
        <f t="shared" si="227"/>
        <v>2024</v>
      </c>
      <c r="W259" s="1037">
        <f t="shared" si="227"/>
        <v>2025</v>
      </c>
      <c r="X259" s="1037">
        <f t="shared" si="227"/>
        <v>2026</v>
      </c>
      <c r="Y259" s="1037">
        <f t="shared" si="227"/>
        <v>2027</v>
      </c>
      <c r="Z259" s="1037">
        <f t="shared" si="227"/>
        <v>2028</v>
      </c>
      <c r="AA259" s="1037">
        <f t="shared" si="227"/>
        <v>2029</v>
      </c>
      <c r="AB259" s="1037">
        <f t="shared" si="227"/>
        <v>2030</v>
      </c>
      <c r="AC259" s="1037">
        <f t="shared" si="227"/>
        <v>2031</v>
      </c>
      <c r="AD259" s="1038">
        <f t="shared" si="227"/>
        <v>2032</v>
      </c>
      <c r="AE259" s="1038">
        <f t="shared" si="227"/>
        <v>2033</v>
      </c>
      <c r="AF259" s="1038">
        <f t="shared" si="227"/>
        <v>2034</v>
      </c>
      <c r="AG259" s="1038">
        <f t="shared" si="227"/>
        <v>2035</v>
      </c>
      <c r="AH259" s="1038">
        <f t="shared" si="227"/>
        <v>2036</v>
      </c>
      <c r="AI259" s="1038">
        <f t="shared" si="227"/>
        <v>2037</v>
      </c>
      <c r="AJ259" s="778"/>
      <c r="AN259" s="497"/>
      <c r="AO259" s="497"/>
      <c r="AP259" s="497"/>
      <c r="AQ259" s="497"/>
    </row>
    <row r="260" spans="1:43" s="496" customFormat="1" ht="12.75" x14ac:dyDescent="0.2">
      <c r="A260" s="499"/>
      <c r="B260" s="1041" t="s">
        <v>1275</v>
      </c>
      <c r="C260" s="495"/>
      <c r="E260" s="495"/>
      <c r="H260" s="495"/>
      <c r="I260" s="495"/>
      <c r="J260" s="495"/>
      <c r="K260" s="495"/>
      <c r="M260" s="500"/>
      <c r="N260" s="495"/>
      <c r="P260" s="500"/>
      <c r="Q260" s="495"/>
      <c r="S260" s="500"/>
      <c r="T260" s="1042">
        <f>IF(AND($C$943=4,$C$354=$T$351,$C$933=3,$C$314=$T$311),IF($N250+$N251-$C$350-$C$310&lt;=0,1,($C$350+$C$310)/($N250+$N251)),IF(AND($C$943=4,$C$354=$T$351),IF($N250+$N251-$C$350&lt;=0,1,$C$350/($N250+$N251)),IF(AND($C$933=4,$C$314=$T$311),IF($N250+$N251-$C$310&lt;=0,1,$C$310/($N250+$N251)),IF(OR($D258&gt;=1,$C256=0),0,IF($C$246=T259,$D257/($C256-$D258),1/($C256-$D258))))))</f>
        <v>0</v>
      </c>
      <c r="U260" s="1042">
        <f>IF(AND($C$943=4,$C$354=$U$351,$C$933=3,$C$314=$U$311),IF($N250+$N251-$C$350-$C$310&lt;=0,1,($C$350+$C$310)/($N250+$N251)),IF(AND($C$943=4,$C$354=$U$351),IF($N250+$N251-$C$350&lt;=0,1,$C$350/($N250+$N251)),IF(AND($C$933=4,$C$314=$U$311),IF($N250+$N251-$C$310&lt;=0,1,$C$310/($N250+$N251)),IF(OR($D258&gt;=2,$C256=0,T260=1),0,IF($C$246=U259,$D257/($C256-$D258),IF(T260+(1/($C256-$D258))&gt;1,1-T260,1/($C256-$D258)))))))</f>
        <v>0</v>
      </c>
      <c r="V260" s="1042">
        <f>IF(OR($D258&gt;=3,$C256=0,SUM($T260:U260)&gt;=1),0,IF($C$246=V259,$D257/($C256-$D258),IF(SUM($T260:U260)+(1/($C256-$D258))&gt;1,1-SUM($T260:U260),1/($C256-$D258))))</f>
        <v>0</v>
      </c>
      <c r="W260" s="1042">
        <f>IF(OR($D258&gt;=4,$C256=0,SUM($T260:V260)&gt;=1),0,IF($C$246=W259,$D257/($C256-$D258),IF(SUM($T260:V260)+(1/($C256-$D258))&gt;1,1-SUM($T260:V260),1/($C256-$D258))))</f>
        <v>0</v>
      </c>
      <c r="X260" s="1042">
        <f>IF(OR($D258&gt;=5,$C256=0,SUM($T260:W260)&gt;=1),0,IF($C$246=X259,$D257/($C256-$D258),IF(SUM($T260:W260)+(1/($C256-$D258))&gt;1,1-SUM($T260:W260),1/($C256-$D258))))</f>
        <v>0</v>
      </c>
      <c r="Y260" s="1042">
        <f>IF(OR($D258&gt;=6,$C256=0,SUM($T260:X260)&gt;=1),0,IF($C$246=Y259,$D257/($C256-$D258),IF(SUM($T260:X260)+(1/($C256-$D258))&gt;1,1-SUM($T260:X260),1/($C256-$D258))))</f>
        <v>0</v>
      </c>
      <c r="Z260" s="1042">
        <f>IF(OR($D258&gt;=7,$C256=0,SUM($T260:Y260)&gt;=1),0,IF($C$246=Z259,$D257/($C256-$D258),IF(SUM($T260:Y260)+(1/($C256-$D258))&gt;1,1-SUM($T260:Y260),1/($C256-$D258))))</f>
        <v>0</v>
      </c>
      <c r="AA260" s="1042">
        <f>IF(OR($D258&gt;=8,$C256=0,SUM($T260:Z260)&gt;=1),0,IF($C$246=AA259,$D257/($C256-$D258),IF(SUM($T260:Z260)+(1/($C256-$D258))&gt;1,1-SUM($T260:Z260),1/($C256-$D258))))</f>
        <v>0</v>
      </c>
      <c r="AB260" s="1042">
        <f>IF(OR($D258&gt;=9,$C256=0,SUM($T260:AA260)&gt;=1),0,IF($C$246=AB259,$D257/($C256-$D258),IF(SUM($T260:AA260)+(1/($C256-$D258))&gt;1,1-SUM($T260:AA260),1/($C256-$D258))))</f>
        <v>0</v>
      </c>
      <c r="AC260" s="1042">
        <f>IF(OR($D258&gt;=10,$C256=0,SUM($T260:AB260)&gt;=1),0,IF($C$246=AC259,$D257/($C256-$D258),IF(SUM($T260:AB260)+(1/($C256-$D258))&gt;1,1-SUM($T260:AB260),1/($C256-$D258))))</f>
        <v>0</v>
      </c>
      <c r="AD260" s="1043">
        <f>IF(OR($D258&gt;=11,$C256=0,SUM($T260:AC260)&gt;=1),0,IF($C$246=AD259,$D257/($C256-$D258),IF(SUM($T260:AC260)+(1/($C256-$D258))&gt;1,1-SUM($T260:AC260),1/($C256-$D258))))</f>
        <v>0</v>
      </c>
      <c r="AE260" s="1043">
        <f>IF(OR($D258&gt;=11,$C256=0,SUM($T260:AD260)&gt;=1),0,IF($C$246=AE259,$D257/($C256-$D258),IF(SUM($T260:AD260)+(1/($C256-$D258))&gt;1,1-SUM($T260:AD260),1/($C256-$D258))))</f>
        <v>0</v>
      </c>
      <c r="AF260" s="1043">
        <f>IF(OR($D258&gt;=11,$C256=0,SUM($T260:AE260)&gt;=1),0,IF($C$246=AF259,$D257/($C256-$D258),IF(SUM($T260:AE260)+(1/($C256-$D258))&gt;1,1-SUM($T260:AE260),1/($C256-$D258))))</f>
        <v>0</v>
      </c>
      <c r="AG260" s="1043">
        <f>IF(OR($D258&gt;=11,$C256=0,SUM($T260:AF260)&gt;=1),0,IF($C$246=AG259,$D257/($C256-$D258),IF(SUM($T260:AF260)+(1/($C256-$D258))&gt;1,1-SUM($T260:AF260),1/($C256-$D258))))</f>
        <v>0</v>
      </c>
      <c r="AH260" s="1043">
        <f>IF(OR($D258&gt;=11,$C256=0,SUM($T260:AG260)&gt;=1),0,IF($C$246=AH259,$D257/($C256-$D258),IF(SUM($T260:AG260)+(1/($C256-$D258))&gt;1,1-SUM($T260:AG260),1/($C256-$D258))))</f>
        <v>0</v>
      </c>
      <c r="AI260" s="1043">
        <f>IF(OR($D258&gt;=11,$C256=0,SUM($T260:AH260)&gt;=1),0,IF($C$246=AI259,$D257/($C256-$D258),IF(SUM($T260:AH260)+(1/($C256-$D258))&gt;1,1-SUM($T260:AH260),1/($C256-$D258))))</f>
        <v>0</v>
      </c>
      <c r="AJ260" s="778"/>
      <c r="AN260" s="497"/>
      <c r="AO260" s="497"/>
      <c r="AP260" s="497"/>
      <c r="AQ260" s="497"/>
    </row>
    <row r="261" spans="1:43" s="496" customFormat="1" ht="12.75" x14ac:dyDescent="0.2">
      <c r="A261" s="499"/>
      <c r="B261" s="1044" t="s">
        <v>1276</v>
      </c>
      <c r="C261" s="495"/>
      <c r="E261" s="495"/>
      <c r="H261" s="495"/>
      <c r="I261" s="495"/>
      <c r="J261" s="495"/>
      <c r="K261" s="495"/>
      <c r="M261" s="500"/>
      <c r="N261" s="495"/>
      <c r="P261" s="500"/>
      <c r="Q261" s="495"/>
      <c r="S261" s="500"/>
      <c r="T261" s="1045">
        <f>SUM(N262:N263)*T260</f>
        <v>0</v>
      </c>
      <c r="U261" s="1045">
        <f>SUM($N262:$N263)*U260</f>
        <v>0</v>
      </c>
      <c r="V261" s="1045">
        <f>SUM($N262:$N263)*V260</f>
        <v>0</v>
      </c>
      <c r="W261" s="1045">
        <f t="shared" ref="W261:AI261" si="228">IF(SUM($N262:$N263)*W260&gt;U263,U263,SUM($N262:$N263)*W260)</f>
        <v>0</v>
      </c>
      <c r="X261" s="1045">
        <f t="shared" si="228"/>
        <v>0</v>
      </c>
      <c r="Y261" s="1045">
        <f t="shared" si="228"/>
        <v>0</v>
      </c>
      <c r="Z261" s="1045">
        <f t="shared" si="228"/>
        <v>0</v>
      </c>
      <c r="AA261" s="1045">
        <f t="shared" si="228"/>
        <v>0</v>
      </c>
      <c r="AB261" s="1045">
        <f t="shared" si="228"/>
        <v>0</v>
      </c>
      <c r="AC261" s="1045">
        <f t="shared" si="228"/>
        <v>0</v>
      </c>
      <c r="AD261" s="1046">
        <f t="shared" si="228"/>
        <v>0</v>
      </c>
      <c r="AE261" s="1046">
        <f t="shared" si="228"/>
        <v>0</v>
      </c>
      <c r="AF261" s="1046">
        <f t="shared" si="228"/>
        <v>0</v>
      </c>
      <c r="AG261" s="1046">
        <f t="shared" si="228"/>
        <v>0</v>
      </c>
      <c r="AH261" s="1046">
        <f t="shared" si="228"/>
        <v>0</v>
      </c>
      <c r="AI261" s="1046">
        <f t="shared" si="228"/>
        <v>0</v>
      </c>
      <c r="AJ261" s="778"/>
      <c r="AN261" s="497"/>
      <c r="AO261" s="497"/>
      <c r="AP261" s="497"/>
      <c r="AQ261" s="497"/>
    </row>
    <row r="262" spans="1:43" s="496" customFormat="1" ht="12.75" x14ac:dyDescent="0.2">
      <c r="A262" s="498"/>
      <c r="B262" s="1044" t="s">
        <v>1282</v>
      </c>
      <c r="C262" s="1047">
        <f>C38</f>
        <v>0</v>
      </c>
      <c r="E262" s="1048">
        <f>E38</f>
        <v>10</v>
      </c>
      <c r="H262" s="1048">
        <f>H38</f>
        <v>10</v>
      </c>
      <c r="I262" s="495"/>
      <c r="J262" s="495"/>
      <c r="K262" s="1048">
        <f>K38</f>
        <v>10</v>
      </c>
      <c r="M262" s="500"/>
      <c r="N262" s="1048">
        <f>N38</f>
        <v>10</v>
      </c>
      <c r="P262" s="500"/>
      <c r="Q262" s="1048">
        <f>Q38</f>
        <v>10</v>
      </c>
      <c r="S262" s="500"/>
      <c r="T262" s="1049">
        <f>SUM($N262:$N263)*U260</f>
        <v>0</v>
      </c>
      <c r="U262" s="1049">
        <f>SUM($N262:$N263)*V260</f>
        <v>0</v>
      </c>
      <c r="V262" s="1049">
        <f t="shared" ref="V262:AI262" si="229">IF(SUM($N262:$N263)*W260&gt;U263,U263,SUM($N262:$N263)*W260)</f>
        <v>0</v>
      </c>
      <c r="W262" s="1049">
        <f t="shared" si="229"/>
        <v>0</v>
      </c>
      <c r="X262" s="1049">
        <f t="shared" si="229"/>
        <v>0</v>
      </c>
      <c r="Y262" s="1049">
        <f t="shared" si="229"/>
        <v>0</v>
      </c>
      <c r="Z262" s="1049">
        <f t="shared" si="229"/>
        <v>0</v>
      </c>
      <c r="AA262" s="1049">
        <f t="shared" si="229"/>
        <v>0</v>
      </c>
      <c r="AB262" s="1049">
        <f t="shared" si="229"/>
        <v>0</v>
      </c>
      <c r="AC262" s="1049">
        <f t="shared" si="229"/>
        <v>0</v>
      </c>
      <c r="AD262" s="1050">
        <f t="shared" si="229"/>
        <v>0</v>
      </c>
      <c r="AE262" s="1050">
        <f t="shared" si="229"/>
        <v>0</v>
      </c>
      <c r="AF262" s="1050">
        <f t="shared" si="229"/>
        <v>0</v>
      </c>
      <c r="AG262" s="1050">
        <f t="shared" si="229"/>
        <v>0</v>
      </c>
      <c r="AH262" s="1050">
        <f t="shared" si="229"/>
        <v>0</v>
      </c>
      <c r="AI262" s="1050">
        <f t="shared" si="229"/>
        <v>0</v>
      </c>
      <c r="AJ262" s="778"/>
      <c r="AN262" s="497"/>
      <c r="AO262" s="497"/>
      <c r="AP262" s="497"/>
      <c r="AQ262" s="497"/>
    </row>
    <row r="263" spans="1:43" s="496" customFormat="1" ht="12.75" x14ac:dyDescent="0.2">
      <c r="A263" s="498"/>
      <c r="B263" s="1044" t="s">
        <v>1283</v>
      </c>
      <c r="C263" s="1051">
        <f>C50</f>
        <v>0</v>
      </c>
      <c r="E263" s="1052">
        <f>E50</f>
        <v>10</v>
      </c>
      <c r="H263" s="1052">
        <f>H50</f>
        <v>10</v>
      </c>
      <c r="I263" s="495"/>
      <c r="J263" s="495"/>
      <c r="K263" s="1052">
        <f>K50</f>
        <v>10</v>
      </c>
      <c r="M263" s="500"/>
      <c r="N263" s="1052">
        <f>N50</f>
        <v>10</v>
      </c>
      <c r="P263" s="500"/>
      <c r="Q263" s="1052">
        <f>Q50</f>
        <v>10</v>
      </c>
      <c r="S263" s="500"/>
      <c r="T263" s="1053">
        <f>IF(SUM($N262:$N263)-T261-T262&lt;0.005,0,SUM($N262:$N263)-T261-T262)</f>
        <v>20</v>
      </c>
      <c r="U263" s="1053">
        <f t="shared" ref="U263:AI263" si="230">IF(SUM(T262:T263)-U261-U262&lt;0.005,0,SUM(T262:T263)-U261-U262)</f>
        <v>20</v>
      </c>
      <c r="V263" s="1053">
        <f t="shared" si="230"/>
        <v>20</v>
      </c>
      <c r="W263" s="1053">
        <f t="shared" si="230"/>
        <v>20</v>
      </c>
      <c r="X263" s="1053">
        <f t="shared" si="230"/>
        <v>20</v>
      </c>
      <c r="Y263" s="1053">
        <f t="shared" si="230"/>
        <v>20</v>
      </c>
      <c r="Z263" s="1053">
        <f t="shared" si="230"/>
        <v>20</v>
      </c>
      <c r="AA263" s="1053">
        <f t="shared" si="230"/>
        <v>20</v>
      </c>
      <c r="AB263" s="1053">
        <f t="shared" si="230"/>
        <v>20</v>
      </c>
      <c r="AC263" s="1053">
        <f t="shared" si="230"/>
        <v>20</v>
      </c>
      <c r="AD263" s="1054">
        <f t="shared" si="230"/>
        <v>20</v>
      </c>
      <c r="AE263" s="1054">
        <f t="shared" si="230"/>
        <v>20</v>
      </c>
      <c r="AF263" s="1054">
        <f t="shared" si="230"/>
        <v>20</v>
      </c>
      <c r="AG263" s="1054">
        <f t="shared" si="230"/>
        <v>20</v>
      </c>
      <c r="AH263" s="1054">
        <f t="shared" si="230"/>
        <v>20</v>
      </c>
      <c r="AI263" s="1054">
        <f t="shared" si="230"/>
        <v>20</v>
      </c>
      <c r="AJ263" s="778"/>
      <c r="AN263" s="497"/>
      <c r="AO263" s="497"/>
      <c r="AP263" s="497"/>
      <c r="AQ263" s="497"/>
    </row>
    <row r="264" spans="1:43" s="1011" customFormat="1" ht="12.75" x14ac:dyDescent="0.25">
      <c r="A264" s="1004"/>
      <c r="B264" s="1044" t="s">
        <v>1284</v>
      </c>
      <c r="C264" s="1055">
        <f>IF(OR(C265=0,AND(C69=0,AN704=0)),0,C265/(AN704+C69))</f>
        <v>0</v>
      </c>
      <c r="D264" s="1006"/>
      <c r="E264" s="1056">
        <f>IF(OR(E265=0,AND(E69=0,AP704=0)),0,E265/(AP704+E69))</f>
        <v>0.08</v>
      </c>
      <c r="F264" s="1006"/>
      <c r="G264" s="1006"/>
      <c r="H264" s="1056">
        <f>IF(OR(H265=0,AND(H69=0,AS704=0)),0,H265/(AS704+H69))</f>
        <v>0.08</v>
      </c>
      <c r="I264" s="1006"/>
      <c r="J264" s="1006"/>
      <c r="K264" s="1056">
        <f>IF(OR(K265=0,AND(K69=0,AV704=0)),0,K265/(AV704+K69))</f>
        <v>0.08</v>
      </c>
      <c r="L264" s="1006"/>
      <c r="M264" s="1006"/>
      <c r="N264" s="1056">
        <f>IF(OR(N265=0,AND(N69=0,AY704=0)),0,N265/(AY704+N69))</f>
        <v>0.08</v>
      </c>
      <c r="O264" s="1006"/>
      <c r="P264" s="1006"/>
      <c r="Q264" s="1056">
        <f>IF(OR(Q265=0,AND(Q69=0,BB704=0)),0,Q265/(BB704+Q69))</f>
        <v>0.08</v>
      </c>
      <c r="R264" s="1006"/>
      <c r="S264" s="1006"/>
      <c r="T264" s="1057">
        <f>IF($N$71=0,0,C264*$C$241+E264*$E$241+H264*$H$241+N264*$N$241+Q264*$Q$241)</f>
        <v>8.0000000000000016E-2</v>
      </c>
      <c r="U264" s="1057">
        <f t="shared" ref="U264:AI264" si="231">T264</f>
        <v>8.0000000000000016E-2</v>
      </c>
      <c r="V264" s="1057">
        <f t="shared" si="231"/>
        <v>8.0000000000000016E-2</v>
      </c>
      <c r="W264" s="1057">
        <f t="shared" si="231"/>
        <v>8.0000000000000016E-2</v>
      </c>
      <c r="X264" s="1057">
        <f t="shared" si="231"/>
        <v>8.0000000000000016E-2</v>
      </c>
      <c r="Y264" s="1057">
        <f t="shared" si="231"/>
        <v>8.0000000000000016E-2</v>
      </c>
      <c r="Z264" s="1057">
        <f t="shared" si="231"/>
        <v>8.0000000000000016E-2</v>
      </c>
      <c r="AA264" s="1057">
        <f t="shared" si="231"/>
        <v>8.0000000000000016E-2</v>
      </c>
      <c r="AB264" s="1057">
        <f t="shared" si="231"/>
        <v>8.0000000000000016E-2</v>
      </c>
      <c r="AC264" s="1057">
        <f t="shared" si="231"/>
        <v>8.0000000000000016E-2</v>
      </c>
      <c r="AD264" s="1058">
        <f t="shared" si="231"/>
        <v>8.0000000000000016E-2</v>
      </c>
      <c r="AE264" s="1058">
        <f t="shared" si="231"/>
        <v>8.0000000000000016E-2</v>
      </c>
      <c r="AF264" s="1058">
        <f t="shared" si="231"/>
        <v>8.0000000000000016E-2</v>
      </c>
      <c r="AG264" s="1058">
        <f t="shared" si="231"/>
        <v>8.0000000000000016E-2</v>
      </c>
      <c r="AH264" s="1058">
        <f t="shared" si="231"/>
        <v>8.0000000000000016E-2</v>
      </c>
      <c r="AI264" s="1058">
        <f t="shared" si="231"/>
        <v>8.0000000000000016E-2</v>
      </c>
      <c r="AJ264" s="1010"/>
    </row>
    <row r="265" spans="1:43" s="496" customFormat="1" ht="13.5" thickBot="1" x14ac:dyDescent="0.25">
      <c r="A265" s="498"/>
      <c r="B265" s="1059" t="s">
        <v>1285</v>
      </c>
      <c r="C265" s="1060">
        <f>IF(AND(C45&lt;&gt;"DEUDAS CON SOCIOS C.P.",C54&lt;&gt;"DEUDAS CON SOCIOS L.P."),IF(AND(AN704=0,C69=0),0,C76*((C38+C50)/(AN704+C69))),IF(C45&lt;&gt;"DEUDAS CON SOCIOS C.P.",IF(AND(AN704=0,C69=0,C54=0),0,C76*((C38+C50)/(AN704+C69+C54))),IF(C54&lt;&gt;"DEUDAS CON SOCIOS L.P.",IF(AND(AN704=0,C69=0,C45=0),0,C76*((C38+C50)/(AN704+C69+C45))),IF(AND(AN704=0,C69=0,C45=0,C54=0),0,C76*((C38+C50)/(AN704+C69+C45+C54))))))</f>
        <v>0</v>
      </c>
      <c r="D265" s="1023"/>
      <c r="E265" s="1061">
        <f>IF(AND(E45&lt;&gt;"DEUDAS CON SOCIOS C.P.",E54&lt;&gt;"DEUDAS CON SOCIOS L.P."),IF(AND(AP704=0,E69=0),0,E76*((E38+E50)/(AP704+E69))),IF(E45&lt;&gt;"DEUDAS CON SOCIOS C.P.",IF(AND(AP704=0,E69=0,E54=0),0,E76*((E38+E50)/(AP704+E69+E54))),IF(E54&lt;&gt;"DEUDAS CON SOCIOS L.P.",IF(AND(AP704=0,E69=0,E45=0),0,E76*((E38+E50)/(AP704+E69+E45))),IF(AND(AP704=0,E69=0,E45=0,E54=0),0,E76*((E38+E50)/(AP704+E69+E45+E54))))))</f>
        <v>4</v>
      </c>
      <c r="F265" s="1023"/>
      <c r="G265" s="1023"/>
      <c r="H265" s="1061">
        <f>IF(AND(H45&lt;&gt;"DEUDAS CON SOCIOS C.P.",H54&lt;&gt;"DEUDAS CON SOCIOS L.P."),IF(AND(AS704=0,H69=0),0,H76*((H38+H50)/(AS704+H69))),IF(H45&lt;&gt;"DEUDAS CON SOCIOS C.P.",IF(AND(AS704=0,H69=0,H54=0),0,H76*((H38+H50)/(AS704+H69+H54))),IF(H54&lt;&gt;"DEUDAS CON SOCIOS L.P.",IF(AND(AS704=0,H69=0,H45=0),0,H76*((H38+H50)/(AS704+H69+H45))),IF(AND(AS704=0,H69=0,H45=0,H54=0),0,H76*((H38+H50)/(AS704+H69+H45+H54))))))</f>
        <v>4</v>
      </c>
      <c r="I265" s="1062"/>
      <c r="J265" s="1062"/>
      <c r="K265" s="1061">
        <f>IF(AND(K45&lt;&gt;"DEUDAS CON SOCIOS C.P.",K54&lt;&gt;"DEUDAS CON SOCIOS L.P."),IF(AND(AV704=0,K69=0),0,K76*((K38+K50)/(AV704+K69))),IF(K45&lt;&gt;"DEUDAS CON SOCIOS C.P.",IF(AND(AV704=0,K69=0,K54=0),0,K76*((K38+K50)/(AV704+K69+K54))),IF(K54&lt;&gt;"DEUDAS CON SOCIOS L.P.",IF(AND(AV704=0,K69=0,K45=0),0,K76*((K38+K50)/(AV704+K69+K45))),IF(AND(AV704=0,K69=0,K45=0,K54=0),0,K76*((K38+K50)/(AV704+K69+K45+K54))))))</f>
        <v>4</v>
      </c>
      <c r="L265" s="1023"/>
      <c r="M265" s="1063"/>
      <c r="N265" s="1061">
        <f>IF(AND(N45&lt;&gt;"DEUDAS CON SOCIOS C.P.",N54&lt;&gt;"DEUDAS CON SOCIOS L.P."),IF(AND(AY704=0,N69=0),0,N76*((N38+N50)/(AY704+N69))),IF(N45&lt;&gt;"DEUDAS CON SOCIOS C.P.",IF(AND(AY704=0,N69=0,N54=0),0,N76*((N38+N50)/(AY704+N69+N54))),IF(N54&lt;&gt;"DEUDAS CON SOCIOS L.P.",IF(AND(AY704=0,N69=0,N45=0),0,N76*((N38+N50)/(AY704+N69+N45))),IF(AND(AY704=0,N69=0,N45=0,N54=0),0,N76*((N38+N50)/(AY704+N69+N45+N54))))))</f>
        <v>4</v>
      </c>
      <c r="O265" s="1023"/>
      <c r="P265" s="1063"/>
      <c r="Q265" s="1061">
        <f>IF(AND(Q45&lt;&gt;"DEUDAS CON SOCIOS C.P.",Q54&lt;&gt;"DEUDAS CON SOCIOS L.P."),IF(AND(BB704=0,Q69=0),0,Q76*((Q38+Q50)/(BB704+Q69))),IF(Q45&lt;&gt;"DEUDAS CON SOCIOS C.P.",IF(AND(BB704=0,Q69=0,Q54=0),0,Q76*((Q38+Q50)/(BB704+Q69+Q54))),IF(Q54&lt;&gt;"DEUDAS CON SOCIOS L.P.",IF(AND(BB704=0,Q69=0,Q45=0),0,Q76*((Q38+Q50)/(BB704+Q69+Q45))),IF(AND(BB704=0,Q69=0,Q45=0,Q54=0),0,Q76*((Q38+Q50)/(BB704+Q69+Q45+Q54))))))</f>
        <v>4</v>
      </c>
      <c r="R265" s="1023"/>
      <c r="S265" s="1063"/>
      <c r="T265" s="1064">
        <f>(N262+N263)*T264</f>
        <v>1.6000000000000003</v>
      </c>
      <c r="U265" s="1064">
        <f t="shared" ref="U265:AI265" si="232">(T263+T262)*U264</f>
        <v>1.6000000000000003</v>
      </c>
      <c r="V265" s="1064">
        <f t="shared" si="232"/>
        <v>1.6000000000000003</v>
      </c>
      <c r="W265" s="1064">
        <f t="shared" si="232"/>
        <v>1.6000000000000003</v>
      </c>
      <c r="X265" s="1064">
        <f t="shared" si="232"/>
        <v>1.6000000000000003</v>
      </c>
      <c r="Y265" s="1064">
        <f t="shared" si="232"/>
        <v>1.6000000000000003</v>
      </c>
      <c r="Z265" s="1064">
        <f t="shared" si="232"/>
        <v>1.6000000000000003</v>
      </c>
      <c r="AA265" s="1064">
        <f t="shared" si="232"/>
        <v>1.6000000000000003</v>
      </c>
      <c r="AB265" s="1064">
        <f t="shared" si="232"/>
        <v>1.6000000000000003</v>
      </c>
      <c r="AC265" s="1064">
        <f t="shared" si="232"/>
        <v>1.6000000000000003</v>
      </c>
      <c r="AD265" s="1065">
        <f t="shared" si="232"/>
        <v>1.6000000000000003</v>
      </c>
      <c r="AE265" s="1065">
        <f t="shared" si="232"/>
        <v>1.6000000000000003</v>
      </c>
      <c r="AF265" s="1065">
        <f t="shared" si="232"/>
        <v>1.6000000000000003</v>
      </c>
      <c r="AG265" s="1065">
        <f t="shared" si="232"/>
        <v>1.6000000000000003</v>
      </c>
      <c r="AH265" s="1065">
        <f t="shared" si="232"/>
        <v>1.6000000000000003</v>
      </c>
      <c r="AI265" s="1065">
        <f t="shared" si="232"/>
        <v>1.6000000000000003</v>
      </c>
      <c r="AJ265" s="778"/>
      <c r="AN265" s="497"/>
      <c r="AO265" s="497"/>
      <c r="AP265" s="497"/>
      <c r="AQ265" s="497"/>
    </row>
    <row r="266" spans="1:43" s="1011" customFormat="1" ht="13.5" thickBot="1" x14ac:dyDescent="0.3">
      <c r="A266" s="1004"/>
      <c r="B266" s="603"/>
      <c r="C266" s="1066"/>
      <c r="D266" s="1006"/>
      <c r="E266" s="1066"/>
      <c r="F266" s="1006"/>
      <c r="G266" s="1006"/>
      <c r="H266" s="1066"/>
      <c r="I266" s="1006"/>
      <c r="J266" s="1006"/>
      <c r="K266" s="1066"/>
      <c r="L266" s="1006"/>
      <c r="M266" s="1006"/>
      <c r="N266" s="1066"/>
      <c r="O266" s="1006"/>
      <c r="P266" s="1006"/>
      <c r="Q266" s="1066"/>
      <c r="R266" s="1006"/>
      <c r="S266" s="1006"/>
      <c r="T266" s="1067"/>
      <c r="U266" s="1067"/>
      <c r="V266" s="1067"/>
      <c r="W266" s="1067"/>
      <c r="X266" s="1067"/>
      <c r="Y266" s="1067"/>
      <c r="Z266" s="1067"/>
      <c r="AA266" s="1067"/>
      <c r="AB266" s="1067"/>
      <c r="AC266" s="1067"/>
      <c r="AD266" s="1067"/>
      <c r="AE266" s="1006"/>
      <c r="AF266" s="1068"/>
      <c r="AG266" s="1006"/>
      <c r="AH266" s="1006"/>
      <c r="AI266" s="1006"/>
      <c r="AJ266" s="1010"/>
    </row>
    <row r="267" spans="1:43" s="1011" customFormat="1" ht="13.5" thickBot="1" x14ac:dyDescent="0.3">
      <c r="A267" s="1004"/>
      <c r="B267" s="1069" t="s">
        <v>1286</v>
      </c>
      <c r="C267" s="1070"/>
      <c r="D267" s="1071"/>
      <c r="E267" s="1072"/>
      <c r="F267" s="1006"/>
      <c r="G267" s="1006"/>
      <c r="H267" s="1066"/>
      <c r="I267" s="1006"/>
      <c r="J267" s="1006"/>
      <c r="K267" s="1066"/>
      <c r="L267" s="1006"/>
      <c r="M267" s="1006"/>
      <c r="N267" s="1066"/>
      <c r="O267" s="1006"/>
      <c r="P267" s="1006"/>
      <c r="Q267" s="1066"/>
      <c r="R267" s="1006"/>
      <c r="S267" s="1006"/>
      <c r="T267" s="1006"/>
      <c r="U267" s="1006"/>
      <c r="V267" s="1006"/>
      <c r="W267" s="1006"/>
      <c r="X267" s="1006"/>
      <c r="Y267" s="1006"/>
      <c r="Z267" s="1006"/>
      <c r="AA267" s="1006"/>
      <c r="AB267" s="1006"/>
      <c r="AC267" s="1006"/>
      <c r="AD267" s="1006"/>
      <c r="AE267" s="1006"/>
      <c r="AF267" s="1071"/>
      <c r="AG267" s="1006"/>
      <c r="AH267" s="1006"/>
      <c r="AI267" s="1006"/>
      <c r="AJ267" s="1010"/>
    </row>
    <row r="268" spans="1:43" s="1011" customFormat="1" ht="12.75" x14ac:dyDescent="0.25">
      <c r="A268" s="1004"/>
      <c r="B268" s="1073"/>
      <c r="C268" s="1066"/>
      <c r="D268" s="1006"/>
      <c r="E268" s="1066"/>
      <c r="F268" s="1074"/>
      <c r="G268" s="1074"/>
      <c r="H268" s="1075"/>
      <c r="I268" s="1074"/>
      <c r="J268" s="1074"/>
      <c r="K268" s="1075"/>
      <c r="L268" s="1074"/>
      <c r="M268" s="1074"/>
      <c r="N268" s="1075"/>
      <c r="O268" s="1074"/>
      <c r="P268" s="1074"/>
      <c r="Q268" s="1075"/>
      <c r="R268" s="1074"/>
      <c r="S268" s="1074"/>
      <c r="T268" s="1074"/>
      <c r="U268" s="1074"/>
      <c r="V268" s="1074"/>
      <c r="W268" s="1074"/>
      <c r="X268" s="1074"/>
      <c r="Y268" s="1074"/>
      <c r="Z268" s="1074"/>
      <c r="AA268" s="1074"/>
      <c r="AB268" s="1074"/>
      <c r="AC268" s="1074"/>
      <c r="AD268" s="1074"/>
      <c r="AE268" s="1076"/>
      <c r="AF268" s="1076"/>
      <c r="AG268" s="1076"/>
      <c r="AH268" s="1076"/>
      <c r="AI268" s="1077"/>
      <c r="AJ268" s="1010"/>
    </row>
    <row r="269" spans="1:43" s="1011" customFormat="1" ht="12.75" x14ac:dyDescent="0.25">
      <c r="A269" s="1004"/>
      <c r="B269" s="1078" t="s">
        <v>1287</v>
      </c>
      <c r="C269" s="1079"/>
      <c r="D269" s="1080"/>
      <c r="E269" s="1080"/>
      <c r="F269" s="1080"/>
      <c r="G269" s="1080"/>
      <c r="H269" s="1080"/>
      <c r="I269" s="1080"/>
      <c r="J269" s="1080"/>
      <c r="K269" s="1080"/>
      <c r="L269" s="1080"/>
      <c r="M269" s="1080"/>
      <c r="N269" s="1080"/>
      <c r="O269" s="1080"/>
      <c r="P269" s="1080"/>
      <c r="Q269" s="1080"/>
      <c r="R269" s="1080"/>
      <c r="S269" s="1080"/>
      <c r="T269" s="1081" t="s">
        <v>1044</v>
      </c>
      <c r="U269" s="1081" t="s">
        <v>1044</v>
      </c>
      <c r="V269" s="1081" t="s">
        <v>1044</v>
      </c>
      <c r="W269" s="1081" t="s">
        <v>1044</v>
      </c>
      <c r="X269" s="1081" t="s">
        <v>1044</v>
      </c>
      <c r="Y269" s="1081" t="s">
        <v>1044</v>
      </c>
      <c r="Z269" s="1081" t="s">
        <v>1044</v>
      </c>
      <c r="AA269" s="1081" t="s">
        <v>1044</v>
      </c>
      <c r="AB269" s="1081" t="s">
        <v>1044</v>
      </c>
      <c r="AC269" s="1081" t="s">
        <v>1044</v>
      </c>
      <c r="AD269" s="1082" t="s">
        <v>1044</v>
      </c>
      <c r="AE269" s="1082" t="s">
        <v>1044</v>
      </c>
      <c r="AF269" s="1082" t="s">
        <v>1044</v>
      </c>
      <c r="AG269" s="1082" t="s">
        <v>1044</v>
      </c>
      <c r="AH269" s="1082" t="s">
        <v>1044</v>
      </c>
      <c r="AI269" s="1082" t="s">
        <v>1044</v>
      </c>
      <c r="AJ269" s="1010"/>
    </row>
    <row r="270" spans="1:43" s="1011" customFormat="1" ht="12.75" x14ac:dyDescent="0.25">
      <c r="A270" s="1004"/>
      <c r="B270" s="1083" t="s">
        <v>1288</v>
      </c>
      <c r="C270" s="1084"/>
      <c r="D270" s="1006"/>
      <c r="E270" s="1085">
        <f>E15</f>
        <v>2019</v>
      </c>
      <c r="F270" s="1006"/>
      <c r="G270" s="1006"/>
      <c r="H270" s="1085">
        <f>H15</f>
        <v>2020</v>
      </c>
      <c r="I270" s="1006"/>
      <c r="J270" s="1006"/>
      <c r="K270" s="1085">
        <f>K15</f>
        <v>2020</v>
      </c>
      <c r="L270" s="1006"/>
      <c r="M270" s="1006"/>
      <c r="N270" s="1085">
        <f>N15</f>
        <v>2021</v>
      </c>
      <c r="O270" s="1006"/>
      <c r="P270" s="1006"/>
      <c r="Q270" s="1085">
        <f>Q15</f>
        <v>2021</v>
      </c>
      <c r="R270" s="1006"/>
      <c r="S270" s="1006"/>
      <c r="T270" s="1085">
        <f t="shared" ref="T270:AI270" si="233">T15</f>
        <v>2022</v>
      </c>
      <c r="U270" s="1085">
        <f t="shared" si="233"/>
        <v>2023</v>
      </c>
      <c r="V270" s="1085">
        <f t="shared" si="233"/>
        <v>2024</v>
      </c>
      <c r="W270" s="1085">
        <f t="shared" si="233"/>
        <v>2025</v>
      </c>
      <c r="X270" s="1085">
        <f t="shared" si="233"/>
        <v>2026</v>
      </c>
      <c r="Y270" s="1085">
        <f t="shared" si="233"/>
        <v>2027</v>
      </c>
      <c r="Z270" s="1085">
        <f t="shared" si="233"/>
        <v>2028</v>
      </c>
      <c r="AA270" s="1085">
        <f t="shared" si="233"/>
        <v>2029</v>
      </c>
      <c r="AB270" s="1085">
        <f t="shared" si="233"/>
        <v>2030</v>
      </c>
      <c r="AC270" s="1085">
        <f t="shared" si="233"/>
        <v>2031</v>
      </c>
      <c r="AD270" s="1086">
        <f t="shared" si="233"/>
        <v>2032</v>
      </c>
      <c r="AE270" s="1086">
        <f t="shared" si="233"/>
        <v>2033</v>
      </c>
      <c r="AF270" s="1086">
        <f t="shared" si="233"/>
        <v>2034</v>
      </c>
      <c r="AG270" s="1086">
        <f t="shared" si="233"/>
        <v>2035</v>
      </c>
      <c r="AH270" s="1086">
        <f t="shared" si="233"/>
        <v>2036</v>
      </c>
      <c r="AI270" s="1086">
        <f t="shared" si="233"/>
        <v>2037</v>
      </c>
      <c r="AJ270" s="1010"/>
    </row>
    <row r="271" spans="1:43" s="1011" customFormat="1" ht="12.75" x14ac:dyDescent="0.25">
      <c r="A271" s="1004"/>
      <c r="B271" s="1087" t="s">
        <v>1289</v>
      </c>
      <c r="C271" s="1066"/>
      <c r="D271" s="1006"/>
      <c r="E271" s="1088">
        <f>IF(C251+C250=0,0,((E251+E250)/(C251+C250))-1)</f>
        <v>0</v>
      </c>
      <c r="F271" s="1006"/>
      <c r="G271" s="1006"/>
      <c r="H271" s="1088">
        <f>IF(E251+E250=0,0,((H251+H250)/(E251+E250))-1)</f>
        <v>0</v>
      </c>
      <c r="I271" s="1006"/>
      <c r="J271" s="1006"/>
      <c r="K271" s="1088">
        <f>IF(H251+H250=0,0,((K251+K250)/(H251+H250))-1)</f>
        <v>0</v>
      </c>
      <c r="L271" s="1006"/>
      <c r="M271" s="1006"/>
      <c r="N271" s="1088">
        <f>IF(H251+H250=0,0,((N251+N250)/(H251+H250))-1)</f>
        <v>0</v>
      </c>
      <c r="O271" s="1006"/>
      <c r="P271" s="1006"/>
      <c r="Q271" s="1088">
        <f>IF(N251+N250=0,0,((Q251+Q250)/(N251+N250))-1)</f>
        <v>0</v>
      </c>
      <c r="R271" s="1006"/>
      <c r="S271" s="1006"/>
      <c r="T271" s="1089">
        <f>IF($N$71=0,0,C271*$C$241+E271*$E$241+H271*$H$241+N271*$N$241+Q271*$Q$241)</f>
        <v>0</v>
      </c>
      <c r="U271" s="1089">
        <f t="shared" ref="U271:AI271" si="234">T271</f>
        <v>0</v>
      </c>
      <c r="V271" s="1089">
        <f t="shared" si="234"/>
        <v>0</v>
      </c>
      <c r="W271" s="1089">
        <f t="shared" si="234"/>
        <v>0</v>
      </c>
      <c r="X271" s="1089">
        <f t="shared" si="234"/>
        <v>0</v>
      </c>
      <c r="Y271" s="1089">
        <f t="shared" si="234"/>
        <v>0</v>
      </c>
      <c r="Z271" s="1089">
        <f t="shared" si="234"/>
        <v>0</v>
      </c>
      <c r="AA271" s="1089">
        <f t="shared" si="234"/>
        <v>0</v>
      </c>
      <c r="AB271" s="1089">
        <f t="shared" si="234"/>
        <v>0</v>
      </c>
      <c r="AC271" s="1089">
        <f t="shared" si="234"/>
        <v>0</v>
      </c>
      <c r="AD271" s="1090">
        <f t="shared" si="234"/>
        <v>0</v>
      </c>
      <c r="AE271" s="1090">
        <f t="shared" si="234"/>
        <v>0</v>
      </c>
      <c r="AF271" s="1090">
        <f t="shared" si="234"/>
        <v>0</v>
      </c>
      <c r="AG271" s="1090">
        <f t="shared" si="234"/>
        <v>0</v>
      </c>
      <c r="AH271" s="1090">
        <f t="shared" si="234"/>
        <v>0</v>
      </c>
      <c r="AI271" s="1090">
        <f t="shared" si="234"/>
        <v>0</v>
      </c>
      <c r="AJ271" s="1010"/>
    </row>
    <row r="272" spans="1:43" s="1011" customFormat="1" ht="12.75" x14ac:dyDescent="0.25">
      <c r="A272" s="1004"/>
      <c r="B272" s="1087" t="s">
        <v>1290</v>
      </c>
      <c r="C272" s="1066"/>
      <c r="D272" s="1006"/>
      <c r="E272" s="1066"/>
      <c r="F272" s="1006"/>
      <c r="G272" s="1006"/>
      <c r="H272" s="1066"/>
      <c r="I272" s="1006"/>
      <c r="J272" s="1006"/>
      <c r="K272" s="1066"/>
      <c r="L272" s="1006"/>
      <c r="M272" s="1006"/>
      <c r="N272" s="1066"/>
      <c r="O272" s="1006"/>
      <c r="P272" s="1006"/>
      <c r="Q272" s="1066"/>
      <c r="R272" s="1006"/>
      <c r="S272" s="1006"/>
      <c r="T272" s="1091">
        <f>IF(OR($C$270=0,T271&lt;=0),0,(N250+N251)*T271)</f>
        <v>0</v>
      </c>
      <c r="U272" s="1091">
        <f t="shared" ref="U272:AI272" si="235">IF(OR($C$270=0,U271&lt;=0),0,(T250+T251)*U271)</f>
        <v>0</v>
      </c>
      <c r="V272" s="1091">
        <f t="shared" si="235"/>
        <v>0</v>
      </c>
      <c r="W272" s="1091">
        <f t="shared" si="235"/>
        <v>0</v>
      </c>
      <c r="X272" s="1091">
        <f t="shared" si="235"/>
        <v>0</v>
      </c>
      <c r="Y272" s="1091">
        <f t="shared" si="235"/>
        <v>0</v>
      </c>
      <c r="Z272" s="1091">
        <f t="shared" si="235"/>
        <v>0</v>
      </c>
      <c r="AA272" s="1091">
        <f t="shared" si="235"/>
        <v>0</v>
      </c>
      <c r="AB272" s="1091">
        <f t="shared" si="235"/>
        <v>0</v>
      </c>
      <c r="AC272" s="1091">
        <f t="shared" si="235"/>
        <v>0</v>
      </c>
      <c r="AD272" s="1092">
        <f t="shared" si="235"/>
        <v>0</v>
      </c>
      <c r="AE272" s="1092">
        <f t="shared" si="235"/>
        <v>0</v>
      </c>
      <c r="AF272" s="1092">
        <f t="shared" si="235"/>
        <v>0</v>
      </c>
      <c r="AG272" s="1092">
        <f t="shared" si="235"/>
        <v>0</v>
      </c>
      <c r="AH272" s="1092">
        <f t="shared" si="235"/>
        <v>0</v>
      </c>
      <c r="AI272" s="1092">
        <f t="shared" si="235"/>
        <v>0</v>
      </c>
      <c r="AJ272" s="1010"/>
    </row>
    <row r="273" spans="1:36" s="1011" customFormat="1" ht="12.75" x14ac:dyDescent="0.25">
      <c r="A273" s="1004"/>
      <c r="B273" s="1093" t="s">
        <v>1291</v>
      </c>
      <c r="C273" s="1066"/>
      <c r="D273" s="1006"/>
      <c r="E273" s="1066"/>
      <c r="F273" s="1006"/>
      <c r="G273" s="1006"/>
      <c r="H273" s="1066"/>
      <c r="I273" s="1006"/>
      <c r="J273" s="1006"/>
      <c r="K273" s="1066"/>
      <c r="L273" s="1006"/>
      <c r="M273" s="1006"/>
      <c r="N273" s="1066"/>
      <c r="O273" s="1006"/>
      <c r="P273" s="1006"/>
      <c r="Q273" s="1066"/>
      <c r="R273" s="1006"/>
      <c r="S273" s="1006"/>
      <c r="T273" s="1094">
        <f t="shared" ref="T273:AI273" si="236">IF($C$270=0,0,T272/$C$270)</f>
        <v>0</v>
      </c>
      <c r="U273" s="1094">
        <f t="shared" si="236"/>
        <v>0</v>
      </c>
      <c r="V273" s="1094">
        <f t="shared" si="236"/>
        <v>0</v>
      </c>
      <c r="W273" s="1094">
        <f t="shared" si="236"/>
        <v>0</v>
      </c>
      <c r="X273" s="1094">
        <f t="shared" si="236"/>
        <v>0</v>
      </c>
      <c r="Y273" s="1094">
        <f t="shared" si="236"/>
        <v>0</v>
      </c>
      <c r="Z273" s="1094">
        <f t="shared" si="236"/>
        <v>0</v>
      </c>
      <c r="AA273" s="1094">
        <f t="shared" si="236"/>
        <v>0</v>
      </c>
      <c r="AB273" s="1094">
        <f t="shared" si="236"/>
        <v>0</v>
      </c>
      <c r="AC273" s="1094">
        <f t="shared" si="236"/>
        <v>0</v>
      </c>
      <c r="AD273" s="1095">
        <f t="shared" si="236"/>
        <v>0</v>
      </c>
      <c r="AE273" s="1095">
        <f t="shared" si="236"/>
        <v>0</v>
      </c>
      <c r="AF273" s="1095">
        <f t="shared" si="236"/>
        <v>0</v>
      </c>
      <c r="AG273" s="1095">
        <f t="shared" si="236"/>
        <v>0</v>
      </c>
      <c r="AH273" s="1095">
        <f t="shared" si="236"/>
        <v>0</v>
      </c>
      <c r="AI273" s="1095">
        <f t="shared" si="236"/>
        <v>0</v>
      </c>
      <c r="AJ273" s="1010"/>
    </row>
    <row r="274" spans="1:36" s="1011" customFormat="1" ht="12.75" x14ac:dyDescent="0.25">
      <c r="A274" s="1004"/>
      <c r="B274" s="1093" t="s">
        <v>1292</v>
      </c>
      <c r="C274" s="1066"/>
      <c r="D274" s="1006"/>
      <c r="E274" s="1066"/>
      <c r="F274" s="1006"/>
      <c r="G274" s="1006"/>
      <c r="H274" s="1066"/>
      <c r="I274" s="1006"/>
      <c r="J274" s="1006"/>
      <c r="K274" s="1066"/>
      <c r="L274" s="1006"/>
      <c r="M274" s="1006"/>
      <c r="N274" s="1066"/>
      <c r="O274" s="1006"/>
      <c r="P274" s="1006"/>
      <c r="Q274" s="1066"/>
      <c r="R274" s="1006"/>
      <c r="S274" s="1006"/>
      <c r="T274" s="1094">
        <f>T273</f>
        <v>0</v>
      </c>
      <c r="U274" s="1094">
        <f t="shared" ref="U274:AI274" si="237">IF(U273=0,T274,U273)</f>
        <v>0</v>
      </c>
      <c r="V274" s="1094">
        <f t="shared" si="237"/>
        <v>0</v>
      </c>
      <c r="W274" s="1094">
        <f t="shared" si="237"/>
        <v>0</v>
      </c>
      <c r="X274" s="1094">
        <f t="shared" si="237"/>
        <v>0</v>
      </c>
      <c r="Y274" s="1094">
        <f t="shared" si="237"/>
        <v>0</v>
      </c>
      <c r="Z274" s="1094">
        <f t="shared" si="237"/>
        <v>0</v>
      </c>
      <c r="AA274" s="1094">
        <f t="shared" si="237"/>
        <v>0</v>
      </c>
      <c r="AB274" s="1094">
        <f t="shared" si="237"/>
        <v>0</v>
      </c>
      <c r="AC274" s="1094">
        <f t="shared" si="237"/>
        <v>0</v>
      </c>
      <c r="AD274" s="1095">
        <f t="shared" si="237"/>
        <v>0</v>
      </c>
      <c r="AE274" s="1095">
        <f t="shared" si="237"/>
        <v>0</v>
      </c>
      <c r="AF274" s="1095">
        <f t="shared" si="237"/>
        <v>0</v>
      </c>
      <c r="AG274" s="1095">
        <f t="shared" si="237"/>
        <v>0</v>
      </c>
      <c r="AH274" s="1095">
        <f t="shared" si="237"/>
        <v>0</v>
      </c>
      <c r="AI274" s="1095">
        <f t="shared" si="237"/>
        <v>0</v>
      </c>
      <c r="AJ274" s="1010"/>
    </row>
    <row r="275" spans="1:36" s="1011" customFormat="1" ht="12.75" x14ac:dyDescent="0.25">
      <c r="A275" s="1004"/>
      <c r="B275" s="1087" t="s">
        <v>1293</v>
      </c>
      <c r="C275" s="1066"/>
      <c r="D275" s="1006"/>
      <c r="E275" s="1066"/>
      <c r="F275" s="1006"/>
      <c r="G275" s="1006"/>
      <c r="H275" s="1066"/>
      <c r="I275" s="1006"/>
      <c r="J275" s="1006"/>
      <c r="K275" s="1066"/>
      <c r="L275" s="1006"/>
      <c r="M275" s="1006"/>
      <c r="N275" s="1066"/>
      <c r="O275" s="1006"/>
      <c r="P275" s="1006"/>
      <c r="Q275" s="1066"/>
      <c r="R275" s="1006"/>
      <c r="S275" s="1006"/>
      <c r="T275" s="1094">
        <f>IF($C$270=0,0,VLOOKUP($C$270,$S$280:$AI$290,2,0))</f>
        <v>0</v>
      </c>
      <c r="U275" s="1094">
        <f>IF($C$270=0,0,VLOOKUP($C$270,$S$280:$AI$290,3,0))</f>
        <v>0</v>
      </c>
      <c r="V275" s="1094">
        <f>IF($C$270=0,0,VLOOKUP($C$270,$S$280:$AI$290,4,0))</f>
        <v>0</v>
      </c>
      <c r="W275" s="1094">
        <f>IF($C$270=0,0,VLOOKUP($C$270,$S$280:$AI$290,5,0))</f>
        <v>0</v>
      </c>
      <c r="X275" s="1094">
        <f>IF($C$270=0,0,VLOOKUP($C$270,$S$280:$AI$290,6,0))</f>
        <v>0</v>
      </c>
      <c r="Y275" s="1094">
        <f>IF($C$270=0,0,VLOOKUP($C$270,$S$280:$AI$290,7,0))</f>
        <v>0</v>
      </c>
      <c r="Z275" s="1094">
        <f>IF($C$270=0,0,VLOOKUP($C$270,$S$280:$AI$290,8,0))</f>
        <v>0</v>
      </c>
      <c r="AA275" s="1094">
        <f>IF($C$270=0,0,VLOOKUP($C$270,$S$280:$AI$290,9,0))</f>
        <v>0</v>
      </c>
      <c r="AB275" s="1094">
        <f>IF($C$270=0,0,VLOOKUP($C$270,$S$280:$AI$290,10,0))</f>
        <v>0</v>
      </c>
      <c r="AC275" s="1094">
        <f>IF($C$270=0,0,VLOOKUP($C$270,$S$280:$AI$290,11,0))</f>
        <v>0</v>
      </c>
      <c r="AD275" s="1095">
        <f t="shared" ref="AD275:AI275" si="238">IF($C$270=0,0,VLOOKUP($C$270,$S$280:$AI$290,12,0))</f>
        <v>0</v>
      </c>
      <c r="AE275" s="1095">
        <f t="shared" si="238"/>
        <v>0</v>
      </c>
      <c r="AF275" s="1095">
        <f t="shared" si="238"/>
        <v>0</v>
      </c>
      <c r="AG275" s="1095">
        <f t="shared" si="238"/>
        <v>0</v>
      </c>
      <c r="AH275" s="1095">
        <f t="shared" si="238"/>
        <v>0</v>
      </c>
      <c r="AI275" s="1095">
        <f t="shared" si="238"/>
        <v>0</v>
      </c>
      <c r="AJ275" s="1010"/>
    </row>
    <row r="276" spans="1:36" s="1011" customFormat="1" ht="12.75" x14ac:dyDescent="0.25">
      <c r="A276" s="1004"/>
      <c r="B276" s="1087" t="s">
        <v>1294</v>
      </c>
      <c r="C276" s="1066"/>
      <c r="D276" s="1006"/>
      <c r="E276" s="1066"/>
      <c r="F276" s="1006"/>
      <c r="G276" s="1006"/>
      <c r="H276" s="1066"/>
      <c r="I276" s="1006"/>
      <c r="J276" s="1006"/>
      <c r="K276" s="1066"/>
      <c r="L276" s="1006"/>
      <c r="M276" s="1006"/>
      <c r="N276" s="1066"/>
      <c r="O276" s="1006"/>
      <c r="P276" s="1006"/>
      <c r="Q276" s="1066"/>
      <c r="R276" s="1006"/>
      <c r="S276" s="1006"/>
      <c r="T276" s="1096">
        <f>T272-T275</f>
        <v>0</v>
      </c>
      <c r="U276" s="1096">
        <f t="shared" ref="U276:AI276" si="239">IF(T276+U272-U275&lt;=0.05,0,T276+U272-U275)</f>
        <v>0</v>
      </c>
      <c r="V276" s="1096">
        <f t="shared" si="239"/>
        <v>0</v>
      </c>
      <c r="W276" s="1096">
        <f t="shared" si="239"/>
        <v>0</v>
      </c>
      <c r="X276" s="1096">
        <f t="shared" si="239"/>
        <v>0</v>
      </c>
      <c r="Y276" s="1096">
        <f t="shared" si="239"/>
        <v>0</v>
      </c>
      <c r="Z276" s="1096">
        <f t="shared" si="239"/>
        <v>0</v>
      </c>
      <c r="AA276" s="1096">
        <f t="shared" si="239"/>
        <v>0</v>
      </c>
      <c r="AB276" s="1096">
        <f t="shared" si="239"/>
        <v>0</v>
      </c>
      <c r="AC276" s="1096">
        <f t="shared" si="239"/>
        <v>0</v>
      </c>
      <c r="AD276" s="1097">
        <f t="shared" si="239"/>
        <v>0</v>
      </c>
      <c r="AE276" s="1097">
        <f t="shared" si="239"/>
        <v>0</v>
      </c>
      <c r="AF276" s="1097">
        <f t="shared" si="239"/>
        <v>0</v>
      </c>
      <c r="AG276" s="1097">
        <f t="shared" si="239"/>
        <v>0</v>
      </c>
      <c r="AH276" s="1097">
        <f t="shared" si="239"/>
        <v>0</v>
      </c>
      <c r="AI276" s="1097">
        <f t="shared" si="239"/>
        <v>0</v>
      </c>
      <c r="AJ276" s="1010"/>
    </row>
    <row r="277" spans="1:36" s="1011" customFormat="1" ht="12.75" x14ac:dyDescent="0.25">
      <c r="A277" s="1004"/>
      <c r="B277" s="1087" t="s">
        <v>1295</v>
      </c>
      <c r="C277" s="1066"/>
      <c r="D277" s="1006"/>
      <c r="E277" s="1066"/>
      <c r="F277" s="1006"/>
      <c r="G277" s="1006"/>
      <c r="H277" s="1066"/>
      <c r="I277" s="1006"/>
      <c r="J277" s="1006"/>
      <c r="K277" s="1066"/>
      <c r="L277" s="1006"/>
      <c r="M277" s="1006"/>
      <c r="N277" s="1066"/>
      <c r="O277" s="1006"/>
      <c r="P277" s="1006"/>
      <c r="Q277" s="1066"/>
      <c r="R277" s="1006"/>
      <c r="S277" s="1006"/>
      <c r="T277" s="1098"/>
      <c r="U277" s="1099">
        <f>IF($N$71=0,0,C252*$C$241+E252*$E$241+H252*$H$241+N252*$N$241+Q252*$Q$241)</f>
        <v>8.0000000000000016E-2</v>
      </c>
      <c r="V277" s="1099">
        <f t="shared" ref="V277:AI277" si="240">U277</f>
        <v>8.0000000000000016E-2</v>
      </c>
      <c r="W277" s="1099">
        <f t="shared" si="240"/>
        <v>8.0000000000000016E-2</v>
      </c>
      <c r="X277" s="1099">
        <f t="shared" si="240"/>
        <v>8.0000000000000016E-2</v>
      </c>
      <c r="Y277" s="1099">
        <f t="shared" si="240"/>
        <v>8.0000000000000016E-2</v>
      </c>
      <c r="Z277" s="1099">
        <f t="shared" si="240"/>
        <v>8.0000000000000016E-2</v>
      </c>
      <c r="AA277" s="1099">
        <f t="shared" si="240"/>
        <v>8.0000000000000016E-2</v>
      </c>
      <c r="AB277" s="1099">
        <f t="shared" si="240"/>
        <v>8.0000000000000016E-2</v>
      </c>
      <c r="AC277" s="1099">
        <f t="shared" si="240"/>
        <v>8.0000000000000016E-2</v>
      </c>
      <c r="AD277" s="1100">
        <f t="shared" si="240"/>
        <v>8.0000000000000016E-2</v>
      </c>
      <c r="AE277" s="1100">
        <f t="shared" si="240"/>
        <v>8.0000000000000016E-2</v>
      </c>
      <c r="AF277" s="1100">
        <f t="shared" si="240"/>
        <v>8.0000000000000016E-2</v>
      </c>
      <c r="AG277" s="1100">
        <f t="shared" si="240"/>
        <v>8.0000000000000016E-2</v>
      </c>
      <c r="AH277" s="1100">
        <f t="shared" si="240"/>
        <v>8.0000000000000016E-2</v>
      </c>
      <c r="AI277" s="1100">
        <f t="shared" si="240"/>
        <v>8.0000000000000016E-2</v>
      </c>
      <c r="AJ277" s="1010"/>
    </row>
    <row r="278" spans="1:36" s="1011" customFormat="1" ht="12.75" x14ac:dyDescent="0.25">
      <c r="A278" s="1004"/>
      <c r="B278" s="1101" t="s">
        <v>1296</v>
      </c>
      <c r="C278" s="1066"/>
      <c r="D278" s="1006"/>
      <c r="E278" s="1066"/>
      <c r="F278" s="1006"/>
      <c r="G278" s="1006"/>
      <c r="H278" s="1066"/>
      <c r="I278" s="1006"/>
      <c r="J278" s="1006"/>
      <c r="K278" s="1066"/>
      <c r="L278" s="1006"/>
      <c r="M278" s="1006"/>
      <c r="N278" s="1066"/>
      <c r="O278" s="1006"/>
      <c r="P278" s="1006"/>
      <c r="Q278" s="1066"/>
      <c r="R278" s="1006"/>
      <c r="S278" s="1006"/>
      <c r="T278" s="1098"/>
      <c r="U278" s="1102">
        <f t="shared" ref="U278:AI278" si="241">T276*U277</f>
        <v>0</v>
      </c>
      <c r="V278" s="1102">
        <f t="shared" si="241"/>
        <v>0</v>
      </c>
      <c r="W278" s="1102">
        <f t="shared" si="241"/>
        <v>0</v>
      </c>
      <c r="X278" s="1102">
        <f t="shared" si="241"/>
        <v>0</v>
      </c>
      <c r="Y278" s="1102">
        <f t="shared" si="241"/>
        <v>0</v>
      </c>
      <c r="Z278" s="1102">
        <f t="shared" si="241"/>
        <v>0</v>
      </c>
      <c r="AA278" s="1102">
        <f t="shared" si="241"/>
        <v>0</v>
      </c>
      <c r="AB278" s="1102">
        <f t="shared" si="241"/>
        <v>0</v>
      </c>
      <c r="AC278" s="1102">
        <f t="shared" si="241"/>
        <v>0</v>
      </c>
      <c r="AD278" s="1103">
        <f t="shared" si="241"/>
        <v>0</v>
      </c>
      <c r="AE278" s="1103">
        <f t="shared" si="241"/>
        <v>0</v>
      </c>
      <c r="AF278" s="1103">
        <f t="shared" si="241"/>
        <v>0</v>
      </c>
      <c r="AG278" s="1103">
        <f t="shared" si="241"/>
        <v>0</v>
      </c>
      <c r="AH278" s="1103">
        <f t="shared" si="241"/>
        <v>0</v>
      </c>
      <c r="AI278" s="1103">
        <f t="shared" si="241"/>
        <v>0</v>
      </c>
      <c r="AJ278" s="1010"/>
    </row>
    <row r="279" spans="1:36" s="1011" customFormat="1" ht="12.75" x14ac:dyDescent="0.25">
      <c r="A279" s="1004"/>
      <c r="B279" s="1104"/>
      <c r="C279" s="1066"/>
      <c r="D279" s="1006"/>
      <c r="E279" s="1066"/>
      <c r="F279" s="1006"/>
      <c r="G279" s="1006"/>
      <c r="H279" s="1066"/>
      <c r="I279" s="1006"/>
      <c r="J279" s="1006"/>
      <c r="K279" s="1066"/>
      <c r="L279" s="1006"/>
      <c r="M279" s="1006"/>
      <c r="N279" s="1066"/>
      <c r="O279" s="1006"/>
      <c r="P279" s="1006"/>
      <c r="Q279" s="1066"/>
      <c r="R279" s="1006"/>
      <c r="S279" s="1006"/>
      <c r="T279" s="1105" t="s">
        <v>1297</v>
      </c>
      <c r="U279" s="1105"/>
      <c r="V279" s="1105"/>
      <c r="W279" s="1105"/>
      <c r="X279" s="1105"/>
      <c r="Y279" s="1105"/>
      <c r="Z279" s="1105"/>
      <c r="AA279" s="1105"/>
      <c r="AB279" s="1105"/>
      <c r="AC279" s="1105"/>
      <c r="AD279" s="1105"/>
      <c r="AE279" s="1080"/>
      <c r="AF279" s="1080"/>
      <c r="AG279" s="1006"/>
      <c r="AH279" s="1006"/>
      <c r="AI279" s="1006"/>
      <c r="AJ279" s="1010"/>
    </row>
    <row r="280" spans="1:36" s="1011" customFormat="1" ht="12.75" x14ac:dyDescent="0.25">
      <c r="A280" s="1004"/>
      <c r="B280" s="1104"/>
      <c r="C280" s="1066"/>
      <c r="D280" s="1006"/>
      <c r="E280" s="1066"/>
      <c r="F280" s="1006"/>
      <c r="G280" s="1006"/>
      <c r="H280" s="1066"/>
      <c r="I280" s="1006"/>
      <c r="J280" s="1006"/>
      <c r="K280" s="1066"/>
      <c r="L280" s="1006"/>
      <c r="M280" s="1006"/>
      <c r="N280" s="1066"/>
      <c r="O280" s="1006"/>
      <c r="P280" s="1006"/>
      <c r="Q280" s="1066"/>
      <c r="R280" s="1006"/>
      <c r="S280" s="1106">
        <v>1</v>
      </c>
      <c r="T280" s="1107">
        <f t="shared" ref="T280:AI280" si="242">T273</f>
        <v>0</v>
      </c>
      <c r="U280" s="1107">
        <f t="shared" si="242"/>
        <v>0</v>
      </c>
      <c r="V280" s="1107">
        <f t="shared" si="242"/>
        <v>0</v>
      </c>
      <c r="W280" s="1107">
        <f t="shared" si="242"/>
        <v>0</v>
      </c>
      <c r="X280" s="1107">
        <f t="shared" si="242"/>
        <v>0</v>
      </c>
      <c r="Y280" s="1107">
        <f t="shared" si="242"/>
        <v>0</v>
      </c>
      <c r="Z280" s="1107">
        <f t="shared" si="242"/>
        <v>0</v>
      </c>
      <c r="AA280" s="1107">
        <f t="shared" si="242"/>
        <v>0</v>
      </c>
      <c r="AB280" s="1107">
        <f t="shared" si="242"/>
        <v>0</v>
      </c>
      <c r="AC280" s="1107">
        <f t="shared" si="242"/>
        <v>0</v>
      </c>
      <c r="AD280" s="1108">
        <f t="shared" si="242"/>
        <v>0</v>
      </c>
      <c r="AE280" s="1109">
        <f t="shared" si="242"/>
        <v>0</v>
      </c>
      <c r="AF280" s="1110">
        <f t="shared" si="242"/>
        <v>0</v>
      </c>
      <c r="AG280" s="1108">
        <f t="shared" si="242"/>
        <v>0</v>
      </c>
      <c r="AH280" s="1108">
        <f t="shared" si="242"/>
        <v>0</v>
      </c>
      <c r="AI280" s="1108">
        <f t="shared" si="242"/>
        <v>0</v>
      </c>
      <c r="AJ280" s="1010"/>
    </row>
    <row r="281" spans="1:36" s="1011" customFormat="1" ht="12.75" x14ac:dyDescent="0.25">
      <c r="A281" s="1004"/>
      <c r="B281" s="1104"/>
      <c r="C281" s="1066"/>
      <c r="D281" s="1006"/>
      <c r="E281" s="1066"/>
      <c r="F281" s="1006"/>
      <c r="G281" s="1006"/>
      <c r="H281" s="1066"/>
      <c r="I281" s="1006"/>
      <c r="J281" s="1006"/>
      <c r="K281" s="1066"/>
      <c r="L281" s="1006"/>
      <c r="M281" s="1006"/>
      <c r="N281" s="1066"/>
      <c r="O281" s="1006"/>
      <c r="P281" s="1006"/>
      <c r="Q281" s="1066"/>
      <c r="R281" s="1006"/>
      <c r="S281" s="1111">
        <v>2</v>
      </c>
      <c r="T281" s="1112">
        <f>T273</f>
        <v>0</v>
      </c>
      <c r="U281" s="1112">
        <f t="shared" ref="U281:AI281" si="243">SUM(T273:U273)</f>
        <v>0</v>
      </c>
      <c r="V281" s="1112">
        <f t="shared" si="243"/>
        <v>0</v>
      </c>
      <c r="W281" s="1112">
        <f t="shared" si="243"/>
        <v>0</v>
      </c>
      <c r="X281" s="1112">
        <f t="shared" si="243"/>
        <v>0</v>
      </c>
      <c r="Y281" s="1112">
        <f t="shared" si="243"/>
        <v>0</v>
      </c>
      <c r="Z281" s="1112">
        <f t="shared" si="243"/>
        <v>0</v>
      </c>
      <c r="AA281" s="1112">
        <f t="shared" si="243"/>
        <v>0</v>
      </c>
      <c r="AB281" s="1112">
        <f t="shared" si="243"/>
        <v>0</v>
      </c>
      <c r="AC281" s="1112">
        <f t="shared" si="243"/>
        <v>0</v>
      </c>
      <c r="AD281" s="1113">
        <f t="shared" si="243"/>
        <v>0</v>
      </c>
      <c r="AE281" s="1114">
        <f t="shared" si="243"/>
        <v>0</v>
      </c>
      <c r="AF281" s="1115">
        <f t="shared" si="243"/>
        <v>0</v>
      </c>
      <c r="AG281" s="1113">
        <f t="shared" si="243"/>
        <v>0</v>
      </c>
      <c r="AH281" s="1113">
        <f t="shared" si="243"/>
        <v>0</v>
      </c>
      <c r="AI281" s="1113">
        <f t="shared" si="243"/>
        <v>0</v>
      </c>
      <c r="AJ281" s="1010"/>
    </row>
    <row r="282" spans="1:36" s="1011" customFormat="1" ht="12.75" x14ac:dyDescent="0.25">
      <c r="A282" s="1004"/>
      <c r="B282" s="1104"/>
      <c r="C282" s="1066"/>
      <c r="D282" s="1006"/>
      <c r="E282" s="1066"/>
      <c r="F282" s="1006"/>
      <c r="G282" s="1006"/>
      <c r="H282" s="1066"/>
      <c r="I282" s="1006"/>
      <c r="J282" s="1006"/>
      <c r="K282" s="1066"/>
      <c r="L282" s="1006"/>
      <c r="M282" s="1006"/>
      <c r="N282" s="1066"/>
      <c r="O282" s="1006"/>
      <c r="P282" s="1006"/>
      <c r="Q282" s="1066"/>
      <c r="R282" s="1006"/>
      <c r="S282" s="1111">
        <v>3</v>
      </c>
      <c r="T282" s="1112">
        <f>T273</f>
        <v>0</v>
      </c>
      <c r="U282" s="1112">
        <f>SUM(T273:U273)</f>
        <v>0</v>
      </c>
      <c r="V282" s="1112">
        <f t="shared" ref="V282:AI282" si="244">SUM(T273:V273)</f>
        <v>0</v>
      </c>
      <c r="W282" s="1112">
        <f t="shared" si="244"/>
        <v>0</v>
      </c>
      <c r="X282" s="1112">
        <f t="shared" si="244"/>
        <v>0</v>
      </c>
      <c r="Y282" s="1112">
        <f t="shared" si="244"/>
        <v>0</v>
      </c>
      <c r="Z282" s="1112">
        <f t="shared" si="244"/>
        <v>0</v>
      </c>
      <c r="AA282" s="1112">
        <f t="shared" si="244"/>
        <v>0</v>
      </c>
      <c r="AB282" s="1112">
        <f t="shared" si="244"/>
        <v>0</v>
      </c>
      <c r="AC282" s="1112">
        <f t="shared" si="244"/>
        <v>0</v>
      </c>
      <c r="AD282" s="1113">
        <f t="shared" si="244"/>
        <v>0</v>
      </c>
      <c r="AE282" s="1114">
        <f t="shared" si="244"/>
        <v>0</v>
      </c>
      <c r="AF282" s="1115">
        <f t="shared" si="244"/>
        <v>0</v>
      </c>
      <c r="AG282" s="1113">
        <f t="shared" si="244"/>
        <v>0</v>
      </c>
      <c r="AH282" s="1113">
        <f t="shared" si="244"/>
        <v>0</v>
      </c>
      <c r="AI282" s="1113">
        <f t="shared" si="244"/>
        <v>0</v>
      </c>
      <c r="AJ282" s="1010"/>
    </row>
    <row r="283" spans="1:36" s="1011" customFormat="1" ht="12.75" x14ac:dyDescent="0.25">
      <c r="A283" s="1004"/>
      <c r="B283" s="1104"/>
      <c r="C283" s="1066"/>
      <c r="D283" s="1006"/>
      <c r="E283" s="1066"/>
      <c r="F283" s="1006"/>
      <c r="G283" s="1006"/>
      <c r="H283" s="1066"/>
      <c r="I283" s="1006"/>
      <c r="J283" s="1006"/>
      <c r="K283" s="1066"/>
      <c r="L283" s="1006"/>
      <c r="M283" s="1006"/>
      <c r="N283" s="1066"/>
      <c r="O283" s="1006"/>
      <c r="P283" s="1006"/>
      <c r="Q283" s="1066"/>
      <c r="R283" s="1006"/>
      <c r="S283" s="1111">
        <v>4</v>
      </c>
      <c r="T283" s="1112">
        <f>T273</f>
        <v>0</v>
      </c>
      <c r="U283" s="1112">
        <f>SUM(T273:U273)</f>
        <v>0</v>
      </c>
      <c r="V283" s="1112">
        <f>SUM(T273:V273)</f>
        <v>0</v>
      </c>
      <c r="W283" s="1112">
        <f t="shared" ref="W283:AI283" si="245">SUM(T273:W273)</f>
        <v>0</v>
      </c>
      <c r="X283" s="1112">
        <f t="shared" si="245"/>
        <v>0</v>
      </c>
      <c r="Y283" s="1112">
        <f t="shared" si="245"/>
        <v>0</v>
      </c>
      <c r="Z283" s="1112">
        <f t="shared" si="245"/>
        <v>0</v>
      </c>
      <c r="AA283" s="1112">
        <f t="shared" si="245"/>
        <v>0</v>
      </c>
      <c r="AB283" s="1112">
        <f t="shared" si="245"/>
        <v>0</v>
      </c>
      <c r="AC283" s="1112">
        <f t="shared" si="245"/>
        <v>0</v>
      </c>
      <c r="AD283" s="1113">
        <f t="shared" si="245"/>
        <v>0</v>
      </c>
      <c r="AE283" s="1114">
        <f t="shared" si="245"/>
        <v>0</v>
      </c>
      <c r="AF283" s="1115">
        <f t="shared" si="245"/>
        <v>0</v>
      </c>
      <c r="AG283" s="1113">
        <f t="shared" si="245"/>
        <v>0</v>
      </c>
      <c r="AH283" s="1113">
        <f t="shared" si="245"/>
        <v>0</v>
      </c>
      <c r="AI283" s="1113">
        <f t="shared" si="245"/>
        <v>0</v>
      </c>
      <c r="AJ283" s="1010"/>
    </row>
    <row r="284" spans="1:36" s="1011" customFormat="1" ht="12.75" x14ac:dyDescent="0.25">
      <c r="A284" s="1004"/>
      <c r="B284" s="1104"/>
      <c r="C284" s="1066"/>
      <c r="D284" s="1006"/>
      <c r="E284" s="1066"/>
      <c r="F284" s="1006"/>
      <c r="G284" s="1006"/>
      <c r="H284" s="1066"/>
      <c r="I284" s="1006"/>
      <c r="J284" s="1006"/>
      <c r="K284" s="1066"/>
      <c r="L284" s="1006"/>
      <c r="M284" s="1006"/>
      <c r="N284" s="1066"/>
      <c r="O284" s="1006"/>
      <c r="P284" s="1006"/>
      <c r="Q284" s="1066"/>
      <c r="R284" s="1006"/>
      <c r="S284" s="1111">
        <v>5</v>
      </c>
      <c r="T284" s="1112">
        <f>T273</f>
        <v>0</v>
      </c>
      <c r="U284" s="1112">
        <f>SUM(T273:U273)</f>
        <v>0</v>
      </c>
      <c r="V284" s="1112">
        <f>SUM(T273:V273)</f>
        <v>0</v>
      </c>
      <c r="W284" s="1112">
        <f>SUM(T273:W273)</f>
        <v>0</v>
      </c>
      <c r="X284" s="1112">
        <f t="shared" ref="X284:AI284" si="246">SUM(T273:X273)</f>
        <v>0</v>
      </c>
      <c r="Y284" s="1112">
        <f t="shared" si="246"/>
        <v>0</v>
      </c>
      <c r="Z284" s="1112">
        <f t="shared" si="246"/>
        <v>0</v>
      </c>
      <c r="AA284" s="1112">
        <f t="shared" si="246"/>
        <v>0</v>
      </c>
      <c r="AB284" s="1112">
        <f t="shared" si="246"/>
        <v>0</v>
      </c>
      <c r="AC284" s="1112">
        <f t="shared" si="246"/>
        <v>0</v>
      </c>
      <c r="AD284" s="1113">
        <f t="shared" si="246"/>
        <v>0</v>
      </c>
      <c r="AE284" s="1114">
        <f t="shared" si="246"/>
        <v>0</v>
      </c>
      <c r="AF284" s="1115">
        <f t="shared" si="246"/>
        <v>0</v>
      </c>
      <c r="AG284" s="1113">
        <f t="shared" si="246"/>
        <v>0</v>
      </c>
      <c r="AH284" s="1113">
        <f t="shared" si="246"/>
        <v>0</v>
      </c>
      <c r="AI284" s="1113">
        <f t="shared" si="246"/>
        <v>0</v>
      </c>
      <c r="AJ284" s="1010"/>
    </row>
    <row r="285" spans="1:36" s="1011" customFormat="1" ht="12.75" x14ac:dyDescent="0.25">
      <c r="A285" s="1004"/>
      <c r="B285" s="1104"/>
      <c r="C285" s="1066"/>
      <c r="D285" s="1006"/>
      <c r="E285" s="1066"/>
      <c r="F285" s="1006"/>
      <c r="G285" s="1006"/>
      <c r="H285" s="1066"/>
      <c r="I285" s="1006"/>
      <c r="J285" s="1006"/>
      <c r="K285" s="1066"/>
      <c r="L285" s="1006"/>
      <c r="M285" s="1006"/>
      <c r="N285" s="1066"/>
      <c r="O285" s="1006"/>
      <c r="P285" s="1006"/>
      <c r="Q285" s="1066"/>
      <c r="R285" s="1006"/>
      <c r="S285" s="1111">
        <v>6</v>
      </c>
      <c r="T285" s="1112">
        <f>T273</f>
        <v>0</v>
      </c>
      <c r="U285" s="1112">
        <f>SUM(T273:U273)</f>
        <v>0</v>
      </c>
      <c r="V285" s="1112">
        <f>SUM(T273:V273)</f>
        <v>0</v>
      </c>
      <c r="W285" s="1112">
        <f>SUM(T273:W273)</f>
        <v>0</v>
      </c>
      <c r="X285" s="1112">
        <f>SUM(T273:X273)</f>
        <v>0</v>
      </c>
      <c r="Y285" s="1112">
        <f t="shared" ref="Y285:AI285" si="247">SUM(T273:Y273)</f>
        <v>0</v>
      </c>
      <c r="Z285" s="1112">
        <f t="shared" si="247"/>
        <v>0</v>
      </c>
      <c r="AA285" s="1112">
        <f t="shared" si="247"/>
        <v>0</v>
      </c>
      <c r="AB285" s="1112">
        <f t="shared" si="247"/>
        <v>0</v>
      </c>
      <c r="AC285" s="1112">
        <f t="shared" si="247"/>
        <v>0</v>
      </c>
      <c r="AD285" s="1113">
        <f t="shared" si="247"/>
        <v>0</v>
      </c>
      <c r="AE285" s="1114">
        <f t="shared" si="247"/>
        <v>0</v>
      </c>
      <c r="AF285" s="1115">
        <f t="shared" si="247"/>
        <v>0</v>
      </c>
      <c r="AG285" s="1113">
        <f t="shared" si="247"/>
        <v>0</v>
      </c>
      <c r="AH285" s="1113">
        <f t="shared" si="247"/>
        <v>0</v>
      </c>
      <c r="AI285" s="1113">
        <f t="shared" si="247"/>
        <v>0</v>
      </c>
      <c r="AJ285" s="1010"/>
    </row>
    <row r="286" spans="1:36" s="1011" customFormat="1" ht="12.75" x14ac:dyDescent="0.25">
      <c r="A286" s="1004"/>
      <c r="B286" s="1104"/>
      <c r="C286" s="1066"/>
      <c r="D286" s="1006"/>
      <c r="E286" s="1066"/>
      <c r="F286" s="1006"/>
      <c r="G286" s="1006"/>
      <c r="H286" s="1066"/>
      <c r="I286" s="1006"/>
      <c r="J286" s="1006"/>
      <c r="K286" s="1066"/>
      <c r="L286" s="1006"/>
      <c r="M286" s="1006"/>
      <c r="N286" s="1066"/>
      <c r="O286" s="1006"/>
      <c r="P286" s="1006"/>
      <c r="Q286" s="1066"/>
      <c r="R286" s="1006"/>
      <c r="S286" s="1111">
        <v>7</v>
      </c>
      <c r="T286" s="1112">
        <f>T273</f>
        <v>0</v>
      </c>
      <c r="U286" s="1112">
        <f>SUM(T273:U273)</f>
        <v>0</v>
      </c>
      <c r="V286" s="1112">
        <f>SUM(T273:V273)</f>
        <v>0</v>
      </c>
      <c r="W286" s="1112">
        <f>SUM(T273:W273)</f>
        <v>0</v>
      </c>
      <c r="X286" s="1112">
        <f>SUM(T273:X273)</f>
        <v>0</v>
      </c>
      <c r="Y286" s="1112">
        <f>SUM(T273:Y273)</f>
        <v>0</v>
      </c>
      <c r="Z286" s="1112">
        <f t="shared" ref="Z286:AI286" si="248">SUM(T273:Z273)</f>
        <v>0</v>
      </c>
      <c r="AA286" s="1112">
        <f t="shared" si="248"/>
        <v>0</v>
      </c>
      <c r="AB286" s="1112">
        <f t="shared" si="248"/>
        <v>0</v>
      </c>
      <c r="AC286" s="1112">
        <f t="shared" si="248"/>
        <v>0</v>
      </c>
      <c r="AD286" s="1113">
        <f t="shared" si="248"/>
        <v>0</v>
      </c>
      <c r="AE286" s="1114">
        <f t="shared" si="248"/>
        <v>0</v>
      </c>
      <c r="AF286" s="1115">
        <f t="shared" si="248"/>
        <v>0</v>
      </c>
      <c r="AG286" s="1113">
        <f t="shared" si="248"/>
        <v>0</v>
      </c>
      <c r="AH286" s="1113">
        <f t="shared" si="248"/>
        <v>0</v>
      </c>
      <c r="AI286" s="1113">
        <f t="shared" si="248"/>
        <v>0</v>
      </c>
      <c r="AJ286" s="1010"/>
    </row>
    <row r="287" spans="1:36" s="1011" customFormat="1" ht="12.75" x14ac:dyDescent="0.25">
      <c r="A287" s="1004"/>
      <c r="B287" s="1104"/>
      <c r="C287" s="1066"/>
      <c r="D287" s="1006"/>
      <c r="E287" s="1066"/>
      <c r="F287" s="1006"/>
      <c r="G287" s="1006"/>
      <c r="H287" s="1066"/>
      <c r="I287" s="1006"/>
      <c r="J287" s="1006"/>
      <c r="K287" s="1066"/>
      <c r="L287" s="1006"/>
      <c r="M287" s="1006"/>
      <c r="N287" s="1066"/>
      <c r="O287" s="1006"/>
      <c r="P287" s="1006"/>
      <c r="Q287" s="1066"/>
      <c r="R287" s="1006"/>
      <c r="S287" s="1111">
        <v>8</v>
      </c>
      <c r="T287" s="1112">
        <f>T273</f>
        <v>0</v>
      </c>
      <c r="U287" s="1112">
        <f>SUM(T273:U273)</f>
        <v>0</v>
      </c>
      <c r="V287" s="1112">
        <f>SUM(T273:V273)</f>
        <v>0</v>
      </c>
      <c r="W287" s="1112">
        <f>SUM(T273:W273)</f>
        <v>0</v>
      </c>
      <c r="X287" s="1112">
        <f>SUM(T273:X273)</f>
        <v>0</v>
      </c>
      <c r="Y287" s="1112">
        <f>SUM(T273:Y273)</f>
        <v>0</v>
      </c>
      <c r="Z287" s="1112">
        <f>SUM(T273:Z273)</f>
        <v>0</v>
      </c>
      <c r="AA287" s="1112">
        <f t="shared" ref="AA287:AI287" si="249">SUM(T273:AA273)</f>
        <v>0</v>
      </c>
      <c r="AB287" s="1112">
        <f t="shared" si="249"/>
        <v>0</v>
      </c>
      <c r="AC287" s="1112">
        <f t="shared" si="249"/>
        <v>0</v>
      </c>
      <c r="AD287" s="1113">
        <f t="shared" si="249"/>
        <v>0</v>
      </c>
      <c r="AE287" s="1114">
        <f t="shared" si="249"/>
        <v>0</v>
      </c>
      <c r="AF287" s="1115">
        <f t="shared" si="249"/>
        <v>0</v>
      </c>
      <c r="AG287" s="1113">
        <f t="shared" si="249"/>
        <v>0</v>
      </c>
      <c r="AH287" s="1113">
        <f t="shared" si="249"/>
        <v>0</v>
      </c>
      <c r="AI287" s="1113">
        <f t="shared" si="249"/>
        <v>0</v>
      </c>
      <c r="AJ287" s="1010"/>
    </row>
    <row r="288" spans="1:36" s="1011" customFormat="1" ht="12.75" x14ac:dyDescent="0.25">
      <c r="A288" s="1004"/>
      <c r="B288" s="1104"/>
      <c r="C288" s="1066"/>
      <c r="D288" s="1006"/>
      <c r="E288" s="1066"/>
      <c r="F288" s="1006"/>
      <c r="G288" s="1006"/>
      <c r="H288" s="1066"/>
      <c r="I288" s="1006"/>
      <c r="J288" s="1006"/>
      <c r="K288" s="1066"/>
      <c r="L288" s="1006"/>
      <c r="M288" s="1006"/>
      <c r="N288" s="1066"/>
      <c r="O288" s="1006"/>
      <c r="P288" s="1006"/>
      <c r="Q288" s="1066"/>
      <c r="R288" s="1006"/>
      <c r="S288" s="1111">
        <v>9</v>
      </c>
      <c r="T288" s="1112">
        <f>T273</f>
        <v>0</v>
      </c>
      <c r="U288" s="1112">
        <f>SUM(T273:U273)</f>
        <v>0</v>
      </c>
      <c r="V288" s="1112">
        <f>SUM(T273:V273)</f>
        <v>0</v>
      </c>
      <c r="W288" s="1112">
        <f>SUM(T273:W273)</f>
        <v>0</v>
      </c>
      <c r="X288" s="1112">
        <f>SUM(T273:X273)</f>
        <v>0</v>
      </c>
      <c r="Y288" s="1112">
        <f>SUM(T273:Y273)</f>
        <v>0</v>
      </c>
      <c r="Z288" s="1112">
        <f>SUM(T273:Z273)</f>
        <v>0</v>
      </c>
      <c r="AA288" s="1112">
        <f>SUM(T273:AA273)</f>
        <v>0</v>
      </c>
      <c r="AB288" s="1112">
        <f>SUM(T273:AB273)</f>
        <v>0</v>
      </c>
      <c r="AC288" s="1112">
        <f>SUM(T273:AC273)</f>
        <v>0</v>
      </c>
      <c r="AD288" s="1113">
        <f t="shared" ref="AD288:AI288" si="250">SUM(T273:AD273)</f>
        <v>0</v>
      </c>
      <c r="AE288" s="1114">
        <f t="shared" si="250"/>
        <v>0</v>
      </c>
      <c r="AF288" s="1115">
        <f t="shared" si="250"/>
        <v>0</v>
      </c>
      <c r="AG288" s="1113">
        <f t="shared" si="250"/>
        <v>0</v>
      </c>
      <c r="AH288" s="1113">
        <f t="shared" si="250"/>
        <v>0</v>
      </c>
      <c r="AI288" s="1113">
        <f t="shared" si="250"/>
        <v>0</v>
      </c>
      <c r="AJ288" s="1010"/>
    </row>
    <row r="289" spans="1:36" s="1011" customFormat="1" ht="12.75" x14ac:dyDescent="0.25">
      <c r="A289" s="1004"/>
      <c r="B289" s="1104"/>
      <c r="C289" s="1066"/>
      <c r="D289" s="1006"/>
      <c r="E289" s="1066"/>
      <c r="F289" s="1006"/>
      <c r="G289" s="1006"/>
      <c r="H289" s="1066"/>
      <c r="I289" s="1006"/>
      <c r="J289" s="1006"/>
      <c r="K289" s="1066"/>
      <c r="L289" s="1006"/>
      <c r="M289" s="1006"/>
      <c r="N289" s="1066"/>
      <c r="O289" s="1006"/>
      <c r="P289" s="1006"/>
      <c r="Q289" s="1066"/>
      <c r="R289" s="1006"/>
      <c r="S289" s="1111">
        <v>10</v>
      </c>
      <c r="T289" s="1116">
        <f>T273</f>
        <v>0</v>
      </c>
      <c r="U289" s="1116">
        <f>SUM(T273:U273)</f>
        <v>0</v>
      </c>
      <c r="V289" s="1116">
        <f>SUM(T273:V273)</f>
        <v>0</v>
      </c>
      <c r="W289" s="1116">
        <f>SUM(T273:W273)</f>
        <v>0</v>
      </c>
      <c r="X289" s="1116">
        <f>SUM(T273:X273)</f>
        <v>0</v>
      </c>
      <c r="Y289" s="1116">
        <f>SUM(T273:Y273)</f>
        <v>0</v>
      </c>
      <c r="Z289" s="1116">
        <f>SUM(T273:Z273)</f>
        <v>0</v>
      </c>
      <c r="AA289" s="1116">
        <f>SUM(T273:AA273)</f>
        <v>0</v>
      </c>
      <c r="AB289" s="1116">
        <f>SUM(T273:AB273)</f>
        <v>0</v>
      </c>
      <c r="AC289" s="1116">
        <f>SUM(T273:AC273)</f>
        <v>0</v>
      </c>
      <c r="AD289" s="1117">
        <f t="shared" ref="AD289:AI289" si="251">SUM(T273:AD273)</f>
        <v>0</v>
      </c>
      <c r="AE289" s="1118">
        <f t="shared" si="251"/>
        <v>0</v>
      </c>
      <c r="AF289" s="1119">
        <f t="shared" si="251"/>
        <v>0</v>
      </c>
      <c r="AG289" s="1117">
        <f t="shared" si="251"/>
        <v>0</v>
      </c>
      <c r="AH289" s="1117">
        <f t="shared" si="251"/>
        <v>0</v>
      </c>
      <c r="AI289" s="1117">
        <f t="shared" si="251"/>
        <v>0</v>
      </c>
      <c r="AJ289" s="1010"/>
    </row>
    <row r="290" spans="1:36" s="1011" customFormat="1" ht="12.75" x14ac:dyDescent="0.25">
      <c r="A290" s="1004"/>
      <c r="B290" s="1104"/>
      <c r="C290" s="1066"/>
      <c r="D290" s="1006"/>
      <c r="E290" s="1066"/>
      <c r="F290" s="1006"/>
      <c r="G290" s="1006"/>
      <c r="H290" s="1066"/>
      <c r="I290" s="1006"/>
      <c r="J290" s="1006"/>
      <c r="K290" s="1066"/>
      <c r="L290" s="1006"/>
      <c r="M290" s="1006"/>
      <c r="N290" s="1066"/>
      <c r="O290" s="1006"/>
      <c r="P290" s="1006"/>
      <c r="Q290" s="1066"/>
      <c r="R290" s="1006"/>
      <c r="S290" s="1120">
        <v>11</v>
      </c>
      <c r="T290" s="1121">
        <f>T273</f>
        <v>0</v>
      </c>
      <c r="U290" s="1121">
        <f>SUM(T273:U273)</f>
        <v>0</v>
      </c>
      <c r="V290" s="1121">
        <f>SUM(T273:V273)</f>
        <v>0</v>
      </c>
      <c r="W290" s="1121">
        <f>SUM(T273:W273)</f>
        <v>0</v>
      </c>
      <c r="X290" s="1121">
        <f>SUM(T273:X273)</f>
        <v>0</v>
      </c>
      <c r="Y290" s="1121">
        <f>SUM(T273:Y273)</f>
        <v>0</v>
      </c>
      <c r="Z290" s="1121">
        <f>SUM(T273:Z273)</f>
        <v>0</v>
      </c>
      <c r="AA290" s="1121">
        <f>SUM(T273:AA273)</f>
        <v>0</v>
      </c>
      <c r="AB290" s="1121">
        <f>SUM(T273:AB273)</f>
        <v>0</v>
      </c>
      <c r="AC290" s="1121">
        <f>SUM(T273:AC273)</f>
        <v>0</v>
      </c>
      <c r="AD290" s="1122">
        <f t="shared" ref="AD290:AI290" si="252">SUM(T273:AD273)</f>
        <v>0</v>
      </c>
      <c r="AE290" s="1123">
        <f t="shared" si="252"/>
        <v>0</v>
      </c>
      <c r="AF290" s="1124">
        <f t="shared" si="252"/>
        <v>0</v>
      </c>
      <c r="AG290" s="1122">
        <f t="shared" si="252"/>
        <v>0</v>
      </c>
      <c r="AH290" s="1122">
        <f t="shared" si="252"/>
        <v>0</v>
      </c>
      <c r="AI290" s="1122">
        <f t="shared" si="252"/>
        <v>0</v>
      </c>
      <c r="AJ290" s="1010"/>
    </row>
    <row r="291" spans="1:36" s="1011" customFormat="1" ht="12.75" x14ac:dyDescent="0.25">
      <c r="A291" s="1004"/>
      <c r="B291" s="1104"/>
      <c r="C291" s="1066"/>
      <c r="D291" s="1006"/>
      <c r="E291" s="1066"/>
      <c r="F291" s="1006"/>
      <c r="G291" s="1006"/>
      <c r="H291" s="1066"/>
      <c r="I291" s="1006"/>
      <c r="J291" s="1006"/>
      <c r="K291" s="1066"/>
      <c r="L291" s="1006"/>
      <c r="M291" s="1006"/>
      <c r="N291" s="1066"/>
      <c r="O291" s="1006"/>
      <c r="P291" s="1006"/>
      <c r="Q291" s="1066"/>
      <c r="R291" s="1006"/>
      <c r="S291" s="1125"/>
      <c r="T291" s="1105" t="s">
        <v>1298</v>
      </c>
      <c r="U291" s="1105"/>
      <c r="V291" s="1105"/>
      <c r="W291" s="1105"/>
      <c r="X291" s="1105"/>
      <c r="Y291" s="1105"/>
      <c r="Z291" s="1105"/>
      <c r="AA291" s="1105"/>
      <c r="AB291" s="1105"/>
      <c r="AC291" s="1105"/>
      <c r="AD291" s="1105"/>
      <c r="AE291" s="1126"/>
      <c r="AF291" s="1105"/>
      <c r="AG291" s="1126"/>
      <c r="AH291" s="1105"/>
      <c r="AI291" s="1126"/>
      <c r="AJ291" s="1010"/>
    </row>
    <row r="292" spans="1:36" s="1011" customFormat="1" ht="12.75" x14ac:dyDescent="0.25">
      <c r="A292" s="1004"/>
      <c r="B292" s="1104"/>
      <c r="C292" s="1066"/>
      <c r="D292" s="1006"/>
      <c r="E292" s="1066"/>
      <c r="F292" s="1006"/>
      <c r="G292" s="1006"/>
      <c r="H292" s="1066"/>
      <c r="I292" s="1006"/>
      <c r="J292" s="1006"/>
      <c r="K292" s="1066"/>
      <c r="L292" s="1006"/>
      <c r="M292" s="1006"/>
      <c r="N292" s="1066"/>
      <c r="O292" s="1006"/>
      <c r="P292" s="1006"/>
      <c r="Q292" s="1066"/>
      <c r="R292" s="1006"/>
      <c r="S292" s="1106">
        <v>1</v>
      </c>
      <c r="T292" s="1107">
        <v>0</v>
      </c>
      <c r="U292" s="1107">
        <v>0</v>
      </c>
      <c r="V292" s="1107">
        <v>0</v>
      </c>
      <c r="W292" s="1107">
        <v>0</v>
      </c>
      <c r="X292" s="1107">
        <v>0</v>
      </c>
      <c r="Y292" s="1107">
        <v>0</v>
      </c>
      <c r="Z292" s="1107">
        <v>0</v>
      </c>
      <c r="AA292" s="1107">
        <v>0</v>
      </c>
      <c r="AB292" s="1107">
        <v>0</v>
      </c>
      <c r="AC292" s="1107"/>
      <c r="AD292" s="1108"/>
      <c r="AE292" s="1109"/>
      <c r="AF292" s="1110"/>
      <c r="AG292" s="1108"/>
      <c r="AH292" s="1108"/>
      <c r="AI292" s="1108"/>
      <c r="AJ292" s="1010"/>
    </row>
    <row r="293" spans="1:36" s="1011" customFormat="1" ht="12.75" x14ac:dyDescent="0.25">
      <c r="A293" s="1004"/>
      <c r="B293" s="1104"/>
      <c r="C293" s="1066"/>
      <c r="D293" s="1006"/>
      <c r="E293" s="1066"/>
      <c r="F293" s="1006"/>
      <c r="G293" s="1006"/>
      <c r="H293" s="1066"/>
      <c r="I293" s="1006"/>
      <c r="J293" s="1006"/>
      <c r="K293" s="1066"/>
      <c r="L293" s="1006"/>
      <c r="M293" s="1006"/>
      <c r="N293" s="1066"/>
      <c r="O293" s="1006"/>
      <c r="P293" s="1006"/>
      <c r="Q293" s="1066"/>
      <c r="R293" s="1006"/>
      <c r="S293" s="1111">
        <v>2</v>
      </c>
      <c r="T293" s="1112">
        <f t="shared" ref="T293:AI293" si="253">T273</f>
        <v>0</v>
      </c>
      <c r="U293" s="1112">
        <f t="shared" si="253"/>
        <v>0</v>
      </c>
      <c r="V293" s="1112">
        <f t="shared" si="253"/>
        <v>0</v>
      </c>
      <c r="W293" s="1112">
        <f t="shared" si="253"/>
        <v>0</v>
      </c>
      <c r="X293" s="1112">
        <f t="shared" si="253"/>
        <v>0</v>
      </c>
      <c r="Y293" s="1112">
        <f t="shared" si="253"/>
        <v>0</v>
      </c>
      <c r="Z293" s="1112">
        <f t="shared" si="253"/>
        <v>0</v>
      </c>
      <c r="AA293" s="1112">
        <f t="shared" si="253"/>
        <v>0</v>
      </c>
      <c r="AB293" s="1112">
        <f t="shared" si="253"/>
        <v>0</v>
      </c>
      <c r="AC293" s="1112">
        <f t="shared" si="253"/>
        <v>0</v>
      </c>
      <c r="AD293" s="1113">
        <f t="shared" si="253"/>
        <v>0</v>
      </c>
      <c r="AE293" s="1114">
        <f t="shared" si="253"/>
        <v>0</v>
      </c>
      <c r="AF293" s="1115">
        <f t="shared" si="253"/>
        <v>0</v>
      </c>
      <c r="AG293" s="1113">
        <f t="shared" si="253"/>
        <v>0</v>
      </c>
      <c r="AH293" s="1113">
        <f t="shared" si="253"/>
        <v>0</v>
      </c>
      <c r="AI293" s="1113">
        <f t="shared" si="253"/>
        <v>0</v>
      </c>
      <c r="AJ293" s="1010"/>
    </row>
    <row r="294" spans="1:36" s="1011" customFormat="1" ht="12.75" x14ac:dyDescent="0.25">
      <c r="A294" s="1004"/>
      <c r="B294" s="1104"/>
      <c r="C294" s="1066"/>
      <c r="D294" s="1006"/>
      <c r="E294" s="1066"/>
      <c r="F294" s="1006"/>
      <c r="G294" s="1006"/>
      <c r="H294" s="1066"/>
      <c r="I294" s="1006"/>
      <c r="J294" s="1006"/>
      <c r="K294" s="1066"/>
      <c r="L294" s="1006"/>
      <c r="M294" s="1006"/>
      <c r="N294" s="1066"/>
      <c r="O294" s="1006"/>
      <c r="P294" s="1006"/>
      <c r="Q294" s="1066"/>
      <c r="R294" s="1006"/>
      <c r="S294" s="1111">
        <v>3</v>
      </c>
      <c r="T294" s="1112">
        <f>T273</f>
        <v>0</v>
      </c>
      <c r="U294" s="1112">
        <f t="shared" ref="U294:AI294" si="254">SUM(T273:U273)</f>
        <v>0</v>
      </c>
      <c r="V294" s="1112">
        <f t="shared" si="254"/>
        <v>0</v>
      </c>
      <c r="W294" s="1112">
        <f t="shared" si="254"/>
        <v>0</v>
      </c>
      <c r="X294" s="1112">
        <f t="shared" si="254"/>
        <v>0</v>
      </c>
      <c r="Y294" s="1112">
        <f t="shared" si="254"/>
        <v>0</v>
      </c>
      <c r="Z294" s="1112">
        <f t="shared" si="254"/>
        <v>0</v>
      </c>
      <c r="AA294" s="1112">
        <f t="shared" si="254"/>
        <v>0</v>
      </c>
      <c r="AB294" s="1112">
        <f t="shared" si="254"/>
        <v>0</v>
      </c>
      <c r="AC294" s="1112">
        <f t="shared" si="254"/>
        <v>0</v>
      </c>
      <c r="AD294" s="1113">
        <f t="shared" si="254"/>
        <v>0</v>
      </c>
      <c r="AE294" s="1114">
        <f t="shared" si="254"/>
        <v>0</v>
      </c>
      <c r="AF294" s="1115">
        <f t="shared" si="254"/>
        <v>0</v>
      </c>
      <c r="AG294" s="1113">
        <f t="shared" si="254"/>
        <v>0</v>
      </c>
      <c r="AH294" s="1113">
        <f t="shared" si="254"/>
        <v>0</v>
      </c>
      <c r="AI294" s="1113">
        <f t="shared" si="254"/>
        <v>0</v>
      </c>
      <c r="AJ294" s="1010"/>
    </row>
    <row r="295" spans="1:36" s="1011" customFormat="1" ht="12.75" x14ac:dyDescent="0.25">
      <c r="A295" s="1004"/>
      <c r="B295" s="1104"/>
      <c r="C295" s="1066"/>
      <c r="D295" s="1006"/>
      <c r="E295" s="1066"/>
      <c r="F295" s="1006"/>
      <c r="G295" s="1006"/>
      <c r="H295" s="1066"/>
      <c r="I295" s="1006"/>
      <c r="J295" s="1006"/>
      <c r="K295" s="1066"/>
      <c r="L295" s="1006"/>
      <c r="M295" s="1006"/>
      <c r="N295" s="1066"/>
      <c r="O295" s="1006"/>
      <c r="P295" s="1006"/>
      <c r="Q295" s="1066"/>
      <c r="R295" s="1006"/>
      <c r="S295" s="1111">
        <v>4</v>
      </c>
      <c r="T295" s="1112">
        <f>T273</f>
        <v>0</v>
      </c>
      <c r="U295" s="1112">
        <f>SUM(T273:U273)</f>
        <v>0</v>
      </c>
      <c r="V295" s="1112">
        <f t="shared" ref="V295:AI295" si="255">SUM(T273:V273)</f>
        <v>0</v>
      </c>
      <c r="W295" s="1112">
        <f t="shared" si="255"/>
        <v>0</v>
      </c>
      <c r="X295" s="1112">
        <f t="shared" si="255"/>
        <v>0</v>
      </c>
      <c r="Y295" s="1112">
        <f t="shared" si="255"/>
        <v>0</v>
      </c>
      <c r="Z295" s="1112">
        <f t="shared" si="255"/>
        <v>0</v>
      </c>
      <c r="AA295" s="1112">
        <f t="shared" si="255"/>
        <v>0</v>
      </c>
      <c r="AB295" s="1112">
        <f t="shared" si="255"/>
        <v>0</v>
      </c>
      <c r="AC295" s="1112">
        <f t="shared" si="255"/>
        <v>0</v>
      </c>
      <c r="AD295" s="1113">
        <f t="shared" si="255"/>
        <v>0</v>
      </c>
      <c r="AE295" s="1114">
        <f t="shared" si="255"/>
        <v>0</v>
      </c>
      <c r="AF295" s="1115">
        <f t="shared" si="255"/>
        <v>0</v>
      </c>
      <c r="AG295" s="1113">
        <f t="shared" si="255"/>
        <v>0</v>
      </c>
      <c r="AH295" s="1113">
        <f t="shared" si="255"/>
        <v>0</v>
      </c>
      <c r="AI295" s="1113">
        <f t="shared" si="255"/>
        <v>0</v>
      </c>
      <c r="AJ295" s="1010"/>
    </row>
    <row r="296" spans="1:36" s="1011" customFormat="1" ht="12.75" x14ac:dyDescent="0.25">
      <c r="A296" s="1004"/>
      <c r="B296" s="1104"/>
      <c r="C296" s="1066"/>
      <c r="D296" s="1006"/>
      <c r="E296" s="1066"/>
      <c r="F296" s="1006"/>
      <c r="G296" s="1006"/>
      <c r="H296" s="1066"/>
      <c r="I296" s="1006"/>
      <c r="J296" s="1006"/>
      <c r="K296" s="1066"/>
      <c r="L296" s="1006"/>
      <c r="M296" s="1006"/>
      <c r="N296" s="1066"/>
      <c r="O296" s="1006"/>
      <c r="P296" s="1006"/>
      <c r="Q296" s="1066"/>
      <c r="R296" s="1006"/>
      <c r="S296" s="1111">
        <v>5</v>
      </c>
      <c r="T296" s="1112">
        <f>T273</f>
        <v>0</v>
      </c>
      <c r="U296" s="1112">
        <f>SUM(T273:U273)</f>
        <v>0</v>
      </c>
      <c r="V296" s="1112">
        <f>SUM(T273:V273)</f>
        <v>0</v>
      </c>
      <c r="W296" s="1112">
        <f t="shared" ref="W296:AI296" si="256">SUM(T273:W273)</f>
        <v>0</v>
      </c>
      <c r="X296" s="1112">
        <f t="shared" si="256"/>
        <v>0</v>
      </c>
      <c r="Y296" s="1112">
        <f t="shared" si="256"/>
        <v>0</v>
      </c>
      <c r="Z296" s="1112">
        <f t="shared" si="256"/>
        <v>0</v>
      </c>
      <c r="AA296" s="1112">
        <f t="shared" si="256"/>
        <v>0</v>
      </c>
      <c r="AB296" s="1112">
        <f t="shared" si="256"/>
        <v>0</v>
      </c>
      <c r="AC296" s="1112">
        <f t="shared" si="256"/>
        <v>0</v>
      </c>
      <c r="AD296" s="1113">
        <f t="shared" si="256"/>
        <v>0</v>
      </c>
      <c r="AE296" s="1114">
        <f t="shared" si="256"/>
        <v>0</v>
      </c>
      <c r="AF296" s="1115">
        <f t="shared" si="256"/>
        <v>0</v>
      </c>
      <c r="AG296" s="1113">
        <f t="shared" si="256"/>
        <v>0</v>
      </c>
      <c r="AH296" s="1113">
        <f t="shared" si="256"/>
        <v>0</v>
      </c>
      <c r="AI296" s="1113">
        <f t="shared" si="256"/>
        <v>0</v>
      </c>
      <c r="AJ296" s="1010"/>
    </row>
    <row r="297" spans="1:36" s="1011" customFormat="1" ht="12.75" x14ac:dyDescent="0.25">
      <c r="A297" s="1004"/>
      <c r="B297" s="1104"/>
      <c r="C297" s="1066"/>
      <c r="D297" s="1006"/>
      <c r="E297" s="1066"/>
      <c r="F297" s="1006"/>
      <c r="G297" s="1006"/>
      <c r="H297" s="1066"/>
      <c r="I297" s="1006"/>
      <c r="J297" s="1006"/>
      <c r="K297" s="1066"/>
      <c r="L297" s="1006"/>
      <c r="M297" s="1006"/>
      <c r="N297" s="1066"/>
      <c r="O297" s="1006"/>
      <c r="P297" s="1006"/>
      <c r="Q297" s="1066"/>
      <c r="R297" s="1006"/>
      <c r="S297" s="1111">
        <v>6</v>
      </c>
      <c r="T297" s="1112">
        <f>T273</f>
        <v>0</v>
      </c>
      <c r="U297" s="1112">
        <f>SUM(T273:U273)</f>
        <v>0</v>
      </c>
      <c r="V297" s="1112">
        <f>SUM(T273:V273)</f>
        <v>0</v>
      </c>
      <c r="W297" s="1112">
        <f>SUM(T273:W273)</f>
        <v>0</v>
      </c>
      <c r="X297" s="1112">
        <f t="shared" ref="X297:AI297" si="257">SUM(T273:X273)</f>
        <v>0</v>
      </c>
      <c r="Y297" s="1112">
        <f t="shared" si="257"/>
        <v>0</v>
      </c>
      <c r="Z297" s="1112">
        <f t="shared" si="257"/>
        <v>0</v>
      </c>
      <c r="AA297" s="1112">
        <f t="shared" si="257"/>
        <v>0</v>
      </c>
      <c r="AB297" s="1112">
        <f t="shared" si="257"/>
        <v>0</v>
      </c>
      <c r="AC297" s="1112">
        <f t="shared" si="257"/>
        <v>0</v>
      </c>
      <c r="AD297" s="1113">
        <f t="shared" si="257"/>
        <v>0</v>
      </c>
      <c r="AE297" s="1114">
        <f t="shared" si="257"/>
        <v>0</v>
      </c>
      <c r="AF297" s="1115">
        <f t="shared" si="257"/>
        <v>0</v>
      </c>
      <c r="AG297" s="1113">
        <f t="shared" si="257"/>
        <v>0</v>
      </c>
      <c r="AH297" s="1113">
        <f t="shared" si="257"/>
        <v>0</v>
      </c>
      <c r="AI297" s="1113">
        <f t="shared" si="257"/>
        <v>0</v>
      </c>
      <c r="AJ297" s="1010"/>
    </row>
    <row r="298" spans="1:36" s="1011" customFormat="1" ht="12.75" x14ac:dyDescent="0.25">
      <c r="A298" s="1004"/>
      <c r="B298" s="1104"/>
      <c r="C298" s="1066"/>
      <c r="D298" s="1006"/>
      <c r="E298" s="1066"/>
      <c r="F298" s="1006"/>
      <c r="G298" s="1006"/>
      <c r="H298" s="1066"/>
      <c r="I298" s="1006"/>
      <c r="J298" s="1006"/>
      <c r="K298" s="1066"/>
      <c r="L298" s="1006"/>
      <c r="M298" s="1006"/>
      <c r="N298" s="1066"/>
      <c r="O298" s="1006"/>
      <c r="P298" s="1006"/>
      <c r="Q298" s="1066"/>
      <c r="R298" s="1006"/>
      <c r="S298" s="1111">
        <v>7</v>
      </c>
      <c r="T298" s="1112">
        <f>T273</f>
        <v>0</v>
      </c>
      <c r="U298" s="1112">
        <f>SUM(T273:U273)</f>
        <v>0</v>
      </c>
      <c r="V298" s="1112">
        <f>SUM(T273:V273)</f>
        <v>0</v>
      </c>
      <c r="W298" s="1112">
        <f>SUM(T273:W273)</f>
        <v>0</v>
      </c>
      <c r="X298" s="1112">
        <f>SUM(T273:X273)</f>
        <v>0</v>
      </c>
      <c r="Y298" s="1112">
        <f t="shared" ref="Y298:AI298" si="258">SUM(T273:Y273)</f>
        <v>0</v>
      </c>
      <c r="Z298" s="1112">
        <f t="shared" si="258"/>
        <v>0</v>
      </c>
      <c r="AA298" s="1112">
        <f t="shared" si="258"/>
        <v>0</v>
      </c>
      <c r="AB298" s="1112">
        <f t="shared" si="258"/>
        <v>0</v>
      </c>
      <c r="AC298" s="1112">
        <f t="shared" si="258"/>
        <v>0</v>
      </c>
      <c r="AD298" s="1113">
        <f t="shared" si="258"/>
        <v>0</v>
      </c>
      <c r="AE298" s="1114">
        <f t="shared" si="258"/>
        <v>0</v>
      </c>
      <c r="AF298" s="1115">
        <f t="shared" si="258"/>
        <v>0</v>
      </c>
      <c r="AG298" s="1113">
        <f t="shared" si="258"/>
        <v>0</v>
      </c>
      <c r="AH298" s="1113">
        <f t="shared" si="258"/>
        <v>0</v>
      </c>
      <c r="AI298" s="1113">
        <f t="shared" si="258"/>
        <v>0</v>
      </c>
      <c r="AJ298" s="1010"/>
    </row>
    <row r="299" spans="1:36" s="1011" customFormat="1" ht="12.75" x14ac:dyDescent="0.25">
      <c r="A299" s="1004"/>
      <c r="B299" s="1104"/>
      <c r="C299" s="1066"/>
      <c r="D299" s="1006"/>
      <c r="E299" s="1066"/>
      <c r="F299" s="1006"/>
      <c r="G299" s="1006"/>
      <c r="H299" s="1066"/>
      <c r="I299" s="1006"/>
      <c r="J299" s="1006"/>
      <c r="K299" s="1066"/>
      <c r="L299" s="1006"/>
      <c r="M299" s="1006"/>
      <c r="N299" s="1066"/>
      <c r="O299" s="1006"/>
      <c r="P299" s="1006"/>
      <c r="Q299" s="1066"/>
      <c r="R299" s="1006"/>
      <c r="S299" s="1111">
        <v>8</v>
      </c>
      <c r="T299" s="1112">
        <f>T273</f>
        <v>0</v>
      </c>
      <c r="U299" s="1112">
        <f>SUM(T273:U273)</f>
        <v>0</v>
      </c>
      <c r="V299" s="1112">
        <f>SUM(T273:V273)</f>
        <v>0</v>
      </c>
      <c r="W299" s="1112">
        <f>SUM(T273:W273)</f>
        <v>0</v>
      </c>
      <c r="X299" s="1112">
        <f>SUM(T273:X273)</f>
        <v>0</v>
      </c>
      <c r="Y299" s="1112">
        <f>SUM(T273:Y273)</f>
        <v>0</v>
      </c>
      <c r="Z299" s="1112">
        <f t="shared" ref="Z299:AI299" si="259">SUM(T273:Z273)</f>
        <v>0</v>
      </c>
      <c r="AA299" s="1112">
        <f t="shared" si="259"/>
        <v>0</v>
      </c>
      <c r="AB299" s="1112">
        <f t="shared" si="259"/>
        <v>0</v>
      </c>
      <c r="AC299" s="1112">
        <f t="shared" si="259"/>
        <v>0</v>
      </c>
      <c r="AD299" s="1113">
        <f t="shared" si="259"/>
        <v>0</v>
      </c>
      <c r="AE299" s="1114">
        <f t="shared" si="259"/>
        <v>0</v>
      </c>
      <c r="AF299" s="1115">
        <f t="shared" si="259"/>
        <v>0</v>
      </c>
      <c r="AG299" s="1113">
        <f t="shared" si="259"/>
        <v>0</v>
      </c>
      <c r="AH299" s="1113">
        <f t="shared" si="259"/>
        <v>0</v>
      </c>
      <c r="AI299" s="1113">
        <f t="shared" si="259"/>
        <v>0</v>
      </c>
      <c r="AJ299" s="1010"/>
    </row>
    <row r="300" spans="1:36" s="1011" customFormat="1" ht="12.75" x14ac:dyDescent="0.25">
      <c r="A300" s="1004"/>
      <c r="B300" s="1104"/>
      <c r="C300" s="1066"/>
      <c r="D300" s="1006"/>
      <c r="E300" s="1066"/>
      <c r="F300" s="1006"/>
      <c r="G300" s="1006"/>
      <c r="H300" s="1066"/>
      <c r="I300" s="1006"/>
      <c r="J300" s="1006"/>
      <c r="K300" s="1066"/>
      <c r="L300" s="1006"/>
      <c r="M300" s="1006"/>
      <c r="N300" s="1066"/>
      <c r="O300" s="1006"/>
      <c r="P300" s="1006"/>
      <c r="Q300" s="1066"/>
      <c r="R300" s="1006"/>
      <c r="S300" s="1111">
        <v>9</v>
      </c>
      <c r="T300" s="1112">
        <f>T273</f>
        <v>0</v>
      </c>
      <c r="U300" s="1112">
        <f>SUM(T273:U273)</f>
        <v>0</v>
      </c>
      <c r="V300" s="1112">
        <f>SUM(T273:V273)</f>
        <v>0</v>
      </c>
      <c r="W300" s="1112">
        <f>SUM(T273:W273)</f>
        <v>0</v>
      </c>
      <c r="X300" s="1112">
        <f>SUM(T273:X273)</f>
        <v>0</v>
      </c>
      <c r="Y300" s="1112">
        <f>SUM(T273:Y273)</f>
        <v>0</v>
      </c>
      <c r="Z300" s="1112">
        <f>SUM(T273:Z273)</f>
        <v>0</v>
      </c>
      <c r="AA300" s="1112">
        <f t="shared" ref="AA300:AI300" si="260">SUM(T273:AA273)</f>
        <v>0</v>
      </c>
      <c r="AB300" s="1112">
        <f t="shared" si="260"/>
        <v>0</v>
      </c>
      <c r="AC300" s="1112">
        <f t="shared" si="260"/>
        <v>0</v>
      </c>
      <c r="AD300" s="1113">
        <f t="shared" si="260"/>
        <v>0</v>
      </c>
      <c r="AE300" s="1114">
        <f t="shared" si="260"/>
        <v>0</v>
      </c>
      <c r="AF300" s="1115">
        <f t="shared" si="260"/>
        <v>0</v>
      </c>
      <c r="AG300" s="1113">
        <f t="shared" si="260"/>
        <v>0</v>
      </c>
      <c r="AH300" s="1113">
        <f t="shared" si="260"/>
        <v>0</v>
      </c>
      <c r="AI300" s="1113">
        <f t="shared" si="260"/>
        <v>0</v>
      </c>
      <c r="AJ300" s="1010"/>
    </row>
    <row r="301" spans="1:36" s="1011" customFormat="1" ht="12.75" x14ac:dyDescent="0.25">
      <c r="A301" s="1004"/>
      <c r="B301" s="1104"/>
      <c r="C301" s="1066"/>
      <c r="D301" s="1006"/>
      <c r="E301" s="1066"/>
      <c r="F301" s="1006"/>
      <c r="G301" s="1006"/>
      <c r="H301" s="1066"/>
      <c r="I301" s="1006"/>
      <c r="J301" s="1006"/>
      <c r="K301" s="1066"/>
      <c r="L301" s="1006"/>
      <c r="M301" s="1006"/>
      <c r="N301" s="1066"/>
      <c r="O301" s="1006"/>
      <c r="P301" s="1006"/>
      <c r="Q301" s="1066"/>
      <c r="R301" s="1006"/>
      <c r="S301" s="1111">
        <v>10</v>
      </c>
      <c r="T301" s="1116">
        <f>T273</f>
        <v>0</v>
      </c>
      <c r="U301" s="1116">
        <f>SUM(T273:U273)</f>
        <v>0</v>
      </c>
      <c r="V301" s="1116">
        <f>SUM(T273:V273)</f>
        <v>0</v>
      </c>
      <c r="W301" s="1116">
        <f>SUM(T273:W273)</f>
        <v>0</v>
      </c>
      <c r="X301" s="1116">
        <f>SUM(T273:X273)</f>
        <v>0</v>
      </c>
      <c r="Y301" s="1116">
        <f>SUM(T273:Y273)</f>
        <v>0</v>
      </c>
      <c r="Z301" s="1116">
        <f>SUM(T273:Z273)</f>
        <v>0</v>
      </c>
      <c r="AA301" s="1116">
        <f>SUM(T273:AA273)</f>
        <v>0</v>
      </c>
      <c r="AB301" s="1116">
        <f>SUM(T273:AB273)</f>
        <v>0</v>
      </c>
      <c r="AC301" s="1116">
        <f>SUM(T273:AC273)</f>
        <v>0</v>
      </c>
      <c r="AD301" s="1117">
        <f t="shared" ref="AD301:AI301" si="261">SUM(T273:AD273)</f>
        <v>0</v>
      </c>
      <c r="AE301" s="1118">
        <f t="shared" si="261"/>
        <v>0</v>
      </c>
      <c r="AF301" s="1119">
        <f t="shared" si="261"/>
        <v>0</v>
      </c>
      <c r="AG301" s="1117">
        <f t="shared" si="261"/>
        <v>0</v>
      </c>
      <c r="AH301" s="1117">
        <f t="shared" si="261"/>
        <v>0</v>
      </c>
      <c r="AI301" s="1117">
        <f t="shared" si="261"/>
        <v>0</v>
      </c>
      <c r="AJ301" s="1010"/>
    </row>
    <row r="302" spans="1:36" s="1011" customFormat="1" ht="12.75" x14ac:dyDescent="0.25">
      <c r="A302" s="1004"/>
      <c r="B302" s="1104"/>
      <c r="C302" s="1066"/>
      <c r="D302" s="1006"/>
      <c r="E302" s="1066"/>
      <c r="F302" s="1006"/>
      <c r="G302" s="1006"/>
      <c r="H302" s="1066"/>
      <c r="I302" s="1006"/>
      <c r="J302" s="1006"/>
      <c r="K302" s="1066"/>
      <c r="L302" s="1006"/>
      <c r="M302" s="1006"/>
      <c r="N302" s="1066"/>
      <c r="O302" s="1006"/>
      <c r="P302" s="1006"/>
      <c r="Q302" s="1066"/>
      <c r="R302" s="1006"/>
      <c r="S302" s="1120">
        <v>11</v>
      </c>
      <c r="T302" s="1121">
        <f>T273</f>
        <v>0</v>
      </c>
      <c r="U302" s="1121">
        <f>SUM(T273:U273)</f>
        <v>0</v>
      </c>
      <c r="V302" s="1121">
        <f>SUM(T273:V273)</f>
        <v>0</v>
      </c>
      <c r="W302" s="1121">
        <f>SUM(T273:W273)</f>
        <v>0</v>
      </c>
      <c r="X302" s="1121">
        <f>SUM(T273:X273)</f>
        <v>0</v>
      </c>
      <c r="Y302" s="1121">
        <f>SUM(T273:Y273)</f>
        <v>0</v>
      </c>
      <c r="Z302" s="1121">
        <f>SUM(T273:Z273)</f>
        <v>0</v>
      </c>
      <c r="AA302" s="1121">
        <f>SUM(T273:AA273)</f>
        <v>0</v>
      </c>
      <c r="AB302" s="1121">
        <f>SUM(T273:AB273)</f>
        <v>0</v>
      </c>
      <c r="AC302" s="1121">
        <f>SUM(T273:AC273)</f>
        <v>0</v>
      </c>
      <c r="AD302" s="1122">
        <f t="shared" ref="AD302:AI302" si="262">SUM(T273:AD273)</f>
        <v>0</v>
      </c>
      <c r="AE302" s="1123">
        <f t="shared" si="262"/>
        <v>0</v>
      </c>
      <c r="AF302" s="1124">
        <f t="shared" si="262"/>
        <v>0</v>
      </c>
      <c r="AG302" s="1122">
        <f t="shared" si="262"/>
        <v>0</v>
      </c>
      <c r="AH302" s="1122">
        <f t="shared" si="262"/>
        <v>0</v>
      </c>
      <c r="AI302" s="1122">
        <f t="shared" si="262"/>
        <v>0</v>
      </c>
      <c r="AJ302" s="1010"/>
    </row>
    <row r="303" spans="1:36" s="1011" customFormat="1" ht="12.75" x14ac:dyDescent="0.25">
      <c r="A303" s="1004"/>
      <c r="B303" s="1104"/>
      <c r="C303" s="1066"/>
      <c r="D303" s="1006"/>
      <c r="E303" s="1066"/>
      <c r="F303" s="1006"/>
      <c r="G303" s="1006"/>
      <c r="H303" s="1066"/>
      <c r="I303" s="1006"/>
      <c r="J303" s="1006"/>
      <c r="K303" s="1066"/>
      <c r="L303" s="1006"/>
      <c r="M303" s="1006"/>
      <c r="N303" s="1066"/>
      <c r="O303" s="1006"/>
      <c r="P303" s="1006"/>
      <c r="Q303" s="1066"/>
      <c r="R303" s="1006"/>
      <c r="S303" s="1125"/>
      <c r="T303" s="1105" t="s">
        <v>1299</v>
      </c>
      <c r="U303" s="1105"/>
      <c r="V303" s="1105"/>
      <c r="W303" s="1105"/>
      <c r="X303" s="1105"/>
      <c r="Y303" s="1105"/>
      <c r="Z303" s="1105"/>
      <c r="AA303" s="1105"/>
      <c r="AB303" s="1105"/>
      <c r="AC303" s="1105"/>
      <c r="AD303" s="1105"/>
      <c r="AE303" s="1126"/>
      <c r="AF303" s="1105"/>
      <c r="AG303" s="1126"/>
      <c r="AH303" s="1105"/>
      <c r="AI303" s="1126"/>
      <c r="AJ303" s="1010"/>
    </row>
    <row r="304" spans="1:36" s="1011" customFormat="1" ht="12.75" x14ac:dyDescent="0.25">
      <c r="A304" s="1004"/>
      <c r="B304" s="1104"/>
      <c r="C304" s="1066"/>
      <c r="D304" s="1006"/>
      <c r="E304" s="1066"/>
      <c r="F304" s="1006"/>
      <c r="G304" s="1006"/>
      <c r="H304" s="1066"/>
      <c r="I304" s="1006"/>
      <c r="J304" s="1006"/>
      <c r="K304" s="1066"/>
      <c r="L304" s="1006"/>
      <c r="M304" s="1006"/>
      <c r="N304" s="1066"/>
      <c r="O304" s="1006"/>
      <c r="P304" s="1006"/>
      <c r="Q304" s="1066"/>
      <c r="R304" s="1006"/>
      <c r="S304" s="1127">
        <f>C270</f>
        <v>0</v>
      </c>
      <c r="T304" s="1128">
        <f>IF(OR(S304=0,S304=0),0,VLOOKUP(S304,S292:AD302,2,0))</f>
        <v>0</v>
      </c>
      <c r="U304" s="1128">
        <f>IF(OR(S304=0,S304=0),0,VLOOKUP(S304,S292:AD302,3,0))</f>
        <v>0</v>
      </c>
      <c r="V304" s="1128">
        <f>IF(OR(S304=0,S304=0),0,VLOOKUP(S304,S292:AD302,4,0))</f>
        <v>0</v>
      </c>
      <c r="W304" s="1128">
        <f>IF(OR(S304=0,S304=0),0,VLOOKUP(S304,S292:AD302,5,0))</f>
        <v>0</v>
      </c>
      <c r="X304" s="1128">
        <f>IF(OR(S304=0,S304=0),0,VLOOKUP(S304,S292:AD302,6,0))</f>
        <v>0</v>
      </c>
      <c r="Y304" s="1128">
        <f>IF(OR(S304=0,S304=0),0,VLOOKUP(S304,S292:AD302,7,0))</f>
        <v>0</v>
      </c>
      <c r="Z304" s="1128">
        <f>IF(OR(S304=0,S304=0),0,VLOOKUP(S304,S292:AD302,8,0))</f>
        <v>0</v>
      </c>
      <c r="AA304" s="1128">
        <f>IF(OR(S304=0,S304=0),0,VLOOKUP(S304,S292:AD302,9,0))</f>
        <v>0</v>
      </c>
      <c r="AB304" s="1128">
        <f>IF(OR(S304=0,S304=0),0,VLOOKUP(S304,S292:AD302,10,0))</f>
        <v>0</v>
      </c>
      <c r="AC304" s="1128">
        <f>IF(OR(S304=0,S304=0),0,VLOOKUP(S304,S292:AD302,11,0))</f>
        <v>0</v>
      </c>
      <c r="AD304" s="1129">
        <f t="shared" ref="AD304:AI304" si="263">IF(OR(S304=0,S304=0),0,VLOOKUP(S304,S292:AD302,12,0))</f>
        <v>0</v>
      </c>
      <c r="AE304" s="1130">
        <f t="shared" si="263"/>
        <v>0</v>
      </c>
      <c r="AF304" s="1131">
        <f t="shared" si="263"/>
        <v>0</v>
      </c>
      <c r="AG304" s="1129">
        <f t="shared" si="263"/>
        <v>0</v>
      </c>
      <c r="AH304" s="1129">
        <f t="shared" si="263"/>
        <v>0</v>
      </c>
      <c r="AI304" s="1129">
        <f t="shared" si="263"/>
        <v>0</v>
      </c>
      <c r="AJ304" s="1010"/>
    </row>
    <row r="305" spans="1:43" s="1011" customFormat="1" ht="12.75" x14ac:dyDescent="0.25">
      <c r="A305" s="1004"/>
      <c r="B305" s="1104"/>
      <c r="C305" s="1066"/>
      <c r="D305" s="1006"/>
      <c r="E305" s="1066"/>
      <c r="F305" s="1006"/>
      <c r="G305" s="1006"/>
      <c r="H305" s="1066"/>
      <c r="I305" s="1006"/>
      <c r="J305" s="1006"/>
      <c r="K305" s="1066"/>
      <c r="L305" s="1006"/>
      <c r="M305" s="1006"/>
      <c r="N305" s="1066"/>
      <c r="O305" s="1006"/>
      <c r="P305" s="1006"/>
      <c r="Q305" s="1066"/>
      <c r="R305" s="1006"/>
      <c r="S305" s="1125" t="s">
        <v>1300</v>
      </c>
      <c r="T305" s="1128">
        <f t="shared" ref="T305:AI305" si="264">T276-T304</f>
        <v>0</v>
      </c>
      <c r="U305" s="1128">
        <f t="shared" si="264"/>
        <v>0</v>
      </c>
      <c r="V305" s="1128">
        <f t="shared" si="264"/>
        <v>0</v>
      </c>
      <c r="W305" s="1128">
        <f t="shared" si="264"/>
        <v>0</v>
      </c>
      <c r="X305" s="1128">
        <f t="shared" si="264"/>
        <v>0</v>
      </c>
      <c r="Y305" s="1128">
        <f t="shared" si="264"/>
        <v>0</v>
      </c>
      <c r="Z305" s="1128">
        <f t="shared" si="264"/>
        <v>0</v>
      </c>
      <c r="AA305" s="1128">
        <f t="shared" si="264"/>
        <v>0</v>
      </c>
      <c r="AB305" s="1128">
        <f t="shared" si="264"/>
        <v>0</v>
      </c>
      <c r="AC305" s="1128">
        <f t="shared" si="264"/>
        <v>0</v>
      </c>
      <c r="AD305" s="1129">
        <f t="shared" si="264"/>
        <v>0</v>
      </c>
      <c r="AE305" s="1130">
        <f t="shared" si="264"/>
        <v>0</v>
      </c>
      <c r="AF305" s="1131">
        <f t="shared" si="264"/>
        <v>0</v>
      </c>
      <c r="AG305" s="1129">
        <f t="shared" si="264"/>
        <v>0</v>
      </c>
      <c r="AH305" s="1129">
        <f t="shared" si="264"/>
        <v>0</v>
      </c>
      <c r="AI305" s="1129">
        <f t="shared" si="264"/>
        <v>0</v>
      </c>
      <c r="AJ305" s="1010"/>
    </row>
    <row r="306" spans="1:43" s="1011" customFormat="1" ht="12.75" x14ac:dyDescent="0.25">
      <c r="A306" s="1004"/>
      <c r="B306" s="1104"/>
      <c r="C306" s="1066"/>
      <c r="D306" s="1006"/>
      <c r="E306" s="1066"/>
      <c r="F306" s="1006"/>
      <c r="G306" s="1006"/>
      <c r="H306" s="1066"/>
      <c r="I306" s="1006"/>
      <c r="J306" s="1006"/>
      <c r="K306" s="1066"/>
      <c r="L306" s="1006"/>
      <c r="M306" s="1006"/>
      <c r="N306" s="1066"/>
      <c r="O306" s="1006"/>
      <c r="P306" s="1006"/>
      <c r="Q306" s="1066"/>
      <c r="R306" s="1006"/>
      <c r="S306" s="1132"/>
      <c r="T306" s="1105"/>
      <c r="U306" s="1105"/>
      <c r="V306" s="1105"/>
      <c r="W306" s="1105"/>
      <c r="X306" s="1105"/>
      <c r="Y306" s="1105"/>
      <c r="Z306" s="1105"/>
      <c r="AA306" s="1105"/>
      <c r="AB306" s="1105"/>
      <c r="AC306" s="1105"/>
      <c r="AD306" s="1105"/>
      <c r="AE306" s="1080"/>
      <c r="AF306" s="1006"/>
      <c r="AG306" s="1006"/>
      <c r="AH306" s="1006"/>
      <c r="AI306" s="1006"/>
      <c r="AJ306" s="1010"/>
    </row>
    <row r="307" spans="1:43" s="1011" customFormat="1" ht="12.75" x14ac:dyDescent="0.25">
      <c r="A307" s="1004"/>
      <c r="B307" s="1104"/>
      <c r="C307" s="1066"/>
      <c r="D307" s="1006"/>
      <c r="E307" s="1066"/>
      <c r="F307" s="1006"/>
      <c r="G307" s="1006"/>
      <c r="H307" s="1066"/>
      <c r="I307" s="1006"/>
      <c r="J307" s="1006"/>
      <c r="K307" s="1066"/>
      <c r="L307" s="1006"/>
      <c r="M307" s="1006"/>
      <c r="N307" s="1066"/>
      <c r="O307" s="1006"/>
      <c r="P307" s="1006"/>
      <c r="Q307" s="1066"/>
      <c r="R307" s="1006"/>
      <c r="S307" s="1132"/>
      <c r="T307" s="1105"/>
      <c r="U307" s="1105"/>
      <c r="V307" s="1105"/>
      <c r="W307" s="1105"/>
      <c r="X307" s="1105"/>
      <c r="Y307" s="1105"/>
      <c r="Z307" s="1105"/>
      <c r="AA307" s="1105"/>
      <c r="AB307" s="1105"/>
      <c r="AC307" s="1105"/>
      <c r="AD307" s="1105"/>
      <c r="AE307" s="1133"/>
      <c r="AF307" s="1006"/>
      <c r="AG307" s="1006"/>
      <c r="AH307" s="1006"/>
      <c r="AI307" s="1006"/>
      <c r="AJ307" s="1010"/>
    </row>
    <row r="308" spans="1:43" s="1011" customFormat="1" ht="12.75" x14ac:dyDescent="0.25">
      <c r="A308" s="1004"/>
      <c r="B308" s="1134"/>
      <c r="C308" s="1135"/>
      <c r="D308" s="1136"/>
      <c r="E308" s="1135"/>
      <c r="F308" s="1136"/>
      <c r="G308" s="1136"/>
      <c r="H308" s="1135"/>
      <c r="I308" s="1136"/>
      <c r="J308" s="1136"/>
      <c r="K308" s="1135"/>
      <c r="L308" s="1136"/>
      <c r="M308" s="1136"/>
      <c r="N308" s="1135"/>
      <c r="O308" s="1136"/>
      <c r="P308" s="1136"/>
      <c r="Q308" s="1135"/>
      <c r="R308" s="1136"/>
      <c r="S308" s="1136"/>
      <c r="T308" s="1136"/>
      <c r="U308" s="1136"/>
      <c r="V308" s="1136"/>
      <c r="W308" s="1136"/>
      <c r="X308" s="1136"/>
      <c r="Y308" s="1136"/>
      <c r="Z308" s="1136"/>
      <c r="AA308" s="1136"/>
      <c r="AB308" s="1136"/>
      <c r="AC308" s="1136"/>
      <c r="AD308" s="1136"/>
      <c r="AE308" s="1006"/>
      <c r="AF308" s="1137"/>
      <c r="AG308" s="1137"/>
      <c r="AH308" s="1137"/>
      <c r="AI308" s="1137"/>
      <c r="AJ308" s="1010"/>
    </row>
    <row r="309" spans="1:43" s="1011" customFormat="1" ht="12.75" x14ac:dyDescent="0.25">
      <c r="A309" s="1004"/>
      <c r="B309" s="1078" t="s">
        <v>1301</v>
      </c>
      <c r="C309" s="1138"/>
      <c r="D309" s="1139"/>
      <c r="E309" s="1140"/>
      <c r="F309" s="1141"/>
      <c r="G309" s="1142"/>
      <c r="H309" s="1143"/>
      <c r="I309" s="1142"/>
      <c r="J309" s="1142"/>
      <c r="K309" s="1143"/>
      <c r="L309" s="1142"/>
      <c r="M309" s="1142"/>
      <c r="N309" s="1143"/>
      <c r="O309" s="1142"/>
      <c r="P309" s="1142"/>
      <c r="Q309" s="1143"/>
      <c r="R309" s="1142"/>
      <c r="S309" s="1142"/>
      <c r="T309" s="1142"/>
      <c r="U309" s="1142"/>
      <c r="V309" s="1142"/>
      <c r="W309" s="1142"/>
      <c r="X309" s="1142"/>
      <c r="Y309" s="1142"/>
      <c r="Z309" s="1142"/>
      <c r="AA309" s="1144"/>
      <c r="AB309" s="1142"/>
      <c r="AC309" s="1142"/>
      <c r="AD309" s="1142"/>
      <c r="AE309" s="1145"/>
      <c r="AF309" s="1145"/>
      <c r="AG309" s="1145"/>
      <c r="AH309" s="1145"/>
      <c r="AI309" s="1006"/>
      <c r="AJ309" s="1010"/>
    </row>
    <row r="310" spans="1:43" s="1011" customFormat="1" ht="12.75" x14ac:dyDescent="0.25">
      <c r="A310" s="1004"/>
      <c r="B310" s="1146" t="str">
        <f>IF(AND(S310=0,S310=0),0,"1er. DESEMBOLSO - ")&amp;"MONTO DEL CRÉDITO"</f>
        <v>1er. DESEMBOLSO - MONTO DEL CRÉDITO</v>
      </c>
      <c r="C310" s="1147"/>
      <c r="D310" s="1006"/>
      <c r="E310" s="1066"/>
      <c r="F310" s="1006"/>
      <c r="G310" s="1006"/>
      <c r="H310" s="1066"/>
      <c r="I310" s="1006"/>
      <c r="J310" s="1006"/>
      <c r="K310" s="1066"/>
      <c r="L310" s="1006"/>
      <c r="M310" s="1006"/>
      <c r="N310" s="1066"/>
      <c r="O310" s="1006"/>
      <c r="P310" s="1006"/>
      <c r="Q310" s="1066"/>
      <c r="R310" s="1006"/>
      <c r="S310" s="1148" t="s">
        <v>1302</v>
      </c>
      <c r="T310" s="1149" t="s">
        <v>1044</v>
      </c>
      <c r="U310" s="1149" t="s">
        <v>1044</v>
      </c>
      <c r="V310" s="1149" t="s">
        <v>1044</v>
      </c>
      <c r="W310" s="1149" t="s">
        <v>1044</v>
      </c>
      <c r="X310" s="1149" t="s">
        <v>1044</v>
      </c>
      <c r="Y310" s="1149" t="s">
        <v>1044</v>
      </c>
      <c r="Z310" s="1149" t="s">
        <v>1044</v>
      </c>
      <c r="AA310" s="1149" t="s">
        <v>1044</v>
      </c>
      <c r="AB310" s="1149" t="s">
        <v>1044</v>
      </c>
      <c r="AC310" s="1149" t="s">
        <v>1044</v>
      </c>
      <c r="AD310" s="1150" t="s">
        <v>1044</v>
      </c>
      <c r="AE310" s="1150" t="s">
        <v>1044</v>
      </c>
      <c r="AF310" s="1151" t="s">
        <v>1044</v>
      </c>
      <c r="AG310" s="1150" t="s">
        <v>1044</v>
      </c>
      <c r="AH310" s="1150" t="s">
        <v>1044</v>
      </c>
      <c r="AI310" s="1151" t="s">
        <v>1044</v>
      </c>
      <c r="AJ310" s="1010"/>
    </row>
    <row r="311" spans="1:43" s="1011" customFormat="1" ht="12.75" x14ac:dyDescent="0.25">
      <c r="A311" s="1004"/>
      <c r="B311" s="1087" t="str">
        <f>IF(AND(S310=0,S310=0),0,"1er. DESEMBOLSO - ")&amp;"PLAZO (AÑOS) INCLUYENDO PERÍODO DE GRACIA (SI TIENE)"</f>
        <v>1er. DESEMBOLSO - PLAZO (AÑOS) INCLUYENDO PERÍODO DE GRACIA (SI TIENE)</v>
      </c>
      <c r="C311" s="1152"/>
      <c r="D311" s="1006"/>
      <c r="E311" s="1066"/>
      <c r="F311" s="1006"/>
      <c r="G311" s="1006"/>
      <c r="H311" s="1066"/>
      <c r="I311" s="1006"/>
      <c r="J311" s="1006"/>
      <c r="K311" s="1066"/>
      <c r="L311" s="1006"/>
      <c r="M311" s="1006"/>
      <c r="N311" s="1066"/>
      <c r="O311" s="1006"/>
      <c r="P311" s="1006"/>
      <c r="Q311" s="1066"/>
      <c r="R311" s="1006"/>
      <c r="S311" s="1006"/>
      <c r="T311" s="1085">
        <f t="shared" ref="T311:AI311" si="265">T15</f>
        <v>2022</v>
      </c>
      <c r="U311" s="1085">
        <f t="shared" si="265"/>
        <v>2023</v>
      </c>
      <c r="V311" s="1085">
        <f t="shared" si="265"/>
        <v>2024</v>
      </c>
      <c r="W311" s="1085">
        <f t="shared" si="265"/>
        <v>2025</v>
      </c>
      <c r="X311" s="1085">
        <f t="shared" si="265"/>
        <v>2026</v>
      </c>
      <c r="Y311" s="1085">
        <f t="shared" si="265"/>
        <v>2027</v>
      </c>
      <c r="Z311" s="1085">
        <f t="shared" si="265"/>
        <v>2028</v>
      </c>
      <c r="AA311" s="1085">
        <f t="shared" si="265"/>
        <v>2029</v>
      </c>
      <c r="AB311" s="1085">
        <f t="shared" si="265"/>
        <v>2030</v>
      </c>
      <c r="AC311" s="1085">
        <f t="shared" si="265"/>
        <v>2031</v>
      </c>
      <c r="AD311" s="1086">
        <f t="shared" si="265"/>
        <v>2032</v>
      </c>
      <c r="AE311" s="1086">
        <f t="shared" si="265"/>
        <v>2033</v>
      </c>
      <c r="AF311" s="1086">
        <f t="shared" si="265"/>
        <v>2034</v>
      </c>
      <c r="AG311" s="1086">
        <f t="shared" si="265"/>
        <v>2035</v>
      </c>
      <c r="AH311" s="1086">
        <f t="shared" si="265"/>
        <v>2036</v>
      </c>
      <c r="AI311" s="1086">
        <f t="shared" si="265"/>
        <v>2037</v>
      </c>
      <c r="AJ311" s="1010"/>
    </row>
    <row r="312" spans="1:43" s="1011" customFormat="1" ht="12.75" x14ac:dyDescent="0.25">
      <c r="A312" s="1004"/>
      <c r="B312" s="1087" t="str">
        <f>IF(AND(S310=0,S310=0),0,"1er. DESEMBOLSO - ")&amp;"PERÍODO DE GRACIA (MESES)"</f>
        <v>1er. DESEMBOLSO - PERÍODO DE GRACIA (MESES)</v>
      </c>
      <c r="C312" s="1152"/>
      <c r="D312" s="1006"/>
      <c r="E312" s="1066"/>
      <c r="F312" s="1006"/>
      <c r="G312" s="1006"/>
      <c r="H312" s="1066"/>
      <c r="I312" s="1006"/>
      <c r="J312" s="1006"/>
      <c r="K312" s="1066"/>
      <c r="L312" s="1006"/>
      <c r="M312" s="1006"/>
      <c r="N312" s="1066"/>
      <c r="O312" s="1006"/>
      <c r="P312" s="1006"/>
      <c r="Q312" s="1153" t="s">
        <v>1303</v>
      </c>
      <c r="R312" s="1154"/>
      <c r="S312" s="1155"/>
      <c r="T312" s="1156">
        <f>IF(OR($C311=0,$C311=0,$C316=0),0,IF(AND(T311-$C314&gt;=0,T311&lt;=$C314+$C311,ROUNDDOWN(T311,0)=ROUNDDOWN($C$932,0)),IF(ROUNDDOWN(T311,0)=ROUNDDOWN($C$932,0),ROUND($E$932*VLOOKUP($C316,$H$950:$J$953,3,0)/$F$932,2),ROUND(VLOOKUP($C316,$H$950:$J$953,3,0)/$F$932,2)),0))</f>
        <v>0</v>
      </c>
      <c r="U312" s="1156">
        <f>IF(OR($C311=0,$C311=0,$C316=0),0,IF(AND(ROUNDDOWN(U311,0)&gt;=ROUNDDOWN($C$932,0),1-$T312&lt;VLOOKUP($C316,$H$950:$J$953,3,0)/$F$932),1-$T312,IF(ROUNDDOWN(U311,0)&gt;=ROUNDDOWN($C$932,0),IF(ROUNDDOWN(U311,0)=ROUNDDOWN($C$932,0),ROUND($E$932*VLOOKUP($C316,$H$950:$J$953,3,0)/$F$932,2),ROUND(VLOOKUP($C316,$H$950:$J$953,3,0)/$F$932,2)),0)))</f>
        <v>0</v>
      </c>
      <c r="V312" s="1156">
        <f>IF(OR($C311=0,$C311=0,$C316=0),0,IF(AND(ROUNDDOWN(V311,0)&gt;=ROUNDDOWN($C$932,0),1-SUM($T312:U312)&lt;VLOOKUP($C316,$H$950:$J$953,3,0)/$F$932),1-SUM($T312:U312),IF(ROUNDDOWN(V311,0)&gt;=ROUNDDOWN($C$932,0),IF(ROUNDDOWN(V311,0)=ROUNDDOWN($C$932,0),ROUND($E$932*VLOOKUP($C316,$H$950:$J$953,3,0)/$F$932,2),ROUND(VLOOKUP($C316,$H$950:$J$953,3,0)/$F$932,2)),0)))</f>
        <v>0</v>
      </c>
      <c r="W312" s="1156">
        <f>IF(OR($C311=0,$C311=0,$C316=0),0,IF(AND(ROUNDDOWN(W311,0)&gt;=ROUNDDOWN($C$932,0),1-SUM($T312:V312)&lt;VLOOKUP($C316,$H$950:$J$953,3,0)/$F$932),1-SUM($T312:V312),IF(ROUNDDOWN(W311,0)&gt;=ROUNDDOWN($C$932,0),IF(ROUNDDOWN(W311,0)=ROUNDDOWN($C$932,0),ROUND($E$932*VLOOKUP($C316,$H$950:$J$953,3,0)/$F$932,2),ROUND(VLOOKUP($C316,$H$950:$J$953,3,0)/$F$932,2)),0)))</f>
        <v>0</v>
      </c>
      <c r="X312" s="1156">
        <f>IF(OR($C311=0,$C311=0,$C316=0),0,IF(AND(ROUNDDOWN(X311,0)&gt;=ROUNDDOWN($C$932,0),1-SUM($T312:W312)&lt;VLOOKUP($C316,$H$950:$J$953,3,0)/$F$932),1-SUM($T312:W312),IF(ROUNDDOWN(X311,0)&gt;=ROUNDDOWN($C$932,0),IF(ROUNDDOWN(X311,0)=ROUNDDOWN($C$932,0),ROUND($E$932*VLOOKUP($C316,$H$950:$J$953,3,0)/$F$932,2),ROUND(VLOOKUP($C316,$H$950:$J$953,3,0)/$F$932,2)),0)))</f>
        <v>0</v>
      </c>
      <c r="Y312" s="1156">
        <f>IF(OR($C311=0,$C311=0,$C316=0),0,IF(AND(ROUNDDOWN(Y311,0)&gt;=ROUNDDOWN($C$932,0),1-SUM($T312:X312)&lt;VLOOKUP($C316,$H$950:$J$953,3,0)/$F$932),1-SUM($T312:X312),IF(ROUNDDOWN(Y311,0)&gt;=ROUNDDOWN($C$932,0),IF(ROUNDDOWN(Y311,0)=ROUNDDOWN($C$932,0),ROUND($E$932*VLOOKUP($C316,$H$950:$J$953,3,0)/$F$932,2),ROUND(VLOOKUP($C316,$H$950:$J$953,3,0)/$F$932,2)),0)))</f>
        <v>0</v>
      </c>
      <c r="Z312" s="1156">
        <f>IF(OR($C311=0,$C311=0,$C316=0),0,IF(AND(ROUNDDOWN(Z311,0)&gt;=ROUNDDOWN($C$932,0),1-SUM($T312:Y312)&lt;VLOOKUP($C316,$H$950:$J$953,3,0)/$F$932),1-SUM($T312:Y312),IF(ROUNDDOWN(Z311,0)&gt;=ROUNDDOWN($C$932,0),IF(ROUNDDOWN(Z311,0)=ROUNDDOWN($C$932,0),ROUND($E$932*VLOOKUP($C316,$H$950:$J$953,3,0)/$F$932,2),ROUND(VLOOKUP($C316,$H$950:$J$953,3,0)/$F$932,2)),0)))</f>
        <v>0</v>
      </c>
      <c r="AA312" s="1156">
        <f>IF(OR($C311=0,$C311=0,$C316=0),0,IF(AND(ROUNDDOWN(AA311,0)&gt;=ROUNDDOWN($C$932,0),1-SUM($T312:Z312)&lt;VLOOKUP($C316,$H$950:$J$953,3,0)/$F$932),1-SUM($T312:Z312),IF(ROUNDDOWN(AA311,0)&gt;=ROUNDDOWN($C$932,0),IF(ROUNDDOWN(AA311,0)=ROUNDDOWN($C$932,0),ROUND($E$932*VLOOKUP($C316,$H$950:$J$953,3,0)/$F$932,2),ROUND(VLOOKUP($C316,$H$950:$J$953,3,0)/$F$932,2)),0)))</f>
        <v>0</v>
      </c>
      <c r="AB312" s="1156">
        <f>IF(OR($C311=0,$C311=0,$C316=0),0,IF(AND(ROUNDDOWN(AB311,0)&gt;=ROUNDDOWN($C$932,0),1-SUM($T312:AA312)&lt;VLOOKUP($C316,$H$950:$J$953,3,0)/$F$932),1-SUM($T312:AA312),IF(ROUNDDOWN(AB311,0)&gt;=ROUNDDOWN($C$932,0),IF(ROUNDDOWN(AB311,0)=ROUNDDOWN($C$932,0),ROUND($E$932*VLOOKUP($C316,$H$950:$J$953,3,0)/$F$932,2),ROUND(VLOOKUP($C316,$H$950:$J$953,3,0)/$F$932,2)),0)))</f>
        <v>0</v>
      </c>
      <c r="AC312" s="1156">
        <f>IF(OR($C311=0,$C311=0,$C316=0),0,IF(AND(ROUNDDOWN(AC311,0)&gt;=ROUNDDOWN($C$932,0),1-SUM($T312:AB312)&lt;VLOOKUP($C316,$H$950:$J$953,3,0)/$F$932),1-SUM($T312:AB312),IF(ROUNDDOWN(AC311,0)&gt;=ROUNDDOWN($C$932,0),IF(ROUNDDOWN(AC311,0)=ROUNDDOWN($C$932,0),ROUND($E$932*VLOOKUP($C316,$H$950:$J$953,3,0)/$F$932,2),ROUND(VLOOKUP($C316,$H$950:$J$953,3,0)/$F$932,2)),0)))</f>
        <v>0</v>
      </c>
      <c r="AD312" s="1157">
        <f>IF(OR($C311=0,$C311=0,$C316=0),0,IF(AND(ROUNDDOWN(AD311,0)&gt;=ROUNDDOWN($C$932,0),1-SUM($T312:AC312)&lt;VLOOKUP($C316,$H$950:$J$953,3,0)/$F$932),1-SUM($T312:AC312),IF(ROUNDDOWN(AD311,0)&gt;=ROUNDDOWN($C$932,0),IF(ROUNDDOWN(AD311,0)=ROUNDDOWN($C$932,0),ROUND($E$932*VLOOKUP($C316,$H$950:$J$953,3,0)/$F$932,2),ROUND(VLOOKUP($C316,$H$950:$J$953,3,0)/$F$932,2)),0)))</f>
        <v>0</v>
      </c>
      <c r="AE312" s="1157">
        <f>IF(OR($C311=0,$C311=0,$C316=0),0,IF(AND(ROUNDDOWN(AE311,0)&gt;=ROUNDDOWN($C$932,0),1-SUM($T312:AD312)&lt;VLOOKUP($C316,$H$950:$J$953,3,0)/$F$932),1-SUM($T312:AD312),IF(ROUNDDOWN(AE311,0)&gt;=ROUNDDOWN($C$932,0),IF(ROUNDDOWN(AE311,0)=ROUNDDOWN($C$932,0),ROUND($E$932*VLOOKUP($C316,$H$950:$J$953,3,0)/$F$932,2),ROUND(VLOOKUP($C316,$H$950:$J$953,3,0)/$F$932,2)),0)))</f>
        <v>0</v>
      </c>
      <c r="AF312" s="1157">
        <f>IF(OR($C311=0,$C311=0,$C316=0),0,IF(AND(ROUNDDOWN(AF311,0)&gt;=ROUNDDOWN($C$932,0),1-SUM($T312:AE312)&lt;VLOOKUP($C316,$H$950:$J$953,3,0)/$F$932),1-SUM($T312:AE312),IF(ROUNDDOWN(AF311,0)&gt;=ROUNDDOWN($C$932,0),IF(ROUNDDOWN(AF311,0)=ROUNDDOWN($C$932,0),ROUND($E$932*VLOOKUP($C316,$H$950:$J$953,3,0)/$F$932,2),ROUND(VLOOKUP($C316,$H$950:$J$953,3,0)/$F$932,2)),0)))</f>
        <v>0</v>
      </c>
      <c r="AG312" s="1157">
        <f>IF(OR($C311=0,$C311=0,$C316=0),0,IF(AND(ROUNDDOWN(AG311,0)&gt;=ROUNDDOWN($C$932,0),1-SUM($T312:AF312)&lt;VLOOKUP($C316,$H$950:$J$953,3,0)/$F$932),1-SUM($T312:AF312),IF(ROUNDDOWN(AG311,0)&gt;=ROUNDDOWN($C$932,0),IF(ROUNDDOWN(AG311,0)=ROUNDDOWN($C$932,0),ROUND($E$932*VLOOKUP($C316,$H$950:$J$953,3,0)/$F$932,2),ROUND(VLOOKUP($C316,$H$950:$J$953,3,0)/$F$932,2)),0)))</f>
        <v>0</v>
      </c>
      <c r="AH312" s="1157">
        <f>IF(OR($C311=0,$C311=0,$C316=0),0,IF(AND(ROUNDDOWN(AH311,0)&gt;=ROUNDDOWN($C$932,0),1-SUM($T312:AG312)&lt;VLOOKUP($C316,$H$950:$J$953,3,0)/$F$932),1-SUM($T312:AG312),IF(ROUNDDOWN(AH311,0)&gt;=ROUNDDOWN($C$932,0),IF(ROUNDDOWN(AH311,0)=ROUNDDOWN($C$932,0),ROUND($E$932*VLOOKUP($C316,$H$950:$J$953,3,0)/$F$932,2),ROUND(VLOOKUP($C316,$H$950:$J$953,3,0)/$F$932,2)),0)))</f>
        <v>0</v>
      </c>
      <c r="AI312" s="1157">
        <f>IF(OR($C311=0,$C311=0,$C316=0),0,IF(AND(ROUNDDOWN(AI311,0)&gt;=ROUNDDOWN($C$932,0),1-SUM($T312:AH312)&lt;VLOOKUP($C316,$H$950:$J$953,3,0)/$F$932),1-SUM($T312:AH312),IF(ROUNDDOWN(AI311,0)&gt;=ROUNDDOWN($C$932,0),IF(ROUNDDOWN(AI311,0)=ROUNDDOWN($C$932,0),ROUND($E$932*VLOOKUP($C316,$H$950:$J$953,3,0)/$F$932,2),ROUND(VLOOKUP($C316,$H$950:$J$953,3,0)/$F$932,2)),0)))</f>
        <v>0</v>
      </c>
      <c r="AJ312" s="1010"/>
    </row>
    <row r="313" spans="1:43" s="1011" customFormat="1" ht="12.75" x14ac:dyDescent="0.25">
      <c r="A313" s="1004"/>
      <c r="B313" s="1087" t="str">
        <f>IF(AND(S310=0,S310=0),0,"1er. DESEMBOLSO - ")&amp;"MES DE DESEMBOLSO"</f>
        <v>1er. DESEMBOLSO - MES DE DESEMBOLSO</v>
      </c>
      <c r="C313" s="1152"/>
      <c r="D313" s="1006"/>
      <c r="E313" s="1066"/>
      <c r="F313" s="1006"/>
      <c r="G313" s="1006"/>
      <c r="H313" s="1066"/>
      <c r="I313" s="1006"/>
      <c r="J313" s="1006"/>
      <c r="K313" s="1066"/>
      <c r="L313" s="1006"/>
      <c r="M313" s="1006"/>
      <c r="N313" s="1066"/>
      <c r="O313" s="1006"/>
      <c r="P313" s="1006"/>
      <c r="Q313" s="1158" t="s">
        <v>1304</v>
      </c>
      <c r="R313" s="1159"/>
      <c r="S313" s="1160"/>
      <c r="T313" s="1161">
        <f>$C310*T312</f>
        <v>0</v>
      </c>
      <c r="U313" s="1161">
        <f t="shared" ref="U313:AI313" si="266">IF($C314&gt;U311,0,U312*$C310)</f>
        <v>0</v>
      </c>
      <c r="V313" s="1161">
        <f t="shared" si="266"/>
        <v>0</v>
      </c>
      <c r="W313" s="1161">
        <f t="shared" si="266"/>
        <v>0</v>
      </c>
      <c r="X313" s="1161">
        <f t="shared" si="266"/>
        <v>0</v>
      </c>
      <c r="Y313" s="1161">
        <f t="shared" si="266"/>
        <v>0</v>
      </c>
      <c r="Z313" s="1161">
        <f t="shared" si="266"/>
        <v>0</v>
      </c>
      <c r="AA313" s="1161">
        <f t="shared" si="266"/>
        <v>0</v>
      </c>
      <c r="AB313" s="1161">
        <f t="shared" si="266"/>
        <v>0</v>
      </c>
      <c r="AC313" s="1161">
        <f t="shared" si="266"/>
        <v>0</v>
      </c>
      <c r="AD313" s="1162">
        <f t="shared" si="266"/>
        <v>0</v>
      </c>
      <c r="AE313" s="1162">
        <f t="shared" si="266"/>
        <v>0</v>
      </c>
      <c r="AF313" s="1162">
        <f t="shared" si="266"/>
        <v>0</v>
      </c>
      <c r="AG313" s="1162">
        <f t="shared" si="266"/>
        <v>0</v>
      </c>
      <c r="AH313" s="1162">
        <f t="shared" si="266"/>
        <v>0</v>
      </c>
      <c r="AI313" s="1162">
        <f t="shared" si="266"/>
        <v>0</v>
      </c>
      <c r="AJ313" s="1010"/>
    </row>
    <row r="314" spans="1:43" s="1011" customFormat="1" ht="12.75" x14ac:dyDescent="0.25">
      <c r="A314" s="1004"/>
      <c r="B314" s="1163" t="str">
        <f>IF(AND(S310=0,S310=0),0,"1er. DESEMBOLSO - ")&amp;"AÑO DE DESEMBOLSO"</f>
        <v>1er. DESEMBOLSO - AÑO DE DESEMBOLSO</v>
      </c>
      <c r="C314" s="1164"/>
      <c r="D314" s="1006"/>
      <c r="E314" s="1066"/>
      <c r="F314" s="1006"/>
      <c r="G314" s="1006"/>
      <c r="H314" s="1066"/>
      <c r="I314" s="1006"/>
      <c r="J314" s="1006"/>
      <c r="K314" s="1066"/>
      <c r="L314" s="1006"/>
      <c r="M314" s="1006"/>
      <c r="N314" s="1066"/>
      <c r="O314" s="1006"/>
      <c r="P314" s="1006"/>
      <c r="Q314" s="1165" t="s">
        <v>1305</v>
      </c>
      <c r="R314" s="1166"/>
      <c r="S314" s="1167"/>
      <c r="T314" s="1168">
        <f t="shared" ref="T314:AI314" si="267">IF($C314&gt;=U311,0,$C310*U312)</f>
        <v>0</v>
      </c>
      <c r="U314" s="1168">
        <f t="shared" si="267"/>
        <v>0</v>
      </c>
      <c r="V314" s="1168">
        <f t="shared" si="267"/>
        <v>0</v>
      </c>
      <c r="W314" s="1168">
        <f t="shared" si="267"/>
        <v>0</v>
      </c>
      <c r="X314" s="1168">
        <f t="shared" si="267"/>
        <v>0</v>
      </c>
      <c r="Y314" s="1168">
        <f t="shared" si="267"/>
        <v>0</v>
      </c>
      <c r="Z314" s="1168">
        <f t="shared" si="267"/>
        <v>0</v>
      </c>
      <c r="AA314" s="1168">
        <f t="shared" si="267"/>
        <v>0</v>
      </c>
      <c r="AB314" s="1168">
        <f t="shared" si="267"/>
        <v>0</v>
      </c>
      <c r="AC314" s="1168">
        <f t="shared" si="267"/>
        <v>0</v>
      </c>
      <c r="AD314" s="1169">
        <f t="shared" si="267"/>
        <v>0</v>
      </c>
      <c r="AE314" s="1169">
        <f t="shared" si="267"/>
        <v>0</v>
      </c>
      <c r="AF314" s="1169">
        <f t="shared" si="267"/>
        <v>0</v>
      </c>
      <c r="AG314" s="1169">
        <f t="shared" si="267"/>
        <v>0</v>
      </c>
      <c r="AH314" s="1169">
        <f t="shared" si="267"/>
        <v>0</v>
      </c>
      <c r="AI314" s="1169">
        <f t="shared" si="267"/>
        <v>0</v>
      </c>
      <c r="AJ314" s="1010"/>
    </row>
    <row r="315" spans="1:43" s="1011" customFormat="1" ht="12.75" x14ac:dyDescent="0.25">
      <c r="A315" s="1004"/>
      <c r="B315" s="1163" t="str">
        <f>IF(AND(S310=0,S310=0),0,"1er. DESEMBOLSO - ")&amp;"DESTINACIÓN DEL CRÉDITO"</f>
        <v>1er. DESEMBOLSO - DESTINACIÓN DEL CRÉDITO</v>
      </c>
      <c r="C315" s="1164"/>
      <c r="D315" s="1006"/>
      <c r="E315" s="1066"/>
      <c r="F315" s="1006"/>
      <c r="G315" s="1006"/>
      <c r="H315" s="1066"/>
      <c r="I315" s="1006"/>
      <c r="J315" s="1006"/>
      <c r="K315" s="1066"/>
      <c r="L315" s="1006"/>
      <c r="M315" s="1006"/>
      <c r="N315" s="1066"/>
      <c r="O315" s="1006"/>
      <c r="P315" s="1006"/>
      <c r="Q315" s="1170" t="s">
        <v>1306</v>
      </c>
      <c r="R315" s="1171"/>
      <c r="S315" s="1172"/>
      <c r="T315" s="1173">
        <f>IF($C314&gt;T311,0,$C310-T313-T314)</f>
        <v>0</v>
      </c>
      <c r="U315" s="1173">
        <f t="shared" ref="U315:AI315" si="268">IF($C314&gt;U311,0,IF($C314=U311,$C310-U313-U314,IF(SUM(T314:T315)-SUM(U313:U314)&lt;=0.005,0,SUM(T314:T315)-SUM(U313:U314))))</f>
        <v>0</v>
      </c>
      <c r="V315" s="1173">
        <f t="shared" si="268"/>
        <v>0</v>
      </c>
      <c r="W315" s="1173">
        <f t="shared" si="268"/>
        <v>0</v>
      </c>
      <c r="X315" s="1173">
        <f t="shared" si="268"/>
        <v>0</v>
      </c>
      <c r="Y315" s="1173">
        <f t="shared" si="268"/>
        <v>0</v>
      </c>
      <c r="Z315" s="1173">
        <f t="shared" si="268"/>
        <v>0</v>
      </c>
      <c r="AA315" s="1173">
        <f t="shared" si="268"/>
        <v>0</v>
      </c>
      <c r="AB315" s="1173">
        <f t="shared" si="268"/>
        <v>0</v>
      </c>
      <c r="AC315" s="1173">
        <f t="shared" si="268"/>
        <v>0</v>
      </c>
      <c r="AD315" s="1174">
        <f t="shared" si="268"/>
        <v>0</v>
      </c>
      <c r="AE315" s="1174">
        <f t="shared" si="268"/>
        <v>0</v>
      </c>
      <c r="AF315" s="1174">
        <f t="shared" si="268"/>
        <v>0</v>
      </c>
      <c r="AG315" s="1174">
        <f t="shared" si="268"/>
        <v>0</v>
      </c>
      <c r="AH315" s="1174">
        <f t="shared" si="268"/>
        <v>0</v>
      </c>
      <c r="AI315" s="1174">
        <f t="shared" si="268"/>
        <v>0</v>
      </c>
      <c r="AJ315" s="1010"/>
    </row>
    <row r="316" spans="1:43" s="496" customFormat="1" ht="12.75" x14ac:dyDescent="0.2">
      <c r="A316" s="498"/>
      <c r="B316" s="1175" t="str">
        <f>IF(AND(S310=0,S310=0),0,"1er. DESEMBOLSO - ")&amp;"AMORTIZACIÓN DE CAPITAL"</f>
        <v>1er. DESEMBOLSO - AMORTIZACIÓN DE CAPITAL</v>
      </c>
      <c r="C316" s="1176"/>
      <c r="E316" s="1177"/>
      <c r="H316" s="1177"/>
      <c r="I316" s="495"/>
      <c r="J316" s="495"/>
      <c r="K316" s="1177"/>
      <c r="M316" s="500"/>
      <c r="N316" s="1177"/>
      <c r="P316" s="500"/>
      <c r="Q316" s="1153" t="s">
        <v>1307</v>
      </c>
      <c r="R316" s="1154"/>
      <c r="S316" s="1155"/>
      <c r="T316" s="1178"/>
      <c r="U316" s="1178">
        <f t="shared" ref="U316:AI316" si="269">T316</f>
        <v>0</v>
      </c>
      <c r="V316" s="1178">
        <f t="shared" si="269"/>
        <v>0</v>
      </c>
      <c r="W316" s="1178">
        <f t="shared" si="269"/>
        <v>0</v>
      </c>
      <c r="X316" s="1178">
        <f t="shared" si="269"/>
        <v>0</v>
      </c>
      <c r="Y316" s="1178">
        <f t="shared" si="269"/>
        <v>0</v>
      </c>
      <c r="Z316" s="1178">
        <f t="shared" si="269"/>
        <v>0</v>
      </c>
      <c r="AA316" s="1178">
        <f t="shared" si="269"/>
        <v>0</v>
      </c>
      <c r="AB316" s="1178">
        <f t="shared" si="269"/>
        <v>0</v>
      </c>
      <c r="AC316" s="1178">
        <f t="shared" si="269"/>
        <v>0</v>
      </c>
      <c r="AD316" s="1179">
        <f t="shared" si="269"/>
        <v>0</v>
      </c>
      <c r="AE316" s="1179">
        <f t="shared" si="269"/>
        <v>0</v>
      </c>
      <c r="AF316" s="1179">
        <f t="shared" si="269"/>
        <v>0</v>
      </c>
      <c r="AG316" s="1179">
        <f t="shared" si="269"/>
        <v>0</v>
      </c>
      <c r="AH316" s="1179">
        <f t="shared" si="269"/>
        <v>0</v>
      </c>
      <c r="AI316" s="1179">
        <f t="shared" si="269"/>
        <v>0</v>
      </c>
      <c r="AJ316" s="778"/>
      <c r="AN316" s="497"/>
      <c r="AO316" s="497"/>
      <c r="AP316" s="497"/>
      <c r="AQ316" s="497"/>
    </row>
    <row r="317" spans="1:43" s="1011" customFormat="1" ht="12.75" x14ac:dyDescent="0.25">
      <c r="A317" s="1004"/>
      <c r="B317" s="1180"/>
      <c r="C317" s="1066"/>
      <c r="D317" s="1006"/>
      <c r="E317" s="1066"/>
      <c r="F317" s="1006"/>
      <c r="G317" s="1006"/>
      <c r="H317" s="1066"/>
      <c r="I317" s="1006"/>
      <c r="J317" s="1006"/>
      <c r="K317" s="1066"/>
      <c r="L317" s="1006"/>
      <c r="M317" s="1006"/>
      <c r="N317" s="1066"/>
      <c r="O317" s="1006"/>
      <c r="P317" s="1006"/>
      <c r="Q317" s="1181" t="s">
        <v>1308</v>
      </c>
      <c r="R317" s="1182"/>
      <c r="S317" s="1183"/>
      <c r="T317" s="1184">
        <f>IF(OR($C314&lt;&gt;T311,T316=0,T316=0),0,IF(AND(T312=0,$D$933=1),T316,IF(T312=0,NOMINAL(T316,12)*IF($C314=T311,$D$933,1),IF(AND($C314=T311,ROUNDDOWN($C$932,0)=T311),$E$932,1)*NOMINAL(T316,VLOOKUP($C316,$H$950:$J$953,3,0))/VLOOKUP($C316,$H$950:$J$953,3,0)))*((IF(T312=0,1,IF(AND($C314=T311,T312&lt;ROUNDDOWN(VLOOKUP($C316,$H$950:$J$953,3,0)/$F$932,0)),ROUNDDOWN(T312*$F$932,0),IF(AND($C314&lt;T311,T312&lt;ROUNDDOWN(VLOOKUP($C316,$H$950:$J$953,3,0)/$F$932,0)),ROUND(AVERAGE(ROUNDDOWN(T312*$F$932,0),2*VLOOKUP($C316,$H$950:$J$953,3,0)),0),VLOOKUP($C316,$H$950:$J$953,3,0))))*$C310)-((T313*(IF(T312=0,1,IF(AND($C314=T311,T312&lt;ROUNDDOWN(VLOOKUP($C316,$H$950:$J$953,3,0)/$F$932,0)),ROUNDDOWN(T312*$F$932,0),IF(AND($C314&lt;T311,T312&lt;ROUNDDOWN(VLOOKUP($C316,$H$950:$J$953,3,0)/$F$932,0)),ROUND(AVERAGE(ROUNDDOWN(T312*$F$932,0),2*VLOOKUP($C316,$H$950:$J$953,3,0)),0),VLOOKUP($C316,$H$950:$J$953,3,0))))-1))/2)))</f>
        <v>0</v>
      </c>
      <c r="U317" s="1184">
        <f t="shared" ref="U317:AI317" si="270">IF(OR($C314&gt;U311,U316=0,U316=0),0,IF(AND(U312=0,OR(U311&gt;$C314,$D$933=1)),U316,IF(U312=0,NOMINAL(U316,12)*IF($C314=U311,$D$933,1),IF(AND($C314=U311,ROUNDDOWN($C$932,0)=U311),$E$932,1)*NOMINAL(U316,VLOOKUP($C316,$H$950:$J$953,3,0))/VLOOKUP($C316,$H$950:$J$953,3,0)))*((IF(U312=0,1,IF(AND($C314=U311,U312&lt;ROUNDDOWN(VLOOKUP($C316,$H$950:$J$953,3,0)/$F$932,0)),ROUNDDOWN(U312*$F$932,0),IF(AND($C314&lt;U311,U312&lt;ROUNDDOWN(VLOOKUP($C316,$H$950:$J$953,3,0)/$F$932,0)),ROUND(AVERAGE(ROUNDDOWN(U312*$F$932,0),2*VLOOKUP($C316,$H$950:$J$953,3,0)),0),VLOOKUP($C316,$H$950:$J$953,3,0))))*IF($C314=U311,$C310,SUM(T314:T315)))-((U313*(IF(U312=0,1,IF(AND($C314=U311,U312&lt;ROUNDDOWN(VLOOKUP($C316,$H$950:$J$953,3,0)/$F$932,0)),ROUNDDOWN(U312*$F$932,0),IF(AND($C314&lt;U311,U312&lt;ROUNDDOWN(VLOOKUP($C316,$H$950:$J$953,3,0)/$F$932,0)),ROUND(AVERAGE(ROUNDDOWN(U312*$F$932,0),2*VLOOKUP($C316,$H$950:$J$953,3,0)),0),VLOOKUP($C316,$H$950:$J$953,3,0))))-1))/2)))</f>
        <v>0</v>
      </c>
      <c r="V317" s="1184">
        <f t="shared" si="270"/>
        <v>0</v>
      </c>
      <c r="W317" s="1184">
        <f t="shared" si="270"/>
        <v>0</v>
      </c>
      <c r="X317" s="1184">
        <f t="shared" si="270"/>
        <v>0</v>
      </c>
      <c r="Y317" s="1184">
        <f t="shared" si="270"/>
        <v>0</v>
      </c>
      <c r="Z317" s="1184">
        <f t="shared" si="270"/>
        <v>0</v>
      </c>
      <c r="AA317" s="1184">
        <f t="shared" si="270"/>
        <v>0</v>
      </c>
      <c r="AB317" s="1184">
        <f t="shared" si="270"/>
        <v>0</v>
      </c>
      <c r="AC317" s="1184">
        <f t="shared" si="270"/>
        <v>0</v>
      </c>
      <c r="AD317" s="1185">
        <f t="shared" si="270"/>
        <v>0</v>
      </c>
      <c r="AE317" s="1185">
        <f t="shared" si="270"/>
        <v>0</v>
      </c>
      <c r="AF317" s="1185">
        <f t="shared" si="270"/>
        <v>0</v>
      </c>
      <c r="AG317" s="1185">
        <f t="shared" si="270"/>
        <v>0</v>
      </c>
      <c r="AH317" s="1185">
        <f t="shared" si="270"/>
        <v>0</v>
      </c>
      <c r="AI317" s="1186">
        <f t="shared" si="270"/>
        <v>0</v>
      </c>
      <c r="AJ317" s="1010"/>
    </row>
    <row r="318" spans="1:43" s="1011" customFormat="1" ht="12.75" x14ac:dyDescent="0.25">
      <c r="A318" s="1004"/>
      <c r="B318" s="1180"/>
      <c r="C318" s="1066"/>
      <c r="D318" s="1006"/>
      <c r="E318" s="1066"/>
      <c r="F318" s="1006"/>
      <c r="G318" s="1006"/>
      <c r="H318" s="1066"/>
      <c r="I318" s="1006"/>
      <c r="J318" s="1006"/>
      <c r="K318" s="1066"/>
      <c r="L318" s="1006"/>
      <c r="M318" s="1006"/>
      <c r="N318" s="1066"/>
      <c r="O318" s="1006"/>
      <c r="P318" s="1006"/>
      <c r="Q318" s="1006"/>
      <c r="R318" s="1006"/>
      <c r="S318" s="1006"/>
      <c r="T318" s="1187"/>
      <c r="U318" s="1188"/>
      <c r="V318" s="1187"/>
      <c r="W318" s="1187"/>
      <c r="X318" s="1187"/>
      <c r="Y318" s="1187"/>
      <c r="Z318" s="1187"/>
      <c r="AA318" s="1187"/>
      <c r="AB318" s="1187"/>
      <c r="AC318" s="1187"/>
      <c r="AD318" s="1189"/>
      <c r="AE318" s="1190"/>
      <c r="AF318" s="1006"/>
      <c r="AG318" s="1006"/>
      <c r="AH318" s="1006"/>
      <c r="AI318" s="1006"/>
      <c r="AJ318" s="1010"/>
    </row>
    <row r="319" spans="1:43" s="1011" customFormat="1" ht="12.75" x14ac:dyDescent="0.25">
      <c r="A319" s="1004"/>
      <c r="B319" s="1191"/>
      <c r="C319" s="1066"/>
      <c r="D319" s="1006"/>
      <c r="E319" s="1066"/>
      <c r="F319" s="1006"/>
      <c r="G319" s="1006"/>
      <c r="H319" s="1066"/>
      <c r="I319" s="1006"/>
      <c r="J319" s="1006"/>
      <c r="K319" s="1066"/>
      <c r="L319" s="1006"/>
      <c r="M319" s="1006"/>
      <c r="N319" s="1066"/>
      <c r="O319" s="1006"/>
      <c r="P319" s="1006"/>
      <c r="Q319" s="1066"/>
      <c r="R319" s="1006"/>
      <c r="S319" s="1006"/>
      <c r="T319" s="1006"/>
      <c r="U319" s="1006"/>
      <c r="V319" s="1006"/>
      <c r="W319" s="1006"/>
      <c r="X319" s="1006"/>
      <c r="Y319" s="1006"/>
      <c r="Z319" s="1006"/>
      <c r="AA319" s="1006"/>
      <c r="AB319" s="1006"/>
      <c r="AC319" s="1006"/>
      <c r="AD319" s="1006"/>
      <c r="AE319" s="1142"/>
      <c r="AF319" s="1142"/>
      <c r="AG319" s="1142"/>
      <c r="AH319" s="1142"/>
      <c r="AI319" s="1142"/>
      <c r="AJ319" s="1010"/>
    </row>
    <row r="320" spans="1:43" s="1011" customFormat="1" ht="12.75" x14ac:dyDescent="0.25">
      <c r="A320" s="1004"/>
      <c r="B320" s="1192" t="s">
        <v>1309</v>
      </c>
      <c r="C320" s="1193"/>
      <c r="D320" s="1080"/>
      <c r="E320" s="1079"/>
      <c r="F320" s="1080"/>
      <c r="G320" s="1080"/>
      <c r="H320" s="1079"/>
      <c r="I320" s="1080"/>
      <c r="J320" s="1080"/>
      <c r="K320" s="1079"/>
      <c r="L320" s="1080"/>
      <c r="M320" s="1080"/>
      <c r="N320" s="1079"/>
      <c r="O320" s="1080"/>
      <c r="P320" s="1080"/>
      <c r="Q320" s="1079"/>
      <c r="R320" s="1080"/>
      <c r="S320" s="1194" t="s">
        <v>1310</v>
      </c>
      <c r="T320" s="1195" t="s">
        <v>1044</v>
      </c>
      <c r="U320" s="1195" t="s">
        <v>1044</v>
      </c>
      <c r="V320" s="1195" t="s">
        <v>1044</v>
      </c>
      <c r="W320" s="1195" t="s">
        <v>1044</v>
      </c>
      <c r="X320" s="1195" t="s">
        <v>1044</v>
      </c>
      <c r="Y320" s="1195" t="s">
        <v>1044</v>
      </c>
      <c r="Z320" s="1195" t="s">
        <v>1044</v>
      </c>
      <c r="AA320" s="1195" t="s">
        <v>1044</v>
      </c>
      <c r="AB320" s="1195" t="s">
        <v>1044</v>
      </c>
      <c r="AC320" s="1195" t="s">
        <v>1044</v>
      </c>
      <c r="AD320" s="1196" t="s">
        <v>1044</v>
      </c>
      <c r="AE320" s="1196" t="s">
        <v>1044</v>
      </c>
      <c r="AF320" s="1196" t="s">
        <v>1044</v>
      </c>
      <c r="AG320" s="1196" t="s">
        <v>1044</v>
      </c>
      <c r="AH320" s="1196" t="s">
        <v>1044</v>
      </c>
      <c r="AI320" s="1196" t="s">
        <v>1044</v>
      </c>
      <c r="AJ320" s="1010"/>
    </row>
    <row r="321" spans="1:36" s="1011" customFormat="1" ht="12.75" x14ac:dyDescent="0.25">
      <c r="A321" s="1004"/>
      <c r="B321" s="1093" t="s">
        <v>1311</v>
      </c>
      <c r="C321" s="1152"/>
      <c r="D321" s="1006"/>
      <c r="E321" s="1066"/>
      <c r="F321" s="1006"/>
      <c r="G321" s="1006"/>
      <c r="H321" s="1066"/>
      <c r="I321" s="1006"/>
      <c r="J321" s="1006"/>
      <c r="K321" s="1066"/>
      <c r="L321" s="1006"/>
      <c r="M321" s="1006"/>
      <c r="N321" s="1066"/>
      <c r="O321" s="1006"/>
      <c r="P321" s="1006"/>
      <c r="Q321" s="1066"/>
      <c r="R321" s="1006"/>
      <c r="S321" s="1006"/>
      <c r="T321" s="1085">
        <f t="shared" ref="T321:AI321" si="271">T311</f>
        <v>2022</v>
      </c>
      <c r="U321" s="1085">
        <f t="shared" si="271"/>
        <v>2023</v>
      </c>
      <c r="V321" s="1085">
        <f t="shared" si="271"/>
        <v>2024</v>
      </c>
      <c r="W321" s="1085">
        <f t="shared" si="271"/>
        <v>2025</v>
      </c>
      <c r="X321" s="1085">
        <f t="shared" si="271"/>
        <v>2026</v>
      </c>
      <c r="Y321" s="1085">
        <f t="shared" si="271"/>
        <v>2027</v>
      </c>
      <c r="Z321" s="1085">
        <f t="shared" si="271"/>
        <v>2028</v>
      </c>
      <c r="AA321" s="1085">
        <f t="shared" si="271"/>
        <v>2029</v>
      </c>
      <c r="AB321" s="1085">
        <f t="shared" si="271"/>
        <v>2030</v>
      </c>
      <c r="AC321" s="1085">
        <f t="shared" si="271"/>
        <v>2031</v>
      </c>
      <c r="AD321" s="1086">
        <f t="shared" si="271"/>
        <v>2032</v>
      </c>
      <c r="AE321" s="1086">
        <f t="shared" si="271"/>
        <v>2033</v>
      </c>
      <c r="AF321" s="1086">
        <f t="shared" si="271"/>
        <v>2034</v>
      </c>
      <c r="AG321" s="1086">
        <f t="shared" si="271"/>
        <v>2035</v>
      </c>
      <c r="AH321" s="1086">
        <f t="shared" si="271"/>
        <v>2036</v>
      </c>
      <c r="AI321" s="1086">
        <f t="shared" si="271"/>
        <v>2037</v>
      </c>
      <c r="AJ321" s="1010"/>
    </row>
    <row r="322" spans="1:36" s="1011" customFormat="1" ht="12.75" x14ac:dyDescent="0.25">
      <c r="A322" s="1004"/>
      <c r="B322" s="1093" t="s">
        <v>1312</v>
      </c>
      <c r="C322" s="1152"/>
      <c r="D322" s="1006"/>
      <c r="E322" s="1066"/>
      <c r="F322" s="1006"/>
      <c r="G322" s="1006"/>
      <c r="H322" s="1066"/>
      <c r="I322" s="1006"/>
      <c r="J322" s="1006"/>
      <c r="K322" s="1066"/>
      <c r="L322" s="1006"/>
      <c r="M322" s="1006"/>
      <c r="N322" s="1066"/>
      <c r="O322" s="1006"/>
      <c r="P322" s="1006"/>
      <c r="Q322" s="1153" t="s">
        <v>1303</v>
      </c>
      <c r="R322" s="1154"/>
      <c r="S322" s="1155"/>
      <c r="T322" s="1197">
        <f>IF(OR($C321=0,$C321=0,$C326=0),0,IF(AND(T321-$C324&gt;=0,T321&lt;=$C324+$C321,ROUNDDOWN(T321,0)=ROUNDDOWN($C$934,0)),IF(ROUNDDOWN(T321,0)=ROUNDDOWN($C$934,0),ROUND($E$934*VLOOKUP($C326,$H$950:$J$953,3,0)/$F$934,2),ROUND(VLOOKUP($C326,$H$950:$J$953,3,0)/$F$934,2)),0))</f>
        <v>0</v>
      </c>
      <c r="U322" s="1197">
        <f>IF(OR($C321=0,$C321=0,$C326=0),0,IF(AND(ROUNDDOWN(U321,0)&gt;=ROUNDDOWN($C$934,0),1-$T322&lt;VLOOKUP($C326,$H$950:$J$953,3,0)/$F$934),1-$T322,IF(ROUNDDOWN(U321,0)&gt;=ROUNDDOWN($C$934,0),IF(ROUNDDOWN(U321,0)=ROUNDDOWN($C$934,0),ROUND($E$934*VLOOKUP($C326,$H$950:$J$953,3,0)/$F$934,2),ROUND(VLOOKUP($C326,$H$950:$J$953,3,0)/$F$934,2)),0)))</f>
        <v>0</v>
      </c>
      <c r="V322" s="1197">
        <f>IF(OR($C321=0,$C321=0,$C326=0),0,IF(AND(ROUNDDOWN(V321,0)&gt;=ROUNDDOWN($C$934,0),1-SUM($T322:U322)&lt;VLOOKUP($C326,$H$950:$J$953,3,0)/$F$934),1-SUM($T322:U322),IF(ROUNDDOWN(V321,0)&gt;=ROUNDDOWN($C$934,0),IF(ROUNDDOWN(V321,0)=ROUNDDOWN($C$934,0),ROUND($E$934*VLOOKUP($C326,$H$950:$J$953,3,0)/$F$934,2),ROUND(VLOOKUP($C326,$H$950:$J$953,3,0)/$F$934,2)),0)))</f>
        <v>0</v>
      </c>
      <c r="W322" s="1197">
        <f>IF(OR($C321=0,$C321=0,$C326=0),0,IF(AND(ROUNDDOWN(W321,0)&gt;=ROUNDDOWN($C$934,0),1-SUM($T322:V322)&lt;VLOOKUP($C326,$H$950:$J$953,3,0)/$F$934),1-SUM($T322:V322),IF(ROUNDDOWN(W321,0)&gt;=ROUNDDOWN($C$934,0),IF(ROUNDDOWN(W321,0)=ROUNDDOWN($C$934,0),ROUND($E$934*VLOOKUP($C326,$H$950:$J$953,3,0)/$F$934,2),ROUND(VLOOKUP($C326,$H$950:$J$953,3,0)/$F$934,2)),0)))</f>
        <v>0</v>
      </c>
      <c r="X322" s="1197">
        <f>IF(OR($C321=0,$C321=0,$C326=0),0,IF(AND(ROUNDDOWN(X321,0)&gt;=ROUNDDOWN($C$934,0),1-SUM($T322:W322)&lt;VLOOKUP($C326,$H$950:$J$953,3,0)/$F$934),1-SUM($T322:W322),IF(ROUNDDOWN(X321,0)&gt;=ROUNDDOWN($C$934,0),IF(ROUNDDOWN(X321,0)=ROUNDDOWN($C$934,0),ROUND($E$934*VLOOKUP($C326,$H$950:$J$953,3,0)/$F$934,2),ROUND(VLOOKUP($C326,$H$950:$J$953,3,0)/$F$934,2)),0)))</f>
        <v>0</v>
      </c>
      <c r="Y322" s="1197">
        <f>IF(OR($C321=0,$C321=0,$C326=0),0,IF(AND(ROUNDDOWN(Y321,0)&gt;=ROUNDDOWN($C$934,0),1-SUM($T322:X322)&lt;VLOOKUP($C326,$H$950:$J$953,3,0)/$F$934),1-SUM($T322:X322),IF(ROUNDDOWN(Y321,0)&gt;=ROUNDDOWN($C$934,0),IF(ROUNDDOWN(Y321,0)=ROUNDDOWN($C$934,0),ROUND($E$934*VLOOKUP($C326,$H$950:$J$953,3,0)/$F$934,2),ROUND(VLOOKUP($C326,$H$950:$J$953,3,0)/$F$934,2)),0)))</f>
        <v>0</v>
      </c>
      <c r="Z322" s="1197">
        <f>IF(OR($C321=0,$C321=0,$C326=0),0,IF(AND(ROUNDDOWN(Z321,0)&gt;=ROUNDDOWN($C$934,0),1-SUM($T322:Y322)&lt;VLOOKUP($C326,$H$950:$J$953,3,0)/$F$934),1-SUM($T322:Y322),IF(ROUNDDOWN(Z321,0)&gt;=ROUNDDOWN($C$934,0),IF(ROUNDDOWN(Z321,0)=ROUNDDOWN($C$934,0),ROUND($E$934*VLOOKUP($C326,$H$950:$J$953,3,0)/$F$934,2),ROUND(VLOOKUP($C326,$H$950:$J$953,3,0)/$F$934,2)),0)))</f>
        <v>0</v>
      </c>
      <c r="AA322" s="1197">
        <f>IF(OR($C321=0,$C321=0,$C326=0),0,IF(AND(ROUNDDOWN(AA321,0)&gt;=ROUNDDOWN($C$934,0),1-SUM($T322:Z322)&lt;VLOOKUP($C326,$H$950:$J$953,3,0)/$F$934),1-SUM($T322:Z322),IF(ROUNDDOWN(AA321,0)&gt;=ROUNDDOWN($C$934,0),IF(ROUNDDOWN(AA321,0)=ROUNDDOWN($C$934,0),ROUND($E$934*VLOOKUP($C326,$H$950:$J$953,3,0)/$F$934,2),ROUND(VLOOKUP($C326,$H$950:$J$953,3,0)/$F$934,2)),0)))</f>
        <v>0</v>
      </c>
      <c r="AB322" s="1197">
        <f>IF(OR($C321=0,$C321=0,$C326=0),0,IF(AND(ROUNDDOWN(AB321,0)&gt;=ROUNDDOWN($C$934,0),1-SUM($T322:AA322)&lt;VLOOKUP($C326,$H$950:$J$953,3,0)/$F$934),1-SUM($T322:AA322),IF(ROUNDDOWN(AB321,0)&gt;=ROUNDDOWN($C$934,0),IF(ROUNDDOWN(AB321,0)=ROUNDDOWN($C$934,0),ROUND($E$934*VLOOKUP($C326,$H$950:$J$953,3,0)/$F$934,2),ROUND(VLOOKUP($C326,$H$950:$J$953,3,0)/$F$934,2)),0)))</f>
        <v>0</v>
      </c>
      <c r="AC322" s="1197">
        <f>IF(OR($C321=0,$C321=0,$C326=0),0,IF(AND(ROUNDDOWN(AC321,0)&gt;=ROUNDDOWN($C$934,0),1-SUM($T322:AB322)&lt;VLOOKUP($C326,$H$950:$J$953,3,0)/$F$934),1-SUM($T322:AB322),IF(ROUNDDOWN(AC321,0)&gt;=ROUNDDOWN($C$934,0),IF(ROUNDDOWN(AC321,0)=ROUNDDOWN($C$934,0),ROUND($E$934*VLOOKUP($C326,$H$950:$J$953,3,0)/$F$934,2),ROUND(VLOOKUP($C326,$H$950:$J$953,3,0)/$F$934,2)),0)))</f>
        <v>0</v>
      </c>
      <c r="AD322" s="1198">
        <f>IF(OR($C321=0,$C321=0,$C326=0),0,IF(AND(ROUNDDOWN(AD321,0)&gt;=ROUNDDOWN($C$934,0),1-SUM($T322:AC322)&lt;VLOOKUP($C326,$H$950:$J$953,3,0)/$F$934),1-SUM($T322:AC322),IF(ROUNDDOWN(AD321,0)&gt;=ROUNDDOWN($C$934,0),IF(ROUNDDOWN(AD321,0)=ROUNDDOWN($C$934,0),ROUND($E$934*VLOOKUP($C326,$H$950:$J$953,3,0)/$F$934,2),ROUND(VLOOKUP($C326,$H$950:$J$953,3,0)/$F$934,2)),0)))</f>
        <v>0</v>
      </c>
      <c r="AE322" s="1198">
        <f>IF(OR($C321=0,$C321=0,$C326=0),0,IF(AND(ROUNDDOWN(AE321,0)&gt;=ROUNDDOWN($C$934,0),1-SUM($T322:AD322)&lt;VLOOKUP($C326,$H$950:$J$953,3,0)/$F$934),1-SUM($T322:AD322),IF(ROUNDDOWN(AE321,0)&gt;=ROUNDDOWN($C$934,0),IF(ROUNDDOWN(AE321,0)=ROUNDDOWN($C$934,0),ROUND($E$934*VLOOKUP($C326,$H$950:$J$953,3,0)/$F$934,2),ROUND(VLOOKUP($C326,$H$950:$J$953,3,0)/$F$934,2)),0)))</f>
        <v>0</v>
      </c>
      <c r="AF322" s="1198">
        <f>IF(OR($C321=0,$C321=0,$C326=0),0,IF(AND(ROUNDDOWN(AF321,0)&gt;=ROUNDDOWN($C$934,0),1-SUM($T322:AE322)&lt;VLOOKUP($C326,$H$950:$J$953,3,0)/$F$934),1-SUM($T322:AE322),IF(ROUNDDOWN(AF321,0)&gt;=ROUNDDOWN($C$934,0),IF(ROUNDDOWN(AF321,0)=ROUNDDOWN($C$934,0),ROUND($E$934*VLOOKUP($C326,$H$950:$J$953,3,0)/$F$934,2),ROUND(VLOOKUP($C326,$H$950:$J$953,3,0)/$F$934,2)),0)))</f>
        <v>0</v>
      </c>
      <c r="AG322" s="1198">
        <f>IF(OR($C321=0,$C321=0,$C326=0),0,IF(AND(ROUNDDOWN(AG321,0)&gt;=ROUNDDOWN($C$934,0),1-SUM($T322:AF322)&lt;VLOOKUP($C326,$H$950:$J$953,3,0)/$F$934),1-SUM($T322:AF322),IF(ROUNDDOWN(AG321,0)&gt;=ROUNDDOWN($C$934,0),IF(ROUNDDOWN(AG321,0)=ROUNDDOWN($C$934,0),ROUND($E$934*VLOOKUP($C326,$H$950:$J$953,3,0)/$F$934,2),ROUND(VLOOKUP($C326,$H$950:$J$953,3,0)/$F$934,2)),0)))</f>
        <v>0</v>
      </c>
      <c r="AH322" s="1198">
        <f>IF(OR($C321=0,$C321=0,$C326=0),0,IF(AND(ROUNDDOWN(AH321,0)&gt;=ROUNDDOWN($C$934,0),1-SUM($T322:AG322)&lt;VLOOKUP($C326,$H$950:$J$953,3,0)/$F$934),1-SUM($T322:AG322),IF(ROUNDDOWN(AH321,0)&gt;=ROUNDDOWN($C$934,0),IF(ROUNDDOWN(AH321,0)=ROUNDDOWN($C$934,0),ROUND($E$934*VLOOKUP($C326,$H$950:$J$953,3,0)/$F$934,2),ROUND(VLOOKUP($C326,$H$950:$J$953,3,0)/$F$934,2)),0)))</f>
        <v>0</v>
      </c>
      <c r="AI322" s="1198">
        <f>IF(OR($C321=0,$C321=0,$C326=0),0,IF(AND(ROUNDDOWN(AI321,0)&gt;=ROUNDDOWN($C$934,0),1-SUM($T322:AH322)&lt;VLOOKUP($C326,$H$950:$J$953,3,0)/$F$934),1-SUM($T322:AH322),IF(ROUNDDOWN(AI321,0)&gt;=ROUNDDOWN($C$934,0),IF(ROUNDDOWN(AI321,0)=ROUNDDOWN($C$934,0),ROUND($E$934*VLOOKUP($C326,$H$950:$J$953,3,0)/$F$934,2),ROUND(VLOOKUP($C326,$H$950:$J$953,3,0)/$F$934,2)),0)))</f>
        <v>0</v>
      </c>
      <c r="AJ322" s="1010"/>
    </row>
    <row r="323" spans="1:36" s="1011" customFormat="1" ht="12.75" x14ac:dyDescent="0.25">
      <c r="A323" s="1004"/>
      <c r="B323" s="1093" t="s">
        <v>1313</v>
      </c>
      <c r="C323" s="1152"/>
      <c r="D323" s="1006"/>
      <c r="E323" s="1066"/>
      <c r="F323" s="1006"/>
      <c r="G323" s="1006"/>
      <c r="H323" s="1066"/>
      <c r="I323" s="1006"/>
      <c r="J323" s="1006"/>
      <c r="K323" s="1066"/>
      <c r="L323" s="1006"/>
      <c r="M323" s="1006"/>
      <c r="N323" s="1066"/>
      <c r="O323" s="1006"/>
      <c r="P323" s="1006"/>
      <c r="Q323" s="1158" t="s">
        <v>1304</v>
      </c>
      <c r="R323" s="1159"/>
      <c r="S323" s="1160"/>
      <c r="T323" s="1199">
        <f>$C320*T322</f>
        <v>0</v>
      </c>
      <c r="U323" s="1199">
        <f t="shared" ref="U323:AI323" si="272">IF($C324&gt;U321,0,U322*$C320)</f>
        <v>0</v>
      </c>
      <c r="V323" s="1199">
        <f t="shared" si="272"/>
        <v>0</v>
      </c>
      <c r="W323" s="1199">
        <f t="shared" si="272"/>
        <v>0</v>
      </c>
      <c r="X323" s="1199">
        <f t="shared" si="272"/>
        <v>0</v>
      </c>
      <c r="Y323" s="1199">
        <f t="shared" si="272"/>
        <v>0</v>
      </c>
      <c r="Z323" s="1199">
        <f t="shared" si="272"/>
        <v>0</v>
      </c>
      <c r="AA323" s="1199">
        <f t="shared" si="272"/>
        <v>0</v>
      </c>
      <c r="AB323" s="1199">
        <f t="shared" si="272"/>
        <v>0</v>
      </c>
      <c r="AC323" s="1199">
        <f t="shared" si="272"/>
        <v>0</v>
      </c>
      <c r="AD323" s="1200">
        <f t="shared" si="272"/>
        <v>0</v>
      </c>
      <c r="AE323" s="1200">
        <f t="shared" si="272"/>
        <v>0</v>
      </c>
      <c r="AF323" s="1200">
        <f t="shared" si="272"/>
        <v>0</v>
      </c>
      <c r="AG323" s="1200">
        <f t="shared" si="272"/>
        <v>0</v>
      </c>
      <c r="AH323" s="1200">
        <f t="shared" si="272"/>
        <v>0</v>
      </c>
      <c r="AI323" s="1200">
        <f t="shared" si="272"/>
        <v>0</v>
      </c>
      <c r="AJ323" s="1010"/>
    </row>
    <row r="324" spans="1:36" s="1011" customFormat="1" ht="12.75" x14ac:dyDescent="0.25">
      <c r="A324" s="1004"/>
      <c r="B324" s="1201" t="s">
        <v>1314</v>
      </c>
      <c r="C324" s="1164"/>
      <c r="D324" s="1006"/>
      <c r="E324" s="1066"/>
      <c r="F324" s="1006"/>
      <c r="G324" s="1006"/>
      <c r="H324" s="1066"/>
      <c r="I324" s="1006"/>
      <c r="J324" s="1006"/>
      <c r="K324" s="1066"/>
      <c r="L324" s="1006"/>
      <c r="M324" s="1006"/>
      <c r="N324" s="1066"/>
      <c r="O324" s="1006"/>
      <c r="P324" s="1006"/>
      <c r="Q324" s="1165" t="s">
        <v>1305</v>
      </c>
      <c r="R324" s="1166"/>
      <c r="S324" s="1167"/>
      <c r="T324" s="1168">
        <f t="shared" ref="T324:AI324" si="273">IF($C324&gt;=U321,0,$C320*U322)</f>
        <v>0</v>
      </c>
      <c r="U324" s="1168">
        <f t="shared" si="273"/>
        <v>0</v>
      </c>
      <c r="V324" s="1168">
        <f t="shared" si="273"/>
        <v>0</v>
      </c>
      <c r="W324" s="1168">
        <f t="shared" si="273"/>
        <v>0</v>
      </c>
      <c r="X324" s="1168">
        <f t="shared" si="273"/>
        <v>0</v>
      </c>
      <c r="Y324" s="1168">
        <f t="shared" si="273"/>
        <v>0</v>
      </c>
      <c r="Z324" s="1168">
        <f t="shared" si="273"/>
        <v>0</v>
      </c>
      <c r="AA324" s="1168">
        <f t="shared" si="273"/>
        <v>0</v>
      </c>
      <c r="AB324" s="1168">
        <f t="shared" si="273"/>
        <v>0</v>
      </c>
      <c r="AC324" s="1168">
        <f t="shared" si="273"/>
        <v>0</v>
      </c>
      <c r="AD324" s="1169">
        <f t="shared" si="273"/>
        <v>0</v>
      </c>
      <c r="AE324" s="1169">
        <f t="shared" si="273"/>
        <v>0</v>
      </c>
      <c r="AF324" s="1169">
        <f t="shared" si="273"/>
        <v>0</v>
      </c>
      <c r="AG324" s="1169">
        <f t="shared" si="273"/>
        <v>0</v>
      </c>
      <c r="AH324" s="1169">
        <f t="shared" si="273"/>
        <v>0</v>
      </c>
      <c r="AI324" s="1169">
        <f t="shared" si="273"/>
        <v>0</v>
      </c>
      <c r="AJ324" s="1010"/>
    </row>
    <row r="325" spans="1:36" s="1011" customFormat="1" ht="12.75" x14ac:dyDescent="0.25">
      <c r="A325" s="1004"/>
      <c r="B325" s="1201" t="s">
        <v>1315</v>
      </c>
      <c r="C325" s="1164"/>
      <c r="D325" s="1006"/>
      <c r="E325" s="1066"/>
      <c r="F325" s="1006"/>
      <c r="G325" s="1006"/>
      <c r="H325" s="1066"/>
      <c r="I325" s="1006"/>
      <c r="J325" s="1006"/>
      <c r="K325" s="1066"/>
      <c r="L325" s="1006"/>
      <c r="M325" s="1006"/>
      <c r="N325" s="1066"/>
      <c r="O325" s="1006"/>
      <c r="P325" s="1006"/>
      <c r="Q325" s="1170" t="s">
        <v>1306</v>
      </c>
      <c r="R325" s="1171"/>
      <c r="S325" s="1172"/>
      <c r="T325" s="1202">
        <f>IF($C324&gt;T321,0,$C320-T323-T324)</f>
        <v>0</v>
      </c>
      <c r="U325" s="1202">
        <f t="shared" ref="U325:AI325" si="274">IF($C324&gt;U321,0,IF($C324=U321,$C320-U323-U324,IF(SUM(T324:T325)-SUM(U323:U324)&lt;=0.005,0,SUM(T324:T325)-SUM(U323:U324))))</f>
        <v>0</v>
      </c>
      <c r="V325" s="1202">
        <f t="shared" si="274"/>
        <v>0</v>
      </c>
      <c r="W325" s="1202">
        <f t="shared" si="274"/>
        <v>0</v>
      </c>
      <c r="X325" s="1202">
        <f t="shared" si="274"/>
        <v>0</v>
      </c>
      <c r="Y325" s="1202">
        <f t="shared" si="274"/>
        <v>0</v>
      </c>
      <c r="Z325" s="1202">
        <f t="shared" si="274"/>
        <v>0</v>
      </c>
      <c r="AA325" s="1202">
        <f t="shared" si="274"/>
        <v>0</v>
      </c>
      <c r="AB325" s="1202">
        <f t="shared" si="274"/>
        <v>0</v>
      </c>
      <c r="AC325" s="1202">
        <f t="shared" si="274"/>
        <v>0</v>
      </c>
      <c r="AD325" s="1203">
        <f t="shared" si="274"/>
        <v>0</v>
      </c>
      <c r="AE325" s="1203">
        <f t="shared" si="274"/>
        <v>0</v>
      </c>
      <c r="AF325" s="1203">
        <f t="shared" si="274"/>
        <v>0</v>
      </c>
      <c r="AG325" s="1203">
        <f t="shared" si="274"/>
        <v>0</v>
      </c>
      <c r="AH325" s="1203">
        <f t="shared" si="274"/>
        <v>0</v>
      </c>
      <c r="AI325" s="1203">
        <f t="shared" si="274"/>
        <v>0</v>
      </c>
      <c r="AJ325" s="1010"/>
    </row>
    <row r="326" spans="1:36" s="1011" customFormat="1" ht="12.75" x14ac:dyDescent="0.25">
      <c r="A326" s="1004"/>
      <c r="B326" s="1204" t="s">
        <v>1316</v>
      </c>
      <c r="C326" s="1176"/>
      <c r="D326" s="1006"/>
      <c r="E326" s="1066"/>
      <c r="F326" s="1006"/>
      <c r="G326" s="1006"/>
      <c r="H326" s="1066"/>
      <c r="I326" s="1006"/>
      <c r="J326" s="1006"/>
      <c r="K326" s="1066"/>
      <c r="L326" s="1006"/>
      <c r="M326" s="1006"/>
      <c r="N326" s="1066"/>
      <c r="O326" s="1006"/>
      <c r="P326" s="1006"/>
      <c r="Q326" s="1153" t="s">
        <v>1307</v>
      </c>
      <c r="R326" s="1154"/>
      <c r="S326" s="1155"/>
      <c r="T326" s="1178"/>
      <c r="U326" s="1178">
        <f t="shared" ref="U326:AI326" si="275">T326</f>
        <v>0</v>
      </c>
      <c r="V326" s="1178">
        <f t="shared" si="275"/>
        <v>0</v>
      </c>
      <c r="W326" s="1178">
        <f t="shared" si="275"/>
        <v>0</v>
      </c>
      <c r="X326" s="1178">
        <f t="shared" si="275"/>
        <v>0</v>
      </c>
      <c r="Y326" s="1178">
        <f t="shared" si="275"/>
        <v>0</v>
      </c>
      <c r="Z326" s="1178">
        <f t="shared" si="275"/>
        <v>0</v>
      </c>
      <c r="AA326" s="1178">
        <f t="shared" si="275"/>
        <v>0</v>
      </c>
      <c r="AB326" s="1178">
        <f t="shared" si="275"/>
        <v>0</v>
      </c>
      <c r="AC326" s="1178">
        <f t="shared" si="275"/>
        <v>0</v>
      </c>
      <c r="AD326" s="1179">
        <f t="shared" si="275"/>
        <v>0</v>
      </c>
      <c r="AE326" s="1179">
        <f t="shared" si="275"/>
        <v>0</v>
      </c>
      <c r="AF326" s="1179">
        <f t="shared" si="275"/>
        <v>0</v>
      </c>
      <c r="AG326" s="1179">
        <f t="shared" si="275"/>
        <v>0</v>
      </c>
      <c r="AH326" s="1179">
        <f t="shared" si="275"/>
        <v>0</v>
      </c>
      <c r="AI326" s="1179">
        <f t="shared" si="275"/>
        <v>0</v>
      </c>
      <c r="AJ326" s="1010"/>
    </row>
    <row r="327" spans="1:36" s="1011" customFormat="1" ht="12.75" x14ac:dyDescent="0.25">
      <c r="A327" s="1004"/>
      <c r="B327" s="1180"/>
      <c r="C327" s="1066"/>
      <c r="D327" s="1006"/>
      <c r="E327" s="1066"/>
      <c r="F327" s="1006"/>
      <c r="G327" s="1006"/>
      <c r="H327" s="1066"/>
      <c r="I327" s="1006"/>
      <c r="J327" s="1006"/>
      <c r="K327" s="1066"/>
      <c r="L327" s="1006"/>
      <c r="M327" s="1006"/>
      <c r="N327" s="1066"/>
      <c r="O327" s="1006"/>
      <c r="P327" s="1006"/>
      <c r="Q327" s="1181" t="s">
        <v>1308</v>
      </c>
      <c r="R327" s="1182"/>
      <c r="S327" s="1183"/>
      <c r="T327" s="1184">
        <f>IF(OR($C324&lt;&gt;T321,T326=0,T326=0),0,IF(AND(T322=0,$D$935=1),T326,IF(T322=0,NOMINAL(T326,12)*IF($C324=T321,$D$935,1),IF(AND($C324=T321,ROUNDDOWN($C$934,0)=T321),$E$934,1)*NOMINAL(T326,VLOOKUP($C326,$H$950:$J$953,3,0))/VLOOKUP($C326,$H$950:$J$953,3,0)))*((IF(T322=0,1,IF(AND($C324=T321,T322&lt;ROUNDDOWN(VLOOKUP($C326,$H$950:$J$953,3,0)/$F$934,0)),ROUNDDOWN(T322*$F$934,0),IF(AND($C324&lt;T321,T322&lt;ROUNDDOWN(VLOOKUP($C326,$H$950:$J$953,3,0)/$F$934,0)),ROUND(AVERAGE(ROUNDDOWN(T322*$F$934,0),2*VLOOKUP($C326,$H$950:$J$953,3,0)),0),VLOOKUP($C326,$H$950:$J$953,3,0))))*$C320)-((T323*(IF(T322=0,1,IF(AND($C324=T321,T322&lt;ROUNDDOWN(VLOOKUP($C326,$H$950:$J$953,3,0)/$F$934,0)),ROUNDDOWN(T322*$F$934,0),IF(AND($C324&lt;T321,T322&lt;ROUNDDOWN(VLOOKUP($C326,$H$950:$J$953,3,0)/$F$934,0)),ROUND(AVERAGE(ROUNDDOWN(T322*$F$934,0),2*VLOOKUP($C326,$H$950:$J$953,3,0)),0),VLOOKUP($C326,$H$950:$J$953,3,0))))-1))/2)))</f>
        <v>0</v>
      </c>
      <c r="U327" s="1184">
        <f t="shared" ref="U327:AI327" si="276">IF(OR($C324&gt;U321,U326=0,U326=0),0,IF(AND(U322=0,OR(U321&gt;$C324,$D$935=1)),U326,IF(U322=0,NOMINAL(U326,12)*IF($C324=U321,$D$935,1),IF(AND($C324=U321,ROUNDDOWN($C$934,0)=U321),$E$934,1)*NOMINAL(U326,VLOOKUP($C326,$H$950:$J$953,3,0))/VLOOKUP($C326,$H$950:$J$953,3,0)))*((IF(U322=0,1,IF(AND($C324=U321,U322&lt;ROUNDDOWN(VLOOKUP($C326,$H$950:$J$953,3,0)/$F$934,0)),ROUNDDOWN(U322*$F$934,0),IF(AND($C324&lt;U321,U322&lt;ROUNDDOWN(VLOOKUP($C326,$H$950:$J$953,3,0)/$F$934,0)),ROUND(AVERAGE(ROUNDDOWN(U322*$F$934,0),2*VLOOKUP($C326,$H$950:$J$953,3,0)),0),VLOOKUP($C326,$H$950:$J$953,3,0))))*IF($C324=U321,$C320,SUM(T324:T325)))-((U323*(IF(U322=0,1,IF(AND($C324=U321,U322&lt;ROUNDDOWN(VLOOKUP($C326,$H$950:$J$953,3,0)/$F$934,0)),ROUNDDOWN(U322*$F$934,0),IF(AND($C324&lt;U321,U322&lt;ROUNDDOWN(VLOOKUP($C326,$H$950:$J$953,3,0)/$F$934,0)),ROUND(AVERAGE(ROUNDDOWN(U322*$F$934,0),2*VLOOKUP($C326,$H$950:$J$953,3,0)),0),VLOOKUP($C326,$H$950:$J$953,3,0))))-1))/2)))</f>
        <v>0</v>
      </c>
      <c r="V327" s="1184">
        <f t="shared" si="276"/>
        <v>0</v>
      </c>
      <c r="W327" s="1184">
        <f t="shared" si="276"/>
        <v>0</v>
      </c>
      <c r="X327" s="1184">
        <f t="shared" si="276"/>
        <v>0</v>
      </c>
      <c r="Y327" s="1184">
        <f t="shared" si="276"/>
        <v>0</v>
      </c>
      <c r="Z327" s="1184">
        <f t="shared" si="276"/>
        <v>0</v>
      </c>
      <c r="AA327" s="1184">
        <f t="shared" si="276"/>
        <v>0</v>
      </c>
      <c r="AB327" s="1184">
        <f t="shared" si="276"/>
        <v>0</v>
      </c>
      <c r="AC327" s="1184">
        <f t="shared" si="276"/>
        <v>0</v>
      </c>
      <c r="AD327" s="1205">
        <f t="shared" si="276"/>
        <v>0</v>
      </c>
      <c r="AE327" s="1205">
        <f t="shared" si="276"/>
        <v>0</v>
      </c>
      <c r="AF327" s="1205">
        <f t="shared" si="276"/>
        <v>0</v>
      </c>
      <c r="AG327" s="1205">
        <f t="shared" si="276"/>
        <v>0</v>
      </c>
      <c r="AH327" s="1205">
        <f t="shared" si="276"/>
        <v>0</v>
      </c>
      <c r="AI327" s="1205">
        <f t="shared" si="276"/>
        <v>0</v>
      </c>
      <c r="AJ327" s="1010"/>
    </row>
    <row r="328" spans="1:36" s="1011" customFormat="1" ht="12.75" x14ac:dyDescent="0.25">
      <c r="A328" s="1004"/>
      <c r="B328" s="1180"/>
      <c r="C328" s="1066"/>
      <c r="D328" s="1006"/>
      <c r="E328" s="1066"/>
      <c r="F328" s="1006"/>
      <c r="G328" s="1006"/>
      <c r="H328" s="1066"/>
      <c r="I328" s="1006"/>
      <c r="J328" s="1006"/>
      <c r="K328" s="1066"/>
      <c r="L328" s="1006"/>
      <c r="M328" s="1006"/>
      <c r="N328" s="1066"/>
      <c r="O328" s="1006"/>
      <c r="P328" s="1006"/>
      <c r="Q328" s="1006"/>
      <c r="R328" s="1006"/>
      <c r="S328" s="1006"/>
      <c r="T328" s="1206"/>
      <c r="U328" s="1206"/>
      <c r="V328" s="1206"/>
      <c r="W328" s="1206"/>
      <c r="X328" s="1206"/>
      <c r="Y328" s="1206"/>
      <c r="Z328" s="1206"/>
      <c r="AA328" s="1206"/>
      <c r="AB328" s="1206"/>
      <c r="AC328" s="1206"/>
      <c r="AD328" s="1207"/>
      <c r="AE328" s="1208"/>
      <c r="AF328" s="1006"/>
      <c r="AG328" s="1006"/>
      <c r="AH328" s="1006"/>
      <c r="AI328" s="1006"/>
      <c r="AJ328" s="1010"/>
    </row>
    <row r="329" spans="1:36" s="1011" customFormat="1" ht="12.75" x14ac:dyDescent="0.25">
      <c r="A329" s="1004"/>
      <c r="B329" s="1191"/>
      <c r="C329" s="1143"/>
      <c r="D329" s="1142"/>
      <c r="E329" s="1143"/>
      <c r="F329" s="1142"/>
      <c r="G329" s="1142"/>
      <c r="H329" s="1143"/>
      <c r="I329" s="1142"/>
      <c r="J329" s="1142"/>
      <c r="K329" s="1143"/>
      <c r="L329" s="1142"/>
      <c r="M329" s="1142"/>
      <c r="N329" s="1143"/>
      <c r="O329" s="1142"/>
      <c r="P329" s="1142"/>
      <c r="Q329" s="1142"/>
      <c r="R329" s="1142"/>
      <c r="S329" s="1142"/>
      <c r="T329" s="1142"/>
      <c r="U329" s="1142"/>
      <c r="V329" s="1142"/>
      <c r="W329" s="1142"/>
      <c r="X329" s="1142"/>
      <c r="Y329" s="1142"/>
      <c r="Z329" s="1142"/>
      <c r="AA329" s="1142"/>
      <c r="AB329" s="1142"/>
      <c r="AC329" s="1142"/>
      <c r="AD329" s="1142"/>
      <c r="AE329" s="1142"/>
      <c r="AF329" s="1142"/>
      <c r="AG329" s="1142"/>
      <c r="AH329" s="1142"/>
      <c r="AI329" s="1142"/>
      <c r="AJ329" s="1010"/>
    </row>
    <row r="330" spans="1:36" s="1011" customFormat="1" ht="12.75" x14ac:dyDescent="0.25">
      <c r="A330" s="1004"/>
      <c r="B330" s="1209" t="s">
        <v>1317</v>
      </c>
      <c r="C330" s="1147"/>
      <c r="D330" s="1006"/>
      <c r="E330" s="1066"/>
      <c r="F330" s="1006"/>
      <c r="G330" s="1006"/>
      <c r="H330" s="1066"/>
      <c r="I330" s="1006"/>
      <c r="J330" s="1006"/>
      <c r="K330" s="1066"/>
      <c r="L330" s="1006"/>
      <c r="M330" s="1006"/>
      <c r="N330" s="1066"/>
      <c r="O330" s="1006"/>
      <c r="P330" s="1006"/>
      <c r="Q330" s="1066"/>
      <c r="R330" s="1006"/>
      <c r="S330" s="1210" t="s">
        <v>1318</v>
      </c>
      <c r="T330" s="1149" t="s">
        <v>1044</v>
      </c>
      <c r="U330" s="1149" t="s">
        <v>1044</v>
      </c>
      <c r="V330" s="1149" t="s">
        <v>1044</v>
      </c>
      <c r="W330" s="1149" t="s">
        <v>1044</v>
      </c>
      <c r="X330" s="1149" t="s">
        <v>1044</v>
      </c>
      <c r="Y330" s="1149" t="s">
        <v>1044</v>
      </c>
      <c r="Z330" s="1149" t="s">
        <v>1044</v>
      </c>
      <c r="AA330" s="1149" t="s">
        <v>1044</v>
      </c>
      <c r="AB330" s="1149" t="s">
        <v>1044</v>
      </c>
      <c r="AC330" s="1149" t="s">
        <v>1044</v>
      </c>
      <c r="AD330" s="1150" t="s">
        <v>1044</v>
      </c>
      <c r="AE330" s="1150" t="s">
        <v>1044</v>
      </c>
      <c r="AF330" s="1150" t="s">
        <v>1044</v>
      </c>
      <c r="AG330" s="1150" t="s">
        <v>1044</v>
      </c>
      <c r="AH330" s="1150" t="s">
        <v>1044</v>
      </c>
      <c r="AI330" s="1150" t="s">
        <v>1044</v>
      </c>
      <c r="AJ330" s="1010"/>
    </row>
    <row r="331" spans="1:36" s="1011" customFormat="1" ht="12.75" x14ac:dyDescent="0.25">
      <c r="A331" s="1004"/>
      <c r="B331" s="1093" t="s">
        <v>1319</v>
      </c>
      <c r="C331" s="1152"/>
      <c r="D331" s="1006"/>
      <c r="E331" s="1066"/>
      <c r="F331" s="1006"/>
      <c r="G331" s="1006"/>
      <c r="H331" s="1066"/>
      <c r="I331" s="1006"/>
      <c r="J331" s="1006"/>
      <c r="K331" s="1066"/>
      <c r="L331" s="1006"/>
      <c r="M331" s="1006"/>
      <c r="N331" s="1066"/>
      <c r="O331" s="1006"/>
      <c r="P331" s="1006"/>
      <c r="Q331" s="1066"/>
      <c r="R331" s="1006"/>
      <c r="S331" s="1006"/>
      <c r="T331" s="1085">
        <f t="shared" ref="T331:AI331" si="277">T311</f>
        <v>2022</v>
      </c>
      <c r="U331" s="1085">
        <f t="shared" si="277"/>
        <v>2023</v>
      </c>
      <c r="V331" s="1085">
        <f t="shared" si="277"/>
        <v>2024</v>
      </c>
      <c r="W331" s="1085">
        <f t="shared" si="277"/>
        <v>2025</v>
      </c>
      <c r="X331" s="1085">
        <f t="shared" si="277"/>
        <v>2026</v>
      </c>
      <c r="Y331" s="1085">
        <f t="shared" si="277"/>
        <v>2027</v>
      </c>
      <c r="Z331" s="1085">
        <f t="shared" si="277"/>
        <v>2028</v>
      </c>
      <c r="AA331" s="1085">
        <f t="shared" si="277"/>
        <v>2029</v>
      </c>
      <c r="AB331" s="1085">
        <f t="shared" si="277"/>
        <v>2030</v>
      </c>
      <c r="AC331" s="1085">
        <f t="shared" si="277"/>
        <v>2031</v>
      </c>
      <c r="AD331" s="1086">
        <f t="shared" si="277"/>
        <v>2032</v>
      </c>
      <c r="AE331" s="1086">
        <f t="shared" si="277"/>
        <v>2033</v>
      </c>
      <c r="AF331" s="1086">
        <f t="shared" si="277"/>
        <v>2034</v>
      </c>
      <c r="AG331" s="1086">
        <f t="shared" si="277"/>
        <v>2035</v>
      </c>
      <c r="AH331" s="1086">
        <f t="shared" si="277"/>
        <v>2036</v>
      </c>
      <c r="AI331" s="1086">
        <f t="shared" si="277"/>
        <v>2037</v>
      </c>
      <c r="AJ331" s="1010"/>
    </row>
    <row r="332" spans="1:36" s="1011" customFormat="1" ht="12.75" x14ac:dyDescent="0.25">
      <c r="A332" s="1004"/>
      <c r="B332" s="1093" t="s">
        <v>1320</v>
      </c>
      <c r="C332" s="1152"/>
      <c r="D332" s="1006"/>
      <c r="E332" s="1066"/>
      <c r="F332" s="1006"/>
      <c r="G332" s="1006"/>
      <c r="H332" s="1066"/>
      <c r="I332" s="1006"/>
      <c r="J332" s="1006"/>
      <c r="K332" s="1066"/>
      <c r="L332" s="1006"/>
      <c r="M332" s="1006"/>
      <c r="N332" s="1066"/>
      <c r="O332" s="1006"/>
      <c r="P332" s="1006"/>
      <c r="Q332" s="1153" t="s">
        <v>1303</v>
      </c>
      <c r="R332" s="1154"/>
      <c r="S332" s="1155"/>
      <c r="T332" s="1197">
        <f>IF(OR($C331=0,$C331=0,$C336=0),0,IF(AND(T331-$C334&gt;=0,T331&lt;=$C334+$C331,ROUNDDOWN(T331,0)=ROUNDDOWN($C$936,0)),IF(ROUNDDOWN(T331,0)=ROUNDDOWN($C$936,0),ROUND($E$936*VLOOKUP($C336,$H$950:$J$953,3,0)/$F$936,2),ROUND(VLOOKUP($C336,$H$950:$J$953,3,0)/$F$936,2)),0))</f>
        <v>0</v>
      </c>
      <c r="U332" s="1197">
        <f>IF(OR($C331=0,$C331=0,$C336=0),0,IF(AND(ROUNDDOWN(U331,0)&gt;=ROUNDDOWN($C$936,0),1-$T332&lt;VLOOKUP($C336,$H$950:$J$953,3,0)/$F$936),1-$T332,IF(ROUNDDOWN(U331,0)&gt;=ROUNDDOWN($C$936,0),IF(ROUNDDOWN(U331,0)=ROUNDDOWN($C$936,0),ROUND($E$936*VLOOKUP($C336,$H$950:$J$953,3,0)/$F$936,2),ROUND(VLOOKUP($C336,$H$950:$J$953,3,0)/$F$936,2)),0)))</f>
        <v>0</v>
      </c>
      <c r="V332" s="1197">
        <f>IF(OR($C331=0,$C331=0,$C336=0),0,IF(AND(ROUNDDOWN(V331,0)&gt;=ROUNDDOWN($C$936,0),1-SUM($T332:U332)&lt;VLOOKUP($C336,$H$950:$J$953,3,0)/$F$936),1-SUM($T332:U332),IF(ROUNDDOWN(V331,0)&gt;=ROUNDDOWN($C$936,0),IF(ROUNDDOWN(V331,0)=ROUNDDOWN($C$936,0),ROUND($E$936*VLOOKUP($C336,$H$950:$J$953,3,0)/$F$936,2),ROUND(VLOOKUP($C336,$H$950:$J$953,3,0)/$F$936,2)),0)))</f>
        <v>0</v>
      </c>
      <c r="W332" s="1197">
        <f>IF(OR($C331=0,$C331=0,$C336=0),0,IF(AND(ROUNDDOWN(W331,0)&gt;=ROUNDDOWN($C$936,0),1-SUM($T332:V332)&lt;VLOOKUP($C336,$H$950:$J$953,3,0)/$F$936),1-SUM($T332:V332),IF(ROUNDDOWN(W331,0)&gt;=ROUNDDOWN($C$936,0),IF(ROUNDDOWN(W331,0)=ROUNDDOWN($C$936,0),ROUND($E$936*VLOOKUP($C336,$H$950:$J$953,3,0)/$F$936,2),ROUND(VLOOKUP($C336,$H$950:$J$953,3,0)/$F$936,2)),0)))</f>
        <v>0</v>
      </c>
      <c r="X332" s="1197">
        <f>IF(OR($C331=0,$C331=0,$C336=0),0,IF(AND(ROUNDDOWN(X331,0)&gt;=ROUNDDOWN($C$936,0),1-SUM($T332:W332)&lt;VLOOKUP($C336,$H$950:$J$953,3,0)/$F$936),1-SUM($T332:W332),IF(ROUNDDOWN(X331,0)&gt;=ROUNDDOWN($C$936,0),IF(ROUNDDOWN(X331,0)=ROUNDDOWN($C$936,0),ROUND($E$936*VLOOKUP($C336,$H$950:$J$953,3,0)/$F$936,2),ROUND(VLOOKUP($C336,$H$950:$J$953,3,0)/$F$936,2)),0)))</f>
        <v>0</v>
      </c>
      <c r="Y332" s="1197">
        <f>IF(OR($C331=0,$C331=0,$C336=0),0,IF(AND(ROUNDDOWN(Y331,0)&gt;=ROUNDDOWN($C$936,0),1-SUM($T332:X332)&lt;VLOOKUP($C336,$H$950:$J$953,3,0)/$F$936),1-SUM($T332:X332),IF(ROUNDDOWN(Y331,0)&gt;=ROUNDDOWN($C$936,0),IF(ROUNDDOWN(Y331,0)=ROUNDDOWN($C$936,0),ROUND($E$936*VLOOKUP($C336,$H$950:$J$953,3,0)/$F$936,2),ROUND(VLOOKUP($C336,$H$950:$J$953,3,0)/$F$936,2)),0)))</f>
        <v>0</v>
      </c>
      <c r="Z332" s="1197">
        <f>IF(OR($C331=0,$C331=0,$C336=0),0,IF(AND(ROUNDDOWN(Z331,0)&gt;=ROUNDDOWN($C$936,0),1-SUM($T332:Y332)&lt;VLOOKUP($C336,$H$950:$J$953,3,0)/$F$936),1-SUM($T332:Y332),IF(ROUNDDOWN(Z331,0)&gt;=ROUNDDOWN($C$936,0),IF(ROUNDDOWN(Z331,0)=ROUNDDOWN($C$936,0),ROUND($E$936*VLOOKUP($C336,$H$950:$J$953,3,0)/$F$936,2),ROUND(VLOOKUP($C336,$H$950:$J$953,3,0)/$F$936,2)),0)))</f>
        <v>0</v>
      </c>
      <c r="AA332" s="1197">
        <f>IF(OR($C331=0,$C331=0,$C336=0),0,IF(AND(ROUNDDOWN(AA331,0)&gt;=ROUNDDOWN($C$936,0),1-SUM($T332:Z332)&lt;VLOOKUP($C336,$H$950:$J$953,3,0)/$F$936),1-SUM($T332:Z332),IF(ROUNDDOWN(AA331,0)&gt;=ROUNDDOWN($C$936,0),IF(ROUNDDOWN(AA331,0)=ROUNDDOWN($C$936,0),ROUND($E$936*VLOOKUP($C336,$H$950:$J$953,3,0)/$F$936,2),ROUND(VLOOKUP($C336,$H$950:$J$953,3,0)/$F$936,2)),0)))</f>
        <v>0</v>
      </c>
      <c r="AB332" s="1197">
        <f>IF(OR($C331=0,$C331=0,$C336=0),0,IF(AND(ROUNDDOWN(AB331,0)&gt;=ROUNDDOWN($C$936,0),1-SUM($T332:AA332)&lt;VLOOKUP($C336,$H$950:$J$953,3,0)/$F$936),1-SUM($T332:AA332),IF(ROUNDDOWN(AB331,0)&gt;=ROUNDDOWN($C$936,0),IF(ROUNDDOWN(AB331,0)=ROUNDDOWN($C$936,0),ROUND($E$936*VLOOKUP($C336,$H$950:$J$953,3,0)/$F$936,2),ROUND(VLOOKUP($C336,$H$950:$J$953,3,0)/$F$936,2)),0)))</f>
        <v>0</v>
      </c>
      <c r="AC332" s="1197">
        <f>IF(OR($C331=0,$C331=0,$C336=0),0,IF(AND(ROUNDDOWN(AC331,0)&gt;=ROUNDDOWN($C$936,0),1-SUM($T332:AB332)&lt;VLOOKUP($C336,$H$950:$J$953,3,0)/$F$936),1-SUM($T332:AB332),IF(ROUNDDOWN(AC331,0)&gt;=ROUNDDOWN($C$936,0),IF(ROUNDDOWN(AC331,0)=ROUNDDOWN($C$936,0),ROUND($E$936*VLOOKUP($C336,$H$950:$J$953,3,0)/$F$936,2),ROUND(VLOOKUP($C336,$H$950:$J$953,3,0)/$F$936,2)),0)))</f>
        <v>0</v>
      </c>
      <c r="AD332" s="1198">
        <f>IF(OR($C331=0,$C331=0,$C336=0),0,IF(AND(ROUNDDOWN(AD331,0)&gt;=ROUNDDOWN($C$936,0),1-SUM($T332:AC332)&lt;VLOOKUP($C336,$H$950:$J$953,3,0)/$F$936),1-SUM($T332:AC332),IF(ROUNDDOWN(AD331,0)&gt;=ROUNDDOWN($C$936,0),IF(ROUNDDOWN(AD331,0)=ROUNDDOWN($C$936,0),ROUND($E$936*VLOOKUP($C336,$H$950:$J$953,3,0)/$F$936,2),ROUND(VLOOKUP($C336,$H$950:$J$953,3,0)/$F$936,2)),0)))</f>
        <v>0</v>
      </c>
      <c r="AE332" s="1198">
        <f>IF(OR($C331=0,$C331=0,$C336=0),0,IF(AND(ROUNDDOWN(AE331,0)&gt;=ROUNDDOWN($C$936,0),1-SUM($T332:AD332)&lt;VLOOKUP($C336,$H$950:$J$953,3,0)/$F$936),1-SUM($T332:AD332),IF(ROUNDDOWN(AE331,0)&gt;=ROUNDDOWN($C$936,0),IF(ROUNDDOWN(AE331,0)=ROUNDDOWN($C$936,0),ROUND($E$936*VLOOKUP($C336,$H$950:$J$953,3,0)/$F$936,2),ROUND(VLOOKUP($C336,$H$950:$J$953,3,0)/$F$936,2)),0)))</f>
        <v>0</v>
      </c>
      <c r="AF332" s="1198">
        <f>IF(OR($C331=0,$C331=0,$C336=0),0,IF(AND(ROUNDDOWN(AF331,0)&gt;=ROUNDDOWN($C$936,0),1-SUM($T332:AE332)&lt;VLOOKUP($C336,$H$950:$J$953,3,0)/$F$936),1-SUM($T332:AE332),IF(ROUNDDOWN(AF331,0)&gt;=ROUNDDOWN($C$936,0),IF(ROUNDDOWN(AF331,0)=ROUNDDOWN($C$936,0),ROUND($E$936*VLOOKUP($C336,$H$950:$J$953,3,0)/$F$936,2),ROUND(VLOOKUP($C336,$H$950:$J$953,3,0)/$F$936,2)),0)))</f>
        <v>0</v>
      </c>
      <c r="AG332" s="1198">
        <f>IF(OR($C331=0,$C331=0,$C336=0),0,IF(AND(ROUNDDOWN(AG331,0)&gt;=ROUNDDOWN($C$936,0),1-SUM($T332:AF332)&lt;VLOOKUP($C336,$H$950:$J$953,3,0)/$F$936),1-SUM($T332:AF332),IF(ROUNDDOWN(AG331,0)&gt;=ROUNDDOWN($C$936,0),IF(ROUNDDOWN(AG331,0)=ROUNDDOWN($C$936,0),ROUND($E$936*VLOOKUP($C336,$H$950:$J$953,3,0)/$F$936,2),ROUND(VLOOKUP($C336,$H$950:$J$953,3,0)/$F$936,2)),0)))</f>
        <v>0</v>
      </c>
      <c r="AH332" s="1198">
        <f>IF(OR($C331=0,$C331=0,$C336=0),0,IF(AND(ROUNDDOWN(AH331,0)&gt;=ROUNDDOWN($C$936,0),1-SUM($T332:AG332)&lt;VLOOKUP($C336,$H$950:$J$953,3,0)/$F$936),1-SUM($T332:AG332),IF(ROUNDDOWN(AH331,0)&gt;=ROUNDDOWN($C$936,0),IF(ROUNDDOWN(AH331,0)=ROUNDDOWN($C$936,0),ROUND($E$936*VLOOKUP($C336,$H$950:$J$953,3,0)/$F$936,2),ROUND(VLOOKUP($C336,$H$950:$J$953,3,0)/$F$936,2)),0)))</f>
        <v>0</v>
      </c>
      <c r="AI332" s="1198">
        <f>IF(OR($C331=0,$C331=0,$C336=0),0,IF(AND(ROUNDDOWN(AI331,0)&gt;=ROUNDDOWN($C$936,0),1-SUM($T332:AH332)&lt;VLOOKUP($C336,$H$950:$J$953,3,0)/$F$936),1-SUM($T332:AH332),IF(ROUNDDOWN(AI331,0)&gt;=ROUNDDOWN($C$936,0),IF(ROUNDDOWN(AI331,0)=ROUNDDOWN($C$936,0),ROUND($E$936*VLOOKUP($C336,$H$950:$J$953,3,0)/$F$936,2),ROUND(VLOOKUP($C336,$H$950:$J$953,3,0)/$F$936,2)),0)))</f>
        <v>0</v>
      </c>
      <c r="AJ332" s="1010"/>
    </row>
    <row r="333" spans="1:36" s="1011" customFormat="1" ht="12.75" x14ac:dyDescent="0.25">
      <c r="A333" s="1004"/>
      <c r="B333" s="1093" t="s">
        <v>1321</v>
      </c>
      <c r="C333" s="1152"/>
      <c r="D333" s="1006"/>
      <c r="E333" s="1066"/>
      <c r="F333" s="1006"/>
      <c r="G333" s="1006"/>
      <c r="H333" s="1066"/>
      <c r="I333" s="1006"/>
      <c r="J333" s="1006"/>
      <c r="K333" s="1066"/>
      <c r="L333" s="1006"/>
      <c r="M333" s="1006"/>
      <c r="N333" s="1066"/>
      <c r="O333" s="1006"/>
      <c r="P333" s="1006"/>
      <c r="Q333" s="1158" t="s">
        <v>1304</v>
      </c>
      <c r="R333" s="1159"/>
      <c r="S333" s="1160"/>
      <c r="T333" s="1199">
        <f>$C330*T332</f>
        <v>0</v>
      </c>
      <c r="U333" s="1199">
        <f t="shared" ref="U333:AI333" si="278">IF($C334&gt;U331,0,U332*$C330)</f>
        <v>0</v>
      </c>
      <c r="V333" s="1199">
        <f t="shared" si="278"/>
        <v>0</v>
      </c>
      <c r="W333" s="1199">
        <f t="shared" si="278"/>
        <v>0</v>
      </c>
      <c r="X333" s="1199">
        <f t="shared" si="278"/>
        <v>0</v>
      </c>
      <c r="Y333" s="1199">
        <f t="shared" si="278"/>
        <v>0</v>
      </c>
      <c r="Z333" s="1199">
        <f t="shared" si="278"/>
        <v>0</v>
      </c>
      <c r="AA333" s="1199">
        <f t="shared" si="278"/>
        <v>0</v>
      </c>
      <c r="AB333" s="1199">
        <f t="shared" si="278"/>
        <v>0</v>
      </c>
      <c r="AC333" s="1199">
        <f t="shared" si="278"/>
        <v>0</v>
      </c>
      <c r="AD333" s="1200">
        <f t="shared" si="278"/>
        <v>0</v>
      </c>
      <c r="AE333" s="1200">
        <f t="shared" si="278"/>
        <v>0</v>
      </c>
      <c r="AF333" s="1200">
        <f t="shared" si="278"/>
        <v>0</v>
      </c>
      <c r="AG333" s="1200">
        <f t="shared" si="278"/>
        <v>0</v>
      </c>
      <c r="AH333" s="1200">
        <f t="shared" si="278"/>
        <v>0</v>
      </c>
      <c r="AI333" s="1200">
        <f t="shared" si="278"/>
        <v>0</v>
      </c>
      <c r="AJ333" s="1010"/>
    </row>
    <row r="334" spans="1:36" s="1011" customFormat="1" ht="12.75" x14ac:dyDescent="0.25">
      <c r="A334" s="1004"/>
      <c r="B334" s="1201" t="s">
        <v>1322</v>
      </c>
      <c r="C334" s="1164"/>
      <c r="D334" s="1006"/>
      <c r="E334" s="1066"/>
      <c r="F334" s="1006"/>
      <c r="G334" s="1006"/>
      <c r="H334" s="1066"/>
      <c r="I334" s="1006"/>
      <c r="J334" s="1006"/>
      <c r="K334" s="1066"/>
      <c r="L334" s="1006"/>
      <c r="M334" s="1006"/>
      <c r="N334" s="1066"/>
      <c r="O334" s="1006"/>
      <c r="P334" s="1006"/>
      <c r="Q334" s="1165" t="s">
        <v>1305</v>
      </c>
      <c r="R334" s="1166"/>
      <c r="S334" s="1167"/>
      <c r="T334" s="1168">
        <f t="shared" ref="T334:AI334" si="279">IF($C334&gt;=U331,0,$C330*U332)</f>
        <v>0</v>
      </c>
      <c r="U334" s="1168">
        <f t="shared" si="279"/>
        <v>0</v>
      </c>
      <c r="V334" s="1168">
        <f t="shared" si="279"/>
        <v>0</v>
      </c>
      <c r="W334" s="1168">
        <f t="shared" si="279"/>
        <v>0</v>
      </c>
      <c r="X334" s="1168">
        <f t="shared" si="279"/>
        <v>0</v>
      </c>
      <c r="Y334" s="1168">
        <f t="shared" si="279"/>
        <v>0</v>
      </c>
      <c r="Z334" s="1168">
        <f t="shared" si="279"/>
        <v>0</v>
      </c>
      <c r="AA334" s="1168">
        <f t="shared" si="279"/>
        <v>0</v>
      </c>
      <c r="AB334" s="1168">
        <f t="shared" si="279"/>
        <v>0</v>
      </c>
      <c r="AC334" s="1168">
        <f t="shared" si="279"/>
        <v>0</v>
      </c>
      <c r="AD334" s="1169">
        <f t="shared" si="279"/>
        <v>0</v>
      </c>
      <c r="AE334" s="1169">
        <f t="shared" si="279"/>
        <v>0</v>
      </c>
      <c r="AF334" s="1169">
        <f t="shared" si="279"/>
        <v>0</v>
      </c>
      <c r="AG334" s="1169">
        <f t="shared" si="279"/>
        <v>0</v>
      </c>
      <c r="AH334" s="1169">
        <f t="shared" si="279"/>
        <v>0</v>
      </c>
      <c r="AI334" s="1169">
        <f t="shared" si="279"/>
        <v>0</v>
      </c>
      <c r="AJ334" s="1010"/>
    </row>
    <row r="335" spans="1:36" s="1011" customFormat="1" ht="12.75" x14ac:dyDescent="0.25">
      <c r="A335" s="1004"/>
      <c r="B335" s="1201" t="s">
        <v>1323</v>
      </c>
      <c r="C335" s="1164"/>
      <c r="D335" s="1006"/>
      <c r="E335" s="1066"/>
      <c r="F335" s="1006"/>
      <c r="G335" s="1006"/>
      <c r="H335" s="1066"/>
      <c r="I335" s="1006"/>
      <c r="J335" s="1006"/>
      <c r="K335" s="1066"/>
      <c r="L335" s="1006"/>
      <c r="M335" s="1006"/>
      <c r="N335" s="1066"/>
      <c r="O335" s="1006"/>
      <c r="P335" s="1006"/>
      <c r="Q335" s="1170" t="s">
        <v>1306</v>
      </c>
      <c r="R335" s="1171"/>
      <c r="S335" s="1172"/>
      <c r="T335" s="1202">
        <f>IF($C334&gt;T331,0,$C330-T333-T334)</f>
        <v>0</v>
      </c>
      <c r="U335" s="1202">
        <f t="shared" ref="U335:AI335" si="280">IF($C334&gt;U331,0,IF($C334=U331,$C330-U333-U334,IF(SUM(T334:T335)-SUM(U333:U334)&lt;=0.005,0,SUM(T334:T335)-SUM(U333:U334))))</f>
        <v>0</v>
      </c>
      <c r="V335" s="1202">
        <f t="shared" si="280"/>
        <v>0</v>
      </c>
      <c r="W335" s="1202">
        <f t="shared" si="280"/>
        <v>0</v>
      </c>
      <c r="X335" s="1202">
        <f t="shared" si="280"/>
        <v>0</v>
      </c>
      <c r="Y335" s="1202">
        <f t="shared" si="280"/>
        <v>0</v>
      </c>
      <c r="Z335" s="1202">
        <f t="shared" si="280"/>
        <v>0</v>
      </c>
      <c r="AA335" s="1202">
        <f t="shared" si="280"/>
        <v>0</v>
      </c>
      <c r="AB335" s="1202">
        <f t="shared" si="280"/>
        <v>0</v>
      </c>
      <c r="AC335" s="1202">
        <f t="shared" si="280"/>
        <v>0</v>
      </c>
      <c r="AD335" s="1203">
        <f t="shared" si="280"/>
        <v>0</v>
      </c>
      <c r="AE335" s="1203">
        <f t="shared" si="280"/>
        <v>0</v>
      </c>
      <c r="AF335" s="1203">
        <f t="shared" si="280"/>
        <v>0</v>
      </c>
      <c r="AG335" s="1203">
        <f t="shared" si="280"/>
        <v>0</v>
      </c>
      <c r="AH335" s="1203">
        <f t="shared" si="280"/>
        <v>0</v>
      </c>
      <c r="AI335" s="1203">
        <f t="shared" si="280"/>
        <v>0</v>
      </c>
      <c r="AJ335" s="1010"/>
    </row>
    <row r="336" spans="1:36" s="1011" customFormat="1" ht="12.75" x14ac:dyDescent="0.25">
      <c r="A336" s="1004"/>
      <c r="B336" s="1204" t="s">
        <v>1324</v>
      </c>
      <c r="C336" s="1176"/>
      <c r="D336" s="1006"/>
      <c r="E336" s="1066"/>
      <c r="F336" s="1006"/>
      <c r="G336" s="1006"/>
      <c r="H336" s="1066"/>
      <c r="I336" s="1006"/>
      <c r="J336" s="1006"/>
      <c r="K336" s="1066"/>
      <c r="L336" s="1006"/>
      <c r="M336" s="1006"/>
      <c r="N336" s="1066"/>
      <c r="O336" s="1006"/>
      <c r="P336" s="1006"/>
      <c r="Q336" s="1153" t="s">
        <v>1307</v>
      </c>
      <c r="R336" s="1154"/>
      <c r="S336" s="1155"/>
      <c r="T336" s="1178"/>
      <c r="U336" s="1178">
        <f t="shared" ref="U336:AI336" si="281">T336</f>
        <v>0</v>
      </c>
      <c r="V336" s="1178">
        <f t="shared" si="281"/>
        <v>0</v>
      </c>
      <c r="W336" s="1178">
        <f t="shared" si="281"/>
        <v>0</v>
      </c>
      <c r="X336" s="1178">
        <f t="shared" si="281"/>
        <v>0</v>
      </c>
      <c r="Y336" s="1178">
        <f t="shared" si="281"/>
        <v>0</v>
      </c>
      <c r="Z336" s="1178">
        <f t="shared" si="281"/>
        <v>0</v>
      </c>
      <c r="AA336" s="1178">
        <f t="shared" si="281"/>
        <v>0</v>
      </c>
      <c r="AB336" s="1178">
        <f t="shared" si="281"/>
        <v>0</v>
      </c>
      <c r="AC336" s="1178">
        <f t="shared" si="281"/>
        <v>0</v>
      </c>
      <c r="AD336" s="1179">
        <f t="shared" si="281"/>
        <v>0</v>
      </c>
      <c r="AE336" s="1179">
        <f t="shared" si="281"/>
        <v>0</v>
      </c>
      <c r="AF336" s="1179">
        <f t="shared" si="281"/>
        <v>0</v>
      </c>
      <c r="AG336" s="1179">
        <f t="shared" si="281"/>
        <v>0</v>
      </c>
      <c r="AH336" s="1179">
        <f t="shared" si="281"/>
        <v>0</v>
      </c>
      <c r="AI336" s="1179">
        <f t="shared" si="281"/>
        <v>0</v>
      </c>
      <c r="AJ336" s="1010"/>
    </row>
    <row r="337" spans="1:43" s="1011" customFormat="1" ht="12.75" x14ac:dyDescent="0.25">
      <c r="A337" s="1004"/>
      <c r="B337" s="1180"/>
      <c r="C337" s="1066"/>
      <c r="D337" s="1006"/>
      <c r="E337" s="1066"/>
      <c r="F337" s="1006"/>
      <c r="G337" s="1006"/>
      <c r="H337" s="1066"/>
      <c r="I337" s="1006"/>
      <c r="J337" s="1006"/>
      <c r="K337" s="1066"/>
      <c r="L337" s="1006"/>
      <c r="M337" s="1006"/>
      <c r="N337" s="1066"/>
      <c r="O337" s="1006"/>
      <c r="P337" s="1006"/>
      <c r="Q337" s="1181" t="s">
        <v>1308</v>
      </c>
      <c r="R337" s="1182"/>
      <c r="S337" s="1183"/>
      <c r="T337" s="1184">
        <f>IF(OR($C334&lt;&gt;T331,T336=0,T336=0),0,IF(AND(T332=0,$D$937=1),T336,IF(T332=0,NOMINAL(T336,12)*IF($C334=T331,$D$937,1),IF(AND($C334=T331,ROUNDDOWN($C$936,0)=T331),$E$936,1)*NOMINAL(T336,VLOOKUP($C336,$H$950:$J$953,3,0))/VLOOKUP($C336,$H$950:$J$953,3,0)))*((IF(T332=0,1,IF(AND($C334=T331,T332&lt;ROUNDDOWN(VLOOKUP($C336,$H$950:$J$953,3,0)/$F$936,0)),ROUNDDOWN(T332*$F$936,0),IF(AND($C334&lt;T331,T332&lt;ROUNDDOWN(VLOOKUP($C336,$H$950:$J$953,3,0)/$F$936,0)),ROUND(AVERAGE(ROUNDDOWN(T332*$F$936,0),2*VLOOKUP($C336,$H$950:$J$953,3,0)),0),VLOOKUP($C336,$H$950:$J$953,3,0))))*$C330)-((T333*(IF(T332=0,1,IF(AND($C334=T331,T332&lt;ROUNDDOWN(VLOOKUP($C336,$H$950:$J$953,3,0)/$F$936,0)),ROUNDDOWN(T332*$F$936,0),IF(AND($C334&lt;T331,T332&lt;ROUNDDOWN(VLOOKUP($C336,$H$950:$J$953,3,0)/$F$936,0)),ROUND(AVERAGE(ROUNDDOWN(T332*$F$936,0),2*VLOOKUP($C336,$H$950:$J$953,3,0)),0),VLOOKUP($C336,$H$950:$J$953,3,0))))-1))/2)))</f>
        <v>0</v>
      </c>
      <c r="U337" s="1184">
        <f t="shared" ref="U337:AI337" si="282">IF(OR($C334&gt;U331,U336=0,U336=0),0,IF(AND(U332=0,OR(U331&gt;$C334,$D$937=1)),U336,IF(U332=0,NOMINAL(U336,12)*IF($C334=U331,$D$937,1),IF(AND($C334=U331,ROUNDDOWN($C$936,0)=U331),$E$936,1)*NOMINAL(U336,VLOOKUP($C336,$H$950:$J$953,3,0))/VLOOKUP($C336,$H$950:$J$953,3,0)))*((IF(U332=0,1,IF(AND($C334=U331,U332&lt;ROUNDDOWN(VLOOKUP($C336,$H$950:$J$953,3,0)/$F$936,0)),ROUNDDOWN(U332*$F$936,0),IF(AND($C334&lt;U331,U332&lt;ROUNDDOWN(VLOOKUP($C336,$H$950:$J$953,3,0)/$F$936,0)),ROUND(AVERAGE(ROUNDDOWN(U332*$F$936,0),2*VLOOKUP($C336,$H$950:$J$953,3,0)),0),VLOOKUP($C336,$H$950:$J$953,3,0))))*IF($C334=U331,$C330,SUM(T334:T335)))-((U333*(IF(U332=0,1,IF(AND($C334=U331,U332&lt;ROUNDDOWN(VLOOKUP($C336,$H$950:$J$953,3,0)/$F$936,0)),ROUNDDOWN(U332*$F$936,0),IF(AND($C334&lt;U331,U332&lt;ROUNDDOWN(VLOOKUP($C336,$H$950:$J$953,3,0)/$F$936,0)),ROUND(AVERAGE(ROUNDDOWN(U332*$F$936,0),2*VLOOKUP($C336,$H$950:$J$953,3,0)),0),VLOOKUP($C336,$H$950:$J$953,3,0))))-1))/2)))</f>
        <v>0</v>
      </c>
      <c r="V337" s="1184">
        <f t="shared" si="282"/>
        <v>0</v>
      </c>
      <c r="W337" s="1184">
        <f t="shared" si="282"/>
        <v>0</v>
      </c>
      <c r="X337" s="1184">
        <f t="shared" si="282"/>
        <v>0</v>
      </c>
      <c r="Y337" s="1184">
        <f t="shared" si="282"/>
        <v>0</v>
      </c>
      <c r="Z337" s="1184">
        <f t="shared" si="282"/>
        <v>0</v>
      </c>
      <c r="AA337" s="1184">
        <f t="shared" si="282"/>
        <v>0</v>
      </c>
      <c r="AB337" s="1184">
        <f t="shared" si="282"/>
        <v>0</v>
      </c>
      <c r="AC337" s="1184">
        <f t="shared" si="282"/>
        <v>0</v>
      </c>
      <c r="AD337" s="1211">
        <f t="shared" si="282"/>
        <v>0</v>
      </c>
      <c r="AE337" s="1211">
        <f t="shared" si="282"/>
        <v>0</v>
      </c>
      <c r="AF337" s="1211">
        <f t="shared" si="282"/>
        <v>0</v>
      </c>
      <c r="AG337" s="1211">
        <f t="shared" si="282"/>
        <v>0</v>
      </c>
      <c r="AH337" s="1211">
        <f t="shared" si="282"/>
        <v>0</v>
      </c>
      <c r="AI337" s="1211">
        <f t="shared" si="282"/>
        <v>0</v>
      </c>
      <c r="AJ337" s="1010"/>
    </row>
    <row r="338" spans="1:43" s="1011" customFormat="1" ht="12.75" x14ac:dyDescent="0.25">
      <c r="A338" s="1004"/>
      <c r="B338" s="1180"/>
      <c r="C338" s="1066"/>
      <c r="D338" s="1006"/>
      <c r="E338" s="1066"/>
      <c r="F338" s="1006"/>
      <c r="G338" s="1006"/>
      <c r="H338" s="1066"/>
      <c r="I338" s="1006"/>
      <c r="J338" s="1006"/>
      <c r="K338" s="1066"/>
      <c r="L338" s="1006"/>
      <c r="M338" s="1006"/>
      <c r="N338" s="1066"/>
      <c r="O338" s="1006"/>
      <c r="P338" s="1006"/>
      <c r="Q338" s="1006"/>
      <c r="R338" s="1006"/>
      <c r="S338" s="1006"/>
      <c r="T338" s="1206"/>
      <c r="U338" s="1206"/>
      <c r="V338" s="1206"/>
      <c r="W338" s="1206"/>
      <c r="X338" s="1206"/>
      <c r="Y338" s="1206"/>
      <c r="Z338" s="1206"/>
      <c r="AA338" s="1206"/>
      <c r="AB338" s="1206"/>
      <c r="AC338" s="1206"/>
      <c r="AD338" s="1207"/>
      <c r="AE338" s="1208"/>
      <c r="AF338" s="1006"/>
      <c r="AG338" s="1006"/>
      <c r="AH338" s="1006"/>
      <c r="AI338" s="1006"/>
      <c r="AJ338" s="1010"/>
    </row>
    <row r="339" spans="1:43" s="1011" customFormat="1" ht="12.75" x14ac:dyDescent="0.25">
      <c r="A339" s="1004"/>
      <c r="B339" s="1180"/>
      <c r="C339" s="1066"/>
      <c r="D339" s="1006"/>
      <c r="E339" s="1066"/>
      <c r="F339" s="1006"/>
      <c r="G339" s="1006"/>
      <c r="H339" s="1066"/>
      <c r="I339" s="1006"/>
      <c r="J339" s="1006"/>
      <c r="K339" s="1066"/>
      <c r="L339" s="1006"/>
      <c r="M339" s="1006"/>
      <c r="N339" s="1066"/>
      <c r="O339" s="1006"/>
      <c r="P339" s="1006"/>
      <c r="Q339" s="1006"/>
      <c r="R339" s="1006"/>
      <c r="S339" s="1006"/>
      <c r="T339" s="1006"/>
      <c r="U339" s="1006"/>
      <c r="V339" s="1006"/>
      <c r="W339" s="1006"/>
      <c r="X339" s="1006"/>
      <c r="Y339" s="1006"/>
      <c r="Z339" s="1006"/>
      <c r="AA339" s="1006"/>
      <c r="AB339" s="1006"/>
      <c r="AC339" s="1006"/>
      <c r="AD339" s="1006"/>
      <c r="AE339" s="1142"/>
      <c r="AF339" s="1006"/>
      <c r="AG339" s="1006"/>
      <c r="AH339" s="1006"/>
      <c r="AI339" s="1006"/>
      <c r="AJ339" s="1010"/>
    </row>
    <row r="340" spans="1:43" s="1011" customFormat="1" ht="12.75" x14ac:dyDescent="0.25">
      <c r="A340" s="1004"/>
      <c r="B340" s="1212" t="s">
        <v>1325</v>
      </c>
      <c r="C340" s="1213"/>
      <c r="D340" s="1214"/>
      <c r="E340" s="1213"/>
      <c r="F340" s="1214"/>
      <c r="G340" s="1214"/>
      <c r="H340" s="1213"/>
      <c r="I340" s="1214"/>
      <c r="J340" s="1214"/>
      <c r="K340" s="1213"/>
      <c r="L340" s="1214"/>
      <c r="M340" s="1214"/>
      <c r="N340" s="1213"/>
      <c r="O340" s="1214"/>
      <c r="P340" s="1214"/>
      <c r="Q340" s="1213"/>
      <c r="R340" s="1214"/>
      <c r="S340" s="1214"/>
      <c r="T340" s="1215">
        <f t="shared" ref="T340:AI340" si="283">T314+T324+T334</f>
        <v>0</v>
      </c>
      <c r="U340" s="1215">
        <f t="shared" si="283"/>
        <v>0</v>
      </c>
      <c r="V340" s="1215">
        <f t="shared" si="283"/>
        <v>0</v>
      </c>
      <c r="W340" s="1215">
        <f t="shared" si="283"/>
        <v>0</v>
      </c>
      <c r="X340" s="1215">
        <f t="shared" si="283"/>
        <v>0</v>
      </c>
      <c r="Y340" s="1215">
        <f t="shared" si="283"/>
        <v>0</v>
      </c>
      <c r="Z340" s="1215">
        <f t="shared" si="283"/>
        <v>0</v>
      </c>
      <c r="AA340" s="1215">
        <f t="shared" si="283"/>
        <v>0</v>
      </c>
      <c r="AB340" s="1215">
        <f t="shared" si="283"/>
        <v>0</v>
      </c>
      <c r="AC340" s="1215">
        <f t="shared" si="283"/>
        <v>0</v>
      </c>
      <c r="AD340" s="1216">
        <f t="shared" si="283"/>
        <v>0</v>
      </c>
      <c r="AE340" s="1216">
        <f t="shared" si="283"/>
        <v>0</v>
      </c>
      <c r="AF340" s="1216">
        <f t="shared" si="283"/>
        <v>0</v>
      </c>
      <c r="AG340" s="1216">
        <f t="shared" si="283"/>
        <v>0</v>
      </c>
      <c r="AH340" s="1216">
        <f t="shared" si="283"/>
        <v>0</v>
      </c>
      <c r="AI340" s="1216">
        <f t="shared" si="283"/>
        <v>0</v>
      </c>
      <c r="AJ340" s="1010"/>
    </row>
    <row r="341" spans="1:43" s="1011" customFormat="1" ht="12.75" x14ac:dyDescent="0.25">
      <c r="A341" s="1004"/>
      <c r="B341" s="1212" t="s">
        <v>1326</v>
      </c>
      <c r="C341" s="1213"/>
      <c r="D341" s="1214"/>
      <c r="E341" s="1213"/>
      <c r="F341" s="1214"/>
      <c r="G341" s="1214"/>
      <c r="H341" s="1213"/>
      <c r="I341" s="1214"/>
      <c r="J341" s="1214"/>
      <c r="K341" s="1213"/>
      <c r="L341" s="1214"/>
      <c r="M341" s="1214"/>
      <c r="N341" s="1213"/>
      <c r="O341" s="1214"/>
      <c r="P341" s="1214"/>
      <c r="Q341" s="1213"/>
      <c r="R341" s="1214"/>
      <c r="S341" s="1214"/>
      <c r="T341" s="1217">
        <f t="shared" ref="T341:AI341" si="284">T315+T325+T335</f>
        <v>0</v>
      </c>
      <c r="U341" s="1217">
        <f t="shared" si="284"/>
        <v>0</v>
      </c>
      <c r="V341" s="1217">
        <f t="shared" si="284"/>
        <v>0</v>
      </c>
      <c r="W341" s="1217">
        <f t="shared" si="284"/>
        <v>0</v>
      </c>
      <c r="X341" s="1217">
        <f t="shared" si="284"/>
        <v>0</v>
      </c>
      <c r="Y341" s="1217">
        <f t="shared" si="284"/>
        <v>0</v>
      </c>
      <c r="Z341" s="1217">
        <f t="shared" si="284"/>
        <v>0</v>
      </c>
      <c r="AA341" s="1217">
        <f t="shared" si="284"/>
        <v>0</v>
      </c>
      <c r="AB341" s="1217">
        <f t="shared" si="284"/>
        <v>0</v>
      </c>
      <c r="AC341" s="1217">
        <f t="shared" si="284"/>
        <v>0</v>
      </c>
      <c r="AD341" s="1218">
        <f t="shared" si="284"/>
        <v>0</v>
      </c>
      <c r="AE341" s="1218">
        <f t="shared" si="284"/>
        <v>0</v>
      </c>
      <c r="AF341" s="1218">
        <f t="shared" si="284"/>
        <v>0</v>
      </c>
      <c r="AG341" s="1218">
        <f t="shared" si="284"/>
        <v>0</v>
      </c>
      <c r="AH341" s="1218">
        <f t="shared" si="284"/>
        <v>0</v>
      </c>
      <c r="AI341" s="1218">
        <f t="shared" si="284"/>
        <v>0</v>
      </c>
      <c r="AJ341" s="1010"/>
    </row>
    <row r="342" spans="1:43" s="1226" customFormat="1" ht="12" thickBot="1" x14ac:dyDescent="0.3">
      <c r="A342" s="1219"/>
      <c r="B342" s="1220" t="s">
        <v>1327</v>
      </c>
      <c r="C342" s="1221"/>
      <c r="D342" s="1222"/>
      <c r="E342" s="1221"/>
      <c r="F342" s="1222"/>
      <c r="G342" s="1222"/>
      <c r="H342" s="1221"/>
      <c r="I342" s="1222"/>
      <c r="J342" s="1222"/>
      <c r="K342" s="1221"/>
      <c r="L342" s="1222"/>
      <c r="M342" s="1222"/>
      <c r="N342" s="1221"/>
      <c r="O342" s="1222"/>
      <c r="P342" s="1222"/>
      <c r="Q342" s="1221"/>
      <c r="R342" s="1222"/>
      <c r="S342" s="1222"/>
      <c r="T342" s="1223">
        <f t="shared" ref="T342:AI342" si="285">T317+T327+T337</f>
        <v>0</v>
      </c>
      <c r="U342" s="1223">
        <f t="shared" si="285"/>
        <v>0</v>
      </c>
      <c r="V342" s="1223">
        <f t="shared" si="285"/>
        <v>0</v>
      </c>
      <c r="W342" s="1223">
        <f t="shared" si="285"/>
        <v>0</v>
      </c>
      <c r="X342" s="1223">
        <f t="shared" si="285"/>
        <v>0</v>
      </c>
      <c r="Y342" s="1223">
        <f t="shared" si="285"/>
        <v>0</v>
      </c>
      <c r="Z342" s="1223">
        <f t="shared" si="285"/>
        <v>0</v>
      </c>
      <c r="AA342" s="1223">
        <f t="shared" si="285"/>
        <v>0</v>
      </c>
      <c r="AB342" s="1223">
        <f t="shared" si="285"/>
        <v>0</v>
      </c>
      <c r="AC342" s="1223">
        <f t="shared" si="285"/>
        <v>0</v>
      </c>
      <c r="AD342" s="1224">
        <f t="shared" si="285"/>
        <v>0</v>
      </c>
      <c r="AE342" s="1224">
        <f t="shared" si="285"/>
        <v>0</v>
      </c>
      <c r="AF342" s="1224">
        <f t="shared" si="285"/>
        <v>0</v>
      </c>
      <c r="AG342" s="1224">
        <f t="shared" si="285"/>
        <v>0</v>
      </c>
      <c r="AH342" s="1224">
        <f t="shared" si="285"/>
        <v>0</v>
      </c>
      <c r="AI342" s="1224">
        <f t="shared" si="285"/>
        <v>0</v>
      </c>
      <c r="AJ342" s="1225"/>
    </row>
    <row r="343" spans="1:43" s="1226" customFormat="1" ht="12" thickBot="1" x14ac:dyDescent="0.3">
      <c r="A343" s="1219"/>
      <c r="B343" s="1227"/>
      <c r="D343" s="1228"/>
      <c r="E343" s="1228"/>
      <c r="F343" s="1228"/>
      <c r="G343" s="1228"/>
      <c r="H343" s="1228"/>
      <c r="I343" s="1228"/>
      <c r="J343" s="1228"/>
      <c r="K343" s="1228"/>
      <c r="L343" s="1228"/>
      <c r="M343" s="1228"/>
      <c r="N343" s="1228"/>
      <c r="O343" s="1228"/>
      <c r="P343" s="1228"/>
      <c r="Q343" s="1228"/>
      <c r="R343" s="1228"/>
      <c r="S343" s="1228"/>
      <c r="T343" s="1228"/>
      <c r="U343" s="1228"/>
      <c r="V343" s="1228"/>
      <c r="W343" s="1228"/>
      <c r="X343" s="1228"/>
      <c r="Y343" s="1228"/>
      <c r="Z343" s="1228"/>
      <c r="AA343" s="1228"/>
      <c r="AB343" s="1228"/>
      <c r="AC343" s="1228"/>
      <c r="AD343" s="1228"/>
      <c r="AE343" s="1229"/>
      <c r="AF343" s="1230"/>
      <c r="AG343" s="1228"/>
      <c r="AH343" s="1228"/>
      <c r="AI343" s="1228"/>
      <c r="AJ343" s="1225"/>
    </row>
    <row r="344" spans="1:43" s="1226" customFormat="1" ht="12.75" x14ac:dyDescent="0.25">
      <c r="A344" s="1219"/>
      <c r="B344" s="1231" t="s">
        <v>1328</v>
      </c>
      <c r="C344" s="1232"/>
      <c r="D344" s="1233"/>
      <c r="E344" s="1234"/>
      <c r="F344" s="1233"/>
      <c r="G344" s="1233"/>
      <c r="H344" s="1234"/>
      <c r="I344" s="1233"/>
      <c r="J344" s="1233"/>
      <c r="K344" s="1234"/>
      <c r="L344" s="1233"/>
      <c r="M344" s="1233"/>
      <c r="N344" s="1234"/>
      <c r="O344" s="1233"/>
      <c r="P344" s="1233"/>
      <c r="Q344" s="1234"/>
      <c r="R344" s="1233"/>
      <c r="S344" s="1233"/>
      <c r="T344" s="1235" t="s">
        <v>1044</v>
      </c>
      <c r="U344" s="1235" t="s">
        <v>1044</v>
      </c>
      <c r="V344" s="1235" t="s">
        <v>1044</v>
      </c>
      <c r="W344" s="1235" t="s">
        <v>1044</v>
      </c>
      <c r="X344" s="1235" t="s">
        <v>1044</v>
      </c>
      <c r="Y344" s="1235" t="s">
        <v>1044</v>
      </c>
      <c r="Z344" s="1235" t="s">
        <v>1044</v>
      </c>
      <c r="AA344" s="1235" t="s">
        <v>1044</v>
      </c>
      <c r="AB344" s="1235" t="s">
        <v>1044</v>
      </c>
      <c r="AC344" s="1235" t="s">
        <v>1044</v>
      </c>
      <c r="AD344" s="1236" t="s">
        <v>1044</v>
      </c>
      <c r="AE344" s="1236" t="s">
        <v>1044</v>
      </c>
      <c r="AF344" s="1236" t="s">
        <v>1044</v>
      </c>
      <c r="AG344" s="1236" t="s">
        <v>1044</v>
      </c>
      <c r="AH344" s="1236" t="s">
        <v>1044</v>
      </c>
      <c r="AI344" s="1236" t="s">
        <v>1044</v>
      </c>
      <c r="AJ344" s="1225"/>
    </row>
    <row r="345" spans="1:43" s="1011" customFormat="1" ht="12.75" x14ac:dyDescent="0.25">
      <c r="A345" s="1004"/>
      <c r="B345" s="1237"/>
      <c r="C345" s="506">
        <f>C15</f>
        <v>2018</v>
      </c>
      <c r="D345" s="989"/>
      <c r="E345" s="634">
        <f>E15</f>
        <v>2019</v>
      </c>
      <c r="F345" s="989"/>
      <c r="G345" s="989"/>
      <c r="H345" s="634">
        <f>H15</f>
        <v>2020</v>
      </c>
      <c r="I345" s="600"/>
      <c r="J345" s="600"/>
      <c r="K345" s="634">
        <f>K15</f>
        <v>2020</v>
      </c>
      <c r="L345" s="989"/>
      <c r="M345" s="500"/>
      <c r="N345" s="634">
        <f>N15</f>
        <v>2021</v>
      </c>
      <c r="O345" s="989"/>
      <c r="P345" s="500"/>
      <c r="Q345" s="634">
        <f>Q15</f>
        <v>2021</v>
      </c>
      <c r="R345" s="1006"/>
      <c r="S345" s="1006"/>
      <c r="T345" s="634">
        <f t="shared" ref="T345:AI345" si="286">T15</f>
        <v>2022</v>
      </c>
      <c r="U345" s="634">
        <f t="shared" si="286"/>
        <v>2023</v>
      </c>
      <c r="V345" s="634">
        <f t="shared" si="286"/>
        <v>2024</v>
      </c>
      <c r="W345" s="634">
        <f t="shared" si="286"/>
        <v>2025</v>
      </c>
      <c r="X345" s="634">
        <f t="shared" si="286"/>
        <v>2026</v>
      </c>
      <c r="Y345" s="634">
        <f t="shared" si="286"/>
        <v>2027</v>
      </c>
      <c r="Z345" s="634">
        <f t="shared" si="286"/>
        <v>2028</v>
      </c>
      <c r="AA345" s="634">
        <f t="shared" si="286"/>
        <v>2029</v>
      </c>
      <c r="AB345" s="634">
        <f t="shared" si="286"/>
        <v>2030</v>
      </c>
      <c r="AC345" s="634">
        <f t="shared" si="286"/>
        <v>2031</v>
      </c>
      <c r="AD345" s="1238">
        <f t="shared" si="286"/>
        <v>2032</v>
      </c>
      <c r="AE345" s="1238">
        <f t="shared" si="286"/>
        <v>2033</v>
      </c>
      <c r="AF345" s="1238">
        <f t="shared" si="286"/>
        <v>2034</v>
      </c>
      <c r="AG345" s="1238">
        <f t="shared" si="286"/>
        <v>2035</v>
      </c>
      <c r="AH345" s="1238">
        <f t="shared" si="286"/>
        <v>2036</v>
      </c>
      <c r="AI345" s="1238">
        <f t="shared" si="286"/>
        <v>2037</v>
      </c>
      <c r="AJ345" s="1010"/>
    </row>
    <row r="346" spans="1:43" s="1011" customFormat="1" ht="12.75" x14ac:dyDescent="0.25">
      <c r="A346" s="1004"/>
      <c r="B346" s="1239" t="s">
        <v>1329</v>
      </c>
      <c r="C346" s="1240">
        <f>IF(C45+C54=0,0,C347/(C45+C54))</f>
        <v>0</v>
      </c>
      <c r="D346" s="496"/>
      <c r="E346" s="1241">
        <f>IF(E45+E54=0,0,E347/(E45+E54))</f>
        <v>0.1</v>
      </c>
      <c r="F346" s="496"/>
      <c r="G346" s="496"/>
      <c r="H346" s="1241">
        <f>IF(H45+H54=0,0,H347/(H45+H54))</f>
        <v>0.1</v>
      </c>
      <c r="I346" s="495"/>
      <c r="J346" s="495"/>
      <c r="K346" s="1241">
        <f>IF(K45+K54=0,0,K347/(K45+K54))</f>
        <v>0.1</v>
      </c>
      <c r="L346" s="496"/>
      <c r="M346" s="500"/>
      <c r="N346" s="1241">
        <f>IF(N45+N54=0,0,N347/(N45+N54))</f>
        <v>0.1</v>
      </c>
      <c r="O346" s="496"/>
      <c r="P346" s="500"/>
      <c r="Q346" s="1241">
        <f>IF(Q45+Q54=0,0,Q347/(Q45+Q54))</f>
        <v>0.1</v>
      </c>
      <c r="R346" s="496"/>
      <c r="S346" s="500"/>
      <c r="T346" s="1242">
        <f>IF($N$71=0,0,E346*($E$241+$C$241)+H346*$H$241+N346*$N$241+Q346*$Q$241)</f>
        <v>0.1</v>
      </c>
      <c r="U346" s="1242">
        <f>T346</f>
        <v>0.1</v>
      </c>
      <c r="V346" s="1242"/>
      <c r="W346" s="1242"/>
      <c r="X346" s="1242"/>
      <c r="Y346" s="1242"/>
      <c r="Z346" s="1242"/>
      <c r="AA346" s="1242"/>
      <c r="AB346" s="1242"/>
      <c r="AC346" s="1242"/>
      <c r="AD346" s="1243"/>
      <c r="AE346" s="1243"/>
      <c r="AF346" s="1243"/>
      <c r="AG346" s="1243"/>
      <c r="AH346" s="1243"/>
      <c r="AI346" s="1243"/>
      <c r="AJ346" s="1010"/>
    </row>
    <row r="347" spans="1:43" s="1011" customFormat="1" ht="13.5" thickBot="1" x14ac:dyDescent="0.3">
      <c r="A347" s="1004"/>
      <c r="B347" s="1244" t="s">
        <v>1330</v>
      </c>
      <c r="C347" s="1245">
        <f>C76-C253-C443</f>
        <v>0</v>
      </c>
      <c r="D347" s="1246"/>
      <c r="E347" s="1247">
        <f>E76-E253-E443</f>
        <v>4</v>
      </c>
      <c r="F347" s="1246"/>
      <c r="G347" s="1246"/>
      <c r="H347" s="1247">
        <f>H76-H253-H443</f>
        <v>4</v>
      </c>
      <c r="I347" s="1246"/>
      <c r="J347" s="1246"/>
      <c r="K347" s="1247">
        <f>K76-K253-K443</f>
        <v>4</v>
      </c>
      <c r="L347" s="1246"/>
      <c r="M347" s="1246"/>
      <c r="N347" s="1247">
        <f>N76-N253-N443</f>
        <v>4</v>
      </c>
      <c r="O347" s="1246"/>
      <c r="P347" s="1246"/>
      <c r="Q347" s="1247">
        <f>Q76-Q253-Q443</f>
        <v>4</v>
      </c>
      <c r="R347" s="1246"/>
      <c r="S347" s="1246"/>
      <c r="T347" s="1248">
        <f t="shared" ref="T347:AI347" si="287">(T54+T45)*T346</f>
        <v>4</v>
      </c>
      <c r="U347" s="1248">
        <f t="shared" si="287"/>
        <v>4</v>
      </c>
      <c r="V347" s="1248">
        <f t="shared" si="287"/>
        <v>0</v>
      </c>
      <c r="W347" s="1248">
        <f t="shared" si="287"/>
        <v>0</v>
      </c>
      <c r="X347" s="1248">
        <f t="shared" si="287"/>
        <v>0</v>
      </c>
      <c r="Y347" s="1248">
        <f t="shared" si="287"/>
        <v>0</v>
      </c>
      <c r="Z347" s="1248">
        <f t="shared" si="287"/>
        <v>0</v>
      </c>
      <c r="AA347" s="1248">
        <f t="shared" si="287"/>
        <v>0</v>
      </c>
      <c r="AB347" s="1248">
        <f t="shared" si="287"/>
        <v>0</v>
      </c>
      <c r="AC347" s="1248">
        <f t="shared" si="287"/>
        <v>0</v>
      </c>
      <c r="AD347" s="1249">
        <f t="shared" si="287"/>
        <v>0</v>
      </c>
      <c r="AE347" s="1249">
        <f t="shared" si="287"/>
        <v>0</v>
      </c>
      <c r="AF347" s="1249">
        <f t="shared" si="287"/>
        <v>0</v>
      </c>
      <c r="AG347" s="1249">
        <f t="shared" si="287"/>
        <v>0</v>
      </c>
      <c r="AH347" s="1249">
        <f t="shared" si="287"/>
        <v>0</v>
      </c>
      <c r="AI347" s="1249">
        <f t="shared" si="287"/>
        <v>0</v>
      </c>
      <c r="AJ347" s="1010"/>
    </row>
    <row r="348" spans="1:43" s="496" customFormat="1" ht="13.5" thickBot="1" x14ac:dyDescent="0.25">
      <c r="A348" s="498"/>
      <c r="B348" s="603"/>
      <c r="E348" s="1177"/>
      <c r="H348" s="1177"/>
      <c r="I348" s="495"/>
      <c r="J348" s="495"/>
      <c r="K348" s="1177"/>
      <c r="M348" s="500"/>
      <c r="N348" s="1177"/>
      <c r="P348" s="500"/>
      <c r="Q348" s="1177"/>
      <c r="S348" s="500"/>
      <c r="T348" s="1177"/>
      <c r="V348" s="495"/>
      <c r="W348" s="495"/>
      <c r="X348" s="495"/>
      <c r="Y348" s="495"/>
      <c r="Z348" s="495"/>
      <c r="AA348" s="495"/>
      <c r="AB348" s="495"/>
      <c r="AC348" s="495"/>
      <c r="AD348" s="495"/>
      <c r="AF348" s="1250"/>
      <c r="AJ348" s="778"/>
      <c r="AN348" s="497"/>
      <c r="AO348" s="497"/>
      <c r="AP348" s="497"/>
      <c r="AQ348" s="497"/>
    </row>
    <row r="349" spans="1:43" s="1011" customFormat="1" ht="15.75" thickBot="1" x14ac:dyDescent="0.3">
      <c r="A349" s="1004"/>
      <c r="B349" s="1251" t="s">
        <v>1331</v>
      </c>
      <c r="C349" s="1252"/>
      <c r="D349" s="1252"/>
      <c r="E349" s="1253"/>
      <c r="F349" s="496"/>
      <c r="G349" s="496"/>
      <c r="H349" s="496"/>
      <c r="I349" s="495"/>
      <c r="J349" s="495"/>
      <c r="K349" s="496"/>
      <c r="L349" s="496"/>
      <c r="M349" s="500"/>
      <c r="N349" s="496"/>
      <c r="O349" s="496"/>
      <c r="P349" s="500"/>
      <c r="Q349" s="496"/>
      <c r="R349" s="496"/>
      <c r="S349" s="500"/>
      <c r="T349" s="496"/>
      <c r="U349" s="496"/>
      <c r="V349" s="495"/>
      <c r="W349" s="495"/>
      <c r="X349" s="495"/>
      <c r="Y349" s="495"/>
      <c r="Z349" s="495"/>
      <c r="AA349" s="495"/>
      <c r="AB349" s="495"/>
      <c r="AC349" s="495"/>
      <c r="AD349" s="495"/>
      <c r="AE349" s="1006"/>
      <c r="AF349" s="1254"/>
      <c r="AG349" s="1006"/>
      <c r="AH349" s="1006"/>
      <c r="AI349" s="1006"/>
      <c r="AJ349" s="1010"/>
    </row>
    <row r="350" spans="1:43" s="496" customFormat="1" ht="12.75" x14ac:dyDescent="0.2">
      <c r="A350" s="498"/>
      <c r="B350" s="1255" t="str">
        <f>IF(AND(S350=0,S350=0),0,"1er. DESEMBOLSO - ")&amp;"MONTO DEL CRÉDITO"</f>
        <v>1er. DESEMBOLSO - MONTO DEL CRÉDITO</v>
      </c>
      <c r="C350" s="1256"/>
      <c r="D350" s="1257"/>
      <c r="E350" s="1257"/>
      <c r="F350" s="1257"/>
      <c r="G350" s="1257"/>
      <c r="H350" s="1257"/>
      <c r="I350" s="1258"/>
      <c r="J350" s="1258"/>
      <c r="K350" s="1257"/>
      <c r="L350" s="1257"/>
      <c r="M350" s="1259"/>
      <c r="N350" s="1257"/>
      <c r="O350" s="1257"/>
      <c r="P350" s="1259"/>
      <c r="Q350" s="1257"/>
      <c r="R350" s="1257"/>
      <c r="S350" s="1260" t="s">
        <v>1302</v>
      </c>
      <c r="T350" s="1261" t="s">
        <v>1044</v>
      </c>
      <c r="U350" s="1261" t="s">
        <v>1044</v>
      </c>
      <c r="V350" s="1261" t="s">
        <v>1044</v>
      </c>
      <c r="W350" s="1261" t="s">
        <v>1044</v>
      </c>
      <c r="X350" s="1261" t="s">
        <v>1044</v>
      </c>
      <c r="Y350" s="1261" t="s">
        <v>1044</v>
      </c>
      <c r="Z350" s="1261" t="s">
        <v>1044</v>
      </c>
      <c r="AA350" s="1261" t="s">
        <v>1044</v>
      </c>
      <c r="AB350" s="1261" t="s">
        <v>1044</v>
      </c>
      <c r="AC350" s="1261" t="s">
        <v>1044</v>
      </c>
      <c r="AD350" s="1262" t="s">
        <v>1044</v>
      </c>
      <c r="AE350" s="1262" t="s">
        <v>1044</v>
      </c>
      <c r="AF350" s="1262" t="s">
        <v>1044</v>
      </c>
      <c r="AG350" s="1262" t="s">
        <v>1044</v>
      </c>
      <c r="AH350" s="1262" t="s">
        <v>1044</v>
      </c>
      <c r="AI350" s="1262" t="s">
        <v>1044</v>
      </c>
      <c r="AJ350" s="778"/>
      <c r="AN350" s="497"/>
      <c r="AO350" s="497"/>
      <c r="AP350" s="497"/>
      <c r="AQ350" s="497"/>
    </row>
    <row r="351" spans="1:43" s="496" customFormat="1" ht="12.75" x14ac:dyDescent="0.2">
      <c r="A351" s="498"/>
      <c r="B351" s="1263" t="str">
        <f>IF(AND(S350=0,S350=0),0,"1er. DESEMBOLSO - ")&amp;"PLAZO (AÑOS) INCLUYENDO PERÍODO DE GRACIA (SI TIENE)"</f>
        <v>1er. DESEMBOLSO - PLAZO (AÑOS) INCLUYENDO PERÍODO DE GRACIA (SI TIENE)</v>
      </c>
      <c r="C351" s="1264"/>
      <c r="I351" s="495"/>
      <c r="J351" s="495"/>
      <c r="M351" s="500"/>
      <c r="P351" s="500"/>
      <c r="Q351" s="495"/>
      <c r="S351" s="500"/>
      <c r="T351" s="1265">
        <f t="shared" ref="T351:AI351" si="288">T15</f>
        <v>2022</v>
      </c>
      <c r="U351" s="1265">
        <f t="shared" si="288"/>
        <v>2023</v>
      </c>
      <c r="V351" s="1265">
        <f t="shared" si="288"/>
        <v>2024</v>
      </c>
      <c r="W351" s="1265">
        <f t="shared" si="288"/>
        <v>2025</v>
      </c>
      <c r="X351" s="1265">
        <f t="shared" si="288"/>
        <v>2026</v>
      </c>
      <c r="Y351" s="1265">
        <f t="shared" si="288"/>
        <v>2027</v>
      </c>
      <c r="Z351" s="1265">
        <f t="shared" si="288"/>
        <v>2028</v>
      </c>
      <c r="AA351" s="1265">
        <f t="shared" si="288"/>
        <v>2029</v>
      </c>
      <c r="AB351" s="1265">
        <f t="shared" si="288"/>
        <v>2030</v>
      </c>
      <c r="AC351" s="1265">
        <f t="shared" si="288"/>
        <v>2031</v>
      </c>
      <c r="AD351" s="1266">
        <f t="shared" si="288"/>
        <v>2032</v>
      </c>
      <c r="AE351" s="1266">
        <f t="shared" si="288"/>
        <v>2033</v>
      </c>
      <c r="AF351" s="1266">
        <f t="shared" si="288"/>
        <v>2034</v>
      </c>
      <c r="AG351" s="1266">
        <f t="shared" si="288"/>
        <v>2035</v>
      </c>
      <c r="AH351" s="1266">
        <f t="shared" si="288"/>
        <v>2036</v>
      </c>
      <c r="AI351" s="1266">
        <f t="shared" si="288"/>
        <v>2037</v>
      </c>
      <c r="AJ351" s="778"/>
      <c r="AN351" s="497"/>
      <c r="AO351" s="497"/>
      <c r="AP351" s="497"/>
      <c r="AQ351" s="497"/>
    </row>
    <row r="352" spans="1:43" s="496" customFormat="1" ht="12.75" x14ac:dyDescent="0.2">
      <c r="A352" s="498"/>
      <c r="B352" s="1263" t="str">
        <f>IF(AND(S350=0,S350=0),0,"1er. DESEMBOLSO - ")&amp;"PERÍODO DE GRACIA (MESES)"</f>
        <v>1er. DESEMBOLSO - PERÍODO DE GRACIA (MESES)</v>
      </c>
      <c r="C352" s="1264"/>
      <c r="I352" s="495"/>
      <c r="J352" s="495"/>
      <c r="M352" s="500"/>
      <c r="P352" s="500"/>
      <c r="Q352" s="1267" t="s">
        <v>1303</v>
      </c>
      <c r="R352" s="1268"/>
      <c r="S352" s="1269"/>
      <c r="T352" s="1270">
        <f>IF(OR($C351=0,$C351=0,$C356=0),0,IF(AND(T351-$C354&gt;=0,T351&lt;=$C354+$C351,ROUNDDOWN(T351,0)=ROUNDDOWN($C$942,0)),IF(ROUNDDOWN(T351,0)=ROUNDDOWN($C$942,0),ROUND($E$942*VLOOKUP($C356,$H$950:$J$953,3,0)/$F$942,2),ROUND(VLOOKUP($C356,$H$950:$J$953,3,0)/$F$942,2)),0))</f>
        <v>0</v>
      </c>
      <c r="U352" s="1270">
        <f>IF(OR($C351=0,$C351=0,$C356=0),0,IF(AND(ROUNDDOWN(U351,0)&gt;=ROUNDDOWN($C$942,0),1-$T352&lt;VLOOKUP($C356,$H$950:$J$953,3,0)/$F$942),1-$T352,IF(ROUNDDOWN(U351,0)&gt;=ROUNDDOWN($C$942,0),IF(ROUNDDOWN(U351,0)=ROUNDDOWN($C$942,0),ROUND($E$942*VLOOKUP($C356,$H$950:$J$953,3,0)/$F$942,2),ROUND(VLOOKUP($C356,$H$950:$J$953,3,0)/$F$942,2)),0)))</f>
        <v>0</v>
      </c>
      <c r="V352" s="1270">
        <f>IF(OR($C351=0,$C351=0,$C356=0),0,IF(AND(ROUNDDOWN(V351,0)&gt;=ROUNDDOWN($C$942,0),1-SUM($T352:U352)&lt;VLOOKUP($C356,$H$950:$J$953,3,0)/$F$942),1-SUM($T352:U352),IF(ROUNDDOWN(V351,0)&gt;=ROUNDDOWN($C$942,0),IF(ROUNDDOWN(V351,0)=ROUNDDOWN($C$942,0),ROUND($E$942*VLOOKUP($C356,$H$950:$J$953,3,0)/$F$942,2),ROUND(VLOOKUP($C356,$H$950:$J$953,3,0)/$F$942,2)),0)))</f>
        <v>0</v>
      </c>
      <c r="W352" s="1270">
        <f>IF(OR($C351=0,$C351=0,$C356=0),0,IF(AND(ROUNDDOWN(W351,0)&gt;=ROUNDDOWN($C$942,0),1-SUM($T352:V352)&lt;VLOOKUP($C356,$H$950:$J$953,3,0)/$F$942),1-SUM($T352:V352),IF(ROUNDDOWN(W351,0)&gt;=ROUNDDOWN($C$942,0),IF(ROUNDDOWN(W351,0)=ROUNDDOWN($C$942,0),ROUND($E$942*VLOOKUP($C356,$H$950:$J$953,3,0)/$F$942,2),ROUND(VLOOKUP($C356,$H$950:$J$953,3,0)/$F$942,2)),0)))</f>
        <v>0</v>
      </c>
      <c r="X352" s="1270">
        <f>IF(OR($C351=0,$C351=0,$C356=0),0,IF(AND(ROUNDDOWN(X351,0)&gt;=ROUNDDOWN($C$942,0),1-SUM($T352:W352)&lt;VLOOKUP($C356,$H$950:$J$953,3,0)/$F$942),1-SUM($T352:W352),IF(ROUNDDOWN(X351,0)&gt;=ROUNDDOWN($C$942,0),IF(ROUNDDOWN(X351,0)=ROUNDDOWN($C$942,0),ROUND($E$942*VLOOKUP($C356,$H$950:$J$953,3,0)/$F$942,2),ROUND(VLOOKUP($C356,$H$950:$J$953,3,0)/$F$942,2)),0)))</f>
        <v>0</v>
      </c>
      <c r="Y352" s="1270">
        <f>IF(OR($C351=0,$C351=0,$C356=0),0,IF(AND(ROUNDDOWN(Y351,0)&gt;=ROUNDDOWN($C$942,0),1-SUM($T352:X352)&lt;VLOOKUP($C356,$H$950:$J$953,3,0)/$F$942),1-SUM($T352:X352),IF(ROUNDDOWN(Y351,0)&gt;=ROUNDDOWN($C$942,0),IF(ROUNDDOWN(Y351,0)=ROUNDDOWN($C$942,0),ROUND($E$942*VLOOKUP($C356,$H$950:$J$953,3,0)/$F$942,2),ROUND(VLOOKUP($C356,$H$950:$J$953,3,0)/$F$942,2)),0)))</f>
        <v>0</v>
      </c>
      <c r="Z352" s="1270">
        <f>IF(OR($C351=0,$C351=0,$C356=0),0,IF(AND(ROUNDDOWN(Z351,0)&gt;=ROUNDDOWN($C$942,0),1-SUM($T352:Y352)&lt;VLOOKUP($C356,$H$950:$J$953,3,0)/$F$942),1-SUM($T352:Y352),IF(ROUNDDOWN(Z351,0)&gt;=ROUNDDOWN($C$942,0),IF(ROUNDDOWN(Z351,0)=ROUNDDOWN($C$942,0),ROUND($E$942*VLOOKUP($C356,$H$950:$J$953,3,0)/$F$942,2),ROUND(VLOOKUP($C356,$H$950:$J$953,3,0)/$F$942,2)),0)))</f>
        <v>0</v>
      </c>
      <c r="AA352" s="1270">
        <f>IF(OR($C351=0,$C351=0,$C356=0),0,IF(AND(ROUNDDOWN(AA351,0)&gt;=ROUNDDOWN($C$942,0),1-SUM($T352:Z352)&lt;VLOOKUP($C356,$H$950:$J$953,3,0)/$F$942),1-SUM($T352:Z352),IF(ROUNDDOWN(AA351,0)&gt;=ROUNDDOWN($C$942,0),IF(ROUNDDOWN(AA351,0)=ROUNDDOWN($C$942,0),ROUND($E$942*VLOOKUP($C356,$H$950:$J$953,3,0)/$F$942,2),ROUND(VLOOKUP($C356,$H$950:$J$953,3,0)/$F$942,2)),0)))</f>
        <v>0</v>
      </c>
      <c r="AB352" s="1270">
        <f>IF(OR($C351=0,$C351=0,$C356=0),0,IF(AND(ROUNDDOWN(AB351,0)&gt;=ROUNDDOWN($C$942,0),1-SUM($T352:AA352)&lt;VLOOKUP($C356,$H$950:$J$953,3,0)/$F$942),1-SUM($T352:AA352),IF(ROUNDDOWN(AB351,0)&gt;=ROUNDDOWN($C$942,0),IF(ROUNDDOWN(AB351,0)=ROUNDDOWN($C$942,0),ROUND($E$942*VLOOKUP($C356,$H$950:$J$953,3,0)/$F$942,2),ROUND(VLOOKUP($C356,$H$950:$J$953,3,0)/$F$942,2)),0)))</f>
        <v>0</v>
      </c>
      <c r="AC352" s="1270">
        <f>IF(OR($C351=0,$C351=0,$C356=0),0,IF(AND(ROUNDDOWN(AC351,0)&gt;=ROUNDDOWN($C$942,0),1-SUM($T352:AB352)&lt;VLOOKUP($C356,$H$950:$J$953,3,0)/$F$942),1-SUM($T352:AB352),IF(ROUNDDOWN(AC351,0)&gt;=ROUNDDOWN($C$942,0),IF(ROUNDDOWN(AC351,0)=ROUNDDOWN($C$942,0),ROUND($E$942*VLOOKUP($C356,$H$950:$J$953,3,0)/$F$942,2),ROUND(VLOOKUP($C356,$H$950:$J$953,3,0)/$F$942,2)),0)))</f>
        <v>0</v>
      </c>
      <c r="AD352" s="1271">
        <f>IF(OR($C351=0,$C351=0,$C356=0),0,IF(AND(ROUNDDOWN(AD351,0)&gt;=ROUNDDOWN($C$942,0),1-SUM($T352:AC352)&lt;VLOOKUP($C356,$H$950:$J$953,3,0)/$F$942),1-SUM($T352:AC352),IF(ROUNDDOWN(AD351,0)&gt;=ROUNDDOWN($C$942,0),IF(ROUNDDOWN(AD351,0)=ROUNDDOWN($C$942,0),ROUND($E$942*VLOOKUP($C356,$H$950:$J$953,3,0)/$F$942,2),ROUND(VLOOKUP($C356,$H$950:$J$953,3,0)/$F$942,2)),0)))</f>
        <v>0</v>
      </c>
      <c r="AE352" s="1271">
        <f>IF(OR($C351=0,$C351=0,$C356=0),0,IF(AND(ROUNDDOWN(AE351,0)&gt;=ROUNDDOWN($C$942,0),1-SUM($T352:AD352)&lt;VLOOKUP($C356,$H$950:$J$953,3,0)/$F$942),1-SUM($T352:AD352),IF(ROUNDDOWN(AE351,0)&gt;=ROUNDDOWN($C$942,0),IF(ROUNDDOWN(AE351,0)=ROUNDDOWN($C$942,0),ROUND($E$942*VLOOKUP($C356,$H$950:$J$953,3,0)/$F$942,2),ROUND(VLOOKUP($C356,$H$950:$J$953,3,0)/$F$942,2)),0)))</f>
        <v>0</v>
      </c>
      <c r="AF352" s="1271">
        <f>IF(OR($C351=0,$C351=0,$C356=0),0,IF(AND(ROUNDDOWN(AF351,0)&gt;=ROUNDDOWN($C$942,0),1-SUM($T352:AE352)&lt;VLOOKUP($C356,$H$950:$J$953,3,0)/$F$942),1-SUM($T352:AE352),IF(ROUNDDOWN(AF351,0)&gt;=ROUNDDOWN($C$942,0),IF(ROUNDDOWN(AF351,0)=ROUNDDOWN($C$942,0),ROUND($E$942*VLOOKUP($C356,$H$950:$J$953,3,0)/$F$942,2),ROUND(VLOOKUP($C356,$H$950:$J$953,3,0)/$F$942,2)),0)))</f>
        <v>0</v>
      </c>
      <c r="AG352" s="1271">
        <f>IF(OR($C351=0,$C351=0,$C356=0),0,IF(AND(ROUNDDOWN(AG351,0)&gt;=ROUNDDOWN($C$942,0),1-SUM($T352:AF352)&lt;VLOOKUP($C356,$H$950:$J$953,3,0)/$F$942),1-SUM($T352:AF352),IF(ROUNDDOWN(AG351,0)&gt;=ROUNDDOWN($C$942,0),IF(ROUNDDOWN(AG351,0)=ROUNDDOWN($C$942,0),ROUND($E$942*VLOOKUP($C356,$H$950:$J$953,3,0)/$F$942,2),ROUND(VLOOKUP($C356,$H$950:$J$953,3,0)/$F$942,2)),0)))</f>
        <v>0</v>
      </c>
      <c r="AH352" s="1271">
        <f>IF(OR($C351=0,$C351=0,$C356=0),0,IF(AND(ROUNDDOWN(AH351,0)&gt;=ROUNDDOWN($C$942,0),1-SUM($T352:AG352)&lt;VLOOKUP($C356,$H$950:$J$953,3,0)/$F$942),1-SUM($T352:AG352),IF(ROUNDDOWN(AH351,0)&gt;=ROUNDDOWN($C$942,0),IF(ROUNDDOWN(AH351,0)=ROUNDDOWN($C$942,0),ROUND($E$942*VLOOKUP($C356,$H$950:$J$953,3,0)/$F$942,2),ROUND(VLOOKUP($C356,$H$950:$J$953,3,0)/$F$942,2)),0)))</f>
        <v>0</v>
      </c>
      <c r="AI352" s="1271">
        <f>IF(OR($C351=0,$C351=0,$C356=0),0,IF(AND(ROUNDDOWN(AI351,0)&gt;=ROUNDDOWN($C$942,0),1-SUM($T352:AH352)&lt;VLOOKUP($C356,$H$950:$J$953,3,0)/$F$942),1-SUM($T352:AH352),IF(ROUNDDOWN(AI351,0)&gt;=ROUNDDOWN($C$942,0),IF(ROUNDDOWN(AI351,0)=ROUNDDOWN($C$942,0),ROUND($E$942*VLOOKUP($C356,$H$950:$J$953,3,0)/$F$942,2),ROUND(VLOOKUP($C356,$H$950:$J$953,3,0)/$F$942,2)),0)))</f>
        <v>0</v>
      </c>
      <c r="AJ352" s="778"/>
      <c r="AN352" s="497"/>
      <c r="AO352" s="497"/>
      <c r="AP352" s="497"/>
      <c r="AQ352" s="497"/>
    </row>
    <row r="353" spans="1:43" s="496" customFormat="1" ht="12.75" x14ac:dyDescent="0.2">
      <c r="A353" s="498"/>
      <c r="B353" s="1263" t="str">
        <f>IF(AND(S350=0,S350=0),0,"1er. DESEMBOLSO - ")&amp;"MES DE DESEMBOLSO"</f>
        <v>1er. DESEMBOLSO - MES DE DESEMBOLSO</v>
      </c>
      <c r="C353" s="1264"/>
      <c r="E353" s="1272"/>
      <c r="H353" s="1272"/>
      <c r="I353" s="495"/>
      <c r="J353" s="495"/>
      <c r="K353" s="1272"/>
      <c r="M353" s="500"/>
      <c r="N353" s="1272"/>
      <c r="P353" s="500"/>
      <c r="Q353" s="1273" t="s">
        <v>1304</v>
      </c>
      <c r="R353" s="1274"/>
      <c r="S353" s="1275"/>
      <c r="T353" s="1276">
        <f>$C350*T352</f>
        <v>0</v>
      </c>
      <c r="U353" s="1276">
        <f t="shared" ref="U353:AI353" si="289">IF($C354&gt;U351,0,U352*$C350)</f>
        <v>0</v>
      </c>
      <c r="V353" s="1276">
        <f t="shared" si="289"/>
        <v>0</v>
      </c>
      <c r="W353" s="1276">
        <f t="shared" si="289"/>
        <v>0</v>
      </c>
      <c r="X353" s="1276">
        <f t="shared" si="289"/>
        <v>0</v>
      </c>
      <c r="Y353" s="1276">
        <f t="shared" si="289"/>
        <v>0</v>
      </c>
      <c r="Z353" s="1276">
        <f t="shared" si="289"/>
        <v>0</v>
      </c>
      <c r="AA353" s="1276">
        <f t="shared" si="289"/>
        <v>0</v>
      </c>
      <c r="AB353" s="1276">
        <f t="shared" si="289"/>
        <v>0</v>
      </c>
      <c r="AC353" s="1276">
        <f t="shared" si="289"/>
        <v>0</v>
      </c>
      <c r="AD353" s="1277">
        <f t="shared" si="289"/>
        <v>0</v>
      </c>
      <c r="AE353" s="1277">
        <f t="shared" si="289"/>
        <v>0</v>
      </c>
      <c r="AF353" s="1277">
        <f t="shared" si="289"/>
        <v>0</v>
      </c>
      <c r="AG353" s="1277">
        <f t="shared" si="289"/>
        <v>0</v>
      </c>
      <c r="AH353" s="1277">
        <f t="shared" si="289"/>
        <v>0</v>
      </c>
      <c r="AI353" s="1277">
        <f t="shared" si="289"/>
        <v>0</v>
      </c>
      <c r="AJ353" s="778"/>
      <c r="AN353" s="497"/>
      <c r="AO353" s="497"/>
      <c r="AP353" s="497"/>
      <c r="AQ353" s="497"/>
    </row>
    <row r="354" spans="1:43" s="496" customFormat="1" ht="12.75" x14ac:dyDescent="0.2">
      <c r="A354" s="498"/>
      <c r="B354" s="1263" t="str">
        <f>IF(AND(S350=0,S350=0),0,"1er. DESEMBOLSO - ")&amp;"AÑO DE DESEMBOLSO"</f>
        <v>1er. DESEMBOLSO - AÑO DE DESEMBOLSO</v>
      </c>
      <c r="C354" s="1264"/>
      <c r="I354" s="495"/>
      <c r="J354" s="495"/>
      <c r="M354" s="500"/>
      <c r="P354" s="500"/>
      <c r="Q354" s="1278" t="s">
        <v>1305</v>
      </c>
      <c r="R354" s="1279"/>
      <c r="S354" s="1280"/>
      <c r="T354" s="1281">
        <f t="shared" ref="T354:AI354" si="290">IF($C354&gt;=U351,0,$C350*U352)</f>
        <v>0</v>
      </c>
      <c r="U354" s="1281">
        <f t="shared" si="290"/>
        <v>0</v>
      </c>
      <c r="V354" s="1281">
        <f t="shared" si="290"/>
        <v>0</v>
      </c>
      <c r="W354" s="1281">
        <f t="shared" si="290"/>
        <v>0</v>
      </c>
      <c r="X354" s="1281">
        <f t="shared" si="290"/>
        <v>0</v>
      </c>
      <c r="Y354" s="1281">
        <f t="shared" si="290"/>
        <v>0</v>
      </c>
      <c r="Z354" s="1281">
        <f t="shared" si="290"/>
        <v>0</v>
      </c>
      <c r="AA354" s="1281">
        <f t="shared" si="290"/>
        <v>0</v>
      </c>
      <c r="AB354" s="1281">
        <f t="shared" si="290"/>
        <v>0</v>
      </c>
      <c r="AC354" s="1281">
        <f t="shared" si="290"/>
        <v>0</v>
      </c>
      <c r="AD354" s="1282">
        <f t="shared" si="290"/>
        <v>0</v>
      </c>
      <c r="AE354" s="1282">
        <f t="shared" si="290"/>
        <v>0</v>
      </c>
      <c r="AF354" s="1282">
        <f t="shared" si="290"/>
        <v>0</v>
      </c>
      <c r="AG354" s="1282">
        <f t="shared" si="290"/>
        <v>0</v>
      </c>
      <c r="AH354" s="1282">
        <f t="shared" si="290"/>
        <v>0</v>
      </c>
      <c r="AI354" s="1282">
        <f t="shared" si="290"/>
        <v>0</v>
      </c>
      <c r="AJ354" s="778"/>
      <c r="AN354" s="497"/>
      <c r="AO354" s="497"/>
      <c r="AP354" s="497"/>
      <c r="AQ354" s="497"/>
    </row>
    <row r="355" spans="1:43" s="496" customFormat="1" ht="12.75" x14ac:dyDescent="0.2">
      <c r="A355" s="498"/>
      <c r="B355" s="1263" t="str">
        <f>IF(AND(S350=0,S350=0),0,"1er. DESEMBOLSO - ")&amp;"DESTINACIÓN DEL CRÉDITO"</f>
        <v>1er. DESEMBOLSO - DESTINACIÓN DEL CRÉDITO</v>
      </c>
      <c r="C355" s="1264"/>
      <c r="I355" s="495"/>
      <c r="J355" s="495"/>
      <c r="K355" s="495"/>
      <c r="M355" s="500"/>
      <c r="N355" s="495"/>
      <c r="P355" s="500"/>
      <c r="Q355" s="1283" t="s">
        <v>1306</v>
      </c>
      <c r="R355" s="1284"/>
      <c r="S355" s="1285"/>
      <c r="T355" s="1286">
        <f>IF($C354&gt;T351,0,$C350-T353-T354)</f>
        <v>0</v>
      </c>
      <c r="U355" s="1286">
        <f t="shared" ref="U355:AI355" si="291">IF($C354&gt;U351,0,IF($C354=U351,$C350-U353-U354,IF(SUM(T354:T355)-SUM(U353:U354)&lt;=0.005,0,SUM(T354:T355)-SUM(U353:U354))))</f>
        <v>0</v>
      </c>
      <c r="V355" s="1286">
        <f t="shared" si="291"/>
        <v>0</v>
      </c>
      <c r="W355" s="1286">
        <f t="shared" si="291"/>
        <v>0</v>
      </c>
      <c r="X355" s="1286">
        <f t="shared" si="291"/>
        <v>0</v>
      </c>
      <c r="Y355" s="1286">
        <f t="shared" si="291"/>
        <v>0</v>
      </c>
      <c r="Z355" s="1286">
        <f t="shared" si="291"/>
        <v>0</v>
      </c>
      <c r="AA355" s="1286">
        <f t="shared" si="291"/>
        <v>0</v>
      </c>
      <c r="AB355" s="1286">
        <f t="shared" si="291"/>
        <v>0</v>
      </c>
      <c r="AC355" s="1286">
        <f t="shared" si="291"/>
        <v>0</v>
      </c>
      <c r="AD355" s="1287">
        <f t="shared" si="291"/>
        <v>0</v>
      </c>
      <c r="AE355" s="1287">
        <f t="shared" si="291"/>
        <v>0</v>
      </c>
      <c r="AF355" s="1287">
        <f t="shared" si="291"/>
        <v>0</v>
      </c>
      <c r="AG355" s="1287">
        <f t="shared" si="291"/>
        <v>0</v>
      </c>
      <c r="AH355" s="1287">
        <f t="shared" si="291"/>
        <v>0</v>
      </c>
      <c r="AI355" s="1287">
        <f t="shared" si="291"/>
        <v>0</v>
      </c>
      <c r="AJ355" s="778"/>
      <c r="AN355" s="497"/>
      <c r="AO355" s="497"/>
      <c r="AP355" s="497"/>
      <c r="AQ355" s="497"/>
    </row>
    <row r="356" spans="1:43" s="496" customFormat="1" ht="12.75" x14ac:dyDescent="0.2">
      <c r="A356" s="498"/>
      <c r="B356" s="1288" t="str">
        <f>IF(AND(S350=0,S350=0),0,"1er. DESEMBOLSO - ")&amp;"AMORTIZACIÓN DE CAPITAL"</f>
        <v>1er. DESEMBOLSO - AMORTIZACIÓN DE CAPITAL</v>
      </c>
      <c r="C356" s="1289"/>
      <c r="I356" s="495"/>
      <c r="J356" s="495"/>
      <c r="K356" s="495"/>
      <c r="M356" s="500"/>
      <c r="N356" s="495"/>
      <c r="P356" s="500"/>
      <c r="Q356" s="1267" t="s">
        <v>1307</v>
      </c>
      <c r="R356" s="1268"/>
      <c r="S356" s="1269"/>
      <c r="T356" s="1290">
        <v>0</v>
      </c>
      <c r="U356" s="1290">
        <f t="shared" ref="U356:AI356" si="292">T356</f>
        <v>0</v>
      </c>
      <c r="V356" s="1290">
        <f t="shared" si="292"/>
        <v>0</v>
      </c>
      <c r="W356" s="1290">
        <f t="shared" si="292"/>
        <v>0</v>
      </c>
      <c r="X356" s="1290">
        <f t="shared" si="292"/>
        <v>0</v>
      </c>
      <c r="Y356" s="1290">
        <f t="shared" si="292"/>
        <v>0</v>
      </c>
      <c r="Z356" s="1290">
        <f t="shared" si="292"/>
        <v>0</v>
      </c>
      <c r="AA356" s="1290">
        <f t="shared" si="292"/>
        <v>0</v>
      </c>
      <c r="AB356" s="1290">
        <f t="shared" si="292"/>
        <v>0</v>
      </c>
      <c r="AC356" s="1290">
        <f t="shared" si="292"/>
        <v>0</v>
      </c>
      <c r="AD356" s="1291">
        <f t="shared" si="292"/>
        <v>0</v>
      </c>
      <c r="AE356" s="1291">
        <f t="shared" si="292"/>
        <v>0</v>
      </c>
      <c r="AF356" s="1291">
        <f t="shared" si="292"/>
        <v>0</v>
      </c>
      <c r="AG356" s="1291">
        <f t="shared" si="292"/>
        <v>0</v>
      </c>
      <c r="AH356" s="1291">
        <f t="shared" si="292"/>
        <v>0</v>
      </c>
      <c r="AI356" s="1291">
        <f t="shared" si="292"/>
        <v>0</v>
      </c>
      <c r="AJ356" s="778"/>
      <c r="AN356" s="497"/>
      <c r="AO356" s="497"/>
      <c r="AP356" s="497"/>
      <c r="AQ356" s="497"/>
    </row>
    <row r="357" spans="1:43" s="496" customFormat="1" ht="12.75" x14ac:dyDescent="0.2">
      <c r="A357" s="498"/>
      <c r="B357" s="1292"/>
      <c r="I357" s="495"/>
      <c r="J357" s="495"/>
      <c r="K357" s="495"/>
      <c r="M357" s="500"/>
      <c r="N357" s="495"/>
      <c r="P357" s="500"/>
      <c r="Q357" s="1267" t="s">
        <v>1308</v>
      </c>
      <c r="R357" s="1268"/>
      <c r="S357" s="1269"/>
      <c r="T357" s="1293">
        <f>IF(OR($C354&lt;&gt;T351,T356=0,T356=0),0,IF(AND(T352=0,$D$943=1),T356,IF(T352=0,NOMINAL(T356,12)*IF($C354=T351,$D$943,1),IF(AND($C354=T351,ROUNDDOWN($C$942,0)=T351),$E$942,1)*NOMINAL(T356,VLOOKUP($C356,$H$950:$J$953,3,0))/VLOOKUP($C356,$H$950:$J$953,3,0)))*((IF(T352=0,1,IF(AND($C354=T351,T352&lt;ROUNDDOWN(VLOOKUP($C356,$H$950:$J$953,3,0)/$F$942,0)),ROUNDDOWN(T352*$F$942,0),IF(AND($C354&lt;T351,T352&lt;ROUNDDOWN(VLOOKUP($C356,$H$950:$J$953,3,0)/$F$942,0)),ROUND(AVERAGE(ROUNDDOWN(T352*$F$942,0),2*VLOOKUP($C356,$H$950:$J$953,3,0)),0),VLOOKUP($C356,$H$950:$J$953,3,0))))*$C350)-((T353*(IF(T352=0,1,IF(AND($C354=T351,T352&lt;ROUNDDOWN(VLOOKUP($C356,$H$950:$J$953,3,0)/$F$942,0)),ROUNDDOWN(T352*$F$942,0),IF(AND($C354&lt;T351,T352&lt;ROUNDDOWN(VLOOKUP($C356,$H$950:$J$953,3,0)/$F$942,0)),ROUND(AVERAGE(ROUNDDOWN(T352*$F$942,0),2*VLOOKUP($C356,$H$950:$J$953,3,0)),0),VLOOKUP($C356,$H$950:$J$953,3,0))))-1))/2)))</f>
        <v>0</v>
      </c>
      <c r="U357" s="1293">
        <f t="shared" ref="U357:AI357" si="293">IF(OR($C354&gt;U351,U356=0,U356=0),0,IF(AND(U352=0,OR(U351&gt;$C354,$D$943=1)),U356,IF(U352=0,NOMINAL(U356,12)*IF($C354=U351,$D$943,1),IF(AND($C354=U351,ROUNDDOWN($C$942,0)=U351),$E$942,1)*NOMINAL(U356,VLOOKUP($C356,$H$950:$J$953,3,0))/VLOOKUP($C356,$H$950:$J$953,3,0)))*((IF(U352=0,1,IF(AND($C354=U351,U352&lt;ROUNDDOWN(VLOOKUP($C356,$H$950:$J$953,3,0)/$F$942,0)),ROUNDDOWN(U352*$F$942,0),IF(AND($C354&lt;U351,U352&lt;ROUNDDOWN(VLOOKUP($C356,$H$950:$J$953,3,0)/$F$942,0)),ROUND(AVERAGE(ROUNDDOWN(U352*$F$942,0),2*VLOOKUP($C356,$H$950:$J$953,3,0)),0),VLOOKUP($C356,$H$950:$J$953,3,0))))*IF($C354=U351,$C350,SUM(T354:T355)))-((U353*(IF(U352=0,1,IF(AND($C354=U351,U352&lt;ROUNDDOWN(VLOOKUP($C356,$H$950:$J$953,3,0)/$F$942,0)),ROUNDDOWN(U352*$F$942,0),IF(AND($C354&lt;U351,U352&lt;ROUNDDOWN(VLOOKUP($C356,$H$950:$J$953,3,0)/$F$942,0)),ROUND(AVERAGE(ROUNDDOWN(U352*$F$942,0),2*VLOOKUP($C356,$H$950:$J$953,3,0)),0),VLOOKUP($C356,$H$950:$J$953,3,0))))-1))/2)))</f>
        <v>0</v>
      </c>
      <c r="V357" s="1293">
        <f t="shared" si="293"/>
        <v>0</v>
      </c>
      <c r="W357" s="1293">
        <f t="shared" si="293"/>
        <v>0</v>
      </c>
      <c r="X357" s="1293">
        <f t="shared" si="293"/>
        <v>0</v>
      </c>
      <c r="Y357" s="1293">
        <f t="shared" si="293"/>
        <v>0</v>
      </c>
      <c r="Z357" s="1293">
        <f t="shared" si="293"/>
        <v>0</v>
      </c>
      <c r="AA357" s="1293">
        <f t="shared" si="293"/>
        <v>0</v>
      </c>
      <c r="AB357" s="1293">
        <f t="shared" si="293"/>
        <v>0</v>
      </c>
      <c r="AC357" s="1293">
        <f t="shared" si="293"/>
        <v>0</v>
      </c>
      <c r="AD357" s="1294">
        <f t="shared" si="293"/>
        <v>0</v>
      </c>
      <c r="AE357" s="1294">
        <f t="shared" si="293"/>
        <v>0</v>
      </c>
      <c r="AF357" s="1294">
        <f t="shared" si="293"/>
        <v>0</v>
      </c>
      <c r="AG357" s="1294">
        <f t="shared" si="293"/>
        <v>0</v>
      </c>
      <c r="AH357" s="1294">
        <f t="shared" si="293"/>
        <v>0</v>
      </c>
      <c r="AI357" s="1294">
        <f t="shared" si="293"/>
        <v>0</v>
      </c>
      <c r="AJ357" s="778"/>
      <c r="AN357" s="497"/>
      <c r="AO357" s="497"/>
      <c r="AP357" s="497"/>
      <c r="AQ357" s="497"/>
    </row>
    <row r="358" spans="1:43" s="496" customFormat="1" ht="12.75" x14ac:dyDescent="0.2">
      <c r="A358" s="498"/>
      <c r="B358" s="1292"/>
      <c r="I358" s="495"/>
      <c r="J358" s="495"/>
      <c r="K358" s="495"/>
      <c r="M358" s="500"/>
      <c r="N358" s="495"/>
      <c r="P358" s="500"/>
      <c r="Q358" s="500"/>
      <c r="T358" s="1206"/>
      <c r="U358" s="1206"/>
      <c r="V358" s="1206"/>
      <c r="W358" s="1206"/>
      <c r="X358" s="1206"/>
      <c r="Y358" s="1206"/>
      <c r="Z358" s="1206"/>
      <c r="AA358" s="1206"/>
      <c r="AB358" s="1206"/>
      <c r="AC358" s="1206"/>
      <c r="AD358" s="1295"/>
      <c r="AE358" s="1296"/>
      <c r="AJ358" s="778"/>
      <c r="AN358" s="497"/>
      <c r="AO358" s="497"/>
      <c r="AP358" s="497"/>
      <c r="AQ358" s="497"/>
    </row>
    <row r="359" spans="1:43" s="496" customFormat="1" ht="12.75" x14ac:dyDescent="0.2">
      <c r="A359" s="498"/>
      <c r="B359" s="1297"/>
      <c r="C359" s="1298"/>
      <c r="D359" s="1298"/>
      <c r="E359" s="1298"/>
      <c r="F359" s="1298"/>
      <c r="G359" s="1298"/>
      <c r="H359" s="1298"/>
      <c r="I359" s="1299"/>
      <c r="J359" s="1299"/>
      <c r="K359" s="1299"/>
      <c r="L359" s="1298"/>
      <c r="M359" s="1300"/>
      <c r="N359" s="1299"/>
      <c r="O359" s="1298"/>
      <c r="P359" s="1300"/>
      <c r="Q359" s="1300"/>
      <c r="R359" s="1298"/>
      <c r="S359" s="1298"/>
      <c r="T359" s="1301"/>
      <c r="U359" s="1301"/>
      <c r="V359" s="1301"/>
      <c r="W359" s="1301"/>
      <c r="X359" s="1301"/>
      <c r="Y359" s="1301"/>
      <c r="Z359" s="1301"/>
      <c r="AA359" s="1301"/>
      <c r="AB359" s="1301"/>
      <c r="AC359" s="1301"/>
      <c r="AD359" s="1301"/>
      <c r="AE359" s="1302"/>
      <c r="AF359" s="1302"/>
      <c r="AG359" s="1302"/>
      <c r="AH359" s="1302"/>
      <c r="AI359" s="1303"/>
      <c r="AJ359" s="778"/>
      <c r="AN359" s="497"/>
      <c r="AO359" s="497"/>
      <c r="AP359" s="497"/>
      <c r="AQ359" s="497"/>
    </row>
    <row r="360" spans="1:43" s="496" customFormat="1" ht="12.75" x14ac:dyDescent="0.2">
      <c r="A360" s="498"/>
      <c r="B360" s="1304" t="s">
        <v>1332</v>
      </c>
      <c r="C360" s="1305"/>
      <c r="I360" s="495"/>
      <c r="J360" s="495"/>
      <c r="M360" s="500"/>
      <c r="P360" s="500"/>
      <c r="S360" s="1306" t="s">
        <v>1310</v>
      </c>
      <c r="T360" s="1307" t="s">
        <v>1044</v>
      </c>
      <c r="U360" s="1307" t="s">
        <v>1044</v>
      </c>
      <c r="V360" s="1307" t="s">
        <v>1044</v>
      </c>
      <c r="W360" s="1307" t="s">
        <v>1044</v>
      </c>
      <c r="X360" s="1307" t="s">
        <v>1044</v>
      </c>
      <c r="Y360" s="1307" t="s">
        <v>1044</v>
      </c>
      <c r="Z360" s="1307" t="s">
        <v>1044</v>
      </c>
      <c r="AA360" s="1307" t="s">
        <v>1044</v>
      </c>
      <c r="AB360" s="1307" t="s">
        <v>1044</v>
      </c>
      <c r="AC360" s="1307" t="s">
        <v>1044</v>
      </c>
      <c r="AD360" s="1308" t="s">
        <v>1044</v>
      </c>
      <c r="AE360" s="1309" t="s">
        <v>1044</v>
      </c>
      <c r="AF360" s="1310" t="s">
        <v>1044</v>
      </c>
      <c r="AG360" s="1311" t="s">
        <v>1044</v>
      </c>
      <c r="AH360" s="1311" t="s">
        <v>1044</v>
      </c>
      <c r="AI360" s="1311" t="s">
        <v>1044</v>
      </c>
      <c r="AJ360" s="778"/>
      <c r="AN360" s="497"/>
      <c r="AO360" s="497"/>
      <c r="AP360" s="497"/>
      <c r="AQ360" s="497"/>
    </row>
    <row r="361" spans="1:43" s="496" customFormat="1" ht="12.75" x14ac:dyDescent="0.2">
      <c r="A361" s="498"/>
      <c r="B361" s="1312" t="s">
        <v>1311</v>
      </c>
      <c r="C361" s="1264"/>
      <c r="I361" s="495"/>
      <c r="J361" s="495"/>
      <c r="M361" s="500"/>
      <c r="P361" s="500"/>
      <c r="Q361" s="495"/>
      <c r="S361" s="500"/>
      <c r="T361" s="1265">
        <f t="shared" ref="T361:AI361" si="294">T351</f>
        <v>2022</v>
      </c>
      <c r="U361" s="1265">
        <f t="shared" si="294"/>
        <v>2023</v>
      </c>
      <c r="V361" s="1265">
        <f t="shared" si="294"/>
        <v>2024</v>
      </c>
      <c r="W361" s="1265">
        <f t="shared" si="294"/>
        <v>2025</v>
      </c>
      <c r="X361" s="1265">
        <f t="shared" si="294"/>
        <v>2026</v>
      </c>
      <c r="Y361" s="1265">
        <f t="shared" si="294"/>
        <v>2027</v>
      </c>
      <c r="Z361" s="1265">
        <f t="shared" si="294"/>
        <v>2028</v>
      </c>
      <c r="AA361" s="1265">
        <f t="shared" si="294"/>
        <v>2029</v>
      </c>
      <c r="AB361" s="1265">
        <f t="shared" si="294"/>
        <v>2030</v>
      </c>
      <c r="AC361" s="1265">
        <f t="shared" si="294"/>
        <v>2031</v>
      </c>
      <c r="AD361" s="1313">
        <f t="shared" si="294"/>
        <v>2032</v>
      </c>
      <c r="AE361" s="1314">
        <f t="shared" si="294"/>
        <v>2033</v>
      </c>
      <c r="AF361" s="1315">
        <f t="shared" si="294"/>
        <v>2034</v>
      </c>
      <c r="AG361" s="1266">
        <f t="shared" si="294"/>
        <v>2035</v>
      </c>
      <c r="AH361" s="1266">
        <f t="shared" si="294"/>
        <v>2036</v>
      </c>
      <c r="AI361" s="1266">
        <f t="shared" si="294"/>
        <v>2037</v>
      </c>
      <c r="AJ361" s="778"/>
      <c r="AN361" s="497"/>
      <c r="AO361" s="497"/>
      <c r="AP361" s="497"/>
      <c r="AQ361" s="497"/>
    </row>
    <row r="362" spans="1:43" s="496" customFormat="1" ht="12.75" x14ac:dyDescent="0.2">
      <c r="A362" s="498"/>
      <c r="B362" s="1312" t="s">
        <v>1312</v>
      </c>
      <c r="C362" s="1264"/>
      <c r="I362" s="495"/>
      <c r="J362" s="495"/>
      <c r="M362" s="500"/>
      <c r="P362" s="500"/>
      <c r="Q362" s="1267" t="s">
        <v>1303</v>
      </c>
      <c r="R362" s="1268"/>
      <c r="S362" s="1269"/>
      <c r="T362" s="1270">
        <f>IF(OR($C361=0,$C361=0,$C366=0),0,IF(AND(T361-$C364&gt;=0,T361&lt;=$C364+$C361,ROUNDDOWN(T361,0)=ROUNDDOWN($C$944,0)),IF(ROUNDDOWN(T361,0)=ROUNDDOWN($C$944,0),ROUND($E$944*VLOOKUP($C366,$H$950:$J$953,3,0)/$F$944,2),ROUND(VLOOKUP($C366,$H$950:$J$953,3,0)/$F$944,2)),0))</f>
        <v>0</v>
      </c>
      <c r="U362" s="1270">
        <f>IF(OR($C361=0,$C361=0,$C366=0),0,IF(AND(ROUNDDOWN(U361,0)&gt;=ROUNDDOWN($C$944,0),1-$T362&lt;VLOOKUP($C366,$H$950:$J$953,3,0)/$F$944),1-$T362,IF(ROUNDDOWN(U361,0)&gt;=ROUNDDOWN($C$944,0),IF(ROUNDDOWN(U361,0)=ROUNDDOWN($C$944,0),ROUND($E$944*VLOOKUP($C366,$H$950:$J$953,3,0)/$F$944,2),ROUND(VLOOKUP($C366,$H$950:$J$953,3,0)/$F$944,2)),0)))</f>
        <v>0</v>
      </c>
      <c r="V362" s="1270">
        <f>IF(OR($C361=0,$C361=0,$C366=0),0,IF(AND(ROUNDDOWN(V361,0)&gt;=ROUNDDOWN($C$944,0),1-SUM($T362:U362)&lt;VLOOKUP($C366,$H$950:$J$953,3,0)/$F$944),1-SUM($T362:U362),IF(ROUNDDOWN(V361,0)&gt;=ROUNDDOWN($C$944,0),IF(ROUNDDOWN(V361,0)=ROUNDDOWN($C$944,0),ROUND($E$944*VLOOKUP($C366,$H$950:$J$953,3,0)/$F$944,2),ROUND(VLOOKUP($C366,$H$950:$J$953,3,0)/$F$944,2)),0)))</f>
        <v>0</v>
      </c>
      <c r="W362" s="1270">
        <f>IF(OR($C361=0,$C361=0,$C366=0),0,IF(AND(ROUNDDOWN(W361,0)&gt;=ROUNDDOWN($C$944,0),1-SUM($T362:V362)&lt;VLOOKUP($C366,$H$950:$J$953,3,0)/$F$944),1-SUM($T362:V362),IF(ROUNDDOWN(W361,0)&gt;=ROUNDDOWN($C$944,0),IF(ROUNDDOWN(W361,0)=ROUNDDOWN($C$944,0),ROUND($E$944*VLOOKUP($C366,$H$950:$J$953,3,0)/$F$944,2),ROUND(VLOOKUP($C366,$H$950:$J$953,3,0)/$F$944,2)),0)))</f>
        <v>0</v>
      </c>
      <c r="X362" s="1270">
        <f>IF(OR($C361=0,$C361=0,$C366=0),0,IF(AND(ROUNDDOWN(X361,0)&gt;=ROUNDDOWN($C$944,0),1-SUM($T362:W362)&lt;VLOOKUP($C366,$H$950:$J$953,3,0)/$F$944),1-SUM($T362:W362),IF(ROUNDDOWN(X361,0)&gt;=ROUNDDOWN($C$944,0),IF(ROUNDDOWN(X361,0)=ROUNDDOWN($C$944,0),ROUND($E$944*VLOOKUP($C366,$H$950:$J$953,3,0)/$F$944,2),ROUND(VLOOKUP($C366,$H$950:$J$953,3,0)/$F$944,2)),0)))</f>
        <v>0</v>
      </c>
      <c r="Y362" s="1270">
        <f>IF(OR($C361=0,$C361=0,$C366=0),0,IF(AND(ROUNDDOWN(Y361,0)&gt;=ROUNDDOWN($C$944,0),1-SUM($T362:X362)&lt;VLOOKUP($C366,$H$950:$J$953,3,0)/$F$944),1-SUM($T362:X362),IF(ROUNDDOWN(Y361,0)&gt;=ROUNDDOWN($C$944,0),IF(ROUNDDOWN(Y361,0)=ROUNDDOWN($C$944,0),ROUND($E$944*VLOOKUP($C366,$H$950:$J$953,3,0)/$F$944,2),ROUND(VLOOKUP($C366,$H$950:$J$953,3,0)/$F$944,2)),0)))</f>
        <v>0</v>
      </c>
      <c r="Z362" s="1270">
        <f>IF(OR($C361=0,$C361=0,$C366=0),0,IF(AND(ROUNDDOWN(Z361,0)&gt;=ROUNDDOWN($C$944,0),1-SUM($T362:Y362)&lt;VLOOKUP($C366,$H$950:$J$953,3,0)/$F$944),1-SUM($T362:Y362),IF(ROUNDDOWN(Z361,0)&gt;=ROUNDDOWN($C$944,0),IF(ROUNDDOWN(Z361,0)=ROUNDDOWN($C$944,0),ROUND($E$944*VLOOKUP($C366,$H$950:$J$953,3,0)/$F$944,2),ROUND(VLOOKUP($C366,$H$950:$J$953,3,0)/$F$944,2)),0)))</f>
        <v>0</v>
      </c>
      <c r="AA362" s="1270">
        <f>IF(OR($C361=0,$C361=0,$C366=0),0,IF(AND(ROUNDDOWN(AA361,0)&gt;=ROUNDDOWN($C$944,0),1-SUM($T362:Z362)&lt;VLOOKUP($C366,$H$950:$J$953,3,0)/$F$944),1-SUM($T362:Z362),IF(ROUNDDOWN(AA361,0)&gt;=ROUNDDOWN($C$944,0),IF(ROUNDDOWN(AA361,0)=ROUNDDOWN($C$944,0),ROUND($E$944*VLOOKUP($C366,$H$950:$J$953,3,0)/$F$944,2),ROUND(VLOOKUP($C366,$H$950:$J$953,3,0)/$F$944,2)),0)))</f>
        <v>0</v>
      </c>
      <c r="AB362" s="1270">
        <f>IF(OR($C361=0,$C361=0,$C366=0),0,IF(AND(ROUNDDOWN(AB361,0)&gt;=ROUNDDOWN($C$944,0),1-SUM($T362:AA362)&lt;VLOOKUP($C366,$H$950:$J$953,3,0)/$F$944),1-SUM($T362:AA362),IF(ROUNDDOWN(AB361,0)&gt;=ROUNDDOWN($C$944,0),IF(ROUNDDOWN(AB361,0)=ROUNDDOWN($C$944,0),ROUND($E$944*VLOOKUP($C366,$H$950:$J$953,3,0)/$F$944,2),ROUND(VLOOKUP($C366,$H$950:$J$953,3,0)/$F$944,2)),0)))</f>
        <v>0</v>
      </c>
      <c r="AC362" s="1270">
        <f>IF(OR($C361=0,$C361=0,$C366=0),0,IF(AND(ROUNDDOWN(AC361,0)&gt;=ROUNDDOWN($C$944,0),1-SUM($T362:AB362)&lt;VLOOKUP($C366,$H$950:$J$953,3,0)/$F$944),1-SUM($T362:AB362),IF(ROUNDDOWN(AC361,0)&gt;=ROUNDDOWN($C$944,0),IF(ROUNDDOWN(AC361,0)=ROUNDDOWN($C$944,0),ROUND($E$944*VLOOKUP($C366,$H$950:$J$953,3,0)/$F$944,2),ROUND(VLOOKUP($C366,$H$950:$J$953,3,0)/$F$944,2)),0)))</f>
        <v>0</v>
      </c>
      <c r="AD362" s="1316">
        <f>IF(OR($C361=0,$C361=0,$C366=0),0,IF(AND(ROUNDDOWN(AD361,0)&gt;=ROUNDDOWN($C$944,0),1-SUM($T362:AC362)&lt;VLOOKUP($C366,$H$950:$J$953,3,0)/$F$944),1-SUM($T362:AC362),IF(ROUNDDOWN(AD361,0)&gt;=ROUNDDOWN($C$944,0),IF(ROUNDDOWN(AD361,0)=ROUNDDOWN($C$944,0),ROUND($E$944*VLOOKUP($C366,$H$950:$J$953,3,0)/$F$944,2),ROUND(VLOOKUP($C366,$H$950:$J$953,3,0)/$F$944,2)),0)))</f>
        <v>0</v>
      </c>
      <c r="AE362" s="1317">
        <f>IF(OR($C361=0,$C361=0,$C366=0),0,IF(AND(ROUNDDOWN(AE361,0)&gt;=ROUNDDOWN($C$944,0),1-SUM($T362:AD362)&lt;VLOOKUP($C366,$H$950:$J$953,3,0)/$F$944),1-SUM($T362:AD362),IF(ROUNDDOWN(AE361,0)&gt;=ROUNDDOWN($C$944,0),IF(ROUNDDOWN(AE361,0)=ROUNDDOWN($C$944,0),ROUND($E$944*VLOOKUP($C366,$H$950:$J$953,3,0)/$F$944,2),ROUND(VLOOKUP($C366,$H$950:$J$953,3,0)/$F$944,2)),0)))</f>
        <v>0</v>
      </c>
      <c r="AF362" s="1318">
        <f>IF(OR($C361=0,$C361=0,$C366=0),0,IF(AND(ROUNDDOWN(AF361,0)&gt;=ROUNDDOWN($C$944,0),1-SUM($T362:AE362)&lt;VLOOKUP($C366,$H$950:$J$953,3,0)/$F$944),1-SUM($T362:AE362),IF(ROUNDDOWN(AF361,0)&gt;=ROUNDDOWN($C$944,0),IF(ROUNDDOWN(AF361,0)=ROUNDDOWN($C$944,0),ROUND($E$944*VLOOKUP($C366,$H$950:$J$953,3,0)/$F$944,2),ROUND(VLOOKUP($C366,$H$950:$J$953,3,0)/$F$944,2)),0)))</f>
        <v>0</v>
      </c>
      <c r="AG362" s="1271">
        <f>IF(OR($C361=0,$C361=0,$C366=0),0,IF(AND(ROUNDDOWN(AG361,0)&gt;=ROUNDDOWN($C$944,0),1-SUM($T362:AF362)&lt;VLOOKUP($C366,$H$950:$J$953,3,0)/$F$944),1-SUM($T362:AF362),IF(ROUNDDOWN(AG361,0)&gt;=ROUNDDOWN($C$944,0),IF(ROUNDDOWN(AG361,0)=ROUNDDOWN($C$944,0),ROUND($E$944*VLOOKUP($C366,$H$950:$J$953,3,0)/$F$944,2),ROUND(VLOOKUP($C366,$H$950:$J$953,3,0)/$F$944,2)),0)))</f>
        <v>0</v>
      </c>
      <c r="AH362" s="1271">
        <f>IF(OR($C361=0,$C361=0,$C366=0),0,IF(AND(ROUNDDOWN(AH361,0)&gt;=ROUNDDOWN($C$944,0),1-SUM($T362:AG362)&lt;VLOOKUP($C366,$H$950:$J$953,3,0)/$F$944),1-SUM($T362:AG362),IF(ROUNDDOWN(AH361,0)&gt;=ROUNDDOWN($C$944,0),IF(ROUNDDOWN(AH361,0)=ROUNDDOWN($C$944,0),ROUND($E$944*VLOOKUP($C366,$H$950:$J$953,3,0)/$F$944,2),ROUND(VLOOKUP($C366,$H$950:$J$953,3,0)/$F$944,2)),0)))</f>
        <v>0</v>
      </c>
      <c r="AI362" s="1271">
        <f>IF(OR($C361=0,$C361=0,$C366=0),0,IF(AND(ROUNDDOWN(AI361,0)&gt;=ROUNDDOWN($C$944,0),1-SUM($T362:AH362)&lt;VLOOKUP($C366,$H$950:$J$953,3,0)/$F$944),1-SUM($T362:AH362),IF(ROUNDDOWN(AI361,0)&gt;=ROUNDDOWN($C$944,0),IF(ROUNDDOWN(AI361,0)=ROUNDDOWN($C$944,0),ROUND($E$944*VLOOKUP($C366,$H$950:$J$953,3,0)/$F$944,2),ROUND(VLOOKUP($C366,$H$950:$J$953,3,0)/$F$944,2)),0)))</f>
        <v>0</v>
      </c>
      <c r="AJ362" s="778"/>
      <c r="AN362" s="497"/>
      <c r="AO362" s="497"/>
      <c r="AP362" s="497"/>
      <c r="AQ362" s="497"/>
    </row>
    <row r="363" spans="1:43" s="496" customFormat="1" ht="12.75" x14ac:dyDescent="0.2">
      <c r="A363" s="498"/>
      <c r="B363" s="1312" t="s">
        <v>1313</v>
      </c>
      <c r="C363" s="1264"/>
      <c r="E363" s="1272"/>
      <c r="H363" s="1272"/>
      <c r="I363" s="495"/>
      <c r="J363" s="495"/>
      <c r="K363" s="1272"/>
      <c r="M363" s="500"/>
      <c r="N363" s="1272"/>
      <c r="P363" s="500"/>
      <c r="Q363" s="1273" t="s">
        <v>1304</v>
      </c>
      <c r="R363" s="1274"/>
      <c r="S363" s="1275"/>
      <c r="T363" s="1276">
        <f>$C360*T362</f>
        <v>0</v>
      </c>
      <c r="U363" s="1276">
        <f t="shared" ref="U363:AI363" si="295">IF($C364&gt;U361,0,U362*$C360)</f>
        <v>0</v>
      </c>
      <c r="V363" s="1276">
        <f t="shared" si="295"/>
        <v>0</v>
      </c>
      <c r="W363" s="1276">
        <f t="shared" si="295"/>
        <v>0</v>
      </c>
      <c r="X363" s="1276">
        <f t="shared" si="295"/>
        <v>0</v>
      </c>
      <c r="Y363" s="1276">
        <f t="shared" si="295"/>
        <v>0</v>
      </c>
      <c r="Z363" s="1276">
        <f t="shared" si="295"/>
        <v>0</v>
      </c>
      <c r="AA363" s="1276">
        <f t="shared" si="295"/>
        <v>0</v>
      </c>
      <c r="AB363" s="1276">
        <f t="shared" si="295"/>
        <v>0</v>
      </c>
      <c r="AC363" s="1276">
        <f t="shared" si="295"/>
        <v>0</v>
      </c>
      <c r="AD363" s="1319">
        <f t="shared" si="295"/>
        <v>0</v>
      </c>
      <c r="AE363" s="1320">
        <f t="shared" si="295"/>
        <v>0</v>
      </c>
      <c r="AF363" s="1321">
        <f t="shared" si="295"/>
        <v>0</v>
      </c>
      <c r="AG363" s="1277">
        <f t="shared" si="295"/>
        <v>0</v>
      </c>
      <c r="AH363" s="1277">
        <f t="shared" si="295"/>
        <v>0</v>
      </c>
      <c r="AI363" s="1277">
        <f t="shared" si="295"/>
        <v>0</v>
      </c>
      <c r="AJ363" s="778"/>
      <c r="AN363" s="497"/>
      <c r="AO363" s="497"/>
      <c r="AP363" s="497"/>
      <c r="AQ363" s="497"/>
    </row>
    <row r="364" spans="1:43" s="496" customFormat="1" ht="12.75" x14ac:dyDescent="0.2">
      <c r="A364" s="498"/>
      <c r="B364" s="1312" t="s">
        <v>1314</v>
      </c>
      <c r="C364" s="1264"/>
      <c r="I364" s="495"/>
      <c r="J364" s="495"/>
      <c r="M364" s="500"/>
      <c r="P364" s="500"/>
      <c r="Q364" s="1278" t="s">
        <v>1305</v>
      </c>
      <c r="R364" s="1279"/>
      <c r="S364" s="1280"/>
      <c r="T364" s="1281">
        <f t="shared" ref="T364:AI364" si="296">IF($C364&gt;=U361,0,$C360*U362)</f>
        <v>0</v>
      </c>
      <c r="U364" s="1281">
        <f t="shared" si="296"/>
        <v>0</v>
      </c>
      <c r="V364" s="1281">
        <f t="shared" si="296"/>
        <v>0</v>
      </c>
      <c r="W364" s="1281">
        <f t="shared" si="296"/>
        <v>0</v>
      </c>
      <c r="X364" s="1281">
        <f t="shared" si="296"/>
        <v>0</v>
      </c>
      <c r="Y364" s="1281">
        <f t="shared" si="296"/>
        <v>0</v>
      </c>
      <c r="Z364" s="1281">
        <f t="shared" si="296"/>
        <v>0</v>
      </c>
      <c r="AA364" s="1281">
        <f t="shared" si="296"/>
        <v>0</v>
      </c>
      <c r="AB364" s="1281">
        <f t="shared" si="296"/>
        <v>0</v>
      </c>
      <c r="AC364" s="1281">
        <f t="shared" si="296"/>
        <v>0</v>
      </c>
      <c r="AD364" s="1322">
        <f t="shared" si="296"/>
        <v>0</v>
      </c>
      <c r="AE364" s="1323">
        <f t="shared" si="296"/>
        <v>0</v>
      </c>
      <c r="AF364" s="1324">
        <f t="shared" si="296"/>
        <v>0</v>
      </c>
      <c r="AG364" s="1282">
        <f t="shared" si="296"/>
        <v>0</v>
      </c>
      <c r="AH364" s="1282">
        <f t="shared" si="296"/>
        <v>0</v>
      </c>
      <c r="AI364" s="1282">
        <f t="shared" si="296"/>
        <v>0</v>
      </c>
      <c r="AJ364" s="778"/>
      <c r="AN364" s="497"/>
      <c r="AO364" s="497"/>
      <c r="AP364" s="497"/>
      <c r="AQ364" s="497"/>
    </row>
    <row r="365" spans="1:43" s="496" customFormat="1" ht="12.75" x14ac:dyDescent="0.2">
      <c r="A365" s="498"/>
      <c r="B365" s="1312" t="s">
        <v>1315</v>
      </c>
      <c r="C365" s="1264"/>
      <c r="I365" s="495"/>
      <c r="J365" s="495"/>
      <c r="K365" s="495"/>
      <c r="M365" s="500"/>
      <c r="N365" s="495"/>
      <c r="P365" s="500"/>
      <c r="Q365" s="1283" t="s">
        <v>1306</v>
      </c>
      <c r="R365" s="1284"/>
      <c r="S365" s="1285"/>
      <c r="T365" s="1286">
        <f>IF($C364&gt;T361,0,$C360-T363-T364)</f>
        <v>0</v>
      </c>
      <c r="U365" s="1286">
        <f t="shared" ref="U365:AI365" si="297">IF($C364&gt;U361,0,IF($C364=U361,$C360-U363-U364,IF(SUM(T364:T365)-SUM(U363:U364)&lt;=0.005,0,SUM(T364:T365)-SUM(U363:U364))))</f>
        <v>0</v>
      </c>
      <c r="V365" s="1286">
        <f t="shared" si="297"/>
        <v>0</v>
      </c>
      <c r="W365" s="1286">
        <f t="shared" si="297"/>
        <v>0</v>
      </c>
      <c r="X365" s="1286">
        <f t="shared" si="297"/>
        <v>0</v>
      </c>
      <c r="Y365" s="1286">
        <f t="shared" si="297"/>
        <v>0</v>
      </c>
      <c r="Z365" s="1286">
        <f t="shared" si="297"/>
        <v>0</v>
      </c>
      <c r="AA365" s="1286">
        <f t="shared" si="297"/>
        <v>0</v>
      </c>
      <c r="AB365" s="1286">
        <f t="shared" si="297"/>
        <v>0</v>
      </c>
      <c r="AC365" s="1286">
        <f t="shared" si="297"/>
        <v>0</v>
      </c>
      <c r="AD365" s="1325">
        <f t="shared" si="297"/>
        <v>0</v>
      </c>
      <c r="AE365" s="1326">
        <f t="shared" si="297"/>
        <v>0</v>
      </c>
      <c r="AF365" s="1327">
        <f t="shared" si="297"/>
        <v>0</v>
      </c>
      <c r="AG365" s="1287">
        <f t="shared" si="297"/>
        <v>0</v>
      </c>
      <c r="AH365" s="1287">
        <f t="shared" si="297"/>
        <v>0</v>
      </c>
      <c r="AI365" s="1287">
        <f t="shared" si="297"/>
        <v>0</v>
      </c>
      <c r="AJ365" s="778"/>
      <c r="AN365" s="497"/>
      <c r="AO365" s="497"/>
      <c r="AP365" s="497"/>
      <c r="AQ365" s="497"/>
    </row>
    <row r="366" spans="1:43" s="496" customFormat="1" ht="12.75" x14ac:dyDescent="0.2">
      <c r="A366" s="498"/>
      <c r="B366" s="1328" t="s">
        <v>1316</v>
      </c>
      <c r="C366" s="1289"/>
      <c r="I366" s="495"/>
      <c r="J366" s="495"/>
      <c r="K366" s="495"/>
      <c r="M366" s="500"/>
      <c r="N366" s="495"/>
      <c r="P366" s="500"/>
      <c r="Q366" s="1267" t="s">
        <v>1307</v>
      </c>
      <c r="R366" s="1268"/>
      <c r="S366" s="1269"/>
      <c r="T366" s="1290">
        <v>0</v>
      </c>
      <c r="U366" s="1290">
        <f t="shared" ref="U366:AI366" si="298">T366</f>
        <v>0</v>
      </c>
      <c r="V366" s="1290">
        <f t="shared" si="298"/>
        <v>0</v>
      </c>
      <c r="W366" s="1290">
        <f t="shared" si="298"/>
        <v>0</v>
      </c>
      <c r="X366" s="1290">
        <f t="shared" si="298"/>
        <v>0</v>
      </c>
      <c r="Y366" s="1290">
        <f t="shared" si="298"/>
        <v>0</v>
      </c>
      <c r="Z366" s="1290">
        <f t="shared" si="298"/>
        <v>0</v>
      </c>
      <c r="AA366" s="1290">
        <f t="shared" si="298"/>
        <v>0</v>
      </c>
      <c r="AB366" s="1290">
        <f t="shared" si="298"/>
        <v>0</v>
      </c>
      <c r="AC366" s="1290">
        <f t="shared" si="298"/>
        <v>0</v>
      </c>
      <c r="AD366" s="1329">
        <f t="shared" si="298"/>
        <v>0</v>
      </c>
      <c r="AE366" s="1330">
        <f t="shared" si="298"/>
        <v>0</v>
      </c>
      <c r="AF366" s="1331">
        <f t="shared" si="298"/>
        <v>0</v>
      </c>
      <c r="AG366" s="1291">
        <f t="shared" si="298"/>
        <v>0</v>
      </c>
      <c r="AH366" s="1291">
        <f t="shared" si="298"/>
        <v>0</v>
      </c>
      <c r="AI366" s="1291">
        <f t="shared" si="298"/>
        <v>0</v>
      </c>
      <c r="AJ366" s="778"/>
      <c r="AN366" s="497"/>
      <c r="AO366" s="497"/>
      <c r="AP366" s="497"/>
      <c r="AQ366" s="497"/>
    </row>
    <row r="367" spans="1:43" s="496" customFormat="1" ht="12.75" x14ac:dyDescent="0.2">
      <c r="A367" s="498"/>
      <c r="B367" s="1292"/>
      <c r="I367" s="495"/>
      <c r="J367" s="495"/>
      <c r="K367" s="495"/>
      <c r="M367" s="500"/>
      <c r="N367" s="495"/>
      <c r="P367" s="500"/>
      <c r="Q367" s="1267" t="s">
        <v>1308</v>
      </c>
      <c r="R367" s="1268"/>
      <c r="S367" s="1269"/>
      <c r="T367" s="1293">
        <f>IF(OR($C364&lt;&gt;T361,T366=0,T366=0),0,IF(AND(T362=0,$D$945=1),T366,IF(T362=0,NOMINAL(T366,12)*IF($C364=T361,$D$945,1),IF(AND($C364=T361,ROUNDDOWN($C$944,0)=T361),$E$944,1)*NOMINAL(T366,VLOOKUP($C366,$H$950:$J$953,3,0))/VLOOKUP($C366,$H$950:$J$953,3,0)))*((IF(T362=0,1,IF(AND($C364=T361,T362&lt;ROUNDDOWN(VLOOKUP($C366,$H$950:$J$953,3,0)/$F$944,0)),ROUNDDOWN(T362*$F$944,0),IF(AND($C364&lt;T361,T362&lt;ROUNDDOWN(VLOOKUP($C366,$H$950:$J$953,3,0)/$F$944,0)),ROUND(AVERAGE(ROUNDDOWN(T362*$F$944,0),2*VLOOKUP($C366,$H$950:$J$953,3,0)),0),VLOOKUP($C366,$H$950:$J$953,3,0))))*$C360)-((T363*(IF(T362=0,1,IF(AND($C364=T361,T362&lt;ROUNDDOWN(VLOOKUP($C366,$H$950:$J$953,3,0)/$F$944,0)),ROUNDDOWN(T362*$F$944,0),IF(AND($C364&lt;T361,T362&lt;ROUNDDOWN(VLOOKUP($C366,$H$950:$J$953,3,0)/$F$944,0)),ROUND(AVERAGE(ROUNDDOWN(T362*$F$944,0),2*VLOOKUP($C366,$H$950:$J$953,3,0)),0),VLOOKUP($C366,$H$950:$J$953,3,0))))-1))/2)))</f>
        <v>0</v>
      </c>
      <c r="U367" s="1293">
        <f t="shared" ref="U367:AI367" si="299">IF(OR($C364&gt;U361,U366=0,U366=0),0,IF(AND(U362=0,OR(U361&gt;$C364,$D$945=1)),U366,IF(U362=0,NOMINAL(U366,12)*IF($C364=U361,$D$945,1),IF(AND($C364=U361,ROUNDDOWN($C$944,0)=U361),$E$944,1)*NOMINAL(U366,VLOOKUP($C366,$H$950:$J$953,3,0))/VLOOKUP($C366,$H$950:$J$953,3,0)))*((IF(U362=0,1,IF(AND($C364=U361,U362&lt;ROUNDDOWN(VLOOKUP($C366,$H$950:$J$953,3,0)/$F$944,0)),ROUNDDOWN(U362*$F$944,0),IF(AND($C364&lt;U361,U362&lt;ROUNDDOWN(VLOOKUP($C366,$H$950:$J$953,3,0)/$F$944,0)),ROUND(AVERAGE(ROUNDDOWN(U362*$F$944,0),2*VLOOKUP($C366,$H$950:$J$953,3,0)),0),VLOOKUP($C366,$H$950:$J$953,3,0))))*IF($C364=U361,$C360,SUM(T364:T365)))-((U363*(IF(U362=0,1,IF(AND($C364=U361,U362&lt;ROUNDDOWN(VLOOKUP($C366,$H$950:$J$953,3,0)/$F$944,0)),ROUNDDOWN(U362*$F$944,0),IF(AND($C364&lt;U361,U362&lt;ROUNDDOWN(VLOOKUP($C366,$H$950:$J$953,3,0)/$F$944,0)),ROUND(AVERAGE(ROUNDDOWN(U362*$F$944,0),2*VLOOKUP($C366,$H$950:$J$953,3,0)),0),VLOOKUP($C366,$H$950:$J$953,3,0))))-1))/2)))</f>
        <v>0</v>
      </c>
      <c r="V367" s="1293">
        <f t="shared" si="299"/>
        <v>0</v>
      </c>
      <c r="W367" s="1293">
        <f t="shared" si="299"/>
        <v>0</v>
      </c>
      <c r="X367" s="1293">
        <f t="shared" si="299"/>
        <v>0</v>
      </c>
      <c r="Y367" s="1293">
        <f t="shared" si="299"/>
        <v>0</v>
      </c>
      <c r="Z367" s="1293">
        <f t="shared" si="299"/>
        <v>0</v>
      </c>
      <c r="AA367" s="1293">
        <f t="shared" si="299"/>
        <v>0</v>
      </c>
      <c r="AB367" s="1293">
        <f t="shared" si="299"/>
        <v>0</v>
      </c>
      <c r="AC367" s="1293">
        <f t="shared" si="299"/>
        <v>0</v>
      </c>
      <c r="AD367" s="1332">
        <f t="shared" si="299"/>
        <v>0</v>
      </c>
      <c r="AE367" s="1333">
        <f t="shared" si="299"/>
        <v>0</v>
      </c>
      <c r="AF367" s="1334">
        <f t="shared" si="299"/>
        <v>0</v>
      </c>
      <c r="AG367" s="1294">
        <f t="shared" si="299"/>
        <v>0</v>
      </c>
      <c r="AH367" s="1294">
        <f t="shared" si="299"/>
        <v>0</v>
      </c>
      <c r="AI367" s="1294">
        <f t="shared" si="299"/>
        <v>0</v>
      </c>
      <c r="AJ367" s="778"/>
      <c r="AN367" s="497"/>
      <c r="AO367" s="497"/>
      <c r="AP367" s="497"/>
      <c r="AQ367" s="497"/>
    </row>
    <row r="368" spans="1:43" s="496" customFormat="1" ht="12.75" x14ac:dyDescent="0.2">
      <c r="A368" s="498"/>
      <c r="B368" s="1292"/>
      <c r="I368" s="495"/>
      <c r="J368" s="495"/>
      <c r="K368" s="495"/>
      <c r="M368" s="500"/>
      <c r="N368" s="495"/>
      <c r="P368" s="500"/>
      <c r="Q368" s="500"/>
      <c r="T368" s="1206"/>
      <c r="U368" s="1206"/>
      <c r="V368" s="1206"/>
      <c r="W368" s="1206"/>
      <c r="X368" s="1206"/>
      <c r="Y368" s="1206"/>
      <c r="Z368" s="1206"/>
      <c r="AA368" s="1206"/>
      <c r="AB368" s="1206"/>
      <c r="AC368" s="1206"/>
      <c r="AD368" s="1206"/>
      <c r="AE368" s="1335"/>
      <c r="AJ368" s="778"/>
      <c r="AN368" s="497"/>
      <c r="AO368" s="497"/>
      <c r="AP368" s="497"/>
      <c r="AQ368" s="497"/>
    </row>
    <row r="369" spans="1:43" s="496" customFormat="1" ht="12.75" x14ac:dyDescent="0.2">
      <c r="A369" s="498"/>
      <c r="B369" s="1297"/>
      <c r="C369" s="1298"/>
      <c r="D369" s="1298"/>
      <c r="E369" s="1298"/>
      <c r="F369" s="1298"/>
      <c r="G369" s="1298"/>
      <c r="H369" s="1298"/>
      <c r="I369" s="1299"/>
      <c r="J369" s="1299"/>
      <c r="K369" s="1299"/>
      <c r="L369" s="1298"/>
      <c r="M369" s="1300"/>
      <c r="N369" s="1299"/>
      <c r="O369" s="1298"/>
      <c r="P369" s="1300"/>
      <c r="Q369" s="1300"/>
      <c r="R369" s="1298"/>
      <c r="S369" s="1298"/>
      <c r="T369" s="1301"/>
      <c r="U369" s="1301"/>
      <c r="V369" s="1301"/>
      <c r="W369" s="1301"/>
      <c r="X369" s="1301"/>
      <c r="Y369" s="1301"/>
      <c r="Z369" s="1301"/>
      <c r="AA369" s="1301"/>
      <c r="AB369" s="1301"/>
      <c r="AC369" s="1301"/>
      <c r="AD369" s="1301"/>
      <c r="AJ369" s="778"/>
      <c r="AN369" s="497"/>
      <c r="AO369" s="497"/>
      <c r="AP369" s="497"/>
      <c r="AQ369" s="497"/>
    </row>
    <row r="370" spans="1:43" s="496" customFormat="1" ht="12.75" x14ac:dyDescent="0.2">
      <c r="A370" s="498"/>
      <c r="B370" s="1336" t="s">
        <v>1333</v>
      </c>
      <c r="C370" s="1305"/>
      <c r="I370" s="495"/>
      <c r="J370" s="495"/>
      <c r="M370" s="500"/>
      <c r="P370" s="500"/>
      <c r="S370" s="1306" t="s">
        <v>1318</v>
      </c>
      <c r="T370" s="1307" t="s">
        <v>1044</v>
      </c>
      <c r="U370" s="1307" t="s">
        <v>1044</v>
      </c>
      <c r="V370" s="1307" t="s">
        <v>1044</v>
      </c>
      <c r="W370" s="1307" t="s">
        <v>1044</v>
      </c>
      <c r="X370" s="1307" t="s">
        <v>1044</v>
      </c>
      <c r="Y370" s="1307" t="s">
        <v>1044</v>
      </c>
      <c r="Z370" s="1307" t="s">
        <v>1044</v>
      </c>
      <c r="AA370" s="1307" t="s">
        <v>1044</v>
      </c>
      <c r="AB370" s="1307" t="s">
        <v>1044</v>
      </c>
      <c r="AC370" s="1307" t="s">
        <v>1044</v>
      </c>
      <c r="AD370" s="1308" t="s">
        <v>1044</v>
      </c>
      <c r="AE370" s="1337" t="s">
        <v>1044</v>
      </c>
      <c r="AF370" s="1315" t="s">
        <v>1044</v>
      </c>
      <c r="AG370" s="1266" t="s">
        <v>1044</v>
      </c>
      <c r="AH370" s="1266" t="s">
        <v>1044</v>
      </c>
      <c r="AI370" s="1266" t="s">
        <v>1044</v>
      </c>
      <c r="AJ370" s="778"/>
      <c r="AN370" s="497"/>
      <c r="AO370" s="497"/>
      <c r="AP370" s="497"/>
      <c r="AQ370" s="497"/>
    </row>
    <row r="371" spans="1:43" s="496" customFormat="1" ht="12.75" x14ac:dyDescent="0.2">
      <c r="A371" s="498"/>
      <c r="B371" s="1263" t="s">
        <v>1319</v>
      </c>
      <c r="C371" s="1264"/>
      <c r="I371" s="495"/>
      <c r="J371" s="495"/>
      <c r="M371" s="500"/>
      <c r="P371" s="500"/>
      <c r="Q371" s="495"/>
      <c r="S371" s="500"/>
      <c r="T371" s="1265">
        <f t="shared" ref="T371:AI371" si="300">T351</f>
        <v>2022</v>
      </c>
      <c r="U371" s="1265">
        <f t="shared" si="300"/>
        <v>2023</v>
      </c>
      <c r="V371" s="1265">
        <f t="shared" si="300"/>
        <v>2024</v>
      </c>
      <c r="W371" s="1265">
        <f t="shared" si="300"/>
        <v>2025</v>
      </c>
      <c r="X371" s="1265">
        <f t="shared" si="300"/>
        <v>2026</v>
      </c>
      <c r="Y371" s="1265">
        <f t="shared" si="300"/>
        <v>2027</v>
      </c>
      <c r="Z371" s="1265">
        <f t="shared" si="300"/>
        <v>2028</v>
      </c>
      <c r="AA371" s="1265">
        <f t="shared" si="300"/>
        <v>2029</v>
      </c>
      <c r="AB371" s="1265">
        <f t="shared" si="300"/>
        <v>2030</v>
      </c>
      <c r="AC371" s="1265">
        <f t="shared" si="300"/>
        <v>2031</v>
      </c>
      <c r="AD371" s="1313">
        <f t="shared" si="300"/>
        <v>2032</v>
      </c>
      <c r="AE371" s="1337">
        <f t="shared" si="300"/>
        <v>2033</v>
      </c>
      <c r="AF371" s="1315">
        <f t="shared" si="300"/>
        <v>2034</v>
      </c>
      <c r="AG371" s="1266">
        <f t="shared" si="300"/>
        <v>2035</v>
      </c>
      <c r="AH371" s="1266">
        <f t="shared" si="300"/>
        <v>2036</v>
      </c>
      <c r="AI371" s="1266">
        <f t="shared" si="300"/>
        <v>2037</v>
      </c>
      <c r="AJ371" s="778"/>
      <c r="AN371" s="497"/>
      <c r="AO371" s="497"/>
      <c r="AP371" s="497"/>
      <c r="AQ371" s="497"/>
    </row>
    <row r="372" spans="1:43" s="496" customFormat="1" ht="12.75" x14ac:dyDescent="0.2">
      <c r="A372" s="498"/>
      <c r="B372" s="1312" t="s">
        <v>1320</v>
      </c>
      <c r="C372" s="1264"/>
      <c r="I372" s="495"/>
      <c r="J372" s="495"/>
      <c r="M372" s="500"/>
      <c r="P372" s="500"/>
      <c r="Q372" s="1267" t="s">
        <v>1303</v>
      </c>
      <c r="R372" s="1268"/>
      <c r="S372" s="1269"/>
      <c r="T372" s="1270">
        <f>IF(OR($C371=0,$C371=0,$C376=0),0,IF(AND(T371-$C374&gt;=0,T371&lt;=$C374+$C371,ROUNDDOWN(T371,0)=ROUNDDOWN($C$946,0)),IF(ROUNDDOWN(T371,0)=ROUNDDOWN($C$946,0),ROUND($E$946*VLOOKUP($C376,$H$950:$J$953,3,0)/$F$946,2),ROUND(VLOOKUP($C376,$H$950:$J$953,3,0)/$F$946,2)),0))</f>
        <v>0</v>
      </c>
      <c r="U372" s="1270">
        <f>IF(OR($C371=0,$C371=0,$C376=0),0,IF(AND(ROUNDDOWN(U371,0)&gt;=ROUNDDOWN($C$946,0),1-$T372&lt;VLOOKUP($C376,$H$950:$J$953,3,0)/$F$946),1-$T372,IF(ROUNDDOWN(U371,0)&gt;=ROUNDDOWN($C$946,0),IF(ROUNDDOWN(U371,0)=ROUNDDOWN($C$946,0),ROUND($E$946*VLOOKUP($C376,$H$950:$J$953,3,0)/$F$946,2),ROUND(VLOOKUP($C376,$H$950:$J$953,3,0)/$F$946,2)),0)))</f>
        <v>0</v>
      </c>
      <c r="V372" s="1270">
        <f>IF(OR($C371=0,$C371=0,$C376=0),0,IF(AND(ROUNDDOWN(V371,0)&gt;=ROUNDDOWN($C$946,0),1-SUM($T372:U372)&lt;VLOOKUP($C376,$H$950:$J$953,3,0)/$F$946),1-SUM($T372:U372),IF(ROUNDDOWN(V371,0)&gt;=ROUNDDOWN($C$946,0),IF(ROUNDDOWN(V371,0)=ROUNDDOWN($C$946,0),ROUND($E$946*VLOOKUP($C376,$H$950:$J$953,3,0)/$F$946,2),ROUND(VLOOKUP($C376,$H$950:$J$953,3,0)/$F$946,2)),0)))</f>
        <v>0</v>
      </c>
      <c r="W372" s="1270">
        <f>IF(OR($C371=0,$C371=0,$C376=0),0,IF(AND(ROUNDDOWN(W371,0)&gt;=ROUNDDOWN($C$946,0),1-SUM($T372:V372)&lt;VLOOKUP($C376,$H$950:$J$953,3,0)/$F$946),1-SUM($T372:V372),IF(ROUNDDOWN(W371,0)&gt;=ROUNDDOWN($C$946,0),IF(ROUNDDOWN(W371,0)=ROUNDDOWN($C$946,0),ROUND($E$946*VLOOKUP($C376,$H$950:$J$953,3,0)/$F$946,2),ROUND(VLOOKUP($C376,$H$950:$J$953,3,0)/$F$946,2)),0)))</f>
        <v>0</v>
      </c>
      <c r="X372" s="1270">
        <f>IF(OR($C371=0,$C371=0,$C376=0),0,IF(AND(ROUNDDOWN(X371,0)&gt;=ROUNDDOWN($C$946,0),1-SUM($T372:W372)&lt;VLOOKUP($C376,$H$950:$J$953,3,0)/$F$946),1-SUM($T372:W372),IF(ROUNDDOWN(X371,0)&gt;=ROUNDDOWN($C$946,0),IF(ROUNDDOWN(X371,0)=ROUNDDOWN($C$946,0),ROUND($E$946*VLOOKUP($C376,$H$950:$J$953,3,0)/$F$946,2),ROUND(VLOOKUP($C376,$H$950:$J$953,3,0)/$F$946,2)),0)))</f>
        <v>0</v>
      </c>
      <c r="Y372" s="1270">
        <f>IF(OR($C371=0,$C371=0,$C376=0),0,IF(AND(ROUNDDOWN(Y371,0)&gt;=ROUNDDOWN($C$946,0),1-SUM($T372:X372)&lt;VLOOKUP($C376,$H$950:$J$953,3,0)/$F$946),1-SUM($T372:X372),IF(ROUNDDOWN(Y371,0)&gt;=ROUNDDOWN($C$946,0),IF(ROUNDDOWN(Y371,0)=ROUNDDOWN($C$946,0),ROUND($E$946*VLOOKUP($C376,$H$950:$J$953,3,0)/$F$946,2),ROUND(VLOOKUP($C376,$H$950:$J$953,3,0)/$F$946,2)),0)))</f>
        <v>0</v>
      </c>
      <c r="Z372" s="1270">
        <f>IF(OR($C371=0,$C371=0,$C376=0),0,IF(AND(ROUNDDOWN(Z371,0)&gt;=ROUNDDOWN($C$946,0),1-SUM($T372:Y372)&lt;VLOOKUP($C376,$H$950:$J$953,3,0)/$F$946),1-SUM($T372:Y372),IF(ROUNDDOWN(Z371,0)&gt;=ROUNDDOWN($C$946,0),IF(ROUNDDOWN(Z371,0)=ROUNDDOWN($C$946,0),ROUND($E$946*VLOOKUP($C376,$H$950:$J$953,3,0)/$F$946,2),ROUND(VLOOKUP($C376,$H$950:$J$953,3,0)/$F$946,2)),0)))</f>
        <v>0</v>
      </c>
      <c r="AA372" s="1270">
        <f>IF(OR($C371=0,$C371=0,$C376=0),0,IF(AND(ROUNDDOWN(AA371,0)&gt;=ROUNDDOWN($C$946,0),1-SUM($T372:Z372)&lt;VLOOKUP($C376,$H$950:$J$953,3,0)/$F$946),1-SUM($T372:Z372),IF(ROUNDDOWN(AA371,0)&gt;=ROUNDDOWN($C$946,0),IF(ROUNDDOWN(AA371,0)=ROUNDDOWN($C$946,0),ROUND($E$946*VLOOKUP($C376,$H$950:$J$953,3,0)/$F$946,2),ROUND(VLOOKUP($C376,$H$950:$J$953,3,0)/$F$946,2)),0)))</f>
        <v>0</v>
      </c>
      <c r="AB372" s="1270">
        <f>IF(OR($C371=0,$C371=0,$C376=0),0,IF(AND(ROUNDDOWN(AB371,0)&gt;=ROUNDDOWN($C$946,0),1-SUM($T372:AA372)&lt;VLOOKUP($C376,$H$950:$J$953,3,0)/$F$946),1-SUM($T372:AA372),IF(ROUNDDOWN(AB371,0)&gt;=ROUNDDOWN($C$946,0),IF(ROUNDDOWN(AB371,0)=ROUNDDOWN($C$946,0),ROUND($E$946*VLOOKUP($C376,$H$950:$J$953,3,0)/$F$946,2),ROUND(VLOOKUP($C376,$H$950:$J$953,3,0)/$F$946,2)),0)))</f>
        <v>0</v>
      </c>
      <c r="AC372" s="1270">
        <f>IF(OR($C371=0,$C371=0,$C376=0),0,IF(AND(ROUNDDOWN(AC371,0)&gt;=ROUNDDOWN($C$946,0),1-SUM($T372:AB372)&lt;VLOOKUP($C376,$H$950:$J$953,3,0)/$F$946),1-SUM($T372:AB372),IF(ROUNDDOWN(AC371,0)&gt;=ROUNDDOWN($C$946,0),IF(ROUNDDOWN(AC371,0)=ROUNDDOWN($C$946,0),ROUND($E$946*VLOOKUP($C376,$H$950:$J$953,3,0)/$F$946,2),ROUND(VLOOKUP($C376,$H$950:$J$953,3,0)/$F$946,2)),0)))</f>
        <v>0</v>
      </c>
      <c r="AD372" s="1316">
        <f>IF(OR($C371=0,$C371=0,$C376=0),0,IF(AND(ROUNDDOWN(AD371,0)&gt;=ROUNDDOWN($C$946,0),1-SUM($T372:AC372)&lt;VLOOKUP($C376,$H$950:$J$953,3,0)/$F$946),1-SUM($T372:AC372),IF(ROUNDDOWN(AD371,0)&gt;=ROUNDDOWN($C$946,0),IF(ROUNDDOWN(AD371,0)=ROUNDDOWN($C$946,0),ROUND($E$946*VLOOKUP($C376,$H$950:$J$953,3,0)/$F$946,2),ROUND(VLOOKUP($C376,$H$950:$J$953,3,0)/$F$946,2)),0)))</f>
        <v>0</v>
      </c>
      <c r="AE372" s="1338">
        <f>IF(OR($C371=0,$C371=0,$C376=0),0,IF(AND(ROUNDDOWN(AE371,0)&gt;=ROUNDDOWN($C$946,0),1-SUM($T372:AD372)&lt;VLOOKUP($C376,$H$950:$J$953,3,0)/$F$946),1-SUM($T372:AD372),IF(ROUNDDOWN(AE371,0)&gt;=ROUNDDOWN($C$946,0),IF(ROUNDDOWN(AE371,0)=ROUNDDOWN($C$946,0),ROUND($E$946*VLOOKUP($C376,$H$950:$J$953,3,0)/$F$946,2),ROUND(VLOOKUP($C376,$H$950:$J$953,3,0)/$F$946,2)),0)))</f>
        <v>0</v>
      </c>
      <c r="AF372" s="1318">
        <f>IF(OR($C371=0,$C371=0,$C376=0),0,IF(AND(ROUNDDOWN(AF371,0)&gt;=ROUNDDOWN($C$946,0),1-SUM($T372:AE372)&lt;VLOOKUP($C376,$H$950:$J$953,3,0)/$F$946),1-SUM($T372:AE372),IF(ROUNDDOWN(AF371,0)&gt;=ROUNDDOWN($C$946,0),IF(ROUNDDOWN(AF371,0)=ROUNDDOWN($C$946,0),ROUND($E$946*VLOOKUP($C376,$H$950:$J$953,3,0)/$F$946,2),ROUND(VLOOKUP($C376,$H$950:$J$953,3,0)/$F$946,2)),0)))</f>
        <v>0</v>
      </c>
      <c r="AG372" s="1271">
        <f>IF(OR($C371=0,$C371=0,$C376=0),0,IF(AND(ROUNDDOWN(AG371,0)&gt;=ROUNDDOWN($C$946,0),1-SUM($T372:AF372)&lt;VLOOKUP($C376,$H$950:$J$953,3,0)/$F$946),1-SUM($T372:AF372),IF(ROUNDDOWN(AG371,0)&gt;=ROUNDDOWN($C$946,0),IF(ROUNDDOWN(AG371,0)=ROUNDDOWN($C$946,0),ROUND($E$946*VLOOKUP($C376,$H$950:$J$953,3,0)/$F$946,2),ROUND(VLOOKUP($C376,$H$950:$J$953,3,0)/$F$946,2)),0)))</f>
        <v>0</v>
      </c>
      <c r="AH372" s="1271">
        <f>IF(OR($C371=0,$C371=0,$C376=0),0,IF(AND(ROUNDDOWN(AH371,0)&gt;=ROUNDDOWN($C$946,0),1-SUM($T372:AG372)&lt;VLOOKUP($C376,$H$950:$J$953,3,0)/$F$946),1-SUM($T372:AG372),IF(ROUNDDOWN(AH371,0)&gt;=ROUNDDOWN($C$946,0),IF(ROUNDDOWN(AH371,0)=ROUNDDOWN($C$946,0),ROUND($E$946*VLOOKUP($C376,$H$950:$J$953,3,0)/$F$946,2),ROUND(VLOOKUP($C376,$H$950:$J$953,3,0)/$F$946,2)),0)))</f>
        <v>0</v>
      </c>
      <c r="AI372" s="1271">
        <f>IF(OR($C371=0,$C371=0,$C376=0),0,IF(AND(ROUNDDOWN(AI371,0)&gt;=ROUNDDOWN($C$946,0),1-SUM($T372:AH372)&lt;VLOOKUP($C376,$H$950:$J$953,3,0)/$F$946),1-SUM($T372:AH372),IF(ROUNDDOWN(AI371,0)&gt;=ROUNDDOWN($C$946,0),IF(ROUNDDOWN(AI371,0)=ROUNDDOWN($C$946,0),ROUND($E$946*VLOOKUP($C376,$H$950:$J$953,3,0)/$F$946,2),ROUND(VLOOKUP($C376,$H$950:$J$953,3,0)/$F$946,2)),0)))</f>
        <v>0</v>
      </c>
      <c r="AJ372" s="778"/>
      <c r="AN372" s="497"/>
      <c r="AO372" s="497"/>
      <c r="AP372" s="497"/>
      <c r="AQ372" s="497"/>
    </row>
    <row r="373" spans="1:43" s="496" customFormat="1" ht="12.75" x14ac:dyDescent="0.2">
      <c r="A373" s="498"/>
      <c r="B373" s="1263" t="s">
        <v>1321</v>
      </c>
      <c r="C373" s="1264"/>
      <c r="E373" s="1272"/>
      <c r="H373" s="1272"/>
      <c r="I373" s="495"/>
      <c r="J373" s="495"/>
      <c r="K373" s="1272"/>
      <c r="M373" s="500"/>
      <c r="N373" s="1272"/>
      <c r="P373" s="500"/>
      <c r="Q373" s="1273" t="s">
        <v>1304</v>
      </c>
      <c r="R373" s="1274"/>
      <c r="S373" s="1275"/>
      <c r="T373" s="1276">
        <f>$C370*T372</f>
        <v>0</v>
      </c>
      <c r="U373" s="1276">
        <f t="shared" ref="U373:AI373" si="301">IF($C374&gt;U371,0,U372*$C370)</f>
        <v>0</v>
      </c>
      <c r="V373" s="1276">
        <f t="shared" si="301"/>
        <v>0</v>
      </c>
      <c r="W373" s="1276">
        <f t="shared" si="301"/>
        <v>0</v>
      </c>
      <c r="X373" s="1276">
        <f t="shared" si="301"/>
        <v>0</v>
      </c>
      <c r="Y373" s="1276">
        <f t="shared" si="301"/>
        <v>0</v>
      </c>
      <c r="Z373" s="1276">
        <f t="shared" si="301"/>
        <v>0</v>
      </c>
      <c r="AA373" s="1276">
        <f t="shared" si="301"/>
        <v>0</v>
      </c>
      <c r="AB373" s="1276">
        <f t="shared" si="301"/>
        <v>0</v>
      </c>
      <c r="AC373" s="1276">
        <f t="shared" si="301"/>
        <v>0</v>
      </c>
      <c r="AD373" s="1319">
        <f t="shared" si="301"/>
        <v>0</v>
      </c>
      <c r="AE373" s="1339">
        <f t="shared" si="301"/>
        <v>0</v>
      </c>
      <c r="AF373" s="1321">
        <f t="shared" si="301"/>
        <v>0</v>
      </c>
      <c r="AG373" s="1277">
        <f t="shared" si="301"/>
        <v>0</v>
      </c>
      <c r="AH373" s="1277">
        <f t="shared" si="301"/>
        <v>0</v>
      </c>
      <c r="AI373" s="1277">
        <f t="shared" si="301"/>
        <v>0</v>
      </c>
      <c r="AJ373" s="778"/>
      <c r="AN373" s="497"/>
      <c r="AO373" s="497"/>
      <c r="AP373" s="497"/>
      <c r="AQ373" s="497"/>
    </row>
    <row r="374" spans="1:43" s="496" customFormat="1" ht="12.75" x14ac:dyDescent="0.2">
      <c r="A374" s="498"/>
      <c r="B374" s="1263" t="s">
        <v>1322</v>
      </c>
      <c r="C374" s="1264"/>
      <c r="I374" s="495"/>
      <c r="J374" s="495"/>
      <c r="M374" s="500"/>
      <c r="P374" s="500"/>
      <c r="Q374" s="1278" t="s">
        <v>1305</v>
      </c>
      <c r="R374" s="1279"/>
      <c r="S374" s="1280"/>
      <c r="T374" s="1281">
        <f t="shared" ref="T374:AI374" si="302">IF($C374&gt;=U371,0,$C370*U372)</f>
        <v>0</v>
      </c>
      <c r="U374" s="1281">
        <f t="shared" si="302"/>
        <v>0</v>
      </c>
      <c r="V374" s="1281">
        <f t="shared" si="302"/>
        <v>0</v>
      </c>
      <c r="W374" s="1281">
        <f t="shared" si="302"/>
        <v>0</v>
      </c>
      <c r="X374" s="1281">
        <f t="shared" si="302"/>
        <v>0</v>
      </c>
      <c r="Y374" s="1281">
        <f t="shared" si="302"/>
        <v>0</v>
      </c>
      <c r="Z374" s="1281">
        <f t="shared" si="302"/>
        <v>0</v>
      </c>
      <c r="AA374" s="1281">
        <f t="shared" si="302"/>
        <v>0</v>
      </c>
      <c r="AB374" s="1281">
        <f t="shared" si="302"/>
        <v>0</v>
      </c>
      <c r="AC374" s="1281">
        <f t="shared" si="302"/>
        <v>0</v>
      </c>
      <c r="AD374" s="1322">
        <f t="shared" si="302"/>
        <v>0</v>
      </c>
      <c r="AE374" s="1340">
        <f t="shared" si="302"/>
        <v>0</v>
      </c>
      <c r="AF374" s="1324">
        <f t="shared" si="302"/>
        <v>0</v>
      </c>
      <c r="AG374" s="1282">
        <f t="shared" si="302"/>
        <v>0</v>
      </c>
      <c r="AH374" s="1282">
        <f t="shared" si="302"/>
        <v>0</v>
      </c>
      <c r="AI374" s="1282">
        <f t="shared" si="302"/>
        <v>0</v>
      </c>
      <c r="AJ374" s="778"/>
      <c r="AN374" s="497"/>
      <c r="AO374" s="497"/>
      <c r="AP374" s="497"/>
      <c r="AQ374" s="497"/>
    </row>
    <row r="375" spans="1:43" s="496" customFormat="1" ht="12.75" x14ac:dyDescent="0.2">
      <c r="A375" s="498"/>
      <c r="B375" s="1312" t="s">
        <v>1323</v>
      </c>
      <c r="C375" s="1264"/>
      <c r="I375" s="495"/>
      <c r="J375" s="495"/>
      <c r="K375" s="495"/>
      <c r="M375" s="500"/>
      <c r="N375" s="495"/>
      <c r="P375" s="500"/>
      <c r="Q375" s="1283" t="s">
        <v>1306</v>
      </c>
      <c r="R375" s="1284"/>
      <c r="S375" s="1285"/>
      <c r="T375" s="1286">
        <f>IF($C374&gt;T371,0,$C370-T373-T374)</f>
        <v>0</v>
      </c>
      <c r="U375" s="1286">
        <f t="shared" ref="U375:AI375" si="303">IF($C374&gt;U371,0,IF($C374=U371,$C370-U373-U374,IF(SUM(T374:T375)-SUM(U373:U374)&lt;=0.005,0,SUM(T374:T375)-SUM(U373:U374))))</f>
        <v>0</v>
      </c>
      <c r="V375" s="1286">
        <f t="shared" si="303"/>
        <v>0</v>
      </c>
      <c r="W375" s="1286">
        <f t="shared" si="303"/>
        <v>0</v>
      </c>
      <c r="X375" s="1286">
        <f t="shared" si="303"/>
        <v>0</v>
      </c>
      <c r="Y375" s="1286">
        <f t="shared" si="303"/>
        <v>0</v>
      </c>
      <c r="Z375" s="1286">
        <f t="shared" si="303"/>
        <v>0</v>
      </c>
      <c r="AA375" s="1286">
        <f t="shared" si="303"/>
        <v>0</v>
      </c>
      <c r="AB375" s="1286">
        <f t="shared" si="303"/>
        <v>0</v>
      </c>
      <c r="AC375" s="1286">
        <f t="shared" si="303"/>
        <v>0</v>
      </c>
      <c r="AD375" s="1325">
        <f t="shared" si="303"/>
        <v>0</v>
      </c>
      <c r="AE375" s="1341">
        <f t="shared" si="303"/>
        <v>0</v>
      </c>
      <c r="AF375" s="1327">
        <f t="shared" si="303"/>
        <v>0</v>
      </c>
      <c r="AG375" s="1287">
        <f t="shared" si="303"/>
        <v>0</v>
      </c>
      <c r="AH375" s="1287">
        <f t="shared" si="303"/>
        <v>0</v>
      </c>
      <c r="AI375" s="1287">
        <f t="shared" si="303"/>
        <v>0</v>
      </c>
      <c r="AJ375" s="778"/>
      <c r="AN375" s="497"/>
      <c r="AO375" s="497"/>
      <c r="AP375" s="497"/>
      <c r="AQ375" s="497"/>
    </row>
    <row r="376" spans="1:43" s="496" customFormat="1" ht="12.75" x14ac:dyDescent="0.2">
      <c r="A376" s="498"/>
      <c r="B376" s="1328" t="s">
        <v>1324</v>
      </c>
      <c r="C376" s="1289"/>
      <c r="I376" s="495"/>
      <c r="J376" s="495"/>
      <c r="K376" s="495"/>
      <c r="M376" s="500"/>
      <c r="N376" s="495"/>
      <c r="P376" s="500"/>
      <c r="Q376" s="1267" t="s">
        <v>1307</v>
      </c>
      <c r="R376" s="1268"/>
      <c r="S376" s="1269"/>
      <c r="T376" s="1290"/>
      <c r="U376" s="1290">
        <f t="shared" ref="U376:AI376" si="304">T376</f>
        <v>0</v>
      </c>
      <c r="V376" s="1290">
        <f t="shared" si="304"/>
        <v>0</v>
      </c>
      <c r="W376" s="1290">
        <f t="shared" si="304"/>
        <v>0</v>
      </c>
      <c r="X376" s="1290">
        <f t="shared" si="304"/>
        <v>0</v>
      </c>
      <c r="Y376" s="1290">
        <f t="shared" si="304"/>
        <v>0</v>
      </c>
      <c r="Z376" s="1290">
        <f t="shared" si="304"/>
        <v>0</v>
      </c>
      <c r="AA376" s="1290">
        <f t="shared" si="304"/>
        <v>0</v>
      </c>
      <c r="AB376" s="1290">
        <f t="shared" si="304"/>
        <v>0</v>
      </c>
      <c r="AC376" s="1290">
        <f t="shared" si="304"/>
        <v>0</v>
      </c>
      <c r="AD376" s="1329">
        <f t="shared" si="304"/>
        <v>0</v>
      </c>
      <c r="AE376" s="1342">
        <f t="shared" si="304"/>
        <v>0</v>
      </c>
      <c r="AF376" s="1331">
        <f t="shared" si="304"/>
        <v>0</v>
      </c>
      <c r="AG376" s="1291">
        <f t="shared" si="304"/>
        <v>0</v>
      </c>
      <c r="AH376" s="1291">
        <f t="shared" si="304"/>
        <v>0</v>
      </c>
      <c r="AI376" s="1291">
        <f t="shared" si="304"/>
        <v>0</v>
      </c>
      <c r="AJ376" s="778"/>
      <c r="AN376" s="497"/>
      <c r="AO376" s="497"/>
      <c r="AP376" s="497"/>
      <c r="AQ376" s="497"/>
    </row>
    <row r="377" spans="1:43" s="496" customFormat="1" ht="12.75" x14ac:dyDescent="0.2">
      <c r="A377" s="498"/>
      <c r="B377" s="1292"/>
      <c r="I377" s="495"/>
      <c r="J377" s="495"/>
      <c r="K377" s="495"/>
      <c r="M377" s="500"/>
      <c r="N377" s="495"/>
      <c r="P377" s="500"/>
      <c r="Q377" s="1267" t="s">
        <v>1308</v>
      </c>
      <c r="R377" s="1268"/>
      <c r="S377" s="1269"/>
      <c r="T377" s="1293">
        <f>IF(OR($C374&lt;&gt;T371,T376=0,T376=0),0,IF(AND(T372=0,$D$947=1),T376,IF(T372=0,NOMINAL(T376,12)*IF($C374=T371,$D$947,1),IF(AND($C374=T371,ROUNDDOWN($C$946,0)=T371),$E$946,1)*NOMINAL(T376,VLOOKUP($C376,$H$950:$J$953,3,0))/VLOOKUP($C376,$H$950:$J$953,3,0)))*((IF(T372=0,1,IF(AND($C374=T371,T372&lt;ROUNDDOWN(VLOOKUP($C376,$H$950:$J$953,3,0)/$F$946,0)),ROUNDDOWN(T372*$F$946,0),IF(AND($C374&lt;T371,T372&lt;ROUNDDOWN(VLOOKUP($C376,$H$950:$J$953,3,0)/$F$946,0)),ROUND(AVERAGE(ROUNDDOWN(T372*$F$946,0),2*VLOOKUP($C376,$H$950:$J$953,3,0)),0),VLOOKUP($C376,$H$950:$J$953,3,0))))*$C370)-((T373*(IF(T372=0,1,IF(AND($C374=T371,T372&lt;ROUNDDOWN(VLOOKUP($C376,$H$950:$J$953,3,0)/$F$946,0)),ROUNDDOWN(T372*$F$946,0),IF(AND($C374&lt;T371,T372&lt;ROUNDDOWN(VLOOKUP($C376,$H$950:$J$953,3,0)/$F$946,0)),ROUND(AVERAGE(ROUNDDOWN(T372*$F$946,0),2*VLOOKUP($C376,$H$950:$J$953,3,0)),0),VLOOKUP($C376,$H$950:$J$953,3,0))))-1))/2)))</f>
        <v>0</v>
      </c>
      <c r="U377" s="1293">
        <f t="shared" ref="U377:AI377" si="305">IF(OR($C374&gt;U371,U376=0,U376=0),0,IF(AND(U372=0,OR(U371&gt;$C374,$D$947=1)),U376,IF(U372=0,NOMINAL(U376,12)*IF($C374=U371,$D$947,1),IF(AND($C374=U371,ROUNDDOWN($C$946,0)=U371),$E$946,1)*NOMINAL(U376,VLOOKUP($C376,$H$950:$J$953,3,0))/VLOOKUP($C376,$H$950:$J$953,3,0)))*((IF(U372=0,1,IF(AND($C374=U371,U372&lt;ROUNDDOWN(VLOOKUP($C376,$H$950:$J$953,3,0)/$F$946,0)),ROUNDDOWN(U372*$F$946,0),IF(AND($C374&lt;U371,U372&lt;ROUNDDOWN(VLOOKUP($C376,$H$950:$J$953,3,0)/$F$946,0)),ROUND(AVERAGE(ROUNDDOWN(U372*$F$946,0),2*VLOOKUP($C376,$H$950:$J$953,3,0)),0),VLOOKUP($C376,$H$950:$J$953,3,0))))*IF($C374=U371,$C370,SUM(T374:T375)))-((U373*(IF(U372=0,1,IF(AND($C374=U371,U372&lt;ROUNDDOWN(VLOOKUP($C376,$H$950:$J$953,3,0)/$F$946,0)),ROUNDDOWN(U372*$F$946,0),IF(AND($C374&lt;U371,U372&lt;ROUNDDOWN(VLOOKUP($C376,$H$950:$J$953,3,0)/$F$946,0)),ROUND(AVERAGE(ROUNDDOWN(U372*$F$946,0),2*VLOOKUP($C376,$H$950:$J$953,3,0)),0),VLOOKUP($C376,$H$950:$J$953,3,0))))-1))/2)))</f>
        <v>0</v>
      </c>
      <c r="V377" s="1293">
        <f t="shared" si="305"/>
        <v>0</v>
      </c>
      <c r="W377" s="1293">
        <f t="shared" si="305"/>
        <v>0</v>
      </c>
      <c r="X377" s="1293">
        <f t="shared" si="305"/>
        <v>0</v>
      </c>
      <c r="Y377" s="1293">
        <f t="shared" si="305"/>
        <v>0</v>
      </c>
      <c r="Z377" s="1293">
        <f t="shared" si="305"/>
        <v>0</v>
      </c>
      <c r="AA377" s="1293">
        <f t="shared" si="305"/>
        <v>0</v>
      </c>
      <c r="AB377" s="1293">
        <f t="shared" si="305"/>
        <v>0</v>
      </c>
      <c r="AC377" s="1293">
        <f t="shared" si="305"/>
        <v>0</v>
      </c>
      <c r="AD377" s="1332">
        <f t="shared" si="305"/>
        <v>0</v>
      </c>
      <c r="AE377" s="1343">
        <f t="shared" si="305"/>
        <v>0</v>
      </c>
      <c r="AF377" s="1334">
        <f t="shared" si="305"/>
        <v>0</v>
      </c>
      <c r="AG377" s="1294">
        <f t="shared" si="305"/>
        <v>0</v>
      </c>
      <c r="AH377" s="1294">
        <f t="shared" si="305"/>
        <v>0</v>
      </c>
      <c r="AI377" s="1294">
        <f t="shared" si="305"/>
        <v>0</v>
      </c>
      <c r="AJ377" s="778"/>
      <c r="AN377" s="497"/>
      <c r="AO377" s="497"/>
      <c r="AP377" s="497"/>
      <c r="AQ377" s="497"/>
    </row>
    <row r="378" spans="1:43" s="496" customFormat="1" ht="12.75" x14ac:dyDescent="0.2">
      <c r="A378" s="498"/>
      <c r="B378" s="1292"/>
      <c r="I378" s="495"/>
      <c r="J378" s="495"/>
      <c r="K378" s="495"/>
      <c r="M378" s="500"/>
      <c r="N378" s="495"/>
      <c r="P378" s="500"/>
      <c r="Q378" s="500"/>
      <c r="T378" s="1206"/>
      <c r="U378" s="1206"/>
      <c r="V378" s="1206"/>
      <c r="W378" s="1206"/>
      <c r="X378" s="1206"/>
      <c r="Y378" s="1206"/>
      <c r="Z378" s="1206"/>
      <c r="AA378" s="1206"/>
      <c r="AB378" s="1206"/>
      <c r="AC378" s="1206"/>
      <c r="AD378" s="1206"/>
      <c r="AE378" s="1335"/>
      <c r="AJ378" s="778"/>
      <c r="AN378" s="497"/>
      <c r="AO378" s="497"/>
      <c r="AP378" s="497"/>
      <c r="AQ378" s="497"/>
    </row>
    <row r="379" spans="1:43" s="496" customFormat="1" ht="12.75" x14ac:dyDescent="0.2">
      <c r="A379" s="498"/>
      <c r="B379" s="1292"/>
      <c r="I379" s="495"/>
      <c r="J379" s="495"/>
      <c r="K379" s="495"/>
      <c r="M379" s="500"/>
      <c r="N379" s="495"/>
      <c r="P379" s="500"/>
      <c r="Q379" s="500"/>
      <c r="T379" s="989"/>
      <c r="U379" s="989"/>
      <c r="V379" s="989"/>
      <c r="W379" s="989"/>
      <c r="X379" s="989"/>
      <c r="Y379" s="989"/>
      <c r="Z379" s="989"/>
      <c r="AA379" s="989"/>
      <c r="AB379" s="989"/>
      <c r="AC379" s="989"/>
      <c r="AD379" s="989"/>
      <c r="AE379" s="1298"/>
      <c r="AJ379" s="778"/>
      <c r="AN379" s="497"/>
      <c r="AO379" s="497"/>
      <c r="AP379" s="497"/>
      <c r="AQ379" s="497"/>
    </row>
    <row r="380" spans="1:43" s="496" customFormat="1" ht="12.75" x14ac:dyDescent="0.2">
      <c r="A380" s="498"/>
      <c r="B380" s="1344" t="s">
        <v>1334</v>
      </c>
      <c r="C380" s="1345"/>
      <c r="D380" s="1346"/>
      <c r="E380" s="1345"/>
      <c r="F380" s="1346"/>
      <c r="G380" s="1346"/>
      <c r="H380" s="1345"/>
      <c r="I380" s="1346"/>
      <c r="J380" s="1346"/>
      <c r="K380" s="1345"/>
      <c r="L380" s="1346"/>
      <c r="M380" s="1346"/>
      <c r="N380" s="1345"/>
      <c r="O380" s="1346"/>
      <c r="P380" s="1346"/>
      <c r="Q380" s="1345"/>
      <c r="R380" s="1346"/>
      <c r="S380" s="1347"/>
      <c r="T380" s="1348">
        <f t="shared" ref="T380:AI380" si="306">T354+T364+T374</f>
        <v>0</v>
      </c>
      <c r="U380" s="1348">
        <f t="shared" si="306"/>
        <v>0</v>
      </c>
      <c r="V380" s="1348">
        <f t="shared" si="306"/>
        <v>0</v>
      </c>
      <c r="W380" s="1348">
        <f t="shared" si="306"/>
        <v>0</v>
      </c>
      <c r="X380" s="1348">
        <f t="shared" si="306"/>
        <v>0</v>
      </c>
      <c r="Y380" s="1348">
        <f t="shared" si="306"/>
        <v>0</v>
      </c>
      <c r="Z380" s="1348">
        <f t="shared" si="306"/>
        <v>0</v>
      </c>
      <c r="AA380" s="1348">
        <f t="shared" si="306"/>
        <v>0</v>
      </c>
      <c r="AB380" s="1348">
        <f t="shared" si="306"/>
        <v>0</v>
      </c>
      <c r="AC380" s="1348">
        <f t="shared" si="306"/>
        <v>0</v>
      </c>
      <c r="AD380" s="1349">
        <f t="shared" si="306"/>
        <v>0</v>
      </c>
      <c r="AE380" s="1349">
        <f t="shared" si="306"/>
        <v>0</v>
      </c>
      <c r="AF380" s="1349">
        <f t="shared" si="306"/>
        <v>0</v>
      </c>
      <c r="AG380" s="1349">
        <f t="shared" si="306"/>
        <v>0</v>
      </c>
      <c r="AH380" s="1349">
        <f t="shared" si="306"/>
        <v>0</v>
      </c>
      <c r="AI380" s="1349">
        <f t="shared" si="306"/>
        <v>0</v>
      </c>
      <c r="AJ380" s="778"/>
      <c r="AN380" s="497"/>
      <c r="AO380" s="497"/>
      <c r="AP380" s="497"/>
      <c r="AQ380" s="497"/>
    </row>
    <row r="381" spans="1:43" s="496" customFormat="1" ht="12.75" x14ac:dyDescent="0.2">
      <c r="A381" s="498"/>
      <c r="B381" s="1344" t="s">
        <v>1335</v>
      </c>
      <c r="C381" s="1345"/>
      <c r="D381" s="1346"/>
      <c r="E381" s="1345"/>
      <c r="F381" s="1346"/>
      <c r="G381" s="1346"/>
      <c r="H381" s="1345"/>
      <c r="I381" s="1346"/>
      <c r="J381" s="1346"/>
      <c r="K381" s="1345"/>
      <c r="L381" s="1346"/>
      <c r="M381" s="1346"/>
      <c r="N381" s="1345"/>
      <c r="O381" s="1346"/>
      <c r="P381" s="1346"/>
      <c r="Q381" s="1345"/>
      <c r="R381" s="1346"/>
      <c r="S381" s="1347"/>
      <c r="T381" s="1348">
        <f t="shared" ref="T381:AI381" si="307">T355+T365+T375</f>
        <v>0</v>
      </c>
      <c r="U381" s="1348">
        <f t="shared" si="307"/>
        <v>0</v>
      </c>
      <c r="V381" s="1348">
        <f t="shared" si="307"/>
        <v>0</v>
      </c>
      <c r="W381" s="1348">
        <f t="shared" si="307"/>
        <v>0</v>
      </c>
      <c r="X381" s="1348">
        <f t="shared" si="307"/>
        <v>0</v>
      </c>
      <c r="Y381" s="1348">
        <f t="shared" si="307"/>
        <v>0</v>
      </c>
      <c r="Z381" s="1348">
        <f t="shared" si="307"/>
        <v>0</v>
      </c>
      <c r="AA381" s="1348">
        <f t="shared" si="307"/>
        <v>0</v>
      </c>
      <c r="AB381" s="1348">
        <f t="shared" si="307"/>
        <v>0</v>
      </c>
      <c r="AC381" s="1348">
        <f t="shared" si="307"/>
        <v>0</v>
      </c>
      <c r="AD381" s="1349">
        <f t="shared" si="307"/>
        <v>0</v>
      </c>
      <c r="AE381" s="1349">
        <f t="shared" si="307"/>
        <v>0</v>
      </c>
      <c r="AF381" s="1349">
        <f t="shared" si="307"/>
        <v>0</v>
      </c>
      <c r="AG381" s="1349">
        <f t="shared" si="307"/>
        <v>0</v>
      </c>
      <c r="AH381" s="1349">
        <f t="shared" si="307"/>
        <v>0</v>
      </c>
      <c r="AI381" s="1349">
        <f t="shared" si="307"/>
        <v>0</v>
      </c>
      <c r="AJ381" s="778"/>
      <c r="AN381" s="497"/>
      <c r="AO381" s="497"/>
      <c r="AP381" s="497"/>
      <c r="AQ381" s="497"/>
    </row>
    <row r="382" spans="1:43" s="496" customFormat="1" ht="13.5" thickBot="1" x14ac:dyDescent="0.25">
      <c r="A382" s="498"/>
      <c r="B382" s="1350" t="s">
        <v>1336</v>
      </c>
      <c r="C382" s="1351"/>
      <c r="D382" s="1352"/>
      <c r="E382" s="1351"/>
      <c r="F382" s="1352"/>
      <c r="G382" s="1352"/>
      <c r="H382" s="1351"/>
      <c r="I382" s="1352"/>
      <c r="J382" s="1352"/>
      <c r="K382" s="1351"/>
      <c r="L382" s="1352"/>
      <c r="M382" s="1352"/>
      <c r="N382" s="1351"/>
      <c r="O382" s="1352"/>
      <c r="P382" s="1352"/>
      <c r="Q382" s="1351"/>
      <c r="R382" s="1352"/>
      <c r="S382" s="1353"/>
      <c r="T382" s="1354">
        <f t="shared" ref="T382:AI382" si="308">T357+T367+T377</f>
        <v>0</v>
      </c>
      <c r="U382" s="1354">
        <f t="shared" si="308"/>
        <v>0</v>
      </c>
      <c r="V382" s="1354">
        <f t="shared" si="308"/>
        <v>0</v>
      </c>
      <c r="W382" s="1354">
        <f t="shared" si="308"/>
        <v>0</v>
      </c>
      <c r="X382" s="1354">
        <f t="shared" si="308"/>
        <v>0</v>
      </c>
      <c r="Y382" s="1354">
        <f t="shared" si="308"/>
        <v>0</v>
      </c>
      <c r="Z382" s="1354">
        <f t="shared" si="308"/>
        <v>0</v>
      </c>
      <c r="AA382" s="1354">
        <f t="shared" si="308"/>
        <v>0</v>
      </c>
      <c r="AB382" s="1354">
        <f t="shared" si="308"/>
        <v>0</v>
      </c>
      <c r="AC382" s="1354">
        <f t="shared" si="308"/>
        <v>0</v>
      </c>
      <c r="AD382" s="1355">
        <f t="shared" si="308"/>
        <v>0</v>
      </c>
      <c r="AE382" s="1355">
        <f t="shared" si="308"/>
        <v>0</v>
      </c>
      <c r="AF382" s="1355">
        <f t="shared" si="308"/>
        <v>0</v>
      </c>
      <c r="AG382" s="1355">
        <f t="shared" si="308"/>
        <v>0</v>
      </c>
      <c r="AH382" s="1355">
        <f t="shared" si="308"/>
        <v>0</v>
      </c>
      <c r="AI382" s="1355">
        <f t="shared" si="308"/>
        <v>0</v>
      </c>
      <c r="AJ382" s="778"/>
      <c r="AN382" s="497"/>
      <c r="AO382" s="497"/>
      <c r="AP382" s="497"/>
      <c r="AQ382" s="497"/>
    </row>
    <row r="383" spans="1:43" s="496" customFormat="1" ht="13.5" thickBot="1" x14ac:dyDescent="0.25">
      <c r="A383" s="498"/>
      <c r="B383" s="603"/>
      <c r="D383" s="495"/>
      <c r="I383" s="495"/>
      <c r="J383" s="495"/>
      <c r="K383" s="1177"/>
      <c r="M383" s="500"/>
      <c r="N383" s="1177"/>
      <c r="P383" s="500"/>
      <c r="Q383" s="1177"/>
      <c r="S383" s="500"/>
      <c r="T383" s="500"/>
      <c r="AF383" s="1356"/>
      <c r="AJ383" s="778"/>
      <c r="AN383" s="497"/>
      <c r="AO383" s="497"/>
      <c r="AP383" s="497"/>
      <c r="AQ383" s="497"/>
    </row>
    <row r="384" spans="1:43" s="496" customFormat="1" ht="15" thickBot="1" x14ac:dyDescent="0.25">
      <c r="A384" s="498"/>
      <c r="B384" s="603"/>
      <c r="C384" s="925"/>
      <c r="E384" s="925"/>
      <c r="H384" s="925"/>
      <c r="I384" s="495"/>
      <c r="J384" s="495"/>
      <c r="K384" s="925"/>
      <c r="M384" s="500"/>
      <c r="N384" s="925"/>
      <c r="P384" s="500"/>
      <c r="Q384" s="925"/>
      <c r="S384" s="500"/>
      <c r="T384" s="1357" t="s">
        <v>1044</v>
      </c>
      <c r="U384" s="1235" t="s">
        <v>1044</v>
      </c>
      <c r="V384" s="1235" t="s">
        <v>1044</v>
      </c>
      <c r="W384" s="1235" t="s">
        <v>1044</v>
      </c>
      <c r="X384" s="1235" t="s">
        <v>1044</v>
      </c>
      <c r="Y384" s="1235" t="s">
        <v>1044</v>
      </c>
      <c r="Z384" s="1235" t="s">
        <v>1044</v>
      </c>
      <c r="AA384" s="1235" t="s">
        <v>1044</v>
      </c>
      <c r="AB384" s="1235" t="s">
        <v>1044</v>
      </c>
      <c r="AC384" s="1235" t="s">
        <v>1044</v>
      </c>
      <c r="AD384" s="1236" t="s">
        <v>1044</v>
      </c>
      <c r="AE384" s="1236" t="s">
        <v>1044</v>
      </c>
      <c r="AF384" s="1236" t="s">
        <v>1044</v>
      </c>
      <c r="AG384" s="1236" t="s">
        <v>1044</v>
      </c>
      <c r="AH384" s="1236" t="s">
        <v>1044</v>
      </c>
      <c r="AI384" s="1236" t="s">
        <v>1044</v>
      </c>
      <c r="AJ384" s="778"/>
      <c r="AN384" s="497"/>
      <c r="AO384" s="497"/>
      <c r="AP384" s="497"/>
      <c r="AQ384" s="497"/>
    </row>
    <row r="385" spans="1:43" s="496" customFormat="1" ht="12.75" x14ac:dyDescent="0.2">
      <c r="A385" s="498"/>
      <c r="B385" s="1358" t="s">
        <v>1337</v>
      </c>
      <c r="C385" s="1359"/>
      <c r="D385" s="1250"/>
      <c r="E385" s="1359"/>
      <c r="F385" s="1250"/>
      <c r="G385" s="1250"/>
      <c r="H385" s="1359"/>
      <c r="I385" s="1360"/>
      <c r="J385" s="1360"/>
      <c r="K385" s="1359"/>
      <c r="L385" s="1250"/>
      <c r="M385" s="1361"/>
      <c r="N385" s="1359"/>
      <c r="O385" s="1250"/>
      <c r="P385" s="1361"/>
      <c r="Q385" s="1359"/>
      <c r="R385" s="1250"/>
      <c r="S385" s="1361"/>
      <c r="T385" s="1362">
        <f t="shared" ref="T385:AI385" si="309">T15</f>
        <v>2022</v>
      </c>
      <c r="U385" s="1362">
        <f t="shared" si="309"/>
        <v>2023</v>
      </c>
      <c r="V385" s="1362">
        <f t="shared" si="309"/>
        <v>2024</v>
      </c>
      <c r="W385" s="1362">
        <f t="shared" si="309"/>
        <v>2025</v>
      </c>
      <c r="X385" s="1362">
        <f t="shared" si="309"/>
        <v>2026</v>
      </c>
      <c r="Y385" s="1362">
        <f t="shared" si="309"/>
        <v>2027</v>
      </c>
      <c r="Z385" s="1362">
        <f t="shared" si="309"/>
        <v>2028</v>
      </c>
      <c r="AA385" s="1362">
        <f t="shared" si="309"/>
        <v>2029</v>
      </c>
      <c r="AB385" s="1362">
        <f t="shared" si="309"/>
        <v>2030</v>
      </c>
      <c r="AC385" s="1362">
        <f t="shared" si="309"/>
        <v>2031</v>
      </c>
      <c r="AD385" s="1363">
        <f t="shared" si="309"/>
        <v>2032</v>
      </c>
      <c r="AE385" s="1363">
        <f t="shared" si="309"/>
        <v>2033</v>
      </c>
      <c r="AF385" s="1363">
        <f t="shared" si="309"/>
        <v>2034</v>
      </c>
      <c r="AG385" s="1363">
        <f t="shared" si="309"/>
        <v>2035</v>
      </c>
      <c r="AH385" s="1363">
        <f t="shared" si="309"/>
        <v>2036</v>
      </c>
      <c r="AI385" s="1363">
        <f t="shared" si="309"/>
        <v>2037</v>
      </c>
      <c r="AJ385" s="778"/>
      <c r="AN385" s="497"/>
      <c r="AO385" s="497"/>
      <c r="AP385" s="497"/>
      <c r="AQ385" s="497"/>
    </row>
    <row r="386" spans="1:43" s="496" customFormat="1" ht="12.75" x14ac:dyDescent="0.2">
      <c r="A386" s="498"/>
      <c r="B386" s="1364" t="str">
        <f>B439</f>
        <v>CRECIMIENTO EN VENTAS</v>
      </c>
      <c r="C386" s="1365"/>
      <c r="E386" s="1366"/>
      <c r="H386" s="1366"/>
      <c r="I386" s="495"/>
      <c r="J386" s="495"/>
      <c r="K386" s="1366"/>
      <c r="M386" s="500"/>
      <c r="N386" s="1366"/>
      <c r="P386" s="500"/>
      <c r="Q386" s="1366"/>
      <c r="S386" s="500"/>
      <c r="T386" s="1367">
        <f t="shared" ref="T386:AI386" si="310">IF($V$242=$H$913,T439,IF($V$242=$H$914,T486,IF($V$242=$H$915,T533,"SELECCIONAR ESCENARIO")))</f>
        <v>0</v>
      </c>
      <c r="U386" s="1367">
        <f t="shared" si="310"/>
        <v>0</v>
      </c>
      <c r="V386" s="1367">
        <f t="shared" si="310"/>
        <v>0</v>
      </c>
      <c r="W386" s="1367">
        <f t="shared" si="310"/>
        <v>0</v>
      </c>
      <c r="X386" s="1367">
        <f t="shared" si="310"/>
        <v>0</v>
      </c>
      <c r="Y386" s="1367">
        <f t="shared" si="310"/>
        <v>0</v>
      </c>
      <c r="Z386" s="1367">
        <f t="shared" si="310"/>
        <v>0</v>
      </c>
      <c r="AA386" s="1367">
        <f t="shared" si="310"/>
        <v>0</v>
      </c>
      <c r="AB386" s="1367">
        <f t="shared" si="310"/>
        <v>0</v>
      </c>
      <c r="AC386" s="1367">
        <f t="shared" si="310"/>
        <v>0</v>
      </c>
      <c r="AD386" s="1368">
        <f t="shared" si="310"/>
        <v>0</v>
      </c>
      <c r="AE386" s="1368">
        <f t="shared" si="310"/>
        <v>0</v>
      </c>
      <c r="AF386" s="1368">
        <f t="shared" si="310"/>
        <v>0</v>
      </c>
      <c r="AG386" s="1368">
        <f t="shared" si="310"/>
        <v>0</v>
      </c>
      <c r="AH386" s="1368">
        <f t="shared" si="310"/>
        <v>0</v>
      </c>
      <c r="AI386" s="1368">
        <f t="shared" si="310"/>
        <v>0</v>
      </c>
      <c r="AJ386" s="778"/>
      <c r="AN386" s="497"/>
      <c r="AO386" s="497"/>
      <c r="AP386" s="497"/>
      <c r="AQ386" s="497"/>
    </row>
    <row r="387" spans="1:43" s="496" customFormat="1" ht="12.75" x14ac:dyDescent="0.2">
      <c r="A387" s="498"/>
      <c r="B387" s="1369" t="str">
        <f>B440</f>
        <v>MARGEN BRUTO</v>
      </c>
      <c r="C387" s="1366"/>
      <c r="E387" s="1366"/>
      <c r="H387" s="1366"/>
      <c r="I387" s="495"/>
      <c r="J387" s="495"/>
      <c r="K387" s="1366"/>
      <c r="M387" s="500"/>
      <c r="N387" s="1366"/>
      <c r="P387" s="500"/>
      <c r="Q387" s="1366"/>
      <c r="S387" s="500"/>
      <c r="T387" s="1370">
        <f t="shared" ref="T387:AI387" si="311">IF($V$242=$H$913,T440,IF($V$242=$H$914,T487,IF($V$242=$H$915,T534,"SELECCIONAR ESCENARIO")))</f>
        <v>0.86149584487534625</v>
      </c>
      <c r="U387" s="1370">
        <f t="shared" si="311"/>
        <v>0.86149584487534625</v>
      </c>
      <c r="V387" s="1370">
        <f t="shared" si="311"/>
        <v>0.86149584487534625</v>
      </c>
      <c r="W387" s="1370">
        <f t="shared" si="311"/>
        <v>0.86149584487534625</v>
      </c>
      <c r="X387" s="1370">
        <f t="shared" si="311"/>
        <v>0.86149584487534625</v>
      </c>
      <c r="Y387" s="1370">
        <f t="shared" si="311"/>
        <v>0.86149584487534625</v>
      </c>
      <c r="Z387" s="1370">
        <f t="shared" si="311"/>
        <v>0.86149584487534625</v>
      </c>
      <c r="AA387" s="1370">
        <f t="shared" si="311"/>
        <v>0.86149584487534625</v>
      </c>
      <c r="AB387" s="1370">
        <f t="shared" si="311"/>
        <v>0.86149584487534625</v>
      </c>
      <c r="AC387" s="1370">
        <f t="shared" si="311"/>
        <v>0.86149584487534625</v>
      </c>
      <c r="AD387" s="1371">
        <f t="shared" si="311"/>
        <v>0.86149584487534625</v>
      </c>
      <c r="AE387" s="1371">
        <f t="shared" si="311"/>
        <v>0.86149584487534625</v>
      </c>
      <c r="AF387" s="1371">
        <f t="shared" si="311"/>
        <v>0.86149584487534625</v>
      </c>
      <c r="AG387" s="1371">
        <f t="shared" si="311"/>
        <v>0.86149584487534625</v>
      </c>
      <c r="AH387" s="1371">
        <f t="shared" si="311"/>
        <v>0.86149584487534625</v>
      </c>
      <c r="AI387" s="1371">
        <f t="shared" si="311"/>
        <v>0.86149584487534625</v>
      </c>
      <c r="AJ387" s="778"/>
      <c r="AN387" s="497"/>
      <c r="AO387" s="497"/>
      <c r="AP387" s="497"/>
      <c r="AQ387" s="497"/>
    </row>
    <row r="388" spans="1:43" s="496" customFormat="1" ht="12.75" x14ac:dyDescent="0.2">
      <c r="A388" s="498"/>
      <c r="B388" s="1369" t="str">
        <f>B441</f>
        <v>GASTOS DE ADMINISTRACIÓN Y VENTAS / VENTAS</v>
      </c>
      <c r="C388" s="1366"/>
      <c r="E388" s="1366"/>
      <c r="H388" s="1366"/>
      <c r="I388" s="495"/>
      <c r="J388" s="495"/>
      <c r="K388" s="1366"/>
      <c r="M388" s="500"/>
      <c r="N388" s="1366"/>
      <c r="P388" s="500"/>
      <c r="Q388" s="1366"/>
      <c r="S388" s="500"/>
      <c r="T388" s="1370">
        <f t="shared" ref="T388:AI388" si="312">IF($V$242=$H$913,T441,IF($V$242=$H$914,T488,IF($V$242=$H$915,T535,"SELECCIONAR ESCENARIO")))</f>
        <v>8.3102493074792241E-2</v>
      </c>
      <c r="U388" s="1370">
        <f t="shared" si="312"/>
        <v>8.3102493074792241E-2</v>
      </c>
      <c r="V388" s="1370">
        <f t="shared" si="312"/>
        <v>8.3102493074792241E-2</v>
      </c>
      <c r="W388" s="1370">
        <f t="shared" si="312"/>
        <v>8.3102493074792241E-2</v>
      </c>
      <c r="X388" s="1370">
        <f t="shared" si="312"/>
        <v>8.3102493074792241E-2</v>
      </c>
      <c r="Y388" s="1370">
        <f t="shared" si="312"/>
        <v>8.3102493074792241E-2</v>
      </c>
      <c r="Z388" s="1370">
        <f t="shared" si="312"/>
        <v>8.3102493074792241E-2</v>
      </c>
      <c r="AA388" s="1370">
        <f t="shared" si="312"/>
        <v>8.3102493074792241E-2</v>
      </c>
      <c r="AB388" s="1370">
        <f t="shared" si="312"/>
        <v>8.3102493074792241E-2</v>
      </c>
      <c r="AC388" s="1370">
        <f t="shared" si="312"/>
        <v>8.3102493074792241E-2</v>
      </c>
      <c r="AD388" s="1371">
        <f t="shared" si="312"/>
        <v>8.3102493074792241E-2</v>
      </c>
      <c r="AE388" s="1371">
        <f t="shared" si="312"/>
        <v>8.3102493074792241E-2</v>
      </c>
      <c r="AF388" s="1371">
        <f t="shared" si="312"/>
        <v>8.3102493074792241E-2</v>
      </c>
      <c r="AG388" s="1371">
        <f t="shared" si="312"/>
        <v>8.3102493074792241E-2</v>
      </c>
      <c r="AH388" s="1371">
        <f t="shared" si="312"/>
        <v>8.3102493074792241E-2</v>
      </c>
      <c r="AI388" s="1371">
        <f t="shared" si="312"/>
        <v>8.3102493074792241E-2</v>
      </c>
      <c r="AJ388" s="778"/>
      <c r="AN388" s="497"/>
      <c r="AO388" s="497"/>
      <c r="AP388" s="497"/>
      <c r="AQ388" s="497"/>
    </row>
    <row r="389" spans="1:43" s="496" customFormat="1" ht="12.75" x14ac:dyDescent="0.2">
      <c r="A389" s="498"/>
      <c r="B389" s="1369" t="s">
        <v>1338</v>
      </c>
      <c r="C389" s="1372"/>
      <c r="E389" s="1372"/>
      <c r="H389" s="1372"/>
      <c r="I389" s="495"/>
      <c r="J389" s="495"/>
      <c r="K389" s="1372"/>
      <c r="M389" s="500"/>
      <c r="N389" s="1372"/>
      <c r="P389" s="500"/>
      <c r="Q389" s="1372"/>
      <c r="S389" s="500"/>
      <c r="T389" s="1373">
        <f t="shared" ref="T389:AI389" si="313">IF($V$242=$H$913,T442,IF($V$242=$H$914,T489,IF($V$242=$H$915,T536,"SELECCIONAR ESCENARIO")))</f>
        <v>4.0000000000000008E-2</v>
      </c>
      <c r="U389" s="1373">
        <f t="shared" si="313"/>
        <v>4.0000000000000008E-2</v>
      </c>
      <c r="V389" s="1373">
        <f t="shared" si="313"/>
        <v>4.0000000000000008E-2</v>
      </c>
      <c r="W389" s="1373">
        <f t="shared" si="313"/>
        <v>4.0000000000000008E-2</v>
      </c>
      <c r="X389" s="1373">
        <f t="shared" si="313"/>
        <v>4.0000000000000008E-2</v>
      </c>
      <c r="Y389" s="1373">
        <f t="shared" si="313"/>
        <v>4.0000000000000008E-2</v>
      </c>
      <c r="Z389" s="1373">
        <f t="shared" si="313"/>
        <v>4.0000000000000008E-2</v>
      </c>
      <c r="AA389" s="1373">
        <f t="shared" si="313"/>
        <v>4.0000000000000008E-2</v>
      </c>
      <c r="AB389" s="1373">
        <f t="shared" si="313"/>
        <v>4.0000000000000008E-2</v>
      </c>
      <c r="AC389" s="1373">
        <f t="shared" si="313"/>
        <v>4.0000000000000008E-2</v>
      </c>
      <c r="AD389" s="1374">
        <f t="shared" si="313"/>
        <v>4.0000000000000008E-2</v>
      </c>
      <c r="AE389" s="1374">
        <f t="shared" si="313"/>
        <v>4.0000000000000008E-2</v>
      </c>
      <c r="AF389" s="1374">
        <f t="shared" si="313"/>
        <v>4.0000000000000008E-2</v>
      </c>
      <c r="AG389" s="1374">
        <f t="shared" si="313"/>
        <v>4.0000000000000008E-2</v>
      </c>
      <c r="AH389" s="1374">
        <f t="shared" si="313"/>
        <v>4.0000000000000008E-2</v>
      </c>
      <c r="AI389" s="1374">
        <f t="shared" si="313"/>
        <v>4.0000000000000008E-2</v>
      </c>
      <c r="AJ389" s="778"/>
      <c r="AN389" s="497"/>
      <c r="AO389" s="497"/>
      <c r="AP389" s="497"/>
      <c r="AQ389" s="497"/>
    </row>
    <row r="390" spans="1:43" s="496" customFormat="1" ht="12.75" x14ac:dyDescent="0.2">
      <c r="A390" s="498"/>
      <c r="B390" s="1369" t="s">
        <v>1339</v>
      </c>
      <c r="C390" s="1372"/>
      <c r="E390" s="1372"/>
      <c r="H390" s="1372"/>
      <c r="I390" s="495"/>
      <c r="J390" s="495"/>
      <c r="K390" s="1372"/>
      <c r="M390" s="500"/>
      <c r="N390" s="1372"/>
      <c r="P390" s="500"/>
      <c r="Q390" s="1372"/>
      <c r="S390" s="500"/>
      <c r="T390" s="752">
        <f t="shared" ref="T390:AI390" si="314">IF($V$242=$H$913,T443,IF($V$242=$H$914,T490,IF($V$242=$H$915,T537,"SELECCIONAR ESCENARIO")))</f>
        <v>0.40000000000000008</v>
      </c>
      <c r="U390" s="752">
        <f t="shared" si="314"/>
        <v>0</v>
      </c>
      <c r="V390" s="752">
        <f t="shared" si="314"/>
        <v>0</v>
      </c>
      <c r="W390" s="752">
        <f t="shared" si="314"/>
        <v>0</v>
      </c>
      <c r="X390" s="752">
        <f t="shared" si="314"/>
        <v>0</v>
      </c>
      <c r="Y390" s="752">
        <f t="shared" si="314"/>
        <v>0</v>
      </c>
      <c r="Z390" s="752">
        <f t="shared" si="314"/>
        <v>0</v>
      </c>
      <c r="AA390" s="752">
        <f t="shared" si="314"/>
        <v>0</v>
      </c>
      <c r="AB390" s="752">
        <f t="shared" si="314"/>
        <v>0</v>
      </c>
      <c r="AC390" s="752">
        <f t="shared" si="314"/>
        <v>0</v>
      </c>
      <c r="AD390" s="1375">
        <f t="shared" si="314"/>
        <v>0</v>
      </c>
      <c r="AE390" s="1375">
        <f t="shared" si="314"/>
        <v>0</v>
      </c>
      <c r="AF390" s="1375">
        <f t="shared" si="314"/>
        <v>0</v>
      </c>
      <c r="AG390" s="1375">
        <f t="shared" si="314"/>
        <v>0</v>
      </c>
      <c r="AH390" s="1375">
        <f t="shared" si="314"/>
        <v>0</v>
      </c>
      <c r="AI390" s="1375">
        <f t="shared" si="314"/>
        <v>0</v>
      </c>
      <c r="AJ390" s="778"/>
      <c r="AN390" s="497"/>
      <c r="AO390" s="497"/>
      <c r="AP390" s="497"/>
      <c r="AQ390" s="497"/>
    </row>
    <row r="391" spans="1:43" s="496" customFormat="1" ht="12.75" x14ac:dyDescent="0.2">
      <c r="A391" s="498"/>
      <c r="B391" s="1369" t="str">
        <f t="shared" ref="B391:B397" si="315">B444</f>
        <v>INGRESOS FINANCIEROS / VENTAS</v>
      </c>
      <c r="C391" s="1366"/>
      <c r="E391" s="1366"/>
      <c r="H391" s="1366"/>
      <c r="I391" s="495"/>
      <c r="J391" s="495"/>
      <c r="K391" s="1366"/>
      <c r="M391" s="500"/>
      <c r="N391" s="1366"/>
      <c r="P391" s="500"/>
      <c r="Q391" s="1366"/>
      <c r="S391" s="500"/>
      <c r="T391" s="1370">
        <f t="shared" ref="T391:AI391" si="316">IF($V$242=$H$913,T444,IF($V$242=$H$914,T491,IF($V$242=$H$915,T538,"SELECCIONAR ESCENARIO")))</f>
        <v>5.5401662049861496E-3</v>
      </c>
      <c r="U391" s="1370">
        <f t="shared" si="316"/>
        <v>5.5401662049861496E-3</v>
      </c>
      <c r="V391" s="1370">
        <f t="shared" si="316"/>
        <v>5.5401662049861496E-3</v>
      </c>
      <c r="W391" s="1370">
        <f t="shared" si="316"/>
        <v>5.5401662049861496E-3</v>
      </c>
      <c r="X391" s="1370">
        <f t="shared" si="316"/>
        <v>5.5401662049861496E-3</v>
      </c>
      <c r="Y391" s="1370">
        <f t="shared" si="316"/>
        <v>5.5401662049861496E-3</v>
      </c>
      <c r="Z391" s="1370">
        <f t="shared" si="316"/>
        <v>5.5401662049861496E-3</v>
      </c>
      <c r="AA391" s="1370">
        <f t="shared" si="316"/>
        <v>5.5401662049861496E-3</v>
      </c>
      <c r="AB391" s="1370">
        <f t="shared" si="316"/>
        <v>5.5401662049861496E-3</v>
      </c>
      <c r="AC391" s="1370">
        <f t="shared" si="316"/>
        <v>5.5401662049861496E-3</v>
      </c>
      <c r="AD391" s="1371">
        <f t="shared" si="316"/>
        <v>5.5401662049861496E-3</v>
      </c>
      <c r="AE391" s="1371">
        <f t="shared" si="316"/>
        <v>5.5401662049861496E-3</v>
      </c>
      <c r="AF391" s="1371">
        <f t="shared" si="316"/>
        <v>5.5401662049861496E-3</v>
      </c>
      <c r="AG391" s="1371">
        <f t="shared" si="316"/>
        <v>5.5401662049861496E-3</v>
      </c>
      <c r="AH391" s="1371">
        <f t="shared" si="316"/>
        <v>5.5401662049861496E-3</v>
      </c>
      <c r="AI391" s="1371">
        <f t="shared" si="316"/>
        <v>5.5401662049861496E-3</v>
      </c>
      <c r="AJ391" s="778"/>
      <c r="AN391" s="497"/>
      <c r="AO391" s="497"/>
      <c r="AP391" s="497"/>
      <c r="AQ391" s="497"/>
    </row>
    <row r="392" spans="1:43" s="496" customFormat="1" ht="12.75" x14ac:dyDescent="0.2">
      <c r="A392" s="498"/>
      <c r="B392" s="1369" t="str">
        <f t="shared" si="315"/>
        <v>UTILIDAD (PÉRDIDA) EN VENTA DE ACTIVOS FIJOS / VENTAS</v>
      </c>
      <c r="C392" s="1366"/>
      <c r="E392" s="1366"/>
      <c r="H392" s="1366"/>
      <c r="I392" s="495"/>
      <c r="J392" s="495"/>
      <c r="K392" s="1366"/>
      <c r="M392" s="500"/>
      <c r="N392" s="1366"/>
      <c r="P392" s="500"/>
      <c r="Q392" s="1366"/>
      <c r="S392" s="500"/>
      <c r="T392" s="1370">
        <f t="shared" ref="T392:AI392" si="317">IF($V$242=$H$913,T445,IF($V$242=$H$914,T492,IF($V$242=$H$915,T539,"SELECCIONAR ESCENARIO")))</f>
        <v>0</v>
      </c>
      <c r="U392" s="1370">
        <f t="shared" si="317"/>
        <v>0</v>
      </c>
      <c r="V392" s="1370">
        <f t="shared" si="317"/>
        <v>0</v>
      </c>
      <c r="W392" s="1370">
        <f t="shared" si="317"/>
        <v>0</v>
      </c>
      <c r="X392" s="1370">
        <f t="shared" si="317"/>
        <v>0</v>
      </c>
      <c r="Y392" s="1370">
        <f t="shared" si="317"/>
        <v>0</v>
      </c>
      <c r="Z392" s="1370">
        <f t="shared" si="317"/>
        <v>0</v>
      </c>
      <c r="AA392" s="1370">
        <f t="shared" si="317"/>
        <v>0</v>
      </c>
      <c r="AB392" s="1370">
        <f t="shared" si="317"/>
        <v>0</v>
      </c>
      <c r="AC392" s="1370">
        <f t="shared" si="317"/>
        <v>0</v>
      </c>
      <c r="AD392" s="1371">
        <f t="shared" si="317"/>
        <v>0</v>
      </c>
      <c r="AE392" s="1371">
        <f t="shared" si="317"/>
        <v>0</v>
      </c>
      <c r="AF392" s="1371">
        <f t="shared" si="317"/>
        <v>0</v>
      </c>
      <c r="AG392" s="1371">
        <f t="shared" si="317"/>
        <v>0</v>
      </c>
      <c r="AH392" s="1371">
        <f t="shared" si="317"/>
        <v>0</v>
      </c>
      <c r="AI392" s="1371">
        <f t="shared" si="317"/>
        <v>0</v>
      </c>
      <c r="AJ392" s="778"/>
      <c r="AN392" s="497"/>
      <c r="AO392" s="497"/>
      <c r="AP392" s="497"/>
      <c r="AQ392" s="497"/>
    </row>
    <row r="393" spans="1:43" s="496" customFormat="1" ht="12.75" x14ac:dyDescent="0.2">
      <c r="A393" s="498"/>
      <c r="B393" s="1369" t="str">
        <f t="shared" si="315"/>
        <v>UTILIDAD (PÉRDIDA) EN VENTA DE INVERSIONES / VENTAS</v>
      </c>
      <c r="C393" s="1366"/>
      <c r="E393" s="1366"/>
      <c r="H393" s="1366"/>
      <c r="I393" s="495"/>
      <c r="J393" s="495"/>
      <c r="K393" s="1366"/>
      <c r="M393" s="500"/>
      <c r="N393" s="1366"/>
      <c r="P393" s="500"/>
      <c r="Q393" s="1366"/>
      <c r="S393" s="500"/>
      <c r="T393" s="1370">
        <f t="shared" ref="T393:AI393" si="318">IF($V$242=$H$913,T446,IF($V$242=$H$914,T493,IF($V$242=$H$915,T540,"SELECCIONAR ESCENARIO")))</f>
        <v>0</v>
      </c>
      <c r="U393" s="1370">
        <f t="shared" si="318"/>
        <v>0</v>
      </c>
      <c r="V393" s="1370">
        <f t="shared" si="318"/>
        <v>0</v>
      </c>
      <c r="W393" s="1370">
        <f t="shared" si="318"/>
        <v>0</v>
      </c>
      <c r="X393" s="1370">
        <f t="shared" si="318"/>
        <v>0</v>
      </c>
      <c r="Y393" s="1370">
        <f t="shared" si="318"/>
        <v>0</v>
      </c>
      <c r="Z393" s="1370">
        <f t="shared" si="318"/>
        <v>0</v>
      </c>
      <c r="AA393" s="1370">
        <f t="shared" si="318"/>
        <v>0</v>
      </c>
      <c r="AB393" s="1370">
        <f t="shared" si="318"/>
        <v>0</v>
      </c>
      <c r="AC393" s="1370">
        <f t="shared" si="318"/>
        <v>0</v>
      </c>
      <c r="AD393" s="1371">
        <f t="shared" si="318"/>
        <v>0</v>
      </c>
      <c r="AE393" s="1371">
        <f t="shared" si="318"/>
        <v>0</v>
      </c>
      <c r="AF393" s="1371">
        <f t="shared" si="318"/>
        <v>0</v>
      </c>
      <c r="AG393" s="1371">
        <f t="shared" si="318"/>
        <v>0</v>
      </c>
      <c r="AH393" s="1371">
        <f t="shared" si="318"/>
        <v>0</v>
      </c>
      <c r="AI393" s="1371">
        <f t="shared" si="318"/>
        <v>0</v>
      </c>
      <c r="AJ393" s="778"/>
      <c r="AN393" s="497"/>
      <c r="AO393" s="497"/>
      <c r="AP393" s="497"/>
      <c r="AQ393" s="497"/>
    </row>
    <row r="394" spans="1:43" s="496" customFormat="1" ht="12.75" x14ac:dyDescent="0.2">
      <c r="A394" s="498"/>
      <c r="B394" s="1369" t="str">
        <f t="shared" si="315"/>
        <v>INGRESOS (EGRESOS) POR MÉTODO DE PARTICIPACIÓN / VENTAS</v>
      </c>
      <c r="C394" s="1366"/>
      <c r="E394" s="1366"/>
      <c r="H394" s="1366"/>
      <c r="I394" s="495"/>
      <c r="J394" s="495"/>
      <c r="K394" s="1366"/>
      <c r="M394" s="500"/>
      <c r="N394" s="1366"/>
      <c r="P394" s="500"/>
      <c r="Q394" s="1366"/>
      <c r="S394" s="500"/>
      <c r="T394" s="1370">
        <f t="shared" ref="T394:AI394" si="319">IF($V$242=$H$913,T447,IF($V$242=$H$914,T494,IF($V$242=$H$915,T541,"SELECCIONAR ESCENARIO")))</f>
        <v>0</v>
      </c>
      <c r="U394" s="1370">
        <f t="shared" si="319"/>
        <v>0</v>
      </c>
      <c r="V394" s="1370">
        <f t="shared" si="319"/>
        <v>0</v>
      </c>
      <c r="W394" s="1370">
        <f t="shared" si="319"/>
        <v>0</v>
      </c>
      <c r="X394" s="1370">
        <f t="shared" si="319"/>
        <v>0</v>
      </c>
      <c r="Y394" s="1370">
        <f t="shared" si="319"/>
        <v>0</v>
      </c>
      <c r="Z394" s="1370">
        <f t="shared" si="319"/>
        <v>0</v>
      </c>
      <c r="AA394" s="1370">
        <f t="shared" si="319"/>
        <v>0</v>
      </c>
      <c r="AB394" s="1370">
        <f t="shared" si="319"/>
        <v>0</v>
      </c>
      <c r="AC394" s="1370">
        <f t="shared" si="319"/>
        <v>0</v>
      </c>
      <c r="AD394" s="1371">
        <f t="shared" si="319"/>
        <v>0</v>
      </c>
      <c r="AE394" s="1371">
        <f t="shared" si="319"/>
        <v>0</v>
      </c>
      <c r="AF394" s="1371">
        <f t="shared" si="319"/>
        <v>0</v>
      </c>
      <c r="AG394" s="1371">
        <f t="shared" si="319"/>
        <v>0</v>
      </c>
      <c r="AH394" s="1371">
        <f t="shared" si="319"/>
        <v>0</v>
      </c>
      <c r="AI394" s="1371">
        <f t="shared" si="319"/>
        <v>0</v>
      </c>
      <c r="AJ394" s="778"/>
      <c r="AN394" s="497"/>
      <c r="AO394" s="497"/>
      <c r="AP394" s="497"/>
      <c r="AQ394" s="497"/>
    </row>
    <row r="395" spans="1:43" s="1011" customFormat="1" ht="12.75" x14ac:dyDescent="0.25">
      <c r="A395" s="1004"/>
      <c r="B395" s="1369" t="str">
        <f t="shared" si="315"/>
        <v>OTROS INGRESOS / VENTAS</v>
      </c>
      <c r="C395" s="1366"/>
      <c r="D395" s="1376"/>
      <c r="E395" s="1366"/>
      <c r="F395" s="1376"/>
      <c r="G395" s="1376"/>
      <c r="H395" s="1366"/>
      <c r="I395" s="1376"/>
      <c r="J395" s="1376"/>
      <c r="K395" s="1366"/>
      <c r="L395" s="1006"/>
      <c r="M395" s="1006"/>
      <c r="N395" s="1366"/>
      <c r="O395" s="1006"/>
      <c r="P395" s="1006"/>
      <c r="Q395" s="1366"/>
      <c r="R395" s="1006"/>
      <c r="S395" s="1006"/>
      <c r="T395" s="1370">
        <f t="shared" ref="T395:AI395" si="320">IF($V$242=$H$913,T448,IF($V$242=$H$914,T495,IF($V$242=$H$915,T542,"SELECCIONAR ESCENARIO")))</f>
        <v>1.662049861495845E-2</v>
      </c>
      <c r="U395" s="1370">
        <f t="shared" si="320"/>
        <v>1.662049861495845E-2</v>
      </c>
      <c r="V395" s="1370">
        <f t="shared" si="320"/>
        <v>1.662049861495845E-2</v>
      </c>
      <c r="W395" s="1370">
        <f t="shared" si="320"/>
        <v>1.662049861495845E-2</v>
      </c>
      <c r="X395" s="1370">
        <f t="shared" si="320"/>
        <v>1.662049861495845E-2</v>
      </c>
      <c r="Y395" s="1370">
        <f t="shared" si="320"/>
        <v>1.662049861495845E-2</v>
      </c>
      <c r="Z395" s="1370">
        <f t="shared" si="320"/>
        <v>1.662049861495845E-2</v>
      </c>
      <c r="AA395" s="1370">
        <f t="shared" si="320"/>
        <v>1.662049861495845E-2</v>
      </c>
      <c r="AB395" s="1370">
        <f t="shared" si="320"/>
        <v>1.662049861495845E-2</v>
      </c>
      <c r="AC395" s="1370">
        <f t="shared" si="320"/>
        <v>1.662049861495845E-2</v>
      </c>
      <c r="AD395" s="1371">
        <f t="shared" si="320"/>
        <v>1.662049861495845E-2</v>
      </c>
      <c r="AE395" s="1371">
        <f t="shared" si="320"/>
        <v>1.662049861495845E-2</v>
      </c>
      <c r="AF395" s="1371">
        <f t="shared" si="320"/>
        <v>1.662049861495845E-2</v>
      </c>
      <c r="AG395" s="1371">
        <f t="shared" si="320"/>
        <v>1.662049861495845E-2</v>
      </c>
      <c r="AH395" s="1371">
        <f t="shared" si="320"/>
        <v>1.662049861495845E-2</v>
      </c>
      <c r="AI395" s="1371">
        <f t="shared" si="320"/>
        <v>1.662049861495845E-2</v>
      </c>
      <c r="AJ395" s="1010"/>
    </row>
    <row r="396" spans="1:43" s="1011" customFormat="1" ht="12.75" x14ac:dyDescent="0.25">
      <c r="A396" s="1004"/>
      <c r="B396" s="1369" t="str">
        <f t="shared" si="315"/>
        <v>OTROS EGRESOS / VENTAS</v>
      </c>
      <c r="C396" s="1366"/>
      <c r="D396" s="1376"/>
      <c r="E396" s="1366"/>
      <c r="F396" s="1376"/>
      <c r="G396" s="1376"/>
      <c r="H396" s="1366"/>
      <c r="I396" s="1376"/>
      <c r="J396" s="1376"/>
      <c r="K396" s="1366"/>
      <c r="L396" s="1006"/>
      <c r="M396" s="1006"/>
      <c r="N396" s="1366"/>
      <c r="O396" s="1006"/>
      <c r="P396" s="1006"/>
      <c r="Q396" s="1366"/>
      <c r="R396" s="1006"/>
      <c r="S396" s="1006"/>
      <c r="T396" s="1370">
        <f t="shared" ref="T396:AI396" si="321">IF($V$242=$H$913,T449,IF($V$242=$H$914,T496,IF($V$242=$H$915,T543,"SELECCIONAR ESCENARIO")))</f>
        <v>1.9390581717451526E-2</v>
      </c>
      <c r="U396" s="1370">
        <f t="shared" si="321"/>
        <v>1.9390581717451526E-2</v>
      </c>
      <c r="V396" s="1370">
        <f t="shared" si="321"/>
        <v>1.9390581717451526E-2</v>
      </c>
      <c r="W396" s="1370">
        <f t="shared" si="321"/>
        <v>1.9390581717451526E-2</v>
      </c>
      <c r="X396" s="1370">
        <f t="shared" si="321"/>
        <v>1.9390581717451526E-2</v>
      </c>
      <c r="Y396" s="1370">
        <f t="shared" si="321"/>
        <v>1.9390581717451526E-2</v>
      </c>
      <c r="Z396" s="1370">
        <f t="shared" si="321"/>
        <v>1.9390581717451526E-2</v>
      </c>
      <c r="AA396" s="1370">
        <f t="shared" si="321"/>
        <v>1.9390581717451526E-2</v>
      </c>
      <c r="AB396" s="1370">
        <f t="shared" si="321"/>
        <v>1.9390581717451526E-2</v>
      </c>
      <c r="AC396" s="1370">
        <f t="shared" si="321"/>
        <v>1.9390581717451526E-2</v>
      </c>
      <c r="AD396" s="1371">
        <f t="shared" si="321"/>
        <v>1.9390581717451526E-2</v>
      </c>
      <c r="AE396" s="1371">
        <f t="shared" si="321"/>
        <v>1.9390581717451526E-2</v>
      </c>
      <c r="AF396" s="1371">
        <f t="shared" si="321"/>
        <v>1.9390581717451526E-2</v>
      </c>
      <c r="AG396" s="1371">
        <f t="shared" si="321"/>
        <v>1.9390581717451526E-2</v>
      </c>
      <c r="AH396" s="1371">
        <f t="shared" si="321"/>
        <v>1.9390581717451526E-2</v>
      </c>
      <c r="AI396" s="1371">
        <f t="shared" si="321"/>
        <v>1.9390581717451526E-2</v>
      </c>
      <c r="AJ396" s="1010"/>
    </row>
    <row r="397" spans="1:43" s="1011" customFormat="1" ht="12.75" x14ac:dyDescent="0.25">
      <c r="A397" s="1004"/>
      <c r="B397" s="1377" t="str">
        <f t="shared" si="315"/>
        <v>IMPUESTOS / UTILIDAD NETA</v>
      </c>
      <c r="C397" s="1366"/>
      <c r="D397" s="1376"/>
      <c r="E397" s="1366"/>
      <c r="F397" s="1376"/>
      <c r="G397" s="1376"/>
      <c r="H397" s="1366"/>
      <c r="I397" s="1376"/>
      <c r="J397" s="1376"/>
      <c r="K397" s="1366"/>
      <c r="L397" s="1006"/>
      <c r="M397" s="1006"/>
      <c r="N397" s="1366"/>
      <c r="O397" s="1006"/>
      <c r="P397" s="1006"/>
      <c r="Q397" s="1366"/>
      <c r="R397" s="1006"/>
      <c r="S397" s="1006"/>
      <c r="T397" s="1378">
        <f t="shared" ref="T397:AI397" si="322">IF($V$242=$H$913,T450,IF($V$242=$H$914,T497,IF($V$242=$H$915,T544,"SELECCIONAR ESCENARIO")))</f>
        <v>0</v>
      </c>
      <c r="U397" s="1378">
        <f t="shared" si="322"/>
        <v>0</v>
      </c>
      <c r="V397" s="1378">
        <f t="shared" si="322"/>
        <v>0</v>
      </c>
      <c r="W397" s="1378">
        <f t="shared" si="322"/>
        <v>0</v>
      </c>
      <c r="X397" s="1378">
        <f t="shared" si="322"/>
        <v>0</v>
      </c>
      <c r="Y397" s="1378">
        <f t="shared" si="322"/>
        <v>0</v>
      </c>
      <c r="Z397" s="1378">
        <f t="shared" si="322"/>
        <v>0</v>
      </c>
      <c r="AA397" s="1378">
        <f t="shared" si="322"/>
        <v>0</v>
      </c>
      <c r="AB397" s="1378">
        <f t="shared" si="322"/>
        <v>0</v>
      </c>
      <c r="AC397" s="1378">
        <f t="shared" si="322"/>
        <v>0</v>
      </c>
      <c r="AD397" s="1379">
        <f t="shared" si="322"/>
        <v>0</v>
      </c>
      <c r="AE397" s="1379">
        <f t="shared" si="322"/>
        <v>0</v>
      </c>
      <c r="AF397" s="1379">
        <f t="shared" si="322"/>
        <v>0</v>
      </c>
      <c r="AG397" s="1379">
        <f t="shared" si="322"/>
        <v>0</v>
      </c>
      <c r="AH397" s="1379">
        <f t="shared" si="322"/>
        <v>0</v>
      </c>
      <c r="AI397" s="1379">
        <f t="shared" si="322"/>
        <v>0</v>
      </c>
      <c r="AJ397" s="1010"/>
    </row>
    <row r="398" spans="1:43" s="1384" customFormat="1" ht="12.75" x14ac:dyDescent="0.25">
      <c r="A398" s="1380"/>
      <c r="B398" s="1381"/>
      <c r="C398" s="1366"/>
      <c r="D398" s="1376"/>
      <c r="E398" s="1366"/>
      <c r="F398" s="1376"/>
      <c r="G398" s="1376"/>
      <c r="H398" s="1366"/>
      <c r="I398" s="1376"/>
      <c r="J398" s="1376"/>
      <c r="K398" s="1366"/>
      <c r="L398" s="1376"/>
      <c r="M398" s="1376"/>
      <c r="N398" s="1366"/>
      <c r="O398" s="1376"/>
      <c r="P398" s="1376"/>
      <c r="Q398" s="1366"/>
      <c r="R398" s="1376"/>
      <c r="S398" s="1376"/>
      <c r="T398" s="1365"/>
      <c r="U398" s="1365"/>
      <c r="V398" s="1365"/>
      <c r="W398" s="1365"/>
      <c r="X398" s="1365"/>
      <c r="Y398" s="1365"/>
      <c r="Z398" s="1365"/>
      <c r="AA398" s="1365"/>
      <c r="AB398" s="1365"/>
      <c r="AC398" s="1365"/>
      <c r="AD398" s="1365"/>
      <c r="AE398" s="1382"/>
      <c r="AF398" s="1382"/>
      <c r="AG398" s="1376"/>
      <c r="AH398" s="1376"/>
      <c r="AI398" s="1376"/>
      <c r="AJ398" s="1383"/>
    </row>
    <row r="399" spans="1:43" s="496" customFormat="1" ht="12.75" x14ac:dyDescent="0.25">
      <c r="A399" s="498"/>
      <c r="B399" s="1385" t="s">
        <v>1340</v>
      </c>
      <c r="I399" s="495"/>
      <c r="J399" s="495"/>
      <c r="M399" s="500"/>
      <c r="P399" s="500"/>
      <c r="S399" s="500"/>
      <c r="V399" s="495"/>
      <c r="W399" s="495"/>
      <c r="X399" s="495"/>
      <c r="Y399" s="495"/>
      <c r="Z399" s="495"/>
      <c r="AA399" s="495"/>
      <c r="AB399" s="495"/>
      <c r="AC399" s="495"/>
      <c r="AD399" s="495"/>
      <c r="AE399" s="630"/>
      <c r="AF399" s="630"/>
      <c r="AJ399" s="778"/>
    </row>
    <row r="400" spans="1:43" s="1011" customFormat="1" ht="12.75" x14ac:dyDescent="0.25">
      <c r="A400" s="1004"/>
      <c r="B400" s="1364" t="str">
        <f t="shared" ref="B400:B419" si="323">B453</f>
        <v>CAJA (EN DÍAS DE VENTAS): AL PROYECTAR SE USA PARA GENERAR LA CAJA MÍNIMA REQUERIDA</v>
      </c>
      <c r="C400" s="1366"/>
      <c r="D400" s="1376"/>
      <c r="E400" s="1366"/>
      <c r="F400" s="1376"/>
      <c r="G400" s="1376"/>
      <c r="H400" s="1366"/>
      <c r="I400" s="1376"/>
      <c r="J400" s="1376"/>
      <c r="K400" s="1366"/>
      <c r="L400" s="1006"/>
      <c r="M400" s="1006"/>
      <c r="N400" s="1366"/>
      <c r="O400" s="1006"/>
      <c r="P400" s="1006"/>
      <c r="Q400" s="1366"/>
      <c r="R400" s="1006"/>
      <c r="S400" s="1006"/>
      <c r="T400" s="1386">
        <f t="shared" ref="T400:AI400" si="324">IF($V$242=$H$913,T453,IF($V$242=$H$914,T500,IF($V$242=$H$915,T547,"SELECCIONAR ESCENARIO")))</f>
        <v>38.89196675900277</v>
      </c>
      <c r="U400" s="1386">
        <f t="shared" si="324"/>
        <v>38.89196675900277</v>
      </c>
      <c r="V400" s="1386">
        <f t="shared" si="324"/>
        <v>38.89196675900277</v>
      </c>
      <c r="W400" s="1386">
        <f t="shared" si="324"/>
        <v>38.89196675900277</v>
      </c>
      <c r="X400" s="1386">
        <f t="shared" si="324"/>
        <v>38.89196675900277</v>
      </c>
      <c r="Y400" s="1386">
        <f t="shared" si="324"/>
        <v>38.89196675900277</v>
      </c>
      <c r="Z400" s="1386">
        <f t="shared" si="324"/>
        <v>38.89196675900277</v>
      </c>
      <c r="AA400" s="1386">
        <f t="shared" si="324"/>
        <v>38.89196675900277</v>
      </c>
      <c r="AB400" s="1386">
        <f t="shared" si="324"/>
        <v>38.89196675900277</v>
      </c>
      <c r="AC400" s="1386">
        <f t="shared" si="324"/>
        <v>38.89196675900277</v>
      </c>
      <c r="AD400" s="1387">
        <f t="shared" si="324"/>
        <v>38.89196675900277</v>
      </c>
      <c r="AE400" s="1387">
        <f t="shared" si="324"/>
        <v>38.89196675900277</v>
      </c>
      <c r="AF400" s="1387">
        <f t="shared" si="324"/>
        <v>38.89196675900277</v>
      </c>
      <c r="AG400" s="1387">
        <f t="shared" si="324"/>
        <v>38.89196675900277</v>
      </c>
      <c r="AH400" s="1387">
        <f t="shared" si="324"/>
        <v>38.89196675900277</v>
      </c>
      <c r="AI400" s="1387">
        <f t="shared" si="324"/>
        <v>38.89196675900277</v>
      </c>
      <c r="AJ400" s="1010"/>
    </row>
    <row r="401" spans="1:36" s="1395" customFormat="1" ht="12.75" x14ac:dyDescent="0.25">
      <c r="A401" s="1388"/>
      <c r="B401" s="1369" t="str">
        <f t="shared" si="323"/>
        <v>DÍAS CARTERA BRUTA</v>
      </c>
      <c r="C401" s="1389"/>
      <c r="D401" s="1390"/>
      <c r="E401" s="1389"/>
      <c r="F401" s="1390"/>
      <c r="G401" s="1390"/>
      <c r="H401" s="1389"/>
      <c r="I401" s="1390"/>
      <c r="J401" s="1390"/>
      <c r="K401" s="1389"/>
      <c r="L401" s="1391"/>
      <c r="M401" s="1391"/>
      <c r="N401" s="1389"/>
      <c r="O401" s="1391"/>
      <c r="P401" s="1391"/>
      <c r="Q401" s="1389"/>
      <c r="R401" s="1391"/>
      <c r="S401" s="1391"/>
      <c r="T401" s="1392">
        <f t="shared" ref="T401:AI401" si="325">IF($V$242=$H$913,T454,IF($V$242=$H$914,T501,IF($V$242=$H$915,T548,"SELECCIONAR ESCENARIO")))</f>
        <v>11.966759002770083</v>
      </c>
      <c r="U401" s="1392">
        <f t="shared" si="325"/>
        <v>11.966759002770083</v>
      </c>
      <c r="V401" s="1392">
        <f t="shared" si="325"/>
        <v>11.966759002770083</v>
      </c>
      <c r="W401" s="1392">
        <f t="shared" si="325"/>
        <v>11.966759002770083</v>
      </c>
      <c r="X401" s="1392">
        <f t="shared" si="325"/>
        <v>11.966759002770083</v>
      </c>
      <c r="Y401" s="1392">
        <f t="shared" si="325"/>
        <v>11.966759002770083</v>
      </c>
      <c r="Z401" s="1392">
        <f t="shared" si="325"/>
        <v>11.966759002770083</v>
      </c>
      <c r="AA401" s="1392">
        <f t="shared" si="325"/>
        <v>11.966759002770083</v>
      </c>
      <c r="AB401" s="1392">
        <f t="shared" si="325"/>
        <v>11.966759002770083</v>
      </c>
      <c r="AC401" s="1392">
        <f t="shared" si="325"/>
        <v>11.966759002770083</v>
      </c>
      <c r="AD401" s="1393">
        <f t="shared" si="325"/>
        <v>11.966759002770083</v>
      </c>
      <c r="AE401" s="1393">
        <f t="shared" si="325"/>
        <v>11.966759002770083</v>
      </c>
      <c r="AF401" s="1393">
        <f t="shared" si="325"/>
        <v>11.966759002770083</v>
      </c>
      <c r="AG401" s="1393">
        <f t="shared" si="325"/>
        <v>11.966759002770083</v>
      </c>
      <c r="AH401" s="1393">
        <f t="shared" si="325"/>
        <v>11.966759002770083</v>
      </c>
      <c r="AI401" s="1393">
        <f t="shared" si="325"/>
        <v>11.966759002770083</v>
      </c>
      <c r="AJ401" s="1394"/>
    </row>
    <row r="402" spans="1:36" s="1395" customFormat="1" ht="12.75" x14ac:dyDescent="0.25">
      <c r="A402" s="1388"/>
      <c r="B402" s="1369" t="str">
        <f t="shared" si="323"/>
        <v>PROVISIONES CUENTAS POR COBRAR  (% SOBRE LAS CUENTAS POR COBRAR)</v>
      </c>
      <c r="C402" s="1396"/>
      <c r="D402" s="1390"/>
      <c r="E402" s="1396"/>
      <c r="F402" s="1390"/>
      <c r="G402" s="1390"/>
      <c r="H402" s="1396"/>
      <c r="I402" s="1390"/>
      <c r="J402" s="1390"/>
      <c r="K402" s="1396"/>
      <c r="L402" s="1391"/>
      <c r="M402" s="1391"/>
      <c r="N402" s="1396"/>
      <c r="O402" s="1391"/>
      <c r="P402" s="1391"/>
      <c r="Q402" s="1396"/>
      <c r="R402" s="1391"/>
      <c r="S402" s="1391"/>
      <c r="T402" s="1397">
        <f t="shared" ref="T402:AI402" si="326">IF($V$242=$H$913,T455,IF($V$242=$H$914,T502,IF($V$242=$H$915,T549,"SELECCIONAR ESCENARIO")))</f>
        <v>0.25</v>
      </c>
      <c r="U402" s="1397">
        <f t="shared" si="326"/>
        <v>0.25</v>
      </c>
      <c r="V402" s="1397">
        <f t="shared" si="326"/>
        <v>0.25</v>
      </c>
      <c r="W402" s="1397">
        <f t="shared" si="326"/>
        <v>0.25</v>
      </c>
      <c r="X402" s="1397">
        <f t="shared" si="326"/>
        <v>0.25</v>
      </c>
      <c r="Y402" s="1397">
        <f t="shared" si="326"/>
        <v>0.25</v>
      </c>
      <c r="Z402" s="1397">
        <f t="shared" si="326"/>
        <v>0.25</v>
      </c>
      <c r="AA402" s="1397">
        <f t="shared" si="326"/>
        <v>0.25</v>
      </c>
      <c r="AB402" s="1397">
        <f t="shared" si="326"/>
        <v>0.25</v>
      </c>
      <c r="AC402" s="1397">
        <f t="shared" si="326"/>
        <v>0.25</v>
      </c>
      <c r="AD402" s="1398">
        <f t="shared" si="326"/>
        <v>0.25</v>
      </c>
      <c r="AE402" s="1398">
        <f t="shared" si="326"/>
        <v>0.25</v>
      </c>
      <c r="AF402" s="1398">
        <f t="shared" si="326"/>
        <v>0.25</v>
      </c>
      <c r="AG402" s="1398">
        <f t="shared" si="326"/>
        <v>0.25</v>
      </c>
      <c r="AH402" s="1398">
        <f t="shared" si="326"/>
        <v>0.25</v>
      </c>
      <c r="AI402" s="1398">
        <f t="shared" si="326"/>
        <v>0.25</v>
      </c>
      <c r="AJ402" s="1394"/>
    </row>
    <row r="403" spans="1:36" s="1395" customFormat="1" ht="12.75" x14ac:dyDescent="0.25">
      <c r="A403" s="1388"/>
      <c r="B403" s="1369" t="str">
        <f t="shared" si="323"/>
        <v>DÍAS INVENTARIO BRUTO</v>
      </c>
      <c r="C403" s="1389"/>
      <c r="D403" s="1390"/>
      <c r="E403" s="1389"/>
      <c r="F403" s="1390"/>
      <c r="G403" s="1390"/>
      <c r="H403" s="1389"/>
      <c r="I403" s="1390"/>
      <c r="J403" s="1390"/>
      <c r="K403" s="1389"/>
      <c r="L403" s="1391"/>
      <c r="M403" s="1391"/>
      <c r="N403" s="1389"/>
      <c r="O403" s="1391"/>
      <c r="P403" s="1391"/>
      <c r="Q403" s="1389"/>
      <c r="R403" s="1391"/>
      <c r="S403" s="1391"/>
      <c r="T403" s="1392">
        <f t="shared" ref="T403:AI403" si="327">IF($V$242=$H$913,T456,IF($V$242=$H$914,T503,IF($V$242=$H$915,T550,"SELECCIONAR ESCENARIO")))</f>
        <v>259.2</v>
      </c>
      <c r="U403" s="1392">
        <f t="shared" si="327"/>
        <v>259.2</v>
      </c>
      <c r="V403" s="1392">
        <f t="shared" si="327"/>
        <v>259.2</v>
      </c>
      <c r="W403" s="1392">
        <f t="shared" si="327"/>
        <v>259.2</v>
      </c>
      <c r="X403" s="1392">
        <f t="shared" si="327"/>
        <v>259.2</v>
      </c>
      <c r="Y403" s="1392">
        <f t="shared" si="327"/>
        <v>259.2</v>
      </c>
      <c r="Z403" s="1392">
        <f t="shared" si="327"/>
        <v>259.2</v>
      </c>
      <c r="AA403" s="1392">
        <f t="shared" si="327"/>
        <v>259.2</v>
      </c>
      <c r="AB403" s="1392">
        <f t="shared" si="327"/>
        <v>259.2</v>
      </c>
      <c r="AC403" s="1392">
        <f t="shared" si="327"/>
        <v>259.2</v>
      </c>
      <c r="AD403" s="1393">
        <f t="shared" si="327"/>
        <v>259.2</v>
      </c>
      <c r="AE403" s="1393">
        <f t="shared" si="327"/>
        <v>259.2</v>
      </c>
      <c r="AF403" s="1393">
        <f t="shared" si="327"/>
        <v>259.2</v>
      </c>
      <c r="AG403" s="1393">
        <f t="shared" si="327"/>
        <v>259.2</v>
      </c>
      <c r="AH403" s="1393">
        <f t="shared" si="327"/>
        <v>259.2</v>
      </c>
      <c r="AI403" s="1393">
        <f t="shared" si="327"/>
        <v>259.2</v>
      </c>
      <c r="AJ403" s="1394"/>
    </row>
    <row r="404" spans="1:36" s="1395" customFormat="1" ht="12.75" x14ac:dyDescent="0.25">
      <c r="A404" s="1388"/>
      <c r="B404" s="1369" t="str">
        <f t="shared" si="323"/>
        <v>PROVISIONES INVENTARIOS  (% SOBRE LOS INVENTARIOS)</v>
      </c>
      <c r="C404" s="1396"/>
      <c r="D404" s="1390"/>
      <c r="E404" s="1396"/>
      <c r="F404" s="1390"/>
      <c r="G404" s="1390"/>
      <c r="H404" s="1396"/>
      <c r="I404" s="1390"/>
      <c r="J404" s="1390"/>
      <c r="K404" s="1396"/>
      <c r="L404" s="1391"/>
      <c r="M404" s="1391"/>
      <c r="N404" s="1396"/>
      <c r="O404" s="1391"/>
      <c r="P404" s="1391"/>
      <c r="Q404" s="1396"/>
      <c r="R404" s="1391"/>
      <c r="S404" s="1391"/>
      <c r="T404" s="1397">
        <f t="shared" ref="T404:AI404" si="328">IF($V$242=$H$913,T457,IF($V$242=$H$914,T504,IF($V$242=$H$915,T551,"SELECCIONAR ESCENARIO")))</f>
        <v>-8.3333333333333343E-2</v>
      </c>
      <c r="U404" s="1397">
        <f t="shared" si="328"/>
        <v>-8.3333333333333343E-2</v>
      </c>
      <c r="V404" s="1397">
        <f t="shared" si="328"/>
        <v>-8.3333333333333343E-2</v>
      </c>
      <c r="W404" s="1397">
        <f t="shared" si="328"/>
        <v>-8.3333333333333343E-2</v>
      </c>
      <c r="X404" s="1397">
        <f t="shared" si="328"/>
        <v>-8.3333333333333343E-2</v>
      </c>
      <c r="Y404" s="1397">
        <f t="shared" si="328"/>
        <v>-8.3333333333333343E-2</v>
      </c>
      <c r="Z404" s="1397">
        <f t="shared" si="328"/>
        <v>-8.3333333333333343E-2</v>
      </c>
      <c r="AA404" s="1397">
        <f t="shared" si="328"/>
        <v>-8.3333333333333343E-2</v>
      </c>
      <c r="AB404" s="1397">
        <f t="shared" si="328"/>
        <v>-8.3333333333333343E-2</v>
      </c>
      <c r="AC404" s="1397">
        <f t="shared" si="328"/>
        <v>-8.3333333333333343E-2</v>
      </c>
      <c r="AD404" s="1398">
        <f t="shared" si="328"/>
        <v>-8.3333333333333343E-2</v>
      </c>
      <c r="AE404" s="1398">
        <f t="shared" si="328"/>
        <v>-8.3333333333333343E-2</v>
      </c>
      <c r="AF404" s="1398">
        <f t="shared" si="328"/>
        <v>-8.3333333333333343E-2</v>
      </c>
      <c r="AG404" s="1398">
        <f t="shared" si="328"/>
        <v>-8.3333333333333343E-2</v>
      </c>
      <c r="AH404" s="1398">
        <f t="shared" si="328"/>
        <v>-8.3333333333333343E-2</v>
      </c>
      <c r="AI404" s="1398">
        <f t="shared" si="328"/>
        <v>-8.3333333333333343E-2</v>
      </c>
      <c r="AJ404" s="1394"/>
    </row>
    <row r="405" spans="1:36" s="1395" customFormat="1" ht="12.75" x14ac:dyDescent="0.25">
      <c r="A405" s="1388"/>
      <c r="B405" s="1369" t="str">
        <f t="shared" si="323"/>
        <v>ANTICIPOS / COSTO DE VENTAS (ANUALIZADO)</v>
      </c>
      <c r="C405" s="1396"/>
      <c r="D405" s="1390"/>
      <c r="E405" s="1396"/>
      <c r="F405" s="1390"/>
      <c r="G405" s="1390"/>
      <c r="H405" s="1396"/>
      <c r="I405" s="1390"/>
      <c r="J405" s="1390"/>
      <c r="K405" s="1396"/>
      <c r="L405" s="1391"/>
      <c r="M405" s="1391"/>
      <c r="N405" s="1396"/>
      <c r="O405" s="1391"/>
      <c r="P405" s="1391"/>
      <c r="Q405" s="1396"/>
      <c r="R405" s="1391"/>
      <c r="S405" s="1391"/>
      <c r="T405" s="1397">
        <f t="shared" ref="T405:AI405" si="329">IF($V$242=$H$913,T458,IF($V$242=$H$914,T505,IF($V$242=$H$915,T552,"SELECCIONAR ESCENARIO")))</f>
        <v>0.12000000000000001</v>
      </c>
      <c r="U405" s="1397">
        <f t="shared" si="329"/>
        <v>0.12000000000000001</v>
      </c>
      <c r="V405" s="1397">
        <f t="shared" si="329"/>
        <v>0.12000000000000001</v>
      </c>
      <c r="W405" s="1397">
        <f t="shared" si="329"/>
        <v>0.12000000000000001</v>
      </c>
      <c r="X405" s="1397">
        <f t="shared" si="329"/>
        <v>0.12000000000000001</v>
      </c>
      <c r="Y405" s="1397">
        <f t="shared" si="329"/>
        <v>0.12000000000000001</v>
      </c>
      <c r="Z405" s="1397">
        <f t="shared" si="329"/>
        <v>0.12000000000000001</v>
      </c>
      <c r="AA405" s="1397">
        <f t="shared" si="329"/>
        <v>0.12000000000000001</v>
      </c>
      <c r="AB405" s="1397">
        <f t="shared" si="329"/>
        <v>0.12000000000000001</v>
      </c>
      <c r="AC405" s="1397">
        <f t="shared" si="329"/>
        <v>0.12000000000000001</v>
      </c>
      <c r="AD405" s="1398">
        <f t="shared" si="329"/>
        <v>0.12000000000000001</v>
      </c>
      <c r="AE405" s="1398">
        <f t="shared" si="329"/>
        <v>0.12000000000000001</v>
      </c>
      <c r="AF405" s="1398">
        <f t="shared" si="329"/>
        <v>0.12000000000000001</v>
      </c>
      <c r="AG405" s="1398">
        <f t="shared" si="329"/>
        <v>0.12000000000000001</v>
      </c>
      <c r="AH405" s="1398">
        <f t="shared" si="329"/>
        <v>0.12000000000000001</v>
      </c>
      <c r="AI405" s="1398">
        <f t="shared" si="329"/>
        <v>0.12000000000000001</v>
      </c>
      <c r="AJ405" s="1394"/>
    </row>
    <row r="406" spans="1:36" s="1395" customFormat="1" ht="12.75" x14ac:dyDescent="0.25">
      <c r="A406" s="1388"/>
      <c r="B406" s="1369" t="str">
        <f t="shared" si="323"/>
        <v>DÍAS PAGO</v>
      </c>
      <c r="C406" s="1389"/>
      <c r="D406" s="1390"/>
      <c r="E406" s="1389"/>
      <c r="F406" s="1390"/>
      <c r="G406" s="1390"/>
      <c r="H406" s="1389"/>
      <c r="I406" s="1390"/>
      <c r="J406" s="1390"/>
      <c r="K406" s="1389"/>
      <c r="L406" s="1391"/>
      <c r="M406" s="1391"/>
      <c r="N406" s="1389"/>
      <c r="O406" s="1391"/>
      <c r="P406" s="1391"/>
      <c r="Q406" s="1389"/>
      <c r="R406" s="1391"/>
      <c r="S406" s="1391"/>
      <c r="T406" s="1392">
        <f t="shared" ref="T406:AI406" si="330">IF($V$242=$H$913,T459,IF($V$242=$H$914,T506,IF($V$242=$H$915,T553,"SELECCIONAR ESCENARIO")))</f>
        <v>21.6</v>
      </c>
      <c r="U406" s="1392">
        <f t="shared" si="330"/>
        <v>21.6</v>
      </c>
      <c r="V406" s="1392">
        <f t="shared" si="330"/>
        <v>21.6</v>
      </c>
      <c r="W406" s="1392">
        <f t="shared" si="330"/>
        <v>21.6</v>
      </c>
      <c r="X406" s="1392">
        <f t="shared" si="330"/>
        <v>21.6</v>
      </c>
      <c r="Y406" s="1392">
        <f t="shared" si="330"/>
        <v>21.6</v>
      </c>
      <c r="Z406" s="1392">
        <f t="shared" si="330"/>
        <v>21.6</v>
      </c>
      <c r="AA406" s="1392">
        <f t="shared" si="330"/>
        <v>21.6</v>
      </c>
      <c r="AB406" s="1392">
        <f t="shared" si="330"/>
        <v>21.6</v>
      </c>
      <c r="AC406" s="1392">
        <f t="shared" si="330"/>
        <v>21.6</v>
      </c>
      <c r="AD406" s="1393">
        <f t="shared" si="330"/>
        <v>21.6</v>
      </c>
      <c r="AE406" s="1393">
        <f t="shared" si="330"/>
        <v>21.6</v>
      </c>
      <c r="AF406" s="1393">
        <f t="shared" si="330"/>
        <v>21.6</v>
      </c>
      <c r="AG406" s="1393">
        <f t="shared" si="330"/>
        <v>21.6</v>
      </c>
      <c r="AH406" s="1393">
        <f t="shared" si="330"/>
        <v>21.6</v>
      </c>
      <c r="AI406" s="1393">
        <f t="shared" si="330"/>
        <v>21.6</v>
      </c>
      <c r="AJ406" s="1394"/>
    </row>
    <row r="407" spans="1:36" s="1395" customFormat="1" ht="12.75" x14ac:dyDescent="0.25">
      <c r="A407" s="1388"/>
      <c r="B407" s="1369" t="str">
        <f t="shared" si="323"/>
        <v>CAPEX BRUTO ($MM)</v>
      </c>
      <c r="C407" s="1399"/>
      <c r="D407" s="1390"/>
      <c r="E407" s="1400"/>
      <c r="F407" s="1390"/>
      <c r="G407" s="1390"/>
      <c r="H407" s="1400"/>
      <c r="I407" s="1390"/>
      <c r="J407" s="1390"/>
      <c r="K407" s="1400"/>
      <c r="L407" s="1391"/>
      <c r="M407" s="1391"/>
      <c r="N407" s="1400"/>
      <c r="O407" s="1391"/>
      <c r="P407" s="1391"/>
      <c r="Q407" s="1400"/>
      <c r="R407" s="1391"/>
      <c r="S407" s="1391"/>
      <c r="T407" s="1401">
        <f t="shared" ref="T407:AI407" si="331">IF($V$242=$H$913,T460,IF($V$242=$H$914,T507,IF($V$242=$H$915,T554,"SELECCIONAR ESCENARIO")))</f>
        <v>178.20000000000002</v>
      </c>
      <c r="U407" s="1401">
        <f t="shared" si="331"/>
        <v>178.20000000000002</v>
      </c>
      <c r="V407" s="1401">
        <f t="shared" si="331"/>
        <v>178.20000000000002</v>
      </c>
      <c r="W407" s="1401">
        <f t="shared" si="331"/>
        <v>178.20000000000002</v>
      </c>
      <c r="X407" s="1401">
        <f t="shared" si="331"/>
        <v>178.20000000000002</v>
      </c>
      <c r="Y407" s="1401">
        <f t="shared" si="331"/>
        <v>178.20000000000002</v>
      </c>
      <c r="Z407" s="1401">
        <f t="shared" si="331"/>
        <v>178.20000000000002</v>
      </c>
      <c r="AA407" s="1401">
        <f t="shared" si="331"/>
        <v>178.20000000000002</v>
      </c>
      <c r="AB407" s="1401">
        <f t="shared" si="331"/>
        <v>178.20000000000002</v>
      </c>
      <c r="AC407" s="1401">
        <f t="shared" si="331"/>
        <v>178.20000000000002</v>
      </c>
      <c r="AD407" s="1402">
        <f t="shared" si="331"/>
        <v>178.20000000000002</v>
      </c>
      <c r="AE407" s="1402">
        <f t="shared" si="331"/>
        <v>178.20000000000002</v>
      </c>
      <c r="AF407" s="1402">
        <f t="shared" si="331"/>
        <v>178.20000000000002</v>
      </c>
      <c r="AG407" s="1402">
        <f t="shared" si="331"/>
        <v>178.20000000000002</v>
      </c>
      <c r="AH407" s="1402">
        <f t="shared" si="331"/>
        <v>178.20000000000002</v>
      </c>
      <c r="AI407" s="1402">
        <f t="shared" si="331"/>
        <v>178.20000000000002</v>
      </c>
      <c r="AJ407" s="1394"/>
    </row>
    <row r="408" spans="1:36" s="1395" customFormat="1" ht="12.75" x14ac:dyDescent="0.25">
      <c r="A408" s="1388"/>
      <c r="B408" s="1369" t="str">
        <f t="shared" si="323"/>
        <v>VARIACIÓN DEPRECIACIÓN ACUMULADA / ACTIVO FIJO BRUTO</v>
      </c>
      <c r="C408" s="1399"/>
      <c r="D408" s="1390"/>
      <c r="E408" s="1400"/>
      <c r="F408" s="1390"/>
      <c r="G408" s="1390"/>
      <c r="H408" s="1400"/>
      <c r="I408" s="1390"/>
      <c r="J408" s="1390"/>
      <c r="K408" s="1400"/>
      <c r="L408" s="1391"/>
      <c r="M408" s="1391"/>
      <c r="N408" s="1400"/>
      <c r="O408" s="1391"/>
      <c r="P408" s="1391"/>
      <c r="Q408" s="1400"/>
      <c r="R408" s="1391"/>
      <c r="S408" s="1391"/>
      <c r="T408" s="1370">
        <f t="shared" ref="T408:AI408" si="332">IF($V$242=$H$913,T461,IF($V$242=$H$914,T508,IF($V$242=$H$915,T555,"SELECCIONAR ESCENARIO")))</f>
        <v>-3.6666666666666667E-2</v>
      </c>
      <c r="U408" s="1370">
        <f t="shared" si="332"/>
        <v>-3.6666666666666667E-2</v>
      </c>
      <c r="V408" s="1370">
        <f t="shared" si="332"/>
        <v>-3.6666666666666667E-2</v>
      </c>
      <c r="W408" s="1370">
        <f t="shared" si="332"/>
        <v>-3.6666666666666667E-2</v>
      </c>
      <c r="X408" s="1370">
        <f t="shared" si="332"/>
        <v>-3.6666666666666667E-2</v>
      </c>
      <c r="Y408" s="1370">
        <f t="shared" si="332"/>
        <v>-3.6666666666666667E-2</v>
      </c>
      <c r="Z408" s="1370">
        <f t="shared" si="332"/>
        <v>-3.6666666666666667E-2</v>
      </c>
      <c r="AA408" s="1370">
        <f t="shared" si="332"/>
        <v>-3.6666666666666667E-2</v>
      </c>
      <c r="AB408" s="1370">
        <f t="shared" si="332"/>
        <v>-3.6666666666666667E-2</v>
      </c>
      <c r="AC408" s="1370">
        <f t="shared" si="332"/>
        <v>-3.6666666666666667E-2</v>
      </c>
      <c r="AD408" s="1371">
        <f t="shared" si="332"/>
        <v>-3.6666666666666667E-2</v>
      </c>
      <c r="AE408" s="1371">
        <f t="shared" si="332"/>
        <v>-3.6666666666666667E-2</v>
      </c>
      <c r="AF408" s="1371">
        <f t="shared" si="332"/>
        <v>-3.6666666666666667E-2</v>
      </c>
      <c r="AG408" s="1371">
        <f t="shared" si="332"/>
        <v>-3.6666666666666667E-2</v>
      </c>
      <c r="AH408" s="1371">
        <f t="shared" si="332"/>
        <v>-3.6666666666666667E-2</v>
      </c>
      <c r="AI408" s="1371">
        <f t="shared" si="332"/>
        <v>-3.6666666666666667E-2</v>
      </c>
      <c r="AJ408" s="1394"/>
    </row>
    <row r="409" spans="1:36" s="1011" customFormat="1" ht="12.75" x14ac:dyDescent="0.25">
      <c r="A409" s="1004"/>
      <c r="B409" s="1369" t="str">
        <f t="shared" si="323"/>
        <v>DEPRECIACIÓN / ACTIVO FIJO BRUTO</v>
      </c>
      <c r="C409" s="1366"/>
      <c r="D409" s="1376"/>
      <c r="E409" s="1366"/>
      <c r="F409" s="1376"/>
      <c r="G409" s="1376"/>
      <c r="H409" s="1366"/>
      <c r="I409" s="1376"/>
      <c r="J409" s="1376"/>
      <c r="K409" s="1366"/>
      <c r="L409" s="1006"/>
      <c r="M409" s="1006"/>
      <c r="N409" s="1366"/>
      <c r="O409" s="1006"/>
      <c r="P409" s="1006"/>
      <c r="Q409" s="1366"/>
      <c r="R409" s="1006"/>
      <c r="S409" s="1006"/>
      <c r="T409" s="1370">
        <f t="shared" ref="T409:AI409" si="333">IF($V$242=$H$913,T462,IF($V$242=$H$914,T509,IF($V$242=$H$915,T556,"SELECCIONAR ESCENARIO")))</f>
        <v>7.407407407407407E-2</v>
      </c>
      <c r="U409" s="1370">
        <f t="shared" si="333"/>
        <v>7.407407407407407E-2</v>
      </c>
      <c r="V409" s="1370">
        <f t="shared" si="333"/>
        <v>7.407407407407407E-2</v>
      </c>
      <c r="W409" s="1370">
        <f t="shared" si="333"/>
        <v>7.407407407407407E-2</v>
      </c>
      <c r="X409" s="1370">
        <f t="shared" si="333"/>
        <v>7.407407407407407E-2</v>
      </c>
      <c r="Y409" s="1370">
        <f t="shared" si="333"/>
        <v>7.407407407407407E-2</v>
      </c>
      <c r="Z409" s="1370">
        <f t="shared" si="333"/>
        <v>7.407407407407407E-2</v>
      </c>
      <c r="AA409" s="1370">
        <f t="shared" si="333"/>
        <v>7.407407407407407E-2</v>
      </c>
      <c r="AB409" s="1370">
        <f t="shared" si="333"/>
        <v>7.407407407407407E-2</v>
      </c>
      <c r="AC409" s="1370">
        <f t="shared" si="333"/>
        <v>7.407407407407407E-2</v>
      </c>
      <c r="AD409" s="1371">
        <f t="shared" si="333"/>
        <v>7.407407407407407E-2</v>
      </c>
      <c r="AE409" s="1371">
        <f t="shared" si="333"/>
        <v>7.407407407407407E-2</v>
      </c>
      <c r="AF409" s="1371">
        <f t="shared" si="333"/>
        <v>7.407407407407407E-2</v>
      </c>
      <c r="AG409" s="1371">
        <f t="shared" si="333"/>
        <v>7.407407407407407E-2</v>
      </c>
      <c r="AH409" s="1371">
        <f t="shared" si="333"/>
        <v>7.407407407407407E-2</v>
      </c>
      <c r="AI409" s="1371">
        <f t="shared" si="333"/>
        <v>7.407407407407407E-2</v>
      </c>
      <c r="AJ409" s="1010"/>
    </row>
    <row r="410" spans="1:36" s="1011" customFormat="1" ht="12.75" x14ac:dyDescent="0.25">
      <c r="A410" s="1004"/>
      <c r="B410" s="1369" t="str">
        <f t="shared" si="323"/>
        <v>VARIACIÓN INTANGIBLES</v>
      </c>
      <c r="C410" s="1365"/>
      <c r="D410" s="1376"/>
      <c r="E410" s="1366"/>
      <c r="F410" s="1376"/>
      <c r="G410" s="1376"/>
      <c r="H410" s="1366"/>
      <c r="I410" s="1376"/>
      <c r="J410" s="1376"/>
      <c r="K410" s="1366"/>
      <c r="L410" s="1006"/>
      <c r="M410" s="1006"/>
      <c r="N410" s="1366"/>
      <c r="O410" s="1006"/>
      <c r="P410" s="1006"/>
      <c r="Q410" s="1366"/>
      <c r="R410" s="1006"/>
      <c r="S410" s="1006"/>
      <c r="T410" s="1370">
        <f t="shared" ref="T410:AI410" si="334">IF($V$242=$H$913,T463,IF($V$242=$H$914,T510,IF($V$242=$H$915,T557,"SELECCIONAR ESCENARIO")))</f>
        <v>0</v>
      </c>
      <c r="U410" s="1370">
        <f t="shared" si="334"/>
        <v>0</v>
      </c>
      <c r="V410" s="1370">
        <f t="shared" si="334"/>
        <v>0</v>
      </c>
      <c r="W410" s="1370">
        <f t="shared" si="334"/>
        <v>0</v>
      </c>
      <c r="X410" s="1370">
        <f t="shared" si="334"/>
        <v>0</v>
      </c>
      <c r="Y410" s="1370">
        <f t="shared" si="334"/>
        <v>0</v>
      </c>
      <c r="Z410" s="1370">
        <f t="shared" si="334"/>
        <v>0</v>
      </c>
      <c r="AA410" s="1370">
        <f t="shared" si="334"/>
        <v>0</v>
      </c>
      <c r="AB410" s="1370">
        <f t="shared" si="334"/>
        <v>0</v>
      </c>
      <c r="AC410" s="1370">
        <f t="shared" si="334"/>
        <v>0</v>
      </c>
      <c r="AD410" s="1371">
        <f t="shared" si="334"/>
        <v>0</v>
      </c>
      <c r="AE410" s="1371">
        <f t="shared" si="334"/>
        <v>0</v>
      </c>
      <c r="AF410" s="1371">
        <f t="shared" si="334"/>
        <v>0</v>
      </c>
      <c r="AG410" s="1371">
        <f t="shared" si="334"/>
        <v>0</v>
      </c>
      <c r="AH410" s="1371">
        <f t="shared" si="334"/>
        <v>0</v>
      </c>
      <c r="AI410" s="1371">
        <f t="shared" si="334"/>
        <v>0</v>
      </c>
      <c r="AJ410" s="1010"/>
    </row>
    <row r="411" spans="1:36" s="1011" customFormat="1" ht="12.75" x14ac:dyDescent="0.25">
      <c r="A411" s="1004"/>
      <c r="B411" s="1369" t="str">
        <f t="shared" si="323"/>
        <v>AMORTIZACIÓN INTANGIBLES / INTANGIBLES</v>
      </c>
      <c r="C411" s="1366"/>
      <c r="D411" s="1376"/>
      <c r="E411" s="1366"/>
      <c r="F411" s="1376"/>
      <c r="G411" s="1376"/>
      <c r="H411" s="1366"/>
      <c r="I411" s="1376"/>
      <c r="J411" s="1376"/>
      <c r="K411" s="1366"/>
      <c r="L411" s="1006"/>
      <c r="M411" s="1006"/>
      <c r="N411" s="1366"/>
      <c r="O411" s="1006"/>
      <c r="P411" s="1006"/>
      <c r="Q411" s="1366"/>
      <c r="R411" s="1006"/>
      <c r="S411" s="1006"/>
      <c r="T411" s="1370">
        <f t="shared" ref="T411:AI411" si="335">IF($V$242=$H$913,T464,IF($V$242=$H$914,T511,IF($V$242=$H$915,T558,"SELECCIONAR ESCENARIO")))</f>
        <v>0</v>
      </c>
      <c r="U411" s="1370">
        <f t="shared" si="335"/>
        <v>0</v>
      </c>
      <c r="V411" s="1370">
        <f t="shared" si="335"/>
        <v>0</v>
      </c>
      <c r="W411" s="1370">
        <f t="shared" si="335"/>
        <v>0</v>
      </c>
      <c r="X411" s="1370">
        <f t="shared" si="335"/>
        <v>0</v>
      </c>
      <c r="Y411" s="1370">
        <f t="shared" si="335"/>
        <v>0</v>
      </c>
      <c r="Z411" s="1370">
        <f t="shared" si="335"/>
        <v>0</v>
      </c>
      <c r="AA411" s="1370">
        <f t="shared" si="335"/>
        <v>0</v>
      </c>
      <c r="AB411" s="1370">
        <f t="shared" si="335"/>
        <v>0</v>
      </c>
      <c r="AC411" s="1370">
        <f t="shared" si="335"/>
        <v>0</v>
      </c>
      <c r="AD411" s="1371">
        <f t="shared" si="335"/>
        <v>0</v>
      </c>
      <c r="AE411" s="1371">
        <f t="shared" si="335"/>
        <v>0</v>
      </c>
      <c r="AF411" s="1371">
        <f t="shared" si="335"/>
        <v>0</v>
      </c>
      <c r="AG411" s="1371">
        <f t="shared" si="335"/>
        <v>0</v>
      </c>
      <c r="AH411" s="1371">
        <f t="shared" si="335"/>
        <v>0</v>
      </c>
      <c r="AI411" s="1371">
        <f t="shared" si="335"/>
        <v>0</v>
      </c>
      <c r="AJ411" s="1010"/>
    </row>
    <row r="412" spans="1:36" s="1011" customFormat="1" ht="12.75" x14ac:dyDescent="0.25">
      <c r="A412" s="1004"/>
      <c r="B412" s="1369" t="str">
        <f t="shared" si="323"/>
        <v>VARIACIÓN DIFERIDOS</v>
      </c>
      <c r="C412" s="1366"/>
      <c r="D412" s="1376"/>
      <c r="E412" s="1366"/>
      <c r="F412" s="1376"/>
      <c r="G412" s="1376"/>
      <c r="H412" s="1366"/>
      <c r="I412" s="1376"/>
      <c r="J412" s="1376"/>
      <c r="K412" s="1366"/>
      <c r="L412" s="1006"/>
      <c r="M412" s="1006"/>
      <c r="N412" s="1366"/>
      <c r="O412" s="1006"/>
      <c r="P412" s="1006"/>
      <c r="Q412" s="1366"/>
      <c r="R412" s="1006"/>
      <c r="S412" s="1006"/>
      <c r="T412" s="1370">
        <f t="shared" ref="T412:AI412" si="336">IF($V$242=$H$913,T465,IF($V$242=$H$914,T512,IF($V$242=$H$915,T559,"SELECCIONAR ESCENARIO")))</f>
        <v>0</v>
      </c>
      <c r="U412" s="1370">
        <f t="shared" si="336"/>
        <v>0</v>
      </c>
      <c r="V412" s="1370">
        <f t="shared" si="336"/>
        <v>0</v>
      </c>
      <c r="W412" s="1370">
        <f t="shared" si="336"/>
        <v>0</v>
      </c>
      <c r="X412" s="1370">
        <f t="shared" si="336"/>
        <v>0</v>
      </c>
      <c r="Y412" s="1370">
        <f t="shared" si="336"/>
        <v>0</v>
      </c>
      <c r="Z412" s="1370">
        <f t="shared" si="336"/>
        <v>0</v>
      </c>
      <c r="AA412" s="1370">
        <f t="shared" si="336"/>
        <v>0</v>
      </c>
      <c r="AB412" s="1370">
        <f t="shared" si="336"/>
        <v>0</v>
      </c>
      <c r="AC412" s="1370">
        <f t="shared" si="336"/>
        <v>0</v>
      </c>
      <c r="AD412" s="1371">
        <f t="shared" si="336"/>
        <v>0</v>
      </c>
      <c r="AE412" s="1371">
        <f t="shared" si="336"/>
        <v>0</v>
      </c>
      <c r="AF412" s="1371">
        <f t="shared" si="336"/>
        <v>0</v>
      </c>
      <c r="AG412" s="1371">
        <f t="shared" si="336"/>
        <v>0</v>
      </c>
      <c r="AH412" s="1371">
        <f t="shared" si="336"/>
        <v>0</v>
      </c>
      <c r="AI412" s="1371">
        <f t="shared" si="336"/>
        <v>0</v>
      </c>
      <c r="AJ412" s="1010"/>
    </row>
    <row r="413" spans="1:36" s="1011" customFormat="1" ht="12.75" x14ac:dyDescent="0.25">
      <c r="A413" s="1004"/>
      <c r="B413" s="1369" t="str">
        <f t="shared" si="323"/>
        <v>AMORTIZACIÓN DIFERIDOS / DIFERIDOS</v>
      </c>
      <c r="C413" s="1366"/>
      <c r="D413" s="1376"/>
      <c r="E413" s="1366"/>
      <c r="F413" s="1376"/>
      <c r="G413" s="1376"/>
      <c r="H413" s="1366"/>
      <c r="I413" s="1376"/>
      <c r="J413" s="1376"/>
      <c r="K413" s="1366"/>
      <c r="L413" s="1006"/>
      <c r="M413" s="1006"/>
      <c r="N413" s="1366"/>
      <c r="O413" s="1006"/>
      <c r="P413" s="1006"/>
      <c r="Q413" s="1366"/>
      <c r="R413" s="1006"/>
      <c r="S413" s="1006"/>
      <c r="T413" s="1370">
        <f t="shared" ref="T413:AI413" si="337">IF($V$242=$H$913,T466,IF($V$242=$H$914,T513,IF($V$242=$H$915,T560,"SELECCIONAR ESCENARIO")))</f>
        <v>0</v>
      </c>
      <c r="U413" s="1370">
        <f t="shared" si="337"/>
        <v>0</v>
      </c>
      <c r="V413" s="1370">
        <f t="shared" si="337"/>
        <v>0</v>
      </c>
      <c r="W413" s="1370">
        <f t="shared" si="337"/>
        <v>0</v>
      </c>
      <c r="X413" s="1370">
        <f t="shared" si="337"/>
        <v>0</v>
      </c>
      <c r="Y413" s="1370">
        <f t="shared" si="337"/>
        <v>0</v>
      </c>
      <c r="Z413" s="1370">
        <f t="shared" si="337"/>
        <v>0</v>
      </c>
      <c r="AA413" s="1370">
        <f t="shared" si="337"/>
        <v>0</v>
      </c>
      <c r="AB413" s="1370">
        <f t="shared" si="337"/>
        <v>0</v>
      </c>
      <c r="AC413" s="1370">
        <f t="shared" si="337"/>
        <v>0</v>
      </c>
      <c r="AD413" s="1371">
        <f t="shared" si="337"/>
        <v>0</v>
      </c>
      <c r="AE413" s="1371">
        <f t="shared" si="337"/>
        <v>0</v>
      </c>
      <c r="AF413" s="1371">
        <f t="shared" si="337"/>
        <v>0</v>
      </c>
      <c r="AG413" s="1371">
        <f t="shared" si="337"/>
        <v>0</v>
      </c>
      <c r="AH413" s="1371">
        <f t="shared" si="337"/>
        <v>0</v>
      </c>
      <c r="AI413" s="1371">
        <f t="shared" si="337"/>
        <v>0</v>
      </c>
      <c r="AJ413" s="1010"/>
    </row>
    <row r="414" spans="1:36" s="1011" customFormat="1" ht="12.75" x14ac:dyDescent="0.25">
      <c r="A414" s="1004"/>
      <c r="B414" s="1369" t="str">
        <f t="shared" si="323"/>
        <v>PASIVOS LABORALES / GASTOS OPERACIONALES (ANUALIZADOS)</v>
      </c>
      <c r="C414" s="1366"/>
      <c r="D414" s="1376"/>
      <c r="E414" s="1366"/>
      <c r="F414" s="1376"/>
      <c r="G414" s="1376"/>
      <c r="H414" s="1366"/>
      <c r="I414" s="1376"/>
      <c r="J414" s="1376"/>
      <c r="K414" s="1366"/>
      <c r="L414" s="1006"/>
      <c r="M414" s="1006"/>
      <c r="N414" s="1366"/>
      <c r="O414" s="1006"/>
      <c r="P414" s="1006"/>
      <c r="Q414" s="1366"/>
      <c r="R414" s="1006"/>
      <c r="S414" s="1006"/>
      <c r="T414" s="1370">
        <f t="shared" ref="T414:AI414" si="338">IF($V$242=$H$913,T467,IF($V$242=$H$914,T514,IF($V$242=$H$915,T561,"SELECCIONAR ESCENARIO")))</f>
        <v>0.2</v>
      </c>
      <c r="U414" s="1370">
        <f t="shared" si="338"/>
        <v>0.2</v>
      </c>
      <c r="V414" s="1370">
        <f t="shared" si="338"/>
        <v>0.2</v>
      </c>
      <c r="W414" s="1370">
        <f t="shared" si="338"/>
        <v>0.2</v>
      </c>
      <c r="X414" s="1370">
        <f t="shared" si="338"/>
        <v>0.2</v>
      </c>
      <c r="Y414" s="1370">
        <f t="shared" si="338"/>
        <v>0.2</v>
      </c>
      <c r="Z414" s="1370">
        <f t="shared" si="338"/>
        <v>0.2</v>
      </c>
      <c r="AA414" s="1370">
        <f t="shared" si="338"/>
        <v>0.2</v>
      </c>
      <c r="AB414" s="1370">
        <f t="shared" si="338"/>
        <v>0.2</v>
      </c>
      <c r="AC414" s="1370">
        <f t="shared" si="338"/>
        <v>0.2</v>
      </c>
      <c r="AD414" s="1371">
        <f t="shared" si="338"/>
        <v>0.2</v>
      </c>
      <c r="AE414" s="1371">
        <f t="shared" si="338"/>
        <v>0.2</v>
      </c>
      <c r="AF414" s="1371">
        <f t="shared" si="338"/>
        <v>0.2</v>
      </c>
      <c r="AG414" s="1371">
        <f t="shared" si="338"/>
        <v>0.2</v>
      </c>
      <c r="AH414" s="1371">
        <f t="shared" si="338"/>
        <v>0.2</v>
      </c>
      <c r="AI414" s="1371">
        <f t="shared" si="338"/>
        <v>0.2</v>
      </c>
      <c r="AJ414" s="1010"/>
    </row>
    <row r="415" spans="1:36" s="1011" customFormat="1" ht="12.75" x14ac:dyDescent="0.25">
      <c r="A415" s="1004"/>
      <c r="B415" s="1369" t="str">
        <f t="shared" si="323"/>
        <v>IMPUESTOS POR PAGAR / VENTAS (ANUALIZADAS)</v>
      </c>
      <c r="C415" s="1366"/>
      <c r="D415" s="1376"/>
      <c r="E415" s="1366"/>
      <c r="F415" s="1376"/>
      <c r="G415" s="1376"/>
      <c r="H415" s="1366"/>
      <c r="I415" s="1376"/>
      <c r="J415" s="1376"/>
      <c r="K415" s="1366"/>
      <c r="L415" s="1006"/>
      <c r="M415" s="1006"/>
      <c r="N415" s="1366"/>
      <c r="O415" s="1006"/>
      <c r="P415" s="1006"/>
      <c r="Q415" s="1366"/>
      <c r="R415" s="1006"/>
      <c r="S415" s="1006"/>
      <c r="T415" s="1370">
        <f t="shared" ref="T415:AI415" si="339">IF($V$242=$H$913,T468,IF($V$242=$H$914,T515,IF($V$242=$H$915,T562,"SELECCIONAR ESCENARIO")))</f>
        <v>1.1080332409972299E-2</v>
      </c>
      <c r="U415" s="1370">
        <f t="shared" si="339"/>
        <v>1.1080332409972299E-2</v>
      </c>
      <c r="V415" s="1370">
        <f t="shared" si="339"/>
        <v>1.1080332409972299E-2</v>
      </c>
      <c r="W415" s="1370">
        <f t="shared" si="339"/>
        <v>1.1080332409972299E-2</v>
      </c>
      <c r="X415" s="1370">
        <f t="shared" si="339"/>
        <v>1.1080332409972299E-2</v>
      </c>
      <c r="Y415" s="1370">
        <f t="shared" si="339"/>
        <v>1.1080332409972299E-2</v>
      </c>
      <c r="Z415" s="1370">
        <f t="shared" si="339"/>
        <v>1.1080332409972299E-2</v>
      </c>
      <c r="AA415" s="1370">
        <f t="shared" si="339"/>
        <v>1.1080332409972299E-2</v>
      </c>
      <c r="AB415" s="1370">
        <f t="shared" si="339"/>
        <v>1.1080332409972299E-2</v>
      </c>
      <c r="AC415" s="1370">
        <f t="shared" si="339"/>
        <v>1.1080332409972299E-2</v>
      </c>
      <c r="AD415" s="1371">
        <f t="shared" si="339"/>
        <v>1.1080332409972299E-2</v>
      </c>
      <c r="AE415" s="1371">
        <f t="shared" si="339"/>
        <v>1.1080332409972299E-2</v>
      </c>
      <c r="AF415" s="1371">
        <f t="shared" si="339"/>
        <v>1.1080332409972299E-2</v>
      </c>
      <c r="AG415" s="1371">
        <f t="shared" si="339"/>
        <v>1.1080332409972299E-2</v>
      </c>
      <c r="AH415" s="1371">
        <f t="shared" si="339"/>
        <v>1.1080332409972299E-2</v>
      </c>
      <c r="AI415" s="1371">
        <f t="shared" si="339"/>
        <v>1.1080332409972299E-2</v>
      </c>
      <c r="AJ415" s="1010"/>
    </row>
    <row r="416" spans="1:36" s="1011" customFormat="1" ht="12.75" x14ac:dyDescent="0.25">
      <c r="A416" s="1004"/>
      <c r="B416" s="1369" t="str">
        <f t="shared" si="323"/>
        <v>CUENTAS POR PAGAR / COSTO DE VENTAS (ANUALIZADO)</v>
      </c>
      <c r="C416" s="1366"/>
      <c r="D416" s="1376"/>
      <c r="E416" s="1366"/>
      <c r="F416" s="1376"/>
      <c r="G416" s="1376"/>
      <c r="H416" s="1366"/>
      <c r="I416" s="1376"/>
      <c r="J416" s="1376"/>
      <c r="K416" s="1366"/>
      <c r="L416" s="1006"/>
      <c r="M416" s="1006"/>
      <c r="N416" s="1366"/>
      <c r="O416" s="1006"/>
      <c r="P416" s="1006"/>
      <c r="Q416" s="1366"/>
      <c r="R416" s="1006"/>
      <c r="S416" s="1006"/>
      <c r="T416" s="1370">
        <f t="shared" ref="T416:AI416" si="340">IF($V$242=$H$913,T469,IF($V$242=$H$914,T516,IF($V$242=$H$915,T563,"SELECCIONAR ESCENARIO")))</f>
        <v>0.24000000000000002</v>
      </c>
      <c r="U416" s="1370">
        <f t="shared" si="340"/>
        <v>0.24000000000000002</v>
      </c>
      <c r="V416" s="1370">
        <f t="shared" si="340"/>
        <v>0.24000000000000002</v>
      </c>
      <c r="W416" s="1370">
        <f t="shared" si="340"/>
        <v>0.24000000000000002</v>
      </c>
      <c r="X416" s="1370">
        <f t="shared" si="340"/>
        <v>0.24000000000000002</v>
      </c>
      <c r="Y416" s="1370">
        <f t="shared" si="340"/>
        <v>0.24000000000000002</v>
      </c>
      <c r="Z416" s="1370">
        <f t="shared" si="340"/>
        <v>0.24000000000000002</v>
      </c>
      <c r="AA416" s="1370">
        <f t="shared" si="340"/>
        <v>0.24000000000000002</v>
      </c>
      <c r="AB416" s="1370">
        <f t="shared" si="340"/>
        <v>0.24000000000000002</v>
      </c>
      <c r="AC416" s="1370">
        <f t="shared" si="340"/>
        <v>0.24000000000000002</v>
      </c>
      <c r="AD416" s="1371">
        <f t="shared" si="340"/>
        <v>0.24000000000000002</v>
      </c>
      <c r="AE416" s="1371">
        <f t="shared" si="340"/>
        <v>0.24000000000000002</v>
      </c>
      <c r="AF416" s="1371">
        <f t="shared" si="340"/>
        <v>0.24000000000000002</v>
      </c>
      <c r="AG416" s="1371">
        <f t="shared" si="340"/>
        <v>0.24000000000000002</v>
      </c>
      <c r="AH416" s="1371">
        <f t="shared" si="340"/>
        <v>0.24000000000000002</v>
      </c>
      <c r="AI416" s="1371">
        <f t="shared" si="340"/>
        <v>0.24000000000000002</v>
      </c>
      <c r="AJ416" s="1010"/>
    </row>
    <row r="417" spans="1:43" s="1011" customFormat="1" ht="12.75" x14ac:dyDescent="0.25">
      <c r="A417" s="1004"/>
      <c r="B417" s="1369" t="str">
        <f t="shared" si="323"/>
        <v>PASIVOS ESTIMADOS Y PROVISIONES / GASTOS OPERACIONALES (ANUALIZADOS)</v>
      </c>
      <c r="C417" s="1366"/>
      <c r="D417" s="1376"/>
      <c r="E417" s="1366"/>
      <c r="F417" s="1376"/>
      <c r="G417" s="1376"/>
      <c r="H417" s="1366"/>
      <c r="I417" s="1376"/>
      <c r="J417" s="1376"/>
      <c r="K417" s="1366"/>
      <c r="L417" s="1006"/>
      <c r="M417" s="1006"/>
      <c r="N417" s="1366"/>
      <c r="O417" s="1006"/>
      <c r="P417" s="1006"/>
      <c r="Q417" s="1366"/>
      <c r="R417" s="1006"/>
      <c r="S417" s="1006"/>
      <c r="T417" s="1370">
        <f t="shared" ref="T417:AI417" si="341">IF($V$242=$H$913,T470,IF($V$242=$H$914,T517,IF($V$242=$H$915,T564,"SELECCIONAR ESCENARIO")))</f>
        <v>0.30000000000000004</v>
      </c>
      <c r="U417" s="1370">
        <f t="shared" si="341"/>
        <v>0.30000000000000004</v>
      </c>
      <c r="V417" s="1370">
        <f t="shared" si="341"/>
        <v>0.30000000000000004</v>
      </c>
      <c r="W417" s="1370">
        <f t="shared" si="341"/>
        <v>0.30000000000000004</v>
      </c>
      <c r="X417" s="1370">
        <f t="shared" si="341"/>
        <v>0.30000000000000004</v>
      </c>
      <c r="Y417" s="1370">
        <f t="shared" si="341"/>
        <v>0.30000000000000004</v>
      </c>
      <c r="Z417" s="1370">
        <f t="shared" si="341"/>
        <v>0.30000000000000004</v>
      </c>
      <c r="AA417" s="1370">
        <f t="shared" si="341"/>
        <v>0.30000000000000004</v>
      </c>
      <c r="AB417" s="1370">
        <f t="shared" si="341"/>
        <v>0.30000000000000004</v>
      </c>
      <c r="AC417" s="1370">
        <f t="shared" si="341"/>
        <v>0.30000000000000004</v>
      </c>
      <c r="AD417" s="1371">
        <f t="shared" si="341"/>
        <v>0.30000000000000004</v>
      </c>
      <c r="AE417" s="1371">
        <f t="shared" si="341"/>
        <v>0.30000000000000004</v>
      </c>
      <c r="AF417" s="1371">
        <f t="shared" si="341"/>
        <v>0.30000000000000004</v>
      </c>
      <c r="AG417" s="1371">
        <f t="shared" si="341"/>
        <v>0.30000000000000004</v>
      </c>
      <c r="AH417" s="1371">
        <f t="shared" si="341"/>
        <v>0.30000000000000004</v>
      </c>
      <c r="AI417" s="1371">
        <f t="shared" si="341"/>
        <v>0.30000000000000004</v>
      </c>
      <c r="AJ417" s="1010"/>
    </row>
    <row r="418" spans="1:43" s="1011" customFormat="1" ht="12.75" x14ac:dyDescent="0.25">
      <c r="A418" s="1004"/>
      <c r="B418" s="1369" t="str">
        <f t="shared" si="323"/>
        <v>DIVIDENDOS PAGADOS / UTILIDAD NETA EJERCICIO ANTERIOR</v>
      </c>
      <c r="C418" s="1403"/>
      <c r="D418" s="1376"/>
      <c r="E418" s="1366"/>
      <c r="F418" s="1376"/>
      <c r="G418" s="1376"/>
      <c r="H418" s="1366"/>
      <c r="I418" s="1376"/>
      <c r="J418" s="1376"/>
      <c r="K418" s="1366"/>
      <c r="L418" s="1006"/>
      <c r="M418" s="1006"/>
      <c r="N418" s="1366"/>
      <c r="O418" s="1006"/>
      <c r="P418" s="1006"/>
      <c r="Q418" s="1366"/>
      <c r="R418" s="1006"/>
      <c r="S418" s="1404"/>
      <c r="T418" s="1370">
        <f t="shared" ref="T418:AI418" si="342">IF($V$242=$H$913,T471,IF($V$242=$H$914,T518,IF($V$242=$H$915,T565,"SELECCIONAR ESCENARIO")))</f>
        <v>0.67</v>
      </c>
      <c r="U418" s="1370">
        <f t="shared" si="342"/>
        <v>0.67</v>
      </c>
      <c r="V418" s="1370">
        <f t="shared" si="342"/>
        <v>0.67</v>
      </c>
      <c r="W418" s="1370">
        <f t="shared" si="342"/>
        <v>0.67</v>
      </c>
      <c r="X418" s="1370">
        <f t="shared" si="342"/>
        <v>0.67</v>
      </c>
      <c r="Y418" s="1370">
        <f t="shared" si="342"/>
        <v>0.67</v>
      </c>
      <c r="Z418" s="1370">
        <f t="shared" si="342"/>
        <v>0.67</v>
      </c>
      <c r="AA418" s="1370">
        <f t="shared" si="342"/>
        <v>0.67</v>
      </c>
      <c r="AB418" s="1370">
        <f t="shared" si="342"/>
        <v>0.67</v>
      </c>
      <c r="AC418" s="1370">
        <f t="shared" si="342"/>
        <v>0.67</v>
      </c>
      <c r="AD418" s="1371">
        <f t="shared" si="342"/>
        <v>0.67</v>
      </c>
      <c r="AE418" s="1371">
        <f t="shared" si="342"/>
        <v>0.67</v>
      </c>
      <c r="AF418" s="1371">
        <f t="shared" si="342"/>
        <v>0.67</v>
      </c>
      <c r="AG418" s="1371">
        <f t="shared" si="342"/>
        <v>0.67</v>
      </c>
      <c r="AH418" s="1371">
        <f t="shared" si="342"/>
        <v>0.67</v>
      </c>
      <c r="AI418" s="1371">
        <f t="shared" si="342"/>
        <v>0.67</v>
      </c>
      <c r="AJ418" s="1010"/>
    </row>
    <row r="419" spans="1:43" s="1011" customFormat="1" ht="13.5" thickBot="1" x14ac:dyDescent="0.3">
      <c r="A419" s="1004"/>
      <c r="B419" s="1405" t="str">
        <f t="shared" si="323"/>
        <v>VARIACIÓN REVALORIZACIÓN PATRIMONIAL</v>
      </c>
      <c r="C419" s="1406"/>
      <c r="D419" s="1407"/>
      <c r="E419" s="1406"/>
      <c r="F419" s="1407"/>
      <c r="G419" s="1407"/>
      <c r="H419" s="1406"/>
      <c r="I419" s="1407"/>
      <c r="J419" s="1407"/>
      <c r="K419" s="1406"/>
      <c r="L419" s="1246"/>
      <c r="M419" s="1246"/>
      <c r="N419" s="1406"/>
      <c r="O419" s="1246"/>
      <c r="P419" s="1246"/>
      <c r="Q419" s="1406"/>
      <c r="R419" s="1246"/>
      <c r="S419" s="1246"/>
      <c r="T419" s="1408">
        <f t="shared" ref="T419:AI419" si="343">IF($V$242=$H$913,T472,IF($V$242=$H$914,T519,IF($V$242=$H$915,T566,"SELECCIONAR ESCENARIO")))</f>
        <v>0</v>
      </c>
      <c r="U419" s="1408">
        <f t="shared" si="343"/>
        <v>0</v>
      </c>
      <c r="V419" s="1408">
        <f t="shared" si="343"/>
        <v>0</v>
      </c>
      <c r="W419" s="1408">
        <f t="shared" si="343"/>
        <v>0</v>
      </c>
      <c r="X419" s="1408">
        <f t="shared" si="343"/>
        <v>0</v>
      </c>
      <c r="Y419" s="1408">
        <f t="shared" si="343"/>
        <v>0</v>
      </c>
      <c r="Z419" s="1408">
        <f t="shared" si="343"/>
        <v>0</v>
      </c>
      <c r="AA419" s="1408">
        <f t="shared" si="343"/>
        <v>0</v>
      </c>
      <c r="AB419" s="1408">
        <f t="shared" si="343"/>
        <v>0</v>
      </c>
      <c r="AC419" s="1408">
        <f t="shared" si="343"/>
        <v>0</v>
      </c>
      <c r="AD419" s="1409">
        <f t="shared" si="343"/>
        <v>0</v>
      </c>
      <c r="AE419" s="1409">
        <f t="shared" si="343"/>
        <v>0</v>
      </c>
      <c r="AF419" s="1409">
        <f t="shared" si="343"/>
        <v>0</v>
      </c>
      <c r="AG419" s="1409">
        <f t="shared" si="343"/>
        <v>0</v>
      </c>
      <c r="AH419" s="1409">
        <f t="shared" si="343"/>
        <v>0</v>
      </c>
      <c r="AI419" s="1409">
        <f t="shared" si="343"/>
        <v>0</v>
      </c>
      <c r="AJ419" s="1010"/>
    </row>
    <row r="420" spans="1:43" s="496" customFormat="1" ht="13.5" thickBot="1" x14ac:dyDescent="0.25">
      <c r="A420" s="498"/>
      <c r="B420" s="603"/>
      <c r="I420" s="495"/>
      <c r="J420" s="495"/>
      <c r="K420" s="495"/>
      <c r="M420" s="500"/>
      <c r="N420" s="495"/>
      <c r="P420" s="500"/>
      <c r="Q420" s="495"/>
      <c r="S420" s="500"/>
      <c r="T420" s="500"/>
      <c r="AF420" s="1410"/>
      <c r="AJ420" s="778"/>
      <c r="AN420" s="497"/>
      <c r="AO420" s="497"/>
      <c r="AP420" s="497"/>
      <c r="AQ420" s="497"/>
    </row>
    <row r="421" spans="1:43" s="496" customFormat="1" ht="13.5" thickBot="1" x14ac:dyDescent="0.25">
      <c r="A421" s="498"/>
      <c r="B421" s="1411"/>
      <c r="I421" s="495"/>
      <c r="J421" s="495"/>
      <c r="K421" s="495"/>
      <c r="M421" s="500"/>
      <c r="N421" s="495"/>
      <c r="P421" s="500"/>
      <c r="Q421" s="495"/>
      <c r="S421" s="500"/>
      <c r="T421" s="1412" t="s">
        <v>1044</v>
      </c>
      <c r="U421" s="1235" t="s">
        <v>1044</v>
      </c>
      <c r="V421" s="1235" t="s">
        <v>1044</v>
      </c>
      <c r="W421" s="1235" t="s">
        <v>1044</v>
      </c>
      <c r="X421" s="1235" t="s">
        <v>1044</v>
      </c>
      <c r="Y421" s="1235" t="s">
        <v>1044</v>
      </c>
      <c r="Z421" s="1235" t="s">
        <v>1044</v>
      </c>
      <c r="AA421" s="1235" t="s">
        <v>1044</v>
      </c>
      <c r="AB421" s="1235" t="s">
        <v>1044</v>
      </c>
      <c r="AC421" s="1235" t="s">
        <v>1044</v>
      </c>
      <c r="AD421" s="1236" t="s">
        <v>1044</v>
      </c>
      <c r="AE421" s="1236" t="s">
        <v>1044</v>
      </c>
      <c r="AF421" s="1236" t="s">
        <v>1044</v>
      </c>
      <c r="AG421" s="1236" t="s">
        <v>1044</v>
      </c>
      <c r="AH421" s="1236" t="s">
        <v>1044</v>
      </c>
      <c r="AI421" s="1236" t="s">
        <v>1044</v>
      </c>
      <c r="AJ421" s="778"/>
      <c r="AN421" s="497"/>
      <c r="AO421" s="497"/>
      <c r="AP421" s="497"/>
      <c r="AQ421" s="497"/>
    </row>
    <row r="422" spans="1:43" s="496" customFormat="1" ht="12.75" x14ac:dyDescent="0.2">
      <c r="A422" s="498"/>
      <c r="B422" s="1231" t="s">
        <v>1341</v>
      </c>
      <c r="C422" s="1413">
        <f>C15</f>
        <v>2018</v>
      </c>
      <c r="D422" s="1250"/>
      <c r="E422" s="1414">
        <f>E15</f>
        <v>2019</v>
      </c>
      <c r="F422" s="1250"/>
      <c r="G422" s="1250"/>
      <c r="H422" s="1414">
        <f>H15</f>
        <v>2020</v>
      </c>
      <c r="I422" s="1360"/>
      <c r="J422" s="1360"/>
      <c r="K422" s="1414">
        <f>K15</f>
        <v>2020</v>
      </c>
      <c r="L422" s="1250"/>
      <c r="M422" s="1361"/>
      <c r="N422" s="1414">
        <f>N15</f>
        <v>2021</v>
      </c>
      <c r="O422" s="1250"/>
      <c r="P422" s="1361"/>
      <c r="Q422" s="1414">
        <f>Q15</f>
        <v>2021</v>
      </c>
      <c r="R422" s="1250"/>
      <c r="S422" s="1361"/>
      <c r="T422" s="1415">
        <f t="shared" ref="T422:AI422" si="344">T15</f>
        <v>2022</v>
      </c>
      <c r="U422" s="1416">
        <f t="shared" si="344"/>
        <v>2023</v>
      </c>
      <c r="V422" s="1417">
        <f t="shared" si="344"/>
        <v>2024</v>
      </c>
      <c r="W422" s="1417">
        <f t="shared" si="344"/>
        <v>2025</v>
      </c>
      <c r="X422" s="1417">
        <f t="shared" si="344"/>
        <v>2026</v>
      </c>
      <c r="Y422" s="1417">
        <f t="shared" si="344"/>
        <v>2027</v>
      </c>
      <c r="Z422" s="1417">
        <f t="shared" si="344"/>
        <v>2028</v>
      </c>
      <c r="AA422" s="1417">
        <f t="shared" si="344"/>
        <v>2029</v>
      </c>
      <c r="AB422" s="1417">
        <f t="shared" si="344"/>
        <v>2030</v>
      </c>
      <c r="AC422" s="1417">
        <f t="shared" si="344"/>
        <v>2031</v>
      </c>
      <c r="AD422" s="1418">
        <f t="shared" si="344"/>
        <v>2032</v>
      </c>
      <c r="AE422" s="1418">
        <f t="shared" si="344"/>
        <v>2033</v>
      </c>
      <c r="AF422" s="1418">
        <f t="shared" si="344"/>
        <v>2034</v>
      </c>
      <c r="AG422" s="1418">
        <f t="shared" si="344"/>
        <v>2035</v>
      </c>
      <c r="AH422" s="1418">
        <f t="shared" si="344"/>
        <v>2036</v>
      </c>
      <c r="AI422" s="1418">
        <f t="shared" si="344"/>
        <v>2037</v>
      </c>
      <c r="AJ422" s="778"/>
      <c r="AN422" s="497"/>
      <c r="AO422" s="497"/>
      <c r="AP422" s="497"/>
      <c r="AQ422" s="497"/>
    </row>
    <row r="423" spans="1:43" s="496" customFormat="1" ht="12.75" x14ac:dyDescent="0.2">
      <c r="A423" s="498"/>
      <c r="B423" s="1419" t="s">
        <v>1132</v>
      </c>
      <c r="C423" s="549">
        <f>C97</f>
        <v>0</v>
      </c>
      <c r="E423" s="522">
        <f>E97</f>
        <v>0</v>
      </c>
      <c r="H423" s="522">
        <f>H97</f>
        <v>0</v>
      </c>
      <c r="I423" s="495"/>
      <c r="J423" s="495"/>
      <c r="K423" s="522">
        <f>K97</f>
        <v>0</v>
      </c>
      <c r="M423" s="500"/>
      <c r="N423" s="522">
        <f>N97</f>
        <v>0</v>
      </c>
      <c r="P423" s="500"/>
      <c r="Q423" s="522">
        <f>Q97</f>
        <v>0</v>
      </c>
      <c r="S423" s="500"/>
      <c r="T423" s="1420">
        <f>N34*(((D97*100*$C$241)+(F97*100*$E$241)+(I97*100*$H$241)+(O97*100*$N$241)+(R97*100*$Q$241))/100)</f>
        <v>0</v>
      </c>
      <c r="U423" s="1421">
        <f t="shared" ref="U423:AI423" si="345">T423</f>
        <v>0</v>
      </c>
      <c r="V423" s="528">
        <f t="shared" si="345"/>
        <v>0</v>
      </c>
      <c r="W423" s="528">
        <f t="shared" si="345"/>
        <v>0</v>
      </c>
      <c r="X423" s="528">
        <f t="shared" si="345"/>
        <v>0</v>
      </c>
      <c r="Y423" s="528">
        <f t="shared" si="345"/>
        <v>0</v>
      </c>
      <c r="Z423" s="528">
        <f t="shared" si="345"/>
        <v>0</v>
      </c>
      <c r="AA423" s="528">
        <f t="shared" si="345"/>
        <v>0</v>
      </c>
      <c r="AB423" s="528">
        <f t="shared" si="345"/>
        <v>0</v>
      </c>
      <c r="AC423" s="528">
        <f t="shared" si="345"/>
        <v>0</v>
      </c>
      <c r="AD423" s="1422">
        <f t="shared" si="345"/>
        <v>0</v>
      </c>
      <c r="AE423" s="1422">
        <f t="shared" si="345"/>
        <v>0</v>
      </c>
      <c r="AF423" s="1422">
        <f t="shared" si="345"/>
        <v>0</v>
      </c>
      <c r="AG423" s="1422">
        <f t="shared" si="345"/>
        <v>0</v>
      </c>
      <c r="AH423" s="1422">
        <f t="shared" si="345"/>
        <v>0</v>
      </c>
      <c r="AI423" s="1422">
        <f t="shared" si="345"/>
        <v>0</v>
      </c>
      <c r="AJ423" s="778"/>
      <c r="AN423" s="497"/>
      <c r="AO423" s="497"/>
      <c r="AP423" s="497"/>
      <c r="AQ423" s="497"/>
    </row>
    <row r="424" spans="1:43" s="496" customFormat="1" ht="12.75" x14ac:dyDescent="0.2">
      <c r="A424" s="498"/>
      <c r="B424" s="1423" t="s">
        <v>1133</v>
      </c>
      <c r="C424" s="1424">
        <f>C98</f>
        <v>0</v>
      </c>
      <c r="E424" s="525">
        <f>E98</f>
        <v>0</v>
      </c>
      <c r="H424" s="525">
        <f>H98</f>
        <v>0</v>
      </c>
      <c r="I424" s="495"/>
      <c r="J424" s="495"/>
      <c r="K424" s="525">
        <f>K98</f>
        <v>0</v>
      </c>
      <c r="M424" s="500"/>
      <c r="N424" s="525">
        <f>N98</f>
        <v>0</v>
      </c>
      <c r="P424" s="500"/>
      <c r="Q424" s="525">
        <f>Q98</f>
        <v>0</v>
      </c>
      <c r="S424" s="500"/>
      <c r="T424" s="1425">
        <f>N59*(((D98*100*$C$241)+(F98*100*$E$241)+(I98*100*$H$241)+(O98*100*$N$241)+(R98*100*$Q$241))/100)</f>
        <v>0</v>
      </c>
      <c r="U424" s="1426">
        <f t="shared" ref="U424:AI424" si="346">T424</f>
        <v>0</v>
      </c>
      <c r="V424" s="570">
        <f t="shared" si="346"/>
        <v>0</v>
      </c>
      <c r="W424" s="570">
        <f t="shared" si="346"/>
        <v>0</v>
      </c>
      <c r="X424" s="570">
        <f t="shared" si="346"/>
        <v>0</v>
      </c>
      <c r="Y424" s="570">
        <f t="shared" si="346"/>
        <v>0</v>
      </c>
      <c r="Z424" s="570">
        <f t="shared" si="346"/>
        <v>0</v>
      </c>
      <c r="AA424" s="570">
        <f t="shared" si="346"/>
        <v>0</v>
      </c>
      <c r="AB424" s="570">
        <f t="shared" si="346"/>
        <v>0</v>
      </c>
      <c r="AC424" s="570">
        <f t="shared" si="346"/>
        <v>0</v>
      </c>
      <c r="AD424" s="1427">
        <f t="shared" si="346"/>
        <v>0</v>
      </c>
      <c r="AE424" s="1427">
        <f t="shared" si="346"/>
        <v>0</v>
      </c>
      <c r="AF424" s="1427">
        <f t="shared" si="346"/>
        <v>0</v>
      </c>
      <c r="AG424" s="1427">
        <f t="shared" si="346"/>
        <v>0</v>
      </c>
      <c r="AH424" s="1427">
        <f t="shared" si="346"/>
        <v>0</v>
      </c>
      <c r="AI424" s="1427">
        <f t="shared" si="346"/>
        <v>0</v>
      </c>
      <c r="AJ424" s="778"/>
      <c r="AN424" s="497"/>
      <c r="AO424" s="497"/>
      <c r="AP424" s="497"/>
      <c r="AQ424" s="497"/>
    </row>
    <row r="425" spans="1:43" s="496" customFormat="1" ht="13.5" thickBot="1" x14ac:dyDescent="0.25">
      <c r="A425" s="498"/>
      <c r="B425" s="1428" t="s">
        <v>1342</v>
      </c>
      <c r="C425" s="1429">
        <f>C423-C424</f>
        <v>0</v>
      </c>
      <c r="D425" s="1430"/>
      <c r="E425" s="1431">
        <f>E423-E424</f>
        <v>0</v>
      </c>
      <c r="F425" s="1430"/>
      <c r="G425" s="1430"/>
      <c r="H425" s="1431">
        <f>H423-H424</f>
        <v>0</v>
      </c>
      <c r="I425" s="1432"/>
      <c r="J425" s="1432"/>
      <c r="K425" s="1431">
        <f>K423-K424</f>
        <v>0</v>
      </c>
      <c r="L425" s="1430"/>
      <c r="M425" s="1433"/>
      <c r="N425" s="1431">
        <f>N423-N424</f>
        <v>0</v>
      </c>
      <c r="O425" s="1430"/>
      <c r="P425" s="1433"/>
      <c r="Q425" s="1431">
        <f>Q423-Q424</f>
        <v>0</v>
      </c>
      <c r="R425" s="1430"/>
      <c r="S425" s="1433"/>
      <c r="T425" s="1434">
        <f t="shared" ref="T425:AI425" si="347">T423-T424</f>
        <v>0</v>
      </c>
      <c r="U425" s="1435">
        <f t="shared" si="347"/>
        <v>0</v>
      </c>
      <c r="V425" s="1436">
        <f t="shared" si="347"/>
        <v>0</v>
      </c>
      <c r="W425" s="1436">
        <f t="shared" si="347"/>
        <v>0</v>
      </c>
      <c r="X425" s="1436">
        <f t="shared" si="347"/>
        <v>0</v>
      </c>
      <c r="Y425" s="1436">
        <f t="shared" si="347"/>
        <v>0</v>
      </c>
      <c r="Z425" s="1436">
        <f t="shared" si="347"/>
        <v>0</v>
      </c>
      <c r="AA425" s="1436">
        <f t="shared" si="347"/>
        <v>0</v>
      </c>
      <c r="AB425" s="1436">
        <f t="shared" si="347"/>
        <v>0</v>
      </c>
      <c r="AC425" s="1436">
        <f t="shared" si="347"/>
        <v>0</v>
      </c>
      <c r="AD425" s="1437">
        <f t="shared" si="347"/>
        <v>0</v>
      </c>
      <c r="AE425" s="1437">
        <f t="shared" si="347"/>
        <v>0</v>
      </c>
      <c r="AF425" s="1437">
        <f t="shared" si="347"/>
        <v>0</v>
      </c>
      <c r="AG425" s="1437">
        <f t="shared" si="347"/>
        <v>0</v>
      </c>
      <c r="AH425" s="1437">
        <f t="shared" si="347"/>
        <v>0</v>
      </c>
      <c r="AI425" s="1437">
        <f t="shared" si="347"/>
        <v>0</v>
      </c>
      <c r="AJ425" s="778"/>
      <c r="AN425" s="497"/>
      <c r="AO425" s="497"/>
      <c r="AP425" s="497"/>
      <c r="AQ425" s="497"/>
    </row>
    <row r="426" spans="1:43" s="496" customFormat="1" ht="13.5" thickBot="1" x14ac:dyDescent="0.25">
      <c r="A426" s="498"/>
      <c r="B426" s="603"/>
      <c r="C426" s="1438"/>
      <c r="E426" s="1439"/>
      <c r="H426" s="1439"/>
      <c r="I426" s="495"/>
      <c r="J426" s="495"/>
      <c r="K426" s="1439"/>
      <c r="M426" s="500"/>
      <c r="N426" s="1439"/>
      <c r="P426" s="500"/>
      <c r="Q426" s="1439"/>
      <c r="S426" s="500"/>
      <c r="T426" s="1440"/>
      <c r="U426" s="1439"/>
      <c r="V426" s="1439"/>
      <c r="W426" s="1439"/>
      <c r="X426" s="1439"/>
      <c r="Y426" s="1439"/>
      <c r="Z426" s="1439"/>
      <c r="AA426" s="1439"/>
      <c r="AB426" s="1439"/>
      <c r="AC426" s="1439"/>
      <c r="AD426" s="1439"/>
      <c r="AF426" s="1410"/>
      <c r="AJ426" s="778"/>
      <c r="AN426" s="497"/>
      <c r="AO426" s="497"/>
      <c r="AP426" s="497"/>
      <c r="AQ426" s="497"/>
    </row>
    <row r="427" spans="1:43" s="496" customFormat="1" ht="13.5" thickBot="1" x14ac:dyDescent="0.25">
      <c r="A427" s="498"/>
      <c r="B427" s="603"/>
      <c r="I427" s="495"/>
      <c r="J427" s="495"/>
      <c r="K427" s="495"/>
      <c r="M427" s="500"/>
      <c r="N427" s="495"/>
      <c r="P427" s="500"/>
      <c r="Q427" s="495"/>
      <c r="S427" s="500"/>
      <c r="T427" s="1412" t="s">
        <v>1044</v>
      </c>
      <c r="U427" s="1235" t="s">
        <v>1044</v>
      </c>
      <c r="V427" s="1235" t="s">
        <v>1044</v>
      </c>
      <c r="W427" s="1235" t="s">
        <v>1044</v>
      </c>
      <c r="X427" s="1235" t="s">
        <v>1044</v>
      </c>
      <c r="Y427" s="1235" t="s">
        <v>1044</v>
      </c>
      <c r="Z427" s="1235" t="s">
        <v>1044</v>
      </c>
      <c r="AA427" s="1235" t="s">
        <v>1044</v>
      </c>
      <c r="AB427" s="1235" t="s">
        <v>1044</v>
      </c>
      <c r="AC427" s="1235" t="s">
        <v>1044</v>
      </c>
      <c r="AD427" s="1236" t="s">
        <v>1044</v>
      </c>
      <c r="AE427" s="1236" t="s">
        <v>1044</v>
      </c>
      <c r="AF427" s="1236" t="s">
        <v>1044</v>
      </c>
      <c r="AG427" s="1236" t="s">
        <v>1044</v>
      </c>
      <c r="AH427" s="1236" t="s">
        <v>1044</v>
      </c>
      <c r="AI427" s="1236" t="s">
        <v>1044</v>
      </c>
      <c r="AJ427" s="778"/>
      <c r="AN427" s="497"/>
      <c r="AO427" s="497"/>
      <c r="AP427" s="497"/>
      <c r="AQ427" s="497"/>
    </row>
    <row r="428" spans="1:43" s="496" customFormat="1" ht="12.75" x14ac:dyDescent="0.2">
      <c r="A428" s="498"/>
      <c r="B428" s="1231" t="s">
        <v>1343</v>
      </c>
      <c r="C428" s="1413">
        <f>C15</f>
        <v>2018</v>
      </c>
      <c r="D428" s="1250"/>
      <c r="E428" s="1414">
        <f>E15</f>
        <v>2019</v>
      </c>
      <c r="F428" s="1250"/>
      <c r="G428" s="1250"/>
      <c r="H428" s="1414">
        <f>H15</f>
        <v>2020</v>
      </c>
      <c r="I428" s="1360"/>
      <c r="J428" s="1360"/>
      <c r="K428" s="1414">
        <f>K15</f>
        <v>2020</v>
      </c>
      <c r="L428" s="1250"/>
      <c r="M428" s="1361"/>
      <c r="N428" s="1414">
        <f>N15</f>
        <v>2021</v>
      </c>
      <c r="O428" s="1250"/>
      <c r="P428" s="1361"/>
      <c r="Q428" s="1414">
        <f>Q15</f>
        <v>2021</v>
      </c>
      <c r="R428" s="1250"/>
      <c r="S428" s="1361"/>
      <c r="T428" s="1415">
        <f t="shared" ref="T428:AI428" si="348">T15</f>
        <v>2022</v>
      </c>
      <c r="U428" s="1441">
        <f t="shared" si="348"/>
        <v>2023</v>
      </c>
      <c r="V428" s="1441">
        <f t="shared" si="348"/>
        <v>2024</v>
      </c>
      <c r="W428" s="1441">
        <f t="shared" si="348"/>
        <v>2025</v>
      </c>
      <c r="X428" s="1441">
        <f t="shared" si="348"/>
        <v>2026</v>
      </c>
      <c r="Y428" s="1441">
        <f t="shared" si="348"/>
        <v>2027</v>
      </c>
      <c r="Z428" s="1441">
        <f t="shared" si="348"/>
        <v>2028</v>
      </c>
      <c r="AA428" s="1441">
        <f t="shared" si="348"/>
        <v>2029</v>
      </c>
      <c r="AB428" s="1441">
        <f t="shared" si="348"/>
        <v>2030</v>
      </c>
      <c r="AC428" s="1441">
        <f t="shared" si="348"/>
        <v>2031</v>
      </c>
      <c r="AD428" s="1442">
        <f t="shared" si="348"/>
        <v>2032</v>
      </c>
      <c r="AE428" s="1442">
        <f t="shared" si="348"/>
        <v>2033</v>
      </c>
      <c r="AF428" s="1442">
        <f t="shared" si="348"/>
        <v>2034</v>
      </c>
      <c r="AG428" s="1442">
        <f t="shared" si="348"/>
        <v>2035</v>
      </c>
      <c r="AH428" s="1442">
        <f t="shared" si="348"/>
        <v>2036</v>
      </c>
      <c r="AI428" s="1442">
        <f t="shared" si="348"/>
        <v>2037</v>
      </c>
      <c r="AJ428" s="778"/>
      <c r="AN428" s="497"/>
      <c r="AO428" s="497"/>
      <c r="AP428" s="497"/>
      <c r="AQ428" s="497"/>
    </row>
    <row r="429" spans="1:43" s="496" customFormat="1" ht="12.75" x14ac:dyDescent="0.2">
      <c r="A429" s="498"/>
      <c r="B429" s="1419" t="s">
        <v>870</v>
      </c>
      <c r="C429" s="1443">
        <v>6.8000000000000005E-2</v>
      </c>
      <c r="E429" s="1444">
        <v>3.6999999999999998E-2</v>
      </c>
      <c r="H429" s="1444">
        <v>2.4400000000000002E-2</v>
      </c>
      <c r="I429" s="495"/>
      <c r="J429" s="495"/>
      <c r="K429" s="1444" t="s">
        <v>1260</v>
      </c>
      <c r="M429" s="500"/>
      <c r="N429" s="1444">
        <v>3.6600000000000001E-2</v>
      </c>
      <c r="P429" s="500"/>
      <c r="Q429" s="1444" t="s">
        <v>1260</v>
      </c>
      <c r="S429" s="500"/>
      <c r="T429" s="1445">
        <v>6.7699999999999996E-2</v>
      </c>
      <c r="U429" s="1444">
        <v>3.6400000000000002E-2</v>
      </c>
      <c r="V429" s="1444">
        <f t="shared" ref="V429:AI429" si="349">IF($V$242=$H$913,V476,IF($V$242=$H$914,V523,IF($V$242=$H$915,V570,"SELECCIONAR ESCENARIO")))</f>
        <v>0.03</v>
      </c>
      <c r="W429" s="1444">
        <f t="shared" si="349"/>
        <v>0.03</v>
      </c>
      <c r="X429" s="1444">
        <f t="shared" si="349"/>
        <v>0.03</v>
      </c>
      <c r="Y429" s="1444">
        <f t="shared" si="349"/>
        <v>0.03</v>
      </c>
      <c r="Z429" s="1444">
        <f t="shared" si="349"/>
        <v>0.03</v>
      </c>
      <c r="AA429" s="1444">
        <f t="shared" si="349"/>
        <v>0.03</v>
      </c>
      <c r="AB429" s="1444">
        <f t="shared" si="349"/>
        <v>0.03</v>
      </c>
      <c r="AC429" s="1444">
        <f t="shared" si="349"/>
        <v>0.03</v>
      </c>
      <c r="AD429" s="1446">
        <f t="shared" si="349"/>
        <v>0.03</v>
      </c>
      <c r="AE429" s="1446">
        <f t="shared" si="349"/>
        <v>0.03</v>
      </c>
      <c r="AF429" s="1446">
        <f t="shared" si="349"/>
        <v>0.03</v>
      </c>
      <c r="AG429" s="1446">
        <f t="shared" si="349"/>
        <v>0.03</v>
      </c>
      <c r="AH429" s="1446">
        <f t="shared" si="349"/>
        <v>0.03</v>
      </c>
      <c r="AI429" s="1446">
        <f t="shared" si="349"/>
        <v>0.03</v>
      </c>
      <c r="AJ429" s="778"/>
      <c r="AN429" s="497"/>
      <c r="AO429" s="497"/>
      <c r="AP429" s="497"/>
      <c r="AQ429" s="497"/>
    </row>
    <row r="430" spans="1:43" s="496" customFormat="1" ht="12.75" x14ac:dyDescent="0.2">
      <c r="A430" s="498"/>
      <c r="B430" s="1423" t="s">
        <v>872</v>
      </c>
      <c r="C430" s="1447">
        <v>4.4900000000000002E-2</v>
      </c>
      <c r="E430" s="1448">
        <v>-0.13397724183117241</v>
      </c>
      <c r="H430" s="1448">
        <v>-9.0066906845084921E-2</v>
      </c>
      <c r="I430" s="495"/>
      <c r="J430" s="495"/>
      <c r="K430" s="1448" t="s">
        <v>1260</v>
      </c>
      <c r="M430" s="500"/>
      <c r="N430" s="1448">
        <v>0.32480404320537187</v>
      </c>
      <c r="P430" s="500"/>
      <c r="Q430" s="1448" t="s">
        <v>1260</v>
      </c>
      <c r="S430" s="500"/>
      <c r="T430" s="1449">
        <v>0.38507704050111063</v>
      </c>
      <c r="U430" s="1448">
        <v>-0.13692170398303674</v>
      </c>
      <c r="V430" s="1448">
        <f t="shared" ref="V430:AI430" si="350">IF($V$242=$H$913,V477,IF($V$242=$H$914,V524,IF($V$242=$H$915,V571,"SELECCIONAR ESCENARIO")))</f>
        <v>2.5000000000000001E-2</v>
      </c>
      <c r="W430" s="1448">
        <f t="shared" si="350"/>
        <v>0.04</v>
      </c>
      <c r="X430" s="1448">
        <f t="shared" si="350"/>
        <v>0.04</v>
      </c>
      <c r="Y430" s="1448">
        <f t="shared" si="350"/>
        <v>0.04</v>
      </c>
      <c r="Z430" s="1448">
        <f t="shared" si="350"/>
        <v>0.04</v>
      </c>
      <c r="AA430" s="1448">
        <f t="shared" si="350"/>
        <v>0.04</v>
      </c>
      <c r="AB430" s="1448">
        <f t="shared" si="350"/>
        <v>0.04</v>
      </c>
      <c r="AC430" s="1448">
        <f t="shared" si="350"/>
        <v>0.04</v>
      </c>
      <c r="AD430" s="1450">
        <f t="shared" si="350"/>
        <v>0.04</v>
      </c>
      <c r="AE430" s="1450">
        <f t="shared" si="350"/>
        <v>0.04</v>
      </c>
      <c r="AF430" s="1450">
        <f t="shared" si="350"/>
        <v>0.04</v>
      </c>
      <c r="AG430" s="1450">
        <f t="shared" si="350"/>
        <v>0.04</v>
      </c>
      <c r="AH430" s="1450">
        <f t="shared" si="350"/>
        <v>0.04</v>
      </c>
      <c r="AI430" s="1450">
        <f t="shared" si="350"/>
        <v>0.04</v>
      </c>
      <c r="AJ430" s="778"/>
      <c r="AN430" s="497"/>
      <c r="AO430" s="497"/>
      <c r="AP430" s="497"/>
      <c r="AQ430" s="497"/>
    </row>
    <row r="431" spans="1:43" s="496" customFormat="1" ht="12.75" x14ac:dyDescent="0.2">
      <c r="A431" s="498"/>
      <c r="B431" s="1423" t="s">
        <v>874</v>
      </c>
      <c r="C431" s="1447">
        <v>6.5799999999999997E-2</v>
      </c>
      <c r="E431" s="1448">
        <v>4.0399999999999998E-2</v>
      </c>
      <c r="H431" s="1448">
        <v>4.9299999999999997E-2</v>
      </c>
      <c r="I431" s="495"/>
      <c r="J431" s="495"/>
      <c r="K431" s="1448" t="s">
        <v>1260</v>
      </c>
      <c r="M431" s="500"/>
      <c r="N431" s="1448">
        <v>4.5499999999999999E-2</v>
      </c>
      <c r="P431" s="500"/>
      <c r="Q431" s="1448" t="s">
        <v>1260</v>
      </c>
      <c r="S431" s="500"/>
      <c r="T431" s="1449">
        <v>2.7900000000000001E-2</v>
      </c>
      <c r="U431" s="1448">
        <v>2.8500000000000001E-2</v>
      </c>
      <c r="V431" s="1448">
        <f t="shared" ref="V431:AI431" si="351">IF($V$242=$H$913,V478,IF($V$242=$H$914,V525,IF($V$242=$H$915,V572,"SELECCIONAR ESCENARIO")))</f>
        <v>-0.24420714285714296</v>
      </c>
      <c r="W431" s="1448">
        <f t="shared" si="351"/>
        <v>3.5001086843522877E-2</v>
      </c>
      <c r="X431" s="1448">
        <f t="shared" si="351"/>
        <v>3.499999999999992E-2</v>
      </c>
      <c r="Y431" s="1448">
        <f t="shared" si="351"/>
        <v>3.5000000000000003E-2</v>
      </c>
      <c r="Z431" s="1448">
        <f t="shared" si="351"/>
        <v>3.5000000000000003E-2</v>
      </c>
      <c r="AA431" s="1448">
        <f t="shared" si="351"/>
        <v>3.5000000000000003E-2</v>
      </c>
      <c r="AB431" s="1448">
        <f t="shared" si="351"/>
        <v>3.5000000000000003E-2</v>
      </c>
      <c r="AC431" s="1448">
        <f t="shared" si="351"/>
        <v>3.5000000000000003E-2</v>
      </c>
      <c r="AD431" s="1450">
        <f t="shared" si="351"/>
        <v>3.5000000000000003E-2</v>
      </c>
      <c r="AE431" s="1450">
        <f t="shared" si="351"/>
        <v>3.5000000000000003E-2</v>
      </c>
      <c r="AF431" s="1450">
        <f t="shared" si="351"/>
        <v>3.5000000000000003E-2</v>
      </c>
      <c r="AG431" s="1450">
        <f t="shared" si="351"/>
        <v>3.5000000000000003E-2</v>
      </c>
      <c r="AH431" s="1450">
        <f t="shared" si="351"/>
        <v>3.5000000000000003E-2</v>
      </c>
      <c r="AI431" s="1450">
        <f t="shared" si="351"/>
        <v>3.5000000000000003E-2</v>
      </c>
      <c r="AJ431" s="778"/>
      <c r="AN431" s="497"/>
      <c r="AO431" s="497"/>
      <c r="AP431" s="497"/>
      <c r="AQ431" s="497"/>
    </row>
    <row r="432" spans="1:43" s="1372" customFormat="1" ht="13.5" thickBot="1" x14ac:dyDescent="0.25">
      <c r="A432" s="1451"/>
      <c r="B432" s="1452" t="s">
        <v>1344</v>
      </c>
      <c r="C432" s="1453">
        <v>2243.59</v>
      </c>
      <c r="D432" s="1454"/>
      <c r="E432" s="1455">
        <v>1943</v>
      </c>
      <c r="F432" s="1454"/>
      <c r="G432" s="1454"/>
      <c r="H432" s="1455">
        <v>1768</v>
      </c>
      <c r="I432" s="1456"/>
      <c r="J432" s="1456"/>
      <c r="K432" s="1457" t="s">
        <v>1260</v>
      </c>
      <c r="L432" s="1454"/>
      <c r="M432" s="1458"/>
      <c r="N432" s="1457">
        <v>2342.2535483870975</v>
      </c>
      <c r="O432" s="1454"/>
      <c r="P432" s="1458"/>
      <c r="Q432" s="1457" t="s">
        <v>1260</v>
      </c>
      <c r="R432" s="1454"/>
      <c r="S432" s="1458"/>
      <c r="T432" s="1459">
        <v>3244.2016129032259</v>
      </c>
      <c r="U432" s="1457">
        <v>2800</v>
      </c>
      <c r="V432" s="1457">
        <f t="shared" ref="V432:AI432" si="352">IF($V$242=$H$913,V479,IF($V$242=$H$914,V526,IF($V$242=$H$915,V573,"SELECCIONAR ESCENARIO")))</f>
        <v>2116.2199999999998</v>
      </c>
      <c r="W432" s="1457">
        <f t="shared" si="352"/>
        <v>2190.29</v>
      </c>
      <c r="X432" s="1457">
        <f t="shared" si="352"/>
        <v>2266.9501499999997</v>
      </c>
      <c r="Y432" s="1457">
        <f t="shared" si="352"/>
        <v>2346.2934052499995</v>
      </c>
      <c r="Z432" s="1457">
        <f t="shared" si="352"/>
        <v>2428.4136744337493</v>
      </c>
      <c r="AA432" s="1457">
        <f t="shared" si="352"/>
        <v>2513.4081530389303</v>
      </c>
      <c r="AB432" s="1457">
        <f t="shared" si="352"/>
        <v>2601.3774383952928</v>
      </c>
      <c r="AC432" s="1457">
        <f t="shared" si="352"/>
        <v>2692.4256487391276</v>
      </c>
      <c r="AD432" s="1460">
        <f t="shared" si="352"/>
        <v>2786.6605464449967</v>
      </c>
      <c r="AE432" s="1460">
        <f t="shared" si="352"/>
        <v>2884.1936655705713</v>
      </c>
      <c r="AF432" s="1460">
        <f t="shared" si="352"/>
        <v>2985.1404438655409</v>
      </c>
      <c r="AG432" s="1460">
        <f t="shared" si="352"/>
        <v>3089.6203594008348</v>
      </c>
      <c r="AH432" s="1460">
        <f t="shared" si="352"/>
        <v>3197.7570719798637</v>
      </c>
      <c r="AI432" s="1460">
        <f t="shared" si="352"/>
        <v>3309.6785694991586</v>
      </c>
      <c r="AJ432" s="1461"/>
      <c r="AN432" s="1462"/>
      <c r="AO432" s="1462"/>
      <c r="AP432" s="1462"/>
      <c r="AQ432" s="1462"/>
    </row>
    <row r="433" spans="1:43" s="496" customFormat="1" ht="12.75" x14ac:dyDescent="0.2">
      <c r="A433" s="498"/>
      <c r="B433" s="603"/>
      <c r="C433" s="1463"/>
      <c r="E433" s="1463"/>
      <c r="H433" s="1463"/>
      <c r="I433" s="495"/>
      <c r="J433" s="495"/>
      <c r="K433" s="1463"/>
      <c r="M433" s="500"/>
      <c r="N433" s="1463"/>
      <c r="P433" s="500"/>
      <c r="Q433" s="1463"/>
      <c r="S433" s="500"/>
      <c r="T433" s="1464" t="str">
        <f>T480</f>
        <v>FUENTES PARA INFORMACIÓN INICIAL DE PROYECCIÓN: BANCO DE LA REPÚBLICA, DIRECCIÓN EJECUTIVA DE ESTUDIOS ECONÓMICOS, CÁLCULOS DAVIVIENDA</v>
      </c>
      <c r="U433" s="1463"/>
      <c r="V433" s="1463"/>
      <c r="W433" s="1463"/>
      <c r="X433" s="1463"/>
      <c r="Y433" s="1463"/>
      <c r="Z433" s="1463"/>
      <c r="AA433" s="1463"/>
      <c r="AB433" s="1463"/>
      <c r="AC433" s="1463"/>
      <c r="AD433" s="1463"/>
      <c r="AF433" s="1250"/>
      <c r="AJ433" s="778"/>
      <c r="AN433" s="497"/>
      <c r="AO433" s="497"/>
      <c r="AP433" s="497"/>
      <c r="AQ433" s="497"/>
    </row>
    <row r="434" spans="1:43" s="1011" customFormat="1" ht="13.5" thickBot="1" x14ac:dyDescent="0.3">
      <c r="A434" s="1004"/>
      <c r="B434" s="1465"/>
      <c r="C434" s="1466"/>
      <c r="D434" s="1006"/>
      <c r="E434" s="1467"/>
      <c r="F434" s="1006"/>
      <c r="G434" s="1006"/>
      <c r="H434" s="1228"/>
      <c r="I434" s="1006"/>
      <c r="J434" s="1006"/>
      <c r="K434" s="1228"/>
      <c r="L434" s="1006"/>
      <c r="M434" s="1006"/>
      <c r="N434" s="1228"/>
      <c r="O434" s="1006"/>
      <c r="P434" s="1006"/>
      <c r="Q434" s="1228"/>
      <c r="R434" s="1006"/>
      <c r="S434" s="1006"/>
      <c r="T434" s="1365"/>
      <c r="U434" s="1365"/>
      <c r="V434" s="1365"/>
      <c r="W434" s="1365"/>
      <c r="X434" s="1365"/>
      <c r="Y434" s="1365"/>
      <c r="Z434" s="1365"/>
      <c r="AA434" s="1365"/>
      <c r="AB434" s="1365"/>
      <c r="AC434" s="1365"/>
      <c r="AD434" s="1365"/>
      <c r="AE434" s="1006"/>
      <c r="AF434" s="1006"/>
      <c r="AG434" s="1006"/>
      <c r="AH434" s="1006"/>
      <c r="AI434" s="1006"/>
      <c r="AJ434" s="1010"/>
    </row>
    <row r="435" spans="1:43" s="1011" customFormat="1" ht="13.5" thickBot="1" x14ac:dyDescent="0.3">
      <c r="A435" s="1004"/>
      <c r="B435" s="1468" t="str">
        <f>"INFORMACIÓN HISTÓRICA - ESCENARIO "&amp;H913</f>
        <v>INFORMACIÓN HISTÓRICA - ESCENARIO BASE</v>
      </c>
      <c r="C435" s="1466"/>
      <c r="D435" s="1006"/>
      <c r="E435" s="1228"/>
      <c r="F435" s="1006"/>
      <c r="G435" s="1006"/>
      <c r="H435" s="1228"/>
      <c r="I435" s="1006"/>
      <c r="J435" s="1006"/>
      <c r="K435" s="1228"/>
      <c r="L435" s="1006"/>
      <c r="M435" s="1006"/>
      <c r="N435" s="1228"/>
      <c r="O435" s="1006"/>
      <c r="P435" s="1006"/>
      <c r="Q435" s="1228"/>
      <c r="R435" s="1006"/>
      <c r="S435" s="1006"/>
      <c r="T435" s="1469" t="str">
        <f>"PROYECCIÓN ESCENARIO "&amp;H913</f>
        <v>PROYECCIÓN ESCENARIO BASE</v>
      </c>
      <c r="U435" s="1470"/>
      <c r="V435" s="1471"/>
      <c r="W435" s="1365"/>
      <c r="X435" s="1365"/>
      <c r="Y435" s="1365"/>
      <c r="Z435" s="1365"/>
      <c r="AA435" s="1365"/>
      <c r="AB435" s="1365"/>
      <c r="AC435" s="1365"/>
      <c r="AD435" s="1365"/>
      <c r="AE435" s="1006"/>
      <c r="AF435" s="1006"/>
      <c r="AG435" s="1006"/>
      <c r="AH435" s="1006"/>
      <c r="AI435" s="1006"/>
      <c r="AJ435" s="1010"/>
    </row>
    <row r="436" spans="1:43" s="1011" customFormat="1" ht="13.5" thickBot="1" x14ac:dyDescent="0.3">
      <c r="A436" s="1004"/>
      <c r="B436" s="1472"/>
      <c r="C436" s="1473"/>
      <c r="D436" s="1473"/>
      <c r="E436" s="1228"/>
      <c r="F436" s="1006"/>
      <c r="G436" s="1006"/>
      <c r="H436" s="1228"/>
      <c r="I436" s="1006"/>
      <c r="J436" s="1006"/>
      <c r="K436" s="1228"/>
      <c r="L436" s="1006"/>
      <c r="M436" s="1006"/>
      <c r="N436" s="1228"/>
      <c r="O436" s="1006"/>
      <c r="P436" s="1006"/>
      <c r="Q436" s="1228"/>
      <c r="R436" s="1006"/>
      <c r="S436" s="1006"/>
      <c r="T436" s="1365"/>
      <c r="U436" s="1365"/>
      <c r="V436" s="1365"/>
      <c r="W436" s="1365"/>
      <c r="X436" s="1365"/>
      <c r="Y436" s="1365"/>
      <c r="Z436" s="1365"/>
      <c r="AA436" s="1365"/>
      <c r="AB436" s="1365"/>
      <c r="AC436" s="1365"/>
      <c r="AD436" s="1365"/>
      <c r="AE436" s="1474"/>
      <c r="AF436" s="1475"/>
      <c r="AG436" s="1006"/>
      <c r="AH436" s="1006"/>
      <c r="AI436" s="1006"/>
      <c r="AJ436" s="1010"/>
    </row>
    <row r="437" spans="1:43" s="1011" customFormat="1" ht="13.5" thickBot="1" x14ac:dyDescent="0.3">
      <c r="A437" s="1004"/>
      <c r="B437" s="1476"/>
      <c r="C437" s="1228"/>
      <c r="D437" s="1006"/>
      <c r="E437" s="1228"/>
      <c r="F437" s="1006"/>
      <c r="G437" s="1006"/>
      <c r="H437" s="1228"/>
      <c r="I437" s="1006"/>
      <c r="J437" s="1006"/>
      <c r="K437" s="1228"/>
      <c r="L437" s="1006"/>
      <c r="M437" s="1006"/>
      <c r="N437" s="1228"/>
      <c r="O437" s="1006"/>
      <c r="P437" s="1006"/>
      <c r="Q437" s="1228"/>
      <c r="R437" s="1006"/>
      <c r="S437" s="1006"/>
      <c r="T437" s="1477" t="s">
        <v>1044</v>
      </c>
      <c r="U437" s="1478" t="s">
        <v>1044</v>
      </c>
      <c r="V437" s="1478" t="s">
        <v>1044</v>
      </c>
      <c r="W437" s="1478" t="s">
        <v>1044</v>
      </c>
      <c r="X437" s="1478" t="s">
        <v>1044</v>
      </c>
      <c r="Y437" s="1478" t="s">
        <v>1044</v>
      </c>
      <c r="Z437" s="1478" t="s">
        <v>1044</v>
      </c>
      <c r="AA437" s="1478" t="s">
        <v>1044</v>
      </c>
      <c r="AB437" s="1478" t="s">
        <v>1044</v>
      </c>
      <c r="AC437" s="1478" t="s">
        <v>1044</v>
      </c>
      <c r="AD437" s="1479" t="s">
        <v>1044</v>
      </c>
      <c r="AE437" s="1479" t="s">
        <v>1044</v>
      </c>
      <c r="AF437" s="1479" t="s">
        <v>1044</v>
      </c>
      <c r="AG437" s="1479" t="s">
        <v>1044</v>
      </c>
      <c r="AH437" s="1479" t="s">
        <v>1044</v>
      </c>
      <c r="AI437" s="1479" t="s">
        <v>1044</v>
      </c>
      <c r="AJ437" s="1010"/>
    </row>
    <row r="438" spans="1:43" s="1011" customFormat="1" ht="12.75" x14ac:dyDescent="0.25">
      <c r="A438" s="1004"/>
      <c r="B438" s="1480" t="s">
        <v>1345</v>
      </c>
      <c r="C438" s="1481">
        <f>C15</f>
        <v>2018</v>
      </c>
      <c r="D438" s="1482"/>
      <c r="E438" s="1483">
        <f>E15</f>
        <v>2019</v>
      </c>
      <c r="F438" s="1482"/>
      <c r="G438" s="1482"/>
      <c r="H438" s="1483">
        <f>H15</f>
        <v>2020</v>
      </c>
      <c r="I438" s="1484"/>
      <c r="J438" s="1484"/>
      <c r="K438" s="1483">
        <f>K15</f>
        <v>2020</v>
      </c>
      <c r="L438" s="1485"/>
      <c r="M438" s="1485"/>
      <c r="N438" s="1483">
        <f>N15</f>
        <v>2021</v>
      </c>
      <c r="O438" s="1485"/>
      <c r="P438" s="1485"/>
      <c r="Q438" s="1483">
        <f>Q15</f>
        <v>2021</v>
      </c>
      <c r="R438" s="1485"/>
      <c r="S438" s="1485"/>
      <c r="T438" s="1486">
        <f t="shared" ref="T438:AI438" si="353">T385</f>
        <v>2022</v>
      </c>
      <c r="U438" s="1486">
        <f t="shared" si="353"/>
        <v>2023</v>
      </c>
      <c r="V438" s="1486">
        <f t="shared" si="353"/>
        <v>2024</v>
      </c>
      <c r="W438" s="1486">
        <f t="shared" si="353"/>
        <v>2025</v>
      </c>
      <c r="X438" s="1486">
        <f t="shared" si="353"/>
        <v>2026</v>
      </c>
      <c r="Y438" s="1486">
        <f t="shared" si="353"/>
        <v>2027</v>
      </c>
      <c r="Z438" s="1486">
        <f t="shared" si="353"/>
        <v>2028</v>
      </c>
      <c r="AA438" s="1486">
        <f t="shared" si="353"/>
        <v>2029</v>
      </c>
      <c r="AB438" s="1486">
        <f t="shared" si="353"/>
        <v>2030</v>
      </c>
      <c r="AC438" s="1486">
        <f t="shared" si="353"/>
        <v>2031</v>
      </c>
      <c r="AD438" s="1487">
        <f t="shared" si="353"/>
        <v>2032</v>
      </c>
      <c r="AE438" s="1487">
        <f t="shared" si="353"/>
        <v>2033</v>
      </c>
      <c r="AF438" s="1487">
        <f t="shared" si="353"/>
        <v>2034</v>
      </c>
      <c r="AG438" s="1487">
        <f t="shared" si="353"/>
        <v>2035</v>
      </c>
      <c r="AH438" s="1487">
        <f t="shared" si="353"/>
        <v>2036</v>
      </c>
      <c r="AI438" s="1487">
        <f t="shared" si="353"/>
        <v>2037</v>
      </c>
      <c r="AJ438" s="1010"/>
    </row>
    <row r="439" spans="1:43" s="1011" customFormat="1" ht="12.75" x14ac:dyDescent="0.25">
      <c r="A439" s="1004"/>
      <c r="B439" s="1488" t="s">
        <v>1346</v>
      </c>
      <c r="C439" s="1489" t="s">
        <v>1260</v>
      </c>
      <c r="D439" s="496"/>
      <c r="E439" s="1490">
        <f>IF(E$71=0,0,IF(C71=0,0,(E71*360/E$17)/(C71*360/C$17)-1))</f>
        <v>0</v>
      </c>
      <c r="F439" s="496"/>
      <c r="G439" s="496"/>
      <c r="H439" s="1490">
        <f>IF(H$71=0,0,IF(E71=0,0,(H71*360/H$17)/(E71*360/E$17)-1))</f>
        <v>0</v>
      </c>
      <c r="I439" s="495"/>
      <c r="J439" s="495"/>
      <c r="K439" s="1490">
        <f>IF(K$71=0,0,IF(H71=0,0,(K71*360/K$17)/(H71*360/H$17)-1))</f>
        <v>1</v>
      </c>
      <c r="L439" s="1006"/>
      <c r="M439" s="1006"/>
      <c r="N439" s="1490">
        <f>IF(N$71=0,0,IF(H71=0,0,(N71*360/N$17)/(H71*360/H$17)-1))</f>
        <v>0</v>
      </c>
      <c r="O439" s="1006"/>
      <c r="P439" s="1006"/>
      <c r="Q439" s="1490">
        <f>IF(Q$71=0,0,IF(N71=0,0,(Q71*360/Q$17)/(N71*360/N$17)-1))</f>
        <v>1</v>
      </c>
      <c r="R439" s="1006"/>
      <c r="S439" s="1006"/>
      <c r="T439" s="1491">
        <f>IF($N$71=0,0,E439*($E$241+$C$241)+H439*$H$241+N439*$N$241+Q439*$Q$241)</f>
        <v>0</v>
      </c>
      <c r="U439" s="1491">
        <f t="shared" ref="U439:AI439" si="354">T439</f>
        <v>0</v>
      </c>
      <c r="V439" s="1491">
        <f t="shared" si="354"/>
        <v>0</v>
      </c>
      <c r="W439" s="1491">
        <f t="shared" si="354"/>
        <v>0</v>
      </c>
      <c r="X439" s="1491">
        <f t="shared" si="354"/>
        <v>0</v>
      </c>
      <c r="Y439" s="1491">
        <f t="shared" si="354"/>
        <v>0</v>
      </c>
      <c r="Z439" s="1491">
        <f t="shared" si="354"/>
        <v>0</v>
      </c>
      <c r="AA439" s="1491">
        <f t="shared" si="354"/>
        <v>0</v>
      </c>
      <c r="AB439" s="1491">
        <f t="shared" si="354"/>
        <v>0</v>
      </c>
      <c r="AC439" s="1491">
        <f t="shared" si="354"/>
        <v>0</v>
      </c>
      <c r="AD439" s="1492">
        <f t="shared" si="354"/>
        <v>0</v>
      </c>
      <c r="AE439" s="1492">
        <f t="shared" si="354"/>
        <v>0</v>
      </c>
      <c r="AF439" s="1492">
        <f t="shared" si="354"/>
        <v>0</v>
      </c>
      <c r="AG439" s="1492">
        <f t="shared" si="354"/>
        <v>0</v>
      </c>
      <c r="AH439" s="1492">
        <f t="shared" si="354"/>
        <v>0</v>
      </c>
      <c r="AI439" s="1492">
        <f t="shared" si="354"/>
        <v>0</v>
      </c>
      <c r="AJ439" s="1010"/>
    </row>
    <row r="440" spans="1:43" s="1011" customFormat="1" ht="12.75" x14ac:dyDescent="0.25">
      <c r="A440" s="1004"/>
      <c r="B440" s="1493" t="s">
        <v>1347</v>
      </c>
      <c r="C440" s="1494">
        <f>IF(C$71=0,0,(C73/C71))</f>
        <v>0</v>
      </c>
      <c r="D440" s="496"/>
      <c r="E440" s="1495">
        <f>IF(E$71=0,0,(E73/E71))</f>
        <v>0.86149584487534625</v>
      </c>
      <c r="F440" s="496"/>
      <c r="G440" s="496"/>
      <c r="H440" s="1495">
        <f>IF(H$71=0,0,(H73/H71))</f>
        <v>0.86149584487534625</v>
      </c>
      <c r="I440" s="495"/>
      <c r="J440" s="495"/>
      <c r="K440" s="1495">
        <f>IF(K$71=0,0,(K73/K71))</f>
        <v>0.86149584487534625</v>
      </c>
      <c r="L440" s="1006"/>
      <c r="M440" s="1006"/>
      <c r="N440" s="1495">
        <f>IF(N$71=0,0,(N73/N71))</f>
        <v>0.86149584487534625</v>
      </c>
      <c r="O440" s="1006"/>
      <c r="P440" s="1006"/>
      <c r="Q440" s="1495">
        <f>IF(Q$71=0,0,(Q73/Q71))</f>
        <v>0.86149584487534625</v>
      </c>
      <c r="R440" s="1006"/>
      <c r="S440" s="1006"/>
      <c r="T440" s="1496">
        <f>IF($N$71=0,0,C440*$C$241+E440*$E$241+H440*$H$241+N440*$N$241+Q440*$Q$241)</f>
        <v>0.86149584487534625</v>
      </c>
      <c r="U440" s="1496">
        <f t="shared" ref="U440:AI440" si="355">T440</f>
        <v>0.86149584487534625</v>
      </c>
      <c r="V440" s="1496">
        <f t="shared" si="355"/>
        <v>0.86149584487534625</v>
      </c>
      <c r="W440" s="1496">
        <f t="shared" si="355"/>
        <v>0.86149584487534625</v>
      </c>
      <c r="X440" s="1496">
        <f t="shared" si="355"/>
        <v>0.86149584487534625</v>
      </c>
      <c r="Y440" s="1496">
        <f t="shared" si="355"/>
        <v>0.86149584487534625</v>
      </c>
      <c r="Z440" s="1496">
        <f t="shared" si="355"/>
        <v>0.86149584487534625</v>
      </c>
      <c r="AA440" s="1496">
        <f t="shared" si="355"/>
        <v>0.86149584487534625</v>
      </c>
      <c r="AB440" s="1496">
        <f t="shared" si="355"/>
        <v>0.86149584487534625</v>
      </c>
      <c r="AC440" s="1496">
        <f t="shared" si="355"/>
        <v>0.86149584487534625</v>
      </c>
      <c r="AD440" s="1497">
        <f t="shared" si="355"/>
        <v>0.86149584487534625</v>
      </c>
      <c r="AE440" s="1497">
        <f t="shared" si="355"/>
        <v>0.86149584487534625</v>
      </c>
      <c r="AF440" s="1497">
        <f t="shared" si="355"/>
        <v>0.86149584487534625</v>
      </c>
      <c r="AG440" s="1497">
        <f t="shared" si="355"/>
        <v>0.86149584487534625</v>
      </c>
      <c r="AH440" s="1497">
        <f t="shared" si="355"/>
        <v>0.86149584487534625</v>
      </c>
      <c r="AI440" s="1497">
        <f t="shared" si="355"/>
        <v>0.86149584487534625</v>
      </c>
      <c r="AJ440" s="1010"/>
    </row>
    <row r="441" spans="1:43" s="1011" customFormat="1" ht="12.75" x14ac:dyDescent="0.25">
      <c r="A441" s="1004"/>
      <c r="B441" s="1493" t="s">
        <v>1348</v>
      </c>
      <c r="C441" s="1494">
        <f>IF(C$71=0,0,C74/C71)</f>
        <v>0</v>
      </c>
      <c r="D441" s="496"/>
      <c r="E441" s="1495">
        <f>IF(E$71=0,0,E74/E71)</f>
        <v>8.3102493074792241E-2</v>
      </c>
      <c r="F441" s="496"/>
      <c r="G441" s="496"/>
      <c r="H441" s="1495">
        <f>IF(H$71=0,0,H74/H71)</f>
        <v>8.3102493074792241E-2</v>
      </c>
      <c r="I441" s="495"/>
      <c r="J441" s="495"/>
      <c r="K441" s="1495">
        <f>IF(K$71=0,0,K74/K71)</f>
        <v>8.3102493074792241E-2</v>
      </c>
      <c r="L441" s="1006"/>
      <c r="M441" s="1006"/>
      <c r="N441" s="1495">
        <f>IF(N$71=0,0,N74/N71)</f>
        <v>8.3102493074792241E-2</v>
      </c>
      <c r="O441" s="1006"/>
      <c r="P441" s="1006"/>
      <c r="Q441" s="1495">
        <f>IF(Q$71=0,0,Q74/Q71)</f>
        <v>8.3102493074792241E-2</v>
      </c>
      <c r="R441" s="1006"/>
      <c r="S441" s="1006"/>
      <c r="T441" s="1496">
        <f>IF($N$71=0,0,C441*$C$241+E441*$E$241+H441*$H$241+N441*$N$241+Q441*$Q$241)</f>
        <v>8.3102493074792241E-2</v>
      </c>
      <c r="U441" s="1496">
        <f t="shared" ref="U441:AI441" si="356">T441</f>
        <v>8.3102493074792241E-2</v>
      </c>
      <c r="V441" s="1496">
        <f t="shared" si="356"/>
        <v>8.3102493074792241E-2</v>
      </c>
      <c r="W441" s="1496">
        <f t="shared" si="356"/>
        <v>8.3102493074792241E-2</v>
      </c>
      <c r="X441" s="1496">
        <f t="shared" si="356"/>
        <v>8.3102493074792241E-2</v>
      </c>
      <c r="Y441" s="1496">
        <f t="shared" si="356"/>
        <v>8.3102493074792241E-2</v>
      </c>
      <c r="Z441" s="1496">
        <f t="shared" si="356"/>
        <v>8.3102493074792241E-2</v>
      </c>
      <c r="AA441" s="1496">
        <f t="shared" si="356"/>
        <v>8.3102493074792241E-2</v>
      </c>
      <c r="AB441" s="1496">
        <f t="shared" si="356"/>
        <v>8.3102493074792241E-2</v>
      </c>
      <c r="AC441" s="1496">
        <f t="shared" si="356"/>
        <v>8.3102493074792241E-2</v>
      </c>
      <c r="AD441" s="1497">
        <f t="shared" si="356"/>
        <v>8.3102493074792241E-2</v>
      </c>
      <c r="AE441" s="1497">
        <f t="shared" si="356"/>
        <v>8.3102493074792241E-2</v>
      </c>
      <c r="AF441" s="1497">
        <f t="shared" si="356"/>
        <v>8.3102493074792241E-2</v>
      </c>
      <c r="AG441" s="1497">
        <f t="shared" si="356"/>
        <v>8.3102493074792241E-2</v>
      </c>
      <c r="AH441" s="1497">
        <f t="shared" si="356"/>
        <v>8.3102493074792241E-2</v>
      </c>
      <c r="AI441" s="1497">
        <f t="shared" si="356"/>
        <v>8.3102493074792241E-2</v>
      </c>
      <c r="AJ441" s="1010"/>
    </row>
    <row r="442" spans="1:43" s="1011" customFormat="1" ht="12.75" x14ac:dyDescent="0.25">
      <c r="A442" s="1004"/>
      <c r="B442" s="1493" t="s">
        <v>1349</v>
      </c>
      <c r="C442" s="1494">
        <f>IF(OR(C443=0,AND(C69=0,AN704=0)),0,C443/(AN704+C69))</f>
        <v>0</v>
      </c>
      <c r="D442" s="496"/>
      <c r="E442" s="1495">
        <f>IF(OR(E443=0,AND(E69=0,AP704=0)),0,E443/(AP704+E69))</f>
        <v>0.04</v>
      </c>
      <c r="F442" s="496"/>
      <c r="G442" s="496"/>
      <c r="H442" s="1495">
        <f>IF(OR(H443=0,AND(H69=0,AS704=0)),0,H443/(AS704+H69))</f>
        <v>0.04</v>
      </c>
      <c r="I442" s="495"/>
      <c r="J442" s="495"/>
      <c r="K442" s="1495">
        <f>IF(OR(K443=0,AND(K69=0,AV704=0)),0,K443/(AV704+K69))</f>
        <v>0.04</v>
      </c>
      <c r="L442" s="1006"/>
      <c r="M442" s="1006"/>
      <c r="N442" s="1495">
        <f>IF(OR(N443=0,AND(N69=0,AY704=0)),0,N443/(AY704+N69))</f>
        <v>0.04</v>
      </c>
      <c r="O442" s="1006"/>
      <c r="P442" s="1006"/>
      <c r="Q442" s="1495">
        <f>IF(OR(Q443=0,AND(Q69=0,BB704=0)),0,Q443/(BB704+Q69))</f>
        <v>0.04</v>
      </c>
      <c r="R442" s="1006"/>
      <c r="S442" s="1006"/>
      <c r="T442" s="1498">
        <f>IF($N$71=0,0,E442*($E$241+$C$241)+H442*$H$241+N442*$N$241+Q442*$Q$241)</f>
        <v>4.0000000000000008E-2</v>
      </c>
      <c r="U442" s="1498">
        <f t="shared" ref="U442:AI442" si="357">T442</f>
        <v>4.0000000000000008E-2</v>
      </c>
      <c r="V442" s="1498">
        <f t="shared" si="357"/>
        <v>4.0000000000000008E-2</v>
      </c>
      <c r="W442" s="1498">
        <f t="shared" si="357"/>
        <v>4.0000000000000008E-2</v>
      </c>
      <c r="X442" s="1498">
        <f t="shared" si="357"/>
        <v>4.0000000000000008E-2</v>
      </c>
      <c r="Y442" s="1498">
        <f t="shared" si="357"/>
        <v>4.0000000000000008E-2</v>
      </c>
      <c r="Z442" s="1498">
        <f t="shared" si="357"/>
        <v>4.0000000000000008E-2</v>
      </c>
      <c r="AA442" s="1498">
        <f t="shared" si="357"/>
        <v>4.0000000000000008E-2</v>
      </c>
      <c r="AB442" s="1498">
        <f t="shared" si="357"/>
        <v>4.0000000000000008E-2</v>
      </c>
      <c r="AC442" s="1498">
        <f t="shared" si="357"/>
        <v>4.0000000000000008E-2</v>
      </c>
      <c r="AD442" s="1499">
        <f t="shared" si="357"/>
        <v>4.0000000000000008E-2</v>
      </c>
      <c r="AE442" s="1499">
        <f t="shared" si="357"/>
        <v>4.0000000000000008E-2</v>
      </c>
      <c r="AF442" s="1499">
        <f t="shared" si="357"/>
        <v>4.0000000000000008E-2</v>
      </c>
      <c r="AG442" s="1499">
        <f t="shared" si="357"/>
        <v>4.0000000000000008E-2</v>
      </c>
      <c r="AH442" s="1499">
        <f t="shared" si="357"/>
        <v>4.0000000000000008E-2</v>
      </c>
      <c r="AI442" s="1499">
        <f t="shared" si="357"/>
        <v>4.0000000000000008E-2</v>
      </c>
      <c r="AJ442" s="1010"/>
    </row>
    <row r="443" spans="1:43" s="1011" customFormat="1" ht="12.75" x14ac:dyDescent="0.25">
      <c r="A443" s="1004"/>
      <c r="B443" s="1493" t="s">
        <v>1350</v>
      </c>
      <c r="C443" s="1500">
        <f>IF(AND(C45&lt;&gt;"DEUDAS CON SOCIOS C.P.",C54&lt;&gt;"DEUDAS CON SOCIOS L.P."),IF(AND(AN704=0,C69=0),0,C76*(C36/(AN704+C69))),IF(C45&lt;&gt;"DEUDAS CON SOCIOS C.P.",IF(AND(AN704=0,C69=0,C54=0),0,C76*(C36/(AN704+C69+C54))),IF(C54&lt;&gt;"DEUDAS CON SOCIOS L.P.",IF(AND(AN704=0,C69=0,C45=0),0,C76*(C36/(AN704+C69+C45))),IF(AND(AN704=0,C69=0,C45=0,C54=0),0,C76*(C36/(AN704+C69+C45+C54))))))</f>
        <v>0</v>
      </c>
      <c r="D443" s="496"/>
      <c r="E443" s="1501">
        <f>IF(AND(E45&lt;&gt;"DEUDAS CON SOCIOS C.P.",E54&lt;&gt;"DEUDAS CON SOCIOS L.P."),IF(AND(AP704=0,E69=0),0,E76*(E36/(AP704+E69))),IF(E45&lt;&gt;"DEUDAS CON SOCIOS C.P.",IF(AND(AP704=0,E69=0,E54=0),0,E76*(E36/(AP704+E69+E54))),IF(E54&lt;&gt;"DEUDAS CON SOCIOS L.P.",IF(AND(AP704=0,E69=0,E45=0),0,E76*(E36/(AP704+E69+E45))),IF(AND(AP704=0,E69=0,E45=0,E54=0),0,E76*(E36/(AP704+E69+E45+E54))))))</f>
        <v>2</v>
      </c>
      <c r="F443" s="496"/>
      <c r="G443" s="496"/>
      <c r="H443" s="1501">
        <f>IF(AND(H45&lt;&gt;"DEUDAS CON SOCIOS C.P.",H54&lt;&gt;"DEUDAS CON SOCIOS L.P."),IF(AND(AS704=0,H69=0),0,H76*(H36/(AS704+H69))),IF(H45&lt;&gt;"DEUDAS CON SOCIOS C.P.",IF(AND(AS704=0,H69=0,H54=0),0,H76*(H36/(AS704+H69+H54))),IF(H54&lt;&gt;"DEUDAS CON SOCIOS L.P.",IF(AND(AS704=0,H69=0,H45=0),0,H76*(H36/(AS704+H69+H45))),IF(AND(AS704=0,H69=0,H45=0,H54=0),0,H76*(H36/(AS704+H69+H45+H54))))))</f>
        <v>2</v>
      </c>
      <c r="I443" s="495"/>
      <c r="J443" s="495"/>
      <c r="K443" s="1501">
        <f>IF(AND(K45&lt;&gt;"DEUDAS CON SOCIOS C.P.",K54&lt;&gt;"DEUDAS CON SOCIOS L.P."),IF(AND(AV704=0,K69=0),0,K76*(K36/(AV704+K69))),IF(K45&lt;&gt;"DEUDAS CON SOCIOS C.P.",IF(AND(AV704=0,K69=0,K54=0),0,K76*(K36/(AV704+K69+K54))),IF(K54&lt;&gt;"DEUDAS CON SOCIOS L.P.",IF(AND(AV704=0,K69=0,K45=0),0,K76*(K36/(AV704+K69+K45))),IF(AND(AV704=0,K69=0,K45=0,K54=0),0,K76*(K36/(AV704+K69+K45+K54))))))</f>
        <v>2</v>
      </c>
      <c r="L443" s="1006"/>
      <c r="M443" s="1006"/>
      <c r="N443" s="1501">
        <f>IF(AND(N45&lt;&gt;"DEUDAS CON SOCIOS C.P.",N54&lt;&gt;"DEUDAS CON SOCIOS L.P."),IF(AND(AY704=0,N69=0),0,N76*(N36/(AY704+N69))),IF(N45&lt;&gt;"DEUDAS CON SOCIOS C.P.",IF(AND(AY704=0,N69=0,N54=0),0,N76*(N36/(AY704+N69+N54))),IF(N54&lt;&gt;"DEUDAS CON SOCIOS L.P.",IF(AND(AY704=0,N69=0,N45=0),0,N76*(N36/(AY704+N69+N45))),IF(AND(AY704=0,N69=0,N45=0,N54=0),0,N76*(N36/(AY704+N69+N45+N54))))))</f>
        <v>2</v>
      </c>
      <c r="O443" s="1006"/>
      <c r="P443" s="1006"/>
      <c r="Q443" s="1501">
        <f>IF(AND(Q45&lt;&gt;"DEUDAS CON SOCIOS C.P.",Q54&lt;&gt;"DEUDAS CON SOCIOS L.P."),IF(AND(BB704=0,Q69=0),0,Q76*(Q36/(BB704+Q69))),IF(Q45&lt;&gt;"DEUDAS CON SOCIOS C.P.",IF(AND(BB704=0,Q69=0,Q54=0),0,Q76*(Q36/(BB704+Q69+Q54))),IF(Q54&lt;&gt;"DEUDAS CON SOCIOS L.P.",IF(AND(BB704=0,Q69=0,Q45=0),0,Q76*(Q36/(BB704+Q69+Q45))),IF(AND(BB704=0,Q69=0,Q45=0,Q54=0),0,Q76*(Q36/(BB704+Q69+Q45+Q54))))))</f>
        <v>2</v>
      </c>
      <c r="R443" s="1006"/>
      <c r="S443" s="1006"/>
      <c r="T443" s="1502">
        <f>N36*T442</f>
        <v>0.40000000000000008</v>
      </c>
      <c r="U443" s="1502">
        <f t="shared" ref="U443:AI443" si="358">T36*U442</f>
        <v>0</v>
      </c>
      <c r="V443" s="1502">
        <f t="shared" si="358"/>
        <v>0</v>
      </c>
      <c r="W443" s="1502">
        <f t="shared" si="358"/>
        <v>0</v>
      </c>
      <c r="X443" s="1502">
        <f t="shared" si="358"/>
        <v>0</v>
      </c>
      <c r="Y443" s="1502">
        <f t="shared" si="358"/>
        <v>0</v>
      </c>
      <c r="Z443" s="1502">
        <f t="shared" si="358"/>
        <v>0</v>
      </c>
      <c r="AA443" s="1502">
        <f t="shared" si="358"/>
        <v>0</v>
      </c>
      <c r="AB443" s="1502">
        <f t="shared" si="358"/>
        <v>0</v>
      </c>
      <c r="AC443" s="1502">
        <f t="shared" si="358"/>
        <v>0</v>
      </c>
      <c r="AD443" s="1503">
        <f t="shared" si="358"/>
        <v>0</v>
      </c>
      <c r="AE443" s="1503">
        <f t="shared" si="358"/>
        <v>0</v>
      </c>
      <c r="AF443" s="1503">
        <f t="shared" si="358"/>
        <v>0</v>
      </c>
      <c r="AG443" s="1503">
        <f t="shared" si="358"/>
        <v>0</v>
      </c>
      <c r="AH443" s="1503">
        <f t="shared" si="358"/>
        <v>0</v>
      </c>
      <c r="AI443" s="1503">
        <f t="shared" si="358"/>
        <v>0</v>
      </c>
      <c r="AJ443" s="1010"/>
    </row>
    <row r="444" spans="1:43" s="1011" customFormat="1" ht="12.75" x14ac:dyDescent="0.25">
      <c r="A444" s="1004"/>
      <c r="B444" s="1493" t="s">
        <v>1351</v>
      </c>
      <c r="C444" s="1494">
        <f>IF(C$71=0,0,C81/C71)</f>
        <v>0</v>
      </c>
      <c r="D444" s="496"/>
      <c r="E444" s="1495">
        <f>IF(E$71=0,0,E81/E71)</f>
        <v>5.5401662049861496E-3</v>
      </c>
      <c r="F444" s="496"/>
      <c r="G444" s="496"/>
      <c r="H444" s="1495">
        <f>IF(H$71=0,0,H81/H71)</f>
        <v>5.5401662049861496E-3</v>
      </c>
      <c r="I444" s="495"/>
      <c r="J444" s="495"/>
      <c r="K444" s="1495">
        <f>IF(K$71=0,0,K81/K71)</f>
        <v>5.5401662049861496E-3</v>
      </c>
      <c r="L444" s="1006"/>
      <c r="M444" s="1006"/>
      <c r="N444" s="1495">
        <f>IF(N$71=0,0,N81/N71)</f>
        <v>5.5401662049861496E-3</v>
      </c>
      <c r="O444" s="1006"/>
      <c r="P444" s="1006"/>
      <c r="Q444" s="1495">
        <f>IF(Q$71=0,0,Q81/Q71)</f>
        <v>5.5401662049861496E-3</v>
      </c>
      <c r="R444" s="1006"/>
      <c r="S444" s="1006"/>
      <c r="T444" s="1504">
        <f t="shared" ref="T444:T450" si="359">IF($N$71=0,0,C444*$C$241+E444*$E$241+H444*$H$241+N444*$N$241+Q444*$Q$241)</f>
        <v>5.5401662049861496E-3</v>
      </c>
      <c r="U444" s="1504">
        <f t="shared" ref="U444:AI444" si="360">T444</f>
        <v>5.5401662049861496E-3</v>
      </c>
      <c r="V444" s="1504">
        <f t="shared" si="360"/>
        <v>5.5401662049861496E-3</v>
      </c>
      <c r="W444" s="1504">
        <f t="shared" si="360"/>
        <v>5.5401662049861496E-3</v>
      </c>
      <c r="X444" s="1504">
        <f t="shared" si="360"/>
        <v>5.5401662049861496E-3</v>
      </c>
      <c r="Y444" s="1504">
        <f t="shared" si="360"/>
        <v>5.5401662049861496E-3</v>
      </c>
      <c r="Z444" s="1504">
        <f t="shared" si="360"/>
        <v>5.5401662049861496E-3</v>
      </c>
      <c r="AA444" s="1504">
        <f t="shared" si="360"/>
        <v>5.5401662049861496E-3</v>
      </c>
      <c r="AB444" s="1504">
        <f t="shared" si="360"/>
        <v>5.5401662049861496E-3</v>
      </c>
      <c r="AC444" s="1504">
        <f t="shared" si="360"/>
        <v>5.5401662049861496E-3</v>
      </c>
      <c r="AD444" s="1505">
        <f t="shared" si="360"/>
        <v>5.5401662049861496E-3</v>
      </c>
      <c r="AE444" s="1505">
        <f t="shared" si="360"/>
        <v>5.5401662049861496E-3</v>
      </c>
      <c r="AF444" s="1505">
        <f t="shared" si="360"/>
        <v>5.5401662049861496E-3</v>
      </c>
      <c r="AG444" s="1505">
        <f t="shared" si="360"/>
        <v>5.5401662049861496E-3</v>
      </c>
      <c r="AH444" s="1505">
        <f t="shared" si="360"/>
        <v>5.5401662049861496E-3</v>
      </c>
      <c r="AI444" s="1505">
        <f t="shared" si="360"/>
        <v>5.5401662049861496E-3</v>
      </c>
      <c r="AJ444" s="1010"/>
    </row>
    <row r="445" spans="1:43" s="1011" customFormat="1" ht="12.75" x14ac:dyDescent="0.25">
      <c r="A445" s="1004"/>
      <c r="B445" s="1493" t="s">
        <v>1352</v>
      </c>
      <c r="C445" s="1494">
        <f>IF(C$71=0,0,C82/C71)</f>
        <v>0</v>
      </c>
      <c r="D445" s="496"/>
      <c r="E445" s="1495">
        <f>IF(E$71=0,0,E82/E71)</f>
        <v>0</v>
      </c>
      <c r="F445" s="496"/>
      <c r="G445" s="496"/>
      <c r="H445" s="1495">
        <f>IF(H$71=0,0,H82/H71)</f>
        <v>0</v>
      </c>
      <c r="I445" s="495"/>
      <c r="J445" s="495"/>
      <c r="K445" s="1495">
        <f>IF(K$71=0,0,K82/K71)</f>
        <v>0</v>
      </c>
      <c r="L445" s="1006"/>
      <c r="M445" s="1006"/>
      <c r="N445" s="1495">
        <f>IF(N$71=0,0,N82/N71)</f>
        <v>0</v>
      </c>
      <c r="O445" s="1006"/>
      <c r="P445" s="1006"/>
      <c r="Q445" s="1495">
        <f>IF(Q$71=0,0,Q82/Q71)</f>
        <v>0</v>
      </c>
      <c r="R445" s="1006"/>
      <c r="S445" s="1006"/>
      <c r="T445" s="1496">
        <f t="shared" si="359"/>
        <v>0</v>
      </c>
      <c r="U445" s="1496">
        <f t="shared" ref="U445:AI445" si="361">T445</f>
        <v>0</v>
      </c>
      <c r="V445" s="1496">
        <f t="shared" si="361"/>
        <v>0</v>
      </c>
      <c r="W445" s="1496">
        <f t="shared" si="361"/>
        <v>0</v>
      </c>
      <c r="X445" s="1496">
        <f t="shared" si="361"/>
        <v>0</v>
      </c>
      <c r="Y445" s="1496">
        <f t="shared" si="361"/>
        <v>0</v>
      </c>
      <c r="Z445" s="1496">
        <f t="shared" si="361"/>
        <v>0</v>
      </c>
      <c r="AA445" s="1496">
        <f t="shared" si="361"/>
        <v>0</v>
      </c>
      <c r="AB445" s="1496">
        <f t="shared" si="361"/>
        <v>0</v>
      </c>
      <c r="AC445" s="1496">
        <f t="shared" si="361"/>
        <v>0</v>
      </c>
      <c r="AD445" s="1497">
        <f t="shared" si="361"/>
        <v>0</v>
      </c>
      <c r="AE445" s="1497">
        <f t="shared" si="361"/>
        <v>0</v>
      </c>
      <c r="AF445" s="1497">
        <f t="shared" si="361"/>
        <v>0</v>
      </c>
      <c r="AG445" s="1497">
        <f t="shared" si="361"/>
        <v>0</v>
      </c>
      <c r="AH445" s="1497">
        <f t="shared" si="361"/>
        <v>0</v>
      </c>
      <c r="AI445" s="1497">
        <f t="shared" si="361"/>
        <v>0</v>
      </c>
      <c r="AJ445" s="1010"/>
    </row>
    <row r="446" spans="1:43" s="1011" customFormat="1" ht="12.75" x14ac:dyDescent="0.25">
      <c r="A446" s="1004"/>
      <c r="B446" s="1493" t="s">
        <v>1353</v>
      </c>
      <c r="C446" s="1494">
        <f>IF(C$71=0,0,C83/C71)</f>
        <v>0</v>
      </c>
      <c r="D446" s="496"/>
      <c r="E446" s="1495">
        <f>IF(E$71=0,0,E83/E71)</f>
        <v>0</v>
      </c>
      <c r="F446" s="496"/>
      <c r="G446" s="496"/>
      <c r="H446" s="1495">
        <f>IF(H$71=0,0,H83/H71)</f>
        <v>0</v>
      </c>
      <c r="I446" s="495"/>
      <c r="J446" s="495"/>
      <c r="K446" s="1495">
        <f>IF(K$71=0,0,K83/K71)</f>
        <v>0</v>
      </c>
      <c r="L446" s="1006"/>
      <c r="M446" s="1006"/>
      <c r="N446" s="1495">
        <f>IF(N$71=0,0,N83/N71)</f>
        <v>0</v>
      </c>
      <c r="O446" s="1006"/>
      <c r="P446" s="1006"/>
      <c r="Q446" s="1495">
        <f>IF(Q$71=0,0,Q83/Q71)</f>
        <v>0</v>
      </c>
      <c r="R446" s="1006"/>
      <c r="S446" s="1006"/>
      <c r="T446" s="1496">
        <f t="shared" si="359"/>
        <v>0</v>
      </c>
      <c r="U446" s="1496">
        <f t="shared" ref="U446:AI446" si="362">T446</f>
        <v>0</v>
      </c>
      <c r="V446" s="1496">
        <f t="shared" si="362"/>
        <v>0</v>
      </c>
      <c r="W446" s="1496">
        <f t="shared" si="362"/>
        <v>0</v>
      </c>
      <c r="X446" s="1496">
        <f t="shared" si="362"/>
        <v>0</v>
      </c>
      <c r="Y446" s="1496">
        <f t="shared" si="362"/>
        <v>0</v>
      </c>
      <c r="Z446" s="1496">
        <f t="shared" si="362"/>
        <v>0</v>
      </c>
      <c r="AA446" s="1496">
        <f t="shared" si="362"/>
        <v>0</v>
      </c>
      <c r="AB446" s="1496">
        <f t="shared" si="362"/>
        <v>0</v>
      </c>
      <c r="AC446" s="1496">
        <f t="shared" si="362"/>
        <v>0</v>
      </c>
      <c r="AD446" s="1497">
        <f t="shared" si="362"/>
        <v>0</v>
      </c>
      <c r="AE446" s="1497">
        <f t="shared" si="362"/>
        <v>0</v>
      </c>
      <c r="AF446" s="1497">
        <f t="shared" si="362"/>
        <v>0</v>
      </c>
      <c r="AG446" s="1497">
        <f t="shared" si="362"/>
        <v>0</v>
      </c>
      <c r="AH446" s="1497">
        <f t="shared" si="362"/>
        <v>0</v>
      </c>
      <c r="AI446" s="1497">
        <f t="shared" si="362"/>
        <v>0</v>
      </c>
      <c r="AJ446" s="1010"/>
    </row>
    <row r="447" spans="1:43" s="1011" customFormat="1" ht="12.75" x14ac:dyDescent="0.25">
      <c r="A447" s="1004"/>
      <c r="B447" s="1493" t="s">
        <v>1354</v>
      </c>
      <c r="C447" s="1494">
        <f>IF(C$71=0,0,C84/C71)</f>
        <v>0</v>
      </c>
      <c r="D447" s="496"/>
      <c r="E447" s="1495">
        <f>IF(E$71=0,0,E84/E71)</f>
        <v>0</v>
      </c>
      <c r="F447" s="496"/>
      <c r="G447" s="496"/>
      <c r="H447" s="1495">
        <f>IF(H$71=0,0,H84/H71)</f>
        <v>0</v>
      </c>
      <c r="I447" s="495"/>
      <c r="J447" s="495"/>
      <c r="K447" s="1495">
        <f>IF(K$71=0,0,K84/K71)</f>
        <v>0</v>
      </c>
      <c r="L447" s="1006"/>
      <c r="M447" s="1006"/>
      <c r="N447" s="1495">
        <f>IF(N$71=0,0,N84/N71)</f>
        <v>0</v>
      </c>
      <c r="O447" s="1006"/>
      <c r="P447" s="1006"/>
      <c r="Q447" s="1495">
        <f>IF(Q$71=0,0,Q84/Q71)</f>
        <v>0</v>
      </c>
      <c r="R447" s="1006"/>
      <c r="S447" s="1006"/>
      <c r="T447" s="1496">
        <f t="shared" si="359"/>
        <v>0</v>
      </c>
      <c r="U447" s="1496">
        <f t="shared" ref="U447:AI447" si="363">T447</f>
        <v>0</v>
      </c>
      <c r="V447" s="1496">
        <f t="shared" si="363"/>
        <v>0</v>
      </c>
      <c r="W447" s="1496">
        <f t="shared" si="363"/>
        <v>0</v>
      </c>
      <c r="X447" s="1496">
        <f t="shared" si="363"/>
        <v>0</v>
      </c>
      <c r="Y447" s="1496">
        <f t="shared" si="363"/>
        <v>0</v>
      </c>
      <c r="Z447" s="1496">
        <f t="shared" si="363"/>
        <v>0</v>
      </c>
      <c r="AA447" s="1496">
        <f t="shared" si="363"/>
        <v>0</v>
      </c>
      <c r="AB447" s="1496">
        <f t="shared" si="363"/>
        <v>0</v>
      </c>
      <c r="AC447" s="1496">
        <f t="shared" si="363"/>
        <v>0</v>
      </c>
      <c r="AD447" s="1497">
        <f t="shared" si="363"/>
        <v>0</v>
      </c>
      <c r="AE447" s="1497">
        <f t="shared" si="363"/>
        <v>0</v>
      </c>
      <c r="AF447" s="1497">
        <f t="shared" si="363"/>
        <v>0</v>
      </c>
      <c r="AG447" s="1497">
        <f t="shared" si="363"/>
        <v>0</v>
      </c>
      <c r="AH447" s="1497">
        <f t="shared" si="363"/>
        <v>0</v>
      </c>
      <c r="AI447" s="1497">
        <f t="shared" si="363"/>
        <v>0</v>
      </c>
      <c r="AJ447" s="1010"/>
    </row>
    <row r="448" spans="1:43" s="1011" customFormat="1" ht="12.75" x14ac:dyDescent="0.25">
      <c r="A448" s="1004"/>
      <c r="B448" s="1493" t="s">
        <v>1355</v>
      </c>
      <c r="C448" s="1494">
        <f>IF(C$71=0,0,C85/C71)</f>
        <v>0</v>
      </c>
      <c r="D448" s="1006"/>
      <c r="E448" s="1495">
        <f>IF(E$71=0,0,E85/E71)</f>
        <v>1.662049861495845E-2</v>
      </c>
      <c r="F448" s="1006"/>
      <c r="G448" s="1006"/>
      <c r="H448" s="1495">
        <f>IF(H$71=0,0,H85/H71)</f>
        <v>1.662049861495845E-2</v>
      </c>
      <c r="I448" s="1006"/>
      <c r="J448" s="1006"/>
      <c r="K448" s="1495">
        <f>IF(K$71=0,0,K85/K71)</f>
        <v>1.662049861495845E-2</v>
      </c>
      <c r="L448" s="1006"/>
      <c r="M448" s="1006"/>
      <c r="N448" s="1495">
        <f>IF(N$71=0,0,N85/N71)</f>
        <v>1.662049861495845E-2</v>
      </c>
      <c r="O448" s="1006"/>
      <c r="P448" s="1006"/>
      <c r="Q448" s="1495">
        <f>IF(Q$71=0,0,Q85/Q71)</f>
        <v>1.662049861495845E-2</v>
      </c>
      <c r="R448" s="1006"/>
      <c r="S448" s="1006"/>
      <c r="T448" s="1496">
        <f t="shared" si="359"/>
        <v>1.662049861495845E-2</v>
      </c>
      <c r="U448" s="1496">
        <f t="shared" ref="U448:AI448" si="364">T448</f>
        <v>1.662049861495845E-2</v>
      </c>
      <c r="V448" s="1496">
        <f t="shared" si="364"/>
        <v>1.662049861495845E-2</v>
      </c>
      <c r="W448" s="1496">
        <f t="shared" si="364"/>
        <v>1.662049861495845E-2</v>
      </c>
      <c r="X448" s="1496">
        <f t="shared" si="364"/>
        <v>1.662049861495845E-2</v>
      </c>
      <c r="Y448" s="1496">
        <f t="shared" si="364"/>
        <v>1.662049861495845E-2</v>
      </c>
      <c r="Z448" s="1496">
        <f t="shared" si="364"/>
        <v>1.662049861495845E-2</v>
      </c>
      <c r="AA448" s="1496">
        <f t="shared" si="364"/>
        <v>1.662049861495845E-2</v>
      </c>
      <c r="AB448" s="1496">
        <f t="shared" si="364"/>
        <v>1.662049861495845E-2</v>
      </c>
      <c r="AC448" s="1496">
        <f t="shared" si="364"/>
        <v>1.662049861495845E-2</v>
      </c>
      <c r="AD448" s="1497">
        <f t="shared" si="364"/>
        <v>1.662049861495845E-2</v>
      </c>
      <c r="AE448" s="1497">
        <f t="shared" si="364"/>
        <v>1.662049861495845E-2</v>
      </c>
      <c r="AF448" s="1497">
        <f t="shared" si="364"/>
        <v>1.662049861495845E-2</v>
      </c>
      <c r="AG448" s="1497">
        <f t="shared" si="364"/>
        <v>1.662049861495845E-2</v>
      </c>
      <c r="AH448" s="1497">
        <f t="shared" si="364"/>
        <v>1.662049861495845E-2</v>
      </c>
      <c r="AI448" s="1497">
        <f t="shared" si="364"/>
        <v>1.662049861495845E-2</v>
      </c>
      <c r="AJ448" s="1010"/>
    </row>
    <row r="449" spans="1:36" s="1011" customFormat="1" ht="12.75" x14ac:dyDescent="0.25">
      <c r="A449" s="1004"/>
      <c r="B449" s="1493" t="s">
        <v>1356</v>
      </c>
      <c r="C449" s="1494">
        <f>IF(C$71=0,0,C86/C71)</f>
        <v>0</v>
      </c>
      <c r="D449" s="1006"/>
      <c r="E449" s="1495">
        <f>IF(E$71=0,0,E86/E71)</f>
        <v>1.9390581717451522E-2</v>
      </c>
      <c r="F449" s="1006"/>
      <c r="G449" s="1006"/>
      <c r="H449" s="1495">
        <f>IF(H$71=0,0,H86/H71)</f>
        <v>1.9390581717451522E-2</v>
      </c>
      <c r="I449" s="1006"/>
      <c r="J449" s="1006"/>
      <c r="K449" s="1495">
        <f>IF(K$71=0,0,K86/K71)</f>
        <v>1.9390581717451522E-2</v>
      </c>
      <c r="L449" s="1006"/>
      <c r="M449" s="1006"/>
      <c r="N449" s="1495">
        <f>IF(N$71=0,0,N86/N71)</f>
        <v>1.9390581717451522E-2</v>
      </c>
      <c r="O449" s="1006"/>
      <c r="P449" s="1006"/>
      <c r="Q449" s="1495">
        <f>IF(Q$71=0,0,Q86/Q71)</f>
        <v>1.9390581717451522E-2</v>
      </c>
      <c r="R449" s="1006"/>
      <c r="S449" s="1006"/>
      <c r="T449" s="1496">
        <f t="shared" si="359"/>
        <v>1.9390581717451526E-2</v>
      </c>
      <c r="U449" s="1496">
        <f t="shared" ref="U449:AI449" si="365">T449</f>
        <v>1.9390581717451526E-2</v>
      </c>
      <c r="V449" s="1496">
        <f t="shared" si="365"/>
        <v>1.9390581717451526E-2</v>
      </c>
      <c r="W449" s="1496">
        <f t="shared" si="365"/>
        <v>1.9390581717451526E-2</v>
      </c>
      <c r="X449" s="1496">
        <f t="shared" si="365"/>
        <v>1.9390581717451526E-2</v>
      </c>
      <c r="Y449" s="1496">
        <f t="shared" si="365"/>
        <v>1.9390581717451526E-2</v>
      </c>
      <c r="Z449" s="1496">
        <f t="shared" si="365"/>
        <v>1.9390581717451526E-2</v>
      </c>
      <c r="AA449" s="1496">
        <f t="shared" si="365"/>
        <v>1.9390581717451526E-2</v>
      </c>
      <c r="AB449" s="1496">
        <f t="shared" si="365"/>
        <v>1.9390581717451526E-2</v>
      </c>
      <c r="AC449" s="1496">
        <f t="shared" si="365"/>
        <v>1.9390581717451526E-2</v>
      </c>
      <c r="AD449" s="1497">
        <f t="shared" si="365"/>
        <v>1.9390581717451526E-2</v>
      </c>
      <c r="AE449" s="1497">
        <f t="shared" si="365"/>
        <v>1.9390581717451526E-2</v>
      </c>
      <c r="AF449" s="1497">
        <f t="shared" si="365"/>
        <v>1.9390581717451526E-2</v>
      </c>
      <c r="AG449" s="1497">
        <f t="shared" si="365"/>
        <v>1.9390581717451526E-2</v>
      </c>
      <c r="AH449" s="1497">
        <f t="shared" si="365"/>
        <v>1.9390581717451526E-2</v>
      </c>
      <c r="AI449" s="1497">
        <f t="shared" si="365"/>
        <v>1.9390581717451526E-2</v>
      </c>
      <c r="AJ449" s="1010"/>
    </row>
    <row r="450" spans="1:36" s="1011" customFormat="1" ht="12.75" x14ac:dyDescent="0.25">
      <c r="A450" s="1004"/>
      <c r="B450" s="1506" t="s">
        <v>1357</v>
      </c>
      <c r="C450" s="1507">
        <f>IF(C$71=0,0,C88/C87)</f>
        <v>0</v>
      </c>
      <c r="D450" s="1006"/>
      <c r="E450" s="1508">
        <f>IF(E$71=0,0,E88/E87)</f>
        <v>0</v>
      </c>
      <c r="F450" s="1006"/>
      <c r="G450" s="1006"/>
      <c r="H450" s="1508">
        <f>IF(H$71=0,0,H88/H87)</f>
        <v>0</v>
      </c>
      <c r="I450" s="1006"/>
      <c r="J450" s="1006"/>
      <c r="K450" s="1508">
        <f>IF(K$71=0,0,K88/K87)</f>
        <v>0</v>
      </c>
      <c r="L450" s="1006"/>
      <c r="M450" s="1006"/>
      <c r="N450" s="1508">
        <f>IF(N$71=0,0,N88/N87)</f>
        <v>0</v>
      </c>
      <c r="O450" s="1006"/>
      <c r="P450" s="1006"/>
      <c r="Q450" s="1508">
        <f>IF(Q$71=0,0,Q88/Q87)</f>
        <v>0</v>
      </c>
      <c r="R450" s="1006"/>
      <c r="S450" s="1006"/>
      <c r="T450" s="1509">
        <f t="shared" si="359"/>
        <v>0</v>
      </c>
      <c r="U450" s="1509">
        <f t="shared" ref="U450:AI450" si="366">T450</f>
        <v>0</v>
      </c>
      <c r="V450" s="1509">
        <f t="shared" si="366"/>
        <v>0</v>
      </c>
      <c r="W450" s="1509">
        <f t="shared" si="366"/>
        <v>0</v>
      </c>
      <c r="X450" s="1509">
        <f t="shared" si="366"/>
        <v>0</v>
      </c>
      <c r="Y450" s="1509">
        <f t="shared" si="366"/>
        <v>0</v>
      </c>
      <c r="Z450" s="1509">
        <f t="shared" si="366"/>
        <v>0</v>
      </c>
      <c r="AA450" s="1509">
        <f t="shared" si="366"/>
        <v>0</v>
      </c>
      <c r="AB450" s="1509">
        <f t="shared" si="366"/>
        <v>0</v>
      </c>
      <c r="AC450" s="1509">
        <f t="shared" si="366"/>
        <v>0</v>
      </c>
      <c r="AD450" s="1510">
        <f t="shared" si="366"/>
        <v>0</v>
      </c>
      <c r="AE450" s="1510">
        <f t="shared" si="366"/>
        <v>0</v>
      </c>
      <c r="AF450" s="1510">
        <f t="shared" si="366"/>
        <v>0</v>
      </c>
      <c r="AG450" s="1510">
        <f t="shared" si="366"/>
        <v>0</v>
      </c>
      <c r="AH450" s="1510">
        <f t="shared" si="366"/>
        <v>0</v>
      </c>
      <c r="AI450" s="1510">
        <f t="shared" si="366"/>
        <v>0</v>
      </c>
      <c r="AJ450" s="1010"/>
    </row>
    <row r="451" spans="1:36" s="1011" customFormat="1" ht="12.75" x14ac:dyDescent="0.25">
      <c r="A451" s="1004"/>
      <c r="B451" s="1511"/>
      <c r="C451" s="1366"/>
      <c r="D451" s="1376"/>
      <c r="E451" s="1366"/>
      <c r="F451" s="1376"/>
      <c r="G451" s="1376"/>
      <c r="H451" s="1366"/>
      <c r="I451" s="1376"/>
      <c r="J451" s="1376"/>
      <c r="K451" s="1366"/>
      <c r="L451" s="1006"/>
      <c r="M451" s="1006"/>
      <c r="N451" s="1366"/>
      <c r="O451" s="1006"/>
      <c r="P451" s="1006"/>
      <c r="Q451" s="1366"/>
      <c r="R451" s="1006"/>
      <c r="S451" s="1006"/>
      <c r="T451" s="1365"/>
      <c r="U451" s="1365"/>
      <c r="V451" s="1365"/>
      <c r="W451" s="1365"/>
      <c r="X451" s="1365"/>
      <c r="Y451" s="1365"/>
      <c r="Z451" s="1365"/>
      <c r="AA451" s="1365"/>
      <c r="AB451" s="1365"/>
      <c r="AC451" s="1365"/>
      <c r="AD451" s="1365"/>
      <c r="AE451" s="1512"/>
      <c r="AF451" s="1513"/>
      <c r="AG451" s="1006"/>
      <c r="AH451" s="1006"/>
      <c r="AI451" s="1006"/>
      <c r="AJ451" s="1010"/>
    </row>
    <row r="452" spans="1:36" s="1011" customFormat="1" ht="12.75" x14ac:dyDescent="0.25">
      <c r="A452" s="1004"/>
      <c r="B452" s="1514" t="s">
        <v>1358</v>
      </c>
      <c r="C452" s="496"/>
      <c r="D452" s="496"/>
      <c r="E452" s="496"/>
      <c r="F452" s="496"/>
      <c r="G452" s="496"/>
      <c r="H452" s="496"/>
      <c r="I452" s="495"/>
      <c r="J452" s="495"/>
      <c r="K452" s="496"/>
      <c r="L452" s="1006"/>
      <c r="M452" s="1006"/>
      <c r="N452" s="496"/>
      <c r="O452" s="1006"/>
      <c r="P452" s="1006"/>
      <c r="Q452" s="496"/>
      <c r="R452" s="1006"/>
      <c r="S452" s="1006"/>
      <c r="T452" s="496"/>
      <c r="U452" s="496"/>
      <c r="V452" s="495"/>
      <c r="W452" s="495"/>
      <c r="X452" s="495"/>
      <c r="Y452" s="495"/>
      <c r="Z452" s="495"/>
      <c r="AA452" s="495"/>
      <c r="AB452" s="495"/>
      <c r="AC452" s="495"/>
      <c r="AD452" s="495"/>
      <c r="AE452" s="1515"/>
      <c r="AF452" s="1516"/>
      <c r="AG452" s="1006"/>
      <c r="AH452" s="1006"/>
      <c r="AI452" s="1006"/>
      <c r="AJ452" s="1010"/>
    </row>
    <row r="453" spans="1:36" s="1011" customFormat="1" ht="12.75" x14ac:dyDescent="0.25">
      <c r="A453" s="1004"/>
      <c r="B453" s="1488" t="s">
        <v>1359</v>
      </c>
      <c r="C453" s="1517"/>
      <c r="D453" s="1391"/>
      <c r="E453" s="1518">
        <f>IF(E$71=0,0,E18*360/(E71*360/E17))</f>
        <v>38.89196675900277</v>
      </c>
      <c r="F453" s="1391"/>
      <c r="G453" s="1391"/>
      <c r="H453" s="1518">
        <f>IF(H$71=0,0,H18*360/(H71*360/H17))</f>
        <v>38.89196675900277</v>
      </c>
      <c r="I453" s="1391"/>
      <c r="J453" s="1391"/>
      <c r="K453" s="1518">
        <f>IF(K$71=0,0,K18*360/(K71*360/K17))</f>
        <v>19.445983379501385</v>
      </c>
      <c r="L453" s="1006"/>
      <c r="M453" s="1006"/>
      <c r="N453" s="1518">
        <f>IF(N$71=0,0,N18*360/(N71*360/N17))</f>
        <v>38.89196675900277</v>
      </c>
      <c r="O453" s="1006"/>
      <c r="P453" s="1006"/>
      <c r="Q453" s="1518">
        <f>IF(Q$71=0,0,Q18*360/(Q71*360/Q17))</f>
        <v>19.445983379501385</v>
      </c>
      <c r="R453" s="1006"/>
      <c r="S453" s="1006"/>
      <c r="T453" s="1519">
        <f t="shared" ref="T453:T459" si="367">IF($N$71=0,0,C453*$C$241+E453*$E$241+H453*$H$241+N453*$N$241+Q453*$Q$241)</f>
        <v>38.89196675900277</v>
      </c>
      <c r="U453" s="1519">
        <f t="shared" ref="U453:AI453" si="368">T453</f>
        <v>38.89196675900277</v>
      </c>
      <c r="V453" s="1519">
        <f t="shared" si="368"/>
        <v>38.89196675900277</v>
      </c>
      <c r="W453" s="1519">
        <f t="shared" si="368"/>
        <v>38.89196675900277</v>
      </c>
      <c r="X453" s="1519">
        <f t="shared" si="368"/>
        <v>38.89196675900277</v>
      </c>
      <c r="Y453" s="1519">
        <f t="shared" si="368"/>
        <v>38.89196675900277</v>
      </c>
      <c r="Z453" s="1519">
        <f t="shared" si="368"/>
        <v>38.89196675900277</v>
      </c>
      <c r="AA453" s="1519">
        <f t="shared" si="368"/>
        <v>38.89196675900277</v>
      </c>
      <c r="AB453" s="1519">
        <f t="shared" si="368"/>
        <v>38.89196675900277</v>
      </c>
      <c r="AC453" s="1519">
        <f t="shared" si="368"/>
        <v>38.89196675900277</v>
      </c>
      <c r="AD453" s="1519">
        <f t="shared" si="368"/>
        <v>38.89196675900277</v>
      </c>
      <c r="AE453" s="1519">
        <f t="shared" si="368"/>
        <v>38.89196675900277</v>
      </c>
      <c r="AF453" s="1519">
        <f t="shared" si="368"/>
        <v>38.89196675900277</v>
      </c>
      <c r="AG453" s="1519">
        <f t="shared" si="368"/>
        <v>38.89196675900277</v>
      </c>
      <c r="AH453" s="1519">
        <f t="shared" si="368"/>
        <v>38.89196675900277</v>
      </c>
      <c r="AI453" s="1520">
        <f t="shared" si="368"/>
        <v>38.89196675900277</v>
      </c>
      <c r="AJ453" s="1010"/>
    </row>
    <row r="454" spans="1:36" s="1011" customFormat="1" ht="12.75" x14ac:dyDescent="0.25">
      <c r="A454" s="1004"/>
      <c r="B454" s="1493" t="s">
        <v>1360</v>
      </c>
      <c r="C454" s="1521">
        <f>IF(C$71=0,0,C19*C17/C71)</f>
        <v>0</v>
      </c>
      <c r="D454" s="1391"/>
      <c r="E454" s="1522">
        <f>IF(E$71=0,0,E19*E17/E71)</f>
        <v>11.966759002770083</v>
      </c>
      <c r="F454" s="1391"/>
      <c r="G454" s="1391"/>
      <c r="H454" s="1522">
        <f>IF(H$71=0,0,H19*H17/H71)</f>
        <v>11.966759002770083</v>
      </c>
      <c r="I454" s="1391"/>
      <c r="J454" s="1391"/>
      <c r="K454" s="1522">
        <f>IF(K$71=0,0,K19*K17/K71)</f>
        <v>5.9833795013850413</v>
      </c>
      <c r="L454" s="1006"/>
      <c r="M454" s="1006"/>
      <c r="N454" s="1522">
        <f>IF(N$71=0,0,N19*N17/N71)</f>
        <v>11.966759002770083</v>
      </c>
      <c r="O454" s="1006"/>
      <c r="P454" s="1006"/>
      <c r="Q454" s="1522">
        <f>IF(Q$71=0,0,Q19*Q17/Q71)</f>
        <v>5.9833795013850413</v>
      </c>
      <c r="R454" s="1006"/>
      <c r="S454" s="1006"/>
      <c r="T454" s="1523">
        <f t="shared" si="367"/>
        <v>11.966759002770083</v>
      </c>
      <c r="U454" s="1523">
        <f t="shared" ref="U454:AI454" si="369">T454</f>
        <v>11.966759002770083</v>
      </c>
      <c r="V454" s="1523">
        <f t="shared" si="369"/>
        <v>11.966759002770083</v>
      </c>
      <c r="W454" s="1523">
        <f t="shared" si="369"/>
        <v>11.966759002770083</v>
      </c>
      <c r="X454" s="1523">
        <f t="shared" si="369"/>
        <v>11.966759002770083</v>
      </c>
      <c r="Y454" s="1523">
        <f t="shared" si="369"/>
        <v>11.966759002770083</v>
      </c>
      <c r="Z454" s="1523">
        <f t="shared" si="369"/>
        <v>11.966759002770083</v>
      </c>
      <c r="AA454" s="1523">
        <f t="shared" si="369"/>
        <v>11.966759002770083</v>
      </c>
      <c r="AB454" s="1523">
        <f t="shared" si="369"/>
        <v>11.966759002770083</v>
      </c>
      <c r="AC454" s="1523">
        <f t="shared" si="369"/>
        <v>11.966759002770083</v>
      </c>
      <c r="AD454" s="1523">
        <f t="shared" si="369"/>
        <v>11.966759002770083</v>
      </c>
      <c r="AE454" s="1523">
        <f t="shared" si="369"/>
        <v>11.966759002770083</v>
      </c>
      <c r="AF454" s="1523">
        <f t="shared" si="369"/>
        <v>11.966759002770083</v>
      </c>
      <c r="AG454" s="1523">
        <f t="shared" si="369"/>
        <v>11.966759002770083</v>
      </c>
      <c r="AH454" s="1523">
        <f t="shared" si="369"/>
        <v>11.966759002770083</v>
      </c>
      <c r="AI454" s="1524">
        <f t="shared" si="369"/>
        <v>11.966759002770083</v>
      </c>
      <c r="AJ454" s="1010"/>
    </row>
    <row r="455" spans="1:36" s="1011" customFormat="1" ht="12.75" x14ac:dyDescent="0.25">
      <c r="A455" s="1004"/>
      <c r="B455" s="1493" t="s">
        <v>1361</v>
      </c>
      <c r="C455" s="1525">
        <f>IF(C19=0,0,IF(C$71=0,0,-C20/C19))</f>
        <v>0</v>
      </c>
      <c r="D455" s="1391"/>
      <c r="E455" s="1526">
        <f>IF(E19=0,0,IF(E$71=0,0,-E20/E19))</f>
        <v>0.25</v>
      </c>
      <c r="F455" s="1391"/>
      <c r="G455" s="1391"/>
      <c r="H455" s="1526">
        <f>IF(H19=0,0,IF(H$71=0,0,-H20/H19))</f>
        <v>0.25</v>
      </c>
      <c r="I455" s="1391"/>
      <c r="J455" s="1391"/>
      <c r="K455" s="1526">
        <f>IF(K19=0,0,IF(K$71=0,0,-K20/K19))</f>
        <v>0.25</v>
      </c>
      <c r="L455" s="1006"/>
      <c r="M455" s="1006"/>
      <c r="N455" s="1526">
        <f>IF(N19=0,0,IF(N$71=0,0,-N20/N19))</f>
        <v>0.25</v>
      </c>
      <c r="O455" s="1006"/>
      <c r="P455" s="1006"/>
      <c r="Q455" s="1526">
        <f>IF(Q19=0,0,IF(Q$71=0,0,-Q20/Q19))</f>
        <v>0.25</v>
      </c>
      <c r="R455" s="1006"/>
      <c r="S455" s="1006"/>
      <c r="T455" s="1527">
        <f t="shared" si="367"/>
        <v>0.25</v>
      </c>
      <c r="U455" s="1527">
        <f t="shared" ref="U455:AI455" si="370">T455</f>
        <v>0.25</v>
      </c>
      <c r="V455" s="1527">
        <f t="shared" si="370"/>
        <v>0.25</v>
      </c>
      <c r="W455" s="1527">
        <f t="shared" si="370"/>
        <v>0.25</v>
      </c>
      <c r="X455" s="1527">
        <f t="shared" si="370"/>
        <v>0.25</v>
      </c>
      <c r="Y455" s="1527">
        <f t="shared" si="370"/>
        <v>0.25</v>
      </c>
      <c r="Z455" s="1527">
        <f t="shared" si="370"/>
        <v>0.25</v>
      </c>
      <c r="AA455" s="1527">
        <f t="shared" si="370"/>
        <v>0.25</v>
      </c>
      <c r="AB455" s="1527">
        <f t="shared" si="370"/>
        <v>0.25</v>
      </c>
      <c r="AC455" s="1527">
        <f t="shared" si="370"/>
        <v>0.25</v>
      </c>
      <c r="AD455" s="1528">
        <f t="shared" si="370"/>
        <v>0.25</v>
      </c>
      <c r="AE455" s="1528">
        <f t="shared" si="370"/>
        <v>0.25</v>
      </c>
      <c r="AF455" s="1528">
        <f t="shared" si="370"/>
        <v>0.25</v>
      </c>
      <c r="AG455" s="1528">
        <f t="shared" si="370"/>
        <v>0.25</v>
      </c>
      <c r="AH455" s="1528">
        <f t="shared" si="370"/>
        <v>0.25</v>
      </c>
      <c r="AI455" s="1528">
        <f t="shared" si="370"/>
        <v>0.25</v>
      </c>
      <c r="AJ455" s="1010"/>
    </row>
    <row r="456" spans="1:36" s="1011" customFormat="1" ht="12.75" x14ac:dyDescent="0.25">
      <c r="A456" s="1004"/>
      <c r="B456" s="1493" t="s">
        <v>1362</v>
      </c>
      <c r="C456" s="1521">
        <f>IF(AND(C72=0,C74=0),0,IF(C72&lt;&gt;0,C21*C17/C72,C21*C17/C74))</f>
        <v>0</v>
      </c>
      <c r="D456" s="1391"/>
      <c r="E456" s="1522">
        <f>IF(AND(E72=0,E74=0),0,IF(E72&lt;&gt;0,E21*E17/E72,E21*E17/E74))</f>
        <v>259.2</v>
      </c>
      <c r="F456" s="1391"/>
      <c r="G456" s="1391"/>
      <c r="H456" s="1522">
        <f>IF(AND(H72=0,H74=0),0,IF(H72&lt;&gt;0,H21*H17/H72,H21*H17/H74))</f>
        <v>259.2</v>
      </c>
      <c r="I456" s="1391"/>
      <c r="J456" s="1391"/>
      <c r="K456" s="1522">
        <f>IF(AND(K72=0,K74=0),0,IF(K72&lt;&gt;0,K21*K17/K72,K21*K17/K74))</f>
        <v>129.6</v>
      </c>
      <c r="L456" s="1006"/>
      <c r="M456" s="1006"/>
      <c r="N456" s="1522">
        <f>IF(AND(N72=0,N74=0),0,IF(N72&lt;&gt;0,N21*N17/N72,N21*N17/N74))</f>
        <v>259.2</v>
      </c>
      <c r="O456" s="1006"/>
      <c r="P456" s="1006"/>
      <c r="Q456" s="1522">
        <f>IF(AND(Q72=0,Q74=0),0,IF(Q72&lt;&gt;0,Q21*Q17/Q72,Q21*Q17/Q74))</f>
        <v>129.6</v>
      </c>
      <c r="R456" s="1006"/>
      <c r="S456" s="1006"/>
      <c r="T456" s="1523">
        <f t="shared" si="367"/>
        <v>259.2</v>
      </c>
      <c r="U456" s="1523">
        <f t="shared" ref="U456:AI456" si="371">T456</f>
        <v>259.2</v>
      </c>
      <c r="V456" s="1523">
        <f t="shared" si="371"/>
        <v>259.2</v>
      </c>
      <c r="W456" s="1523">
        <f t="shared" si="371"/>
        <v>259.2</v>
      </c>
      <c r="X456" s="1523">
        <f t="shared" si="371"/>
        <v>259.2</v>
      </c>
      <c r="Y456" s="1523">
        <f t="shared" si="371"/>
        <v>259.2</v>
      </c>
      <c r="Z456" s="1523">
        <f t="shared" si="371"/>
        <v>259.2</v>
      </c>
      <c r="AA456" s="1523">
        <f t="shared" si="371"/>
        <v>259.2</v>
      </c>
      <c r="AB456" s="1523">
        <f t="shared" si="371"/>
        <v>259.2</v>
      </c>
      <c r="AC456" s="1523">
        <f t="shared" si="371"/>
        <v>259.2</v>
      </c>
      <c r="AD456" s="1529">
        <f t="shared" si="371"/>
        <v>259.2</v>
      </c>
      <c r="AE456" s="1529">
        <f t="shared" si="371"/>
        <v>259.2</v>
      </c>
      <c r="AF456" s="1529">
        <f t="shared" si="371"/>
        <v>259.2</v>
      </c>
      <c r="AG456" s="1529">
        <f t="shared" si="371"/>
        <v>259.2</v>
      </c>
      <c r="AH456" s="1529">
        <f t="shared" si="371"/>
        <v>259.2</v>
      </c>
      <c r="AI456" s="1529">
        <f t="shared" si="371"/>
        <v>259.2</v>
      </c>
      <c r="AJ456" s="1010"/>
    </row>
    <row r="457" spans="1:36" s="1011" customFormat="1" ht="12.75" x14ac:dyDescent="0.25">
      <c r="A457" s="1004"/>
      <c r="B457" s="1493" t="s">
        <v>1363</v>
      </c>
      <c r="C457" s="1525">
        <f>IF(C21=0,0,IF(C$71=0,0,-C22/C21))</f>
        <v>0</v>
      </c>
      <c r="D457" s="1391"/>
      <c r="E457" s="1526">
        <f>IF(E21=0,0,IF(E$71=0,0,-E22/E21))</f>
        <v>-8.3333333333333329E-2</v>
      </c>
      <c r="F457" s="1391"/>
      <c r="G457" s="1391"/>
      <c r="H457" s="1526">
        <f>IF(H21=0,0,IF(H$71=0,0,-H22/H21))</f>
        <v>-8.3333333333333329E-2</v>
      </c>
      <c r="I457" s="1391"/>
      <c r="J457" s="1391"/>
      <c r="K457" s="1526">
        <f>IF(K21=0,0,IF(K$71=0,0,-K22/K21))</f>
        <v>-8.3333333333333329E-2</v>
      </c>
      <c r="L457" s="1006"/>
      <c r="M457" s="1006"/>
      <c r="N457" s="1526">
        <f>IF(N21=0,0,IF(N$71=0,0,-N22/N21))</f>
        <v>-8.3333333333333329E-2</v>
      </c>
      <c r="O457" s="1006"/>
      <c r="P457" s="1006"/>
      <c r="Q457" s="1526">
        <f>IF(Q21=0,0,IF(Q$71=0,0,-Q22/Q21))</f>
        <v>-8.3333333333333329E-2</v>
      </c>
      <c r="R457" s="1006"/>
      <c r="S457" s="1006"/>
      <c r="T457" s="1527">
        <f t="shared" si="367"/>
        <v>-8.3333333333333343E-2</v>
      </c>
      <c r="U457" s="1527">
        <f t="shared" ref="U457:AI457" si="372">T457</f>
        <v>-8.3333333333333343E-2</v>
      </c>
      <c r="V457" s="1527">
        <f t="shared" si="372"/>
        <v>-8.3333333333333343E-2</v>
      </c>
      <c r="W457" s="1527">
        <f t="shared" si="372"/>
        <v>-8.3333333333333343E-2</v>
      </c>
      <c r="X457" s="1527">
        <f t="shared" si="372"/>
        <v>-8.3333333333333343E-2</v>
      </c>
      <c r="Y457" s="1527">
        <f t="shared" si="372"/>
        <v>-8.3333333333333343E-2</v>
      </c>
      <c r="Z457" s="1527">
        <f t="shared" si="372"/>
        <v>-8.3333333333333343E-2</v>
      </c>
      <c r="AA457" s="1527">
        <f t="shared" si="372"/>
        <v>-8.3333333333333343E-2</v>
      </c>
      <c r="AB457" s="1527">
        <f t="shared" si="372"/>
        <v>-8.3333333333333343E-2</v>
      </c>
      <c r="AC457" s="1527">
        <f t="shared" si="372"/>
        <v>-8.3333333333333343E-2</v>
      </c>
      <c r="AD457" s="1528">
        <f t="shared" si="372"/>
        <v>-8.3333333333333343E-2</v>
      </c>
      <c r="AE457" s="1528">
        <f t="shared" si="372"/>
        <v>-8.3333333333333343E-2</v>
      </c>
      <c r="AF457" s="1528">
        <f t="shared" si="372"/>
        <v>-8.3333333333333343E-2</v>
      </c>
      <c r="AG457" s="1528">
        <f t="shared" si="372"/>
        <v>-8.3333333333333343E-2</v>
      </c>
      <c r="AH457" s="1528">
        <f t="shared" si="372"/>
        <v>-8.3333333333333343E-2</v>
      </c>
      <c r="AI457" s="1528">
        <f t="shared" si="372"/>
        <v>-8.3333333333333343E-2</v>
      </c>
      <c r="AJ457" s="1010"/>
    </row>
    <row r="458" spans="1:36" s="1011" customFormat="1" ht="12.75" x14ac:dyDescent="0.25">
      <c r="A458" s="1004"/>
      <c r="B458" s="1493" t="str">
        <f>"ANTICIPOS / "&amp;IF(OR(C72&lt;&gt;0,E72&lt;&gt;0,H72&lt;&gt;0,K72&lt;&gt;0,N72&lt;&gt;0,Q72&lt;&gt;0,AND(C74=0,E74=0,H74=0,K74=0,N74=0,Q74=0)),"COSTO DE VENTAS (ANUALIZADO)","GASTOS OPERACIONALES (ANUALIZADOS)")</f>
        <v>ANTICIPOS / COSTO DE VENTAS (ANUALIZADO)</v>
      </c>
      <c r="C458" s="1525">
        <f>IF(AND(C72=0,C74=0),0,IF(C72&lt;&gt;0,C23/(C72*360/C17),C23/(C74*360/C17)))</f>
        <v>0</v>
      </c>
      <c r="D458" s="1391"/>
      <c r="E458" s="1526">
        <f>IF(AND(E72=0,E74=0),0,IF(E72&lt;&gt;0,E23/(E72*360/E17),E23/(E74*360/E17)))</f>
        <v>0.12</v>
      </c>
      <c r="F458" s="1391"/>
      <c r="G458" s="1391"/>
      <c r="H458" s="1526">
        <f>IF(AND(H72=0,H74=0),0,IF(H72&lt;&gt;0,H23/(H72*360/H17),H23/(H74*360/H17)))</f>
        <v>0.12</v>
      </c>
      <c r="I458" s="1391"/>
      <c r="J458" s="1391"/>
      <c r="K458" s="1526">
        <f>IF(AND(K72=0,K74=0),0,IF(K72&lt;&gt;0,K23/(K72*360/K17),K23/(K74*360/K17)))</f>
        <v>0.06</v>
      </c>
      <c r="L458" s="1006"/>
      <c r="M458" s="1006"/>
      <c r="N458" s="1526">
        <f>IF(AND(N72=0,N74=0),0,IF(N72&lt;&gt;0,N23/(N72*360/N17),N23/(N74*360/N17)))</f>
        <v>0.12</v>
      </c>
      <c r="O458" s="1006"/>
      <c r="P458" s="1006"/>
      <c r="Q458" s="1526">
        <f>IF(AND(Q72=0,Q74=0),0,IF(Q72&lt;&gt;0,Q23/(Q72*360/Q17),Q23/(Q74*360/Q17)))</f>
        <v>0.06</v>
      </c>
      <c r="R458" s="1006"/>
      <c r="S458" s="1006"/>
      <c r="T458" s="1527">
        <f t="shared" si="367"/>
        <v>0.12000000000000001</v>
      </c>
      <c r="U458" s="1527">
        <f t="shared" ref="U458:AI458" si="373">T458</f>
        <v>0.12000000000000001</v>
      </c>
      <c r="V458" s="1527">
        <f t="shared" si="373"/>
        <v>0.12000000000000001</v>
      </c>
      <c r="W458" s="1527">
        <f t="shared" si="373"/>
        <v>0.12000000000000001</v>
      </c>
      <c r="X458" s="1527">
        <f t="shared" si="373"/>
        <v>0.12000000000000001</v>
      </c>
      <c r="Y458" s="1527">
        <f t="shared" si="373"/>
        <v>0.12000000000000001</v>
      </c>
      <c r="Z458" s="1527">
        <f t="shared" si="373"/>
        <v>0.12000000000000001</v>
      </c>
      <c r="AA458" s="1527">
        <f t="shared" si="373"/>
        <v>0.12000000000000001</v>
      </c>
      <c r="AB458" s="1527">
        <f t="shared" si="373"/>
        <v>0.12000000000000001</v>
      </c>
      <c r="AC458" s="1527">
        <f t="shared" si="373"/>
        <v>0.12000000000000001</v>
      </c>
      <c r="AD458" s="1528">
        <f t="shared" si="373"/>
        <v>0.12000000000000001</v>
      </c>
      <c r="AE458" s="1528">
        <f t="shared" si="373"/>
        <v>0.12000000000000001</v>
      </c>
      <c r="AF458" s="1528">
        <f t="shared" si="373"/>
        <v>0.12000000000000001</v>
      </c>
      <c r="AG458" s="1528">
        <f t="shared" si="373"/>
        <v>0.12000000000000001</v>
      </c>
      <c r="AH458" s="1528">
        <f t="shared" si="373"/>
        <v>0.12000000000000001</v>
      </c>
      <c r="AI458" s="1528">
        <f t="shared" si="373"/>
        <v>0.12000000000000001</v>
      </c>
      <c r="AJ458" s="1010"/>
    </row>
    <row r="459" spans="1:36" s="1011" customFormat="1" ht="12.75" x14ac:dyDescent="0.25">
      <c r="A459" s="1004"/>
      <c r="B459" s="1493" t="s">
        <v>1364</v>
      </c>
      <c r="C459" s="1521">
        <f>IF(AND(C72=0,C74=0),0,IF(C72&lt;&gt;0,C40*C17/C72,C40*C17/C74))</f>
        <v>0</v>
      </c>
      <c r="D459" s="1391"/>
      <c r="E459" s="1522">
        <f>IF(AND(E72=0,E74=0),0,IF(E72&lt;&gt;0,E40*E17/E72,E40*E17/E74))</f>
        <v>21.6</v>
      </c>
      <c r="F459" s="1391"/>
      <c r="G459" s="1391"/>
      <c r="H459" s="1522">
        <f>IF(AND(H72=0,H74=0),0,IF(H72&lt;&gt;0,H40*H17/H72,H40*H17/H74))</f>
        <v>21.6</v>
      </c>
      <c r="I459" s="1391"/>
      <c r="J459" s="1391"/>
      <c r="K459" s="1522">
        <f>IF(AND(K72=0,K74=0),0,IF(K72&lt;&gt;0,K40*K17/K72,K40*K17/K74))</f>
        <v>10.8</v>
      </c>
      <c r="L459" s="1006"/>
      <c r="M459" s="1006"/>
      <c r="N459" s="1522">
        <f>IF(AND(N72=0,N74=0),0,IF(N72&lt;&gt;0,N40*N17/N72,N40*N17/N74))</f>
        <v>21.6</v>
      </c>
      <c r="O459" s="1006"/>
      <c r="P459" s="1006"/>
      <c r="Q459" s="1522">
        <f>IF(AND(Q72=0,Q74=0),0,IF(Q72&lt;&gt;0,Q40*Q17/Q72,Q40*Q17/Q74))</f>
        <v>10.8</v>
      </c>
      <c r="R459" s="1006"/>
      <c r="S459" s="1006"/>
      <c r="T459" s="1523">
        <f t="shared" si="367"/>
        <v>21.6</v>
      </c>
      <c r="U459" s="1523">
        <f t="shared" ref="U459:AI459" si="374">T459</f>
        <v>21.6</v>
      </c>
      <c r="V459" s="1523">
        <f t="shared" si="374"/>
        <v>21.6</v>
      </c>
      <c r="W459" s="1523">
        <f t="shared" si="374"/>
        <v>21.6</v>
      </c>
      <c r="X459" s="1523">
        <f t="shared" si="374"/>
        <v>21.6</v>
      </c>
      <c r="Y459" s="1523">
        <f t="shared" si="374"/>
        <v>21.6</v>
      </c>
      <c r="Z459" s="1523">
        <f t="shared" si="374"/>
        <v>21.6</v>
      </c>
      <c r="AA459" s="1523">
        <f t="shared" si="374"/>
        <v>21.6</v>
      </c>
      <c r="AB459" s="1523">
        <f t="shared" si="374"/>
        <v>21.6</v>
      </c>
      <c r="AC459" s="1523">
        <f t="shared" si="374"/>
        <v>21.6</v>
      </c>
      <c r="AD459" s="1529">
        <f t="shared" si="374"/>
        <v>21.6</v>
      </c>
      <c r="AE459" s="1529">
        <f t="shared" si="374"/>
        <v>21.6</v>
      </c>
      <c r="AF459" s="1529">
        <f t="shared" si="374"/>
        <v>21.6</v>
      </c>
      <c r="AG459" s="1529">
        <f t="shared" si="374"/>
        <v>21.6</v>
      </c>
      <c r="AH459" s="1529">
        <f t="shared" si="374"/>
        <v>21.6</v>
      </c>
      <c r="AI459" s="1529">
        <f t="shared" si="374"/>
        <v>21.6</v>
      </c>
      <c r="AJ459" s="1010"/>
    </row>
    <row r="460" spans="1:36" s="1011" customFormat="1" ht="12.75" x14ac:dyDescent="0.25">
      <c r="A460" s="1004"/>
      <c r="B460" s="1493" t="s">
        <v>1365</v>
      </c>
      <c r="C460" s="1530" t="s">
        <v>1260</v>
      </c>
      <c r="D460" s="1391"/>
      <c r="E460" s="1501">
        <f>IF(E$71=0,0,E28-C28)</f>
        <v>540</v>
      </c>
      <c r="F460" s="1391"/>
      <c r="G460" s="1391"/>
      <c r="H460" s="1501">
        <f>IF(H$71=0,0,H28-E28)</f>
        <v>0</v>
      </c>
      <c r="I460" s="1391"/>
      <c r="J460" s="1391"/>
      <c r="K460" s="1501">
        <f>IF(K$71=0,0,K28-H28)</f>
        <v>0</v>
      </c>
      <c r="L460" s="1006"/>
      <c r="M460" s="1006"/>
      <c r="N460" s="1501">
        <f>IF(N$71=0,0,N28-H28)</f>
        <v>0</v>
      </c>
      <c r="O460" s="1006"/>
      <c r="P460" s="1006"/>
      <c r="Q460" s="1501">
        <f>IF(Q$71=0,0,Q28-N28)</f>
        <v>0</v>
      </c>
      <c r="R460" s="1006"/>
      <c r="S460" s="1006"/>
      <c r="T460" s="1531">
        <f>IF($N$71=0,0,E460*($E$241+$C$241)+H460*$H$241+N460*$N$241+Q460*$Q$241)</f>
        <v>178.20000000000002</v>
      </c>
      <c r="U460" s="1531">
        <f t="shared" ref="U460:AI460" si="375">T460</f>
        <v>178.20000000000002</v>
      </c>
      <c r="V460" s="1531">
        <f t="shared" si="375"/>
        <v>178.20000000000002</v>
      </c>
      <c r="W460" s="1531">
        <f t="shared" si="375"/>
        <v>178.20000000000002</v>
      </c>
      <c r="X460" s="1531">
        <f t="shared" si="375"/>
        <v>178.20000000000002</v>
      </c>
      <c r="Y460" s="1531">
        <f t="shared" si="375"/>
        <v>178.20000000000002</v>
      </c>
      <c r="Z460" s="1531">
        <f t="shared" si="375"/>
        <v>178.20000000000002</v>
      </c>
      <c r="AA460" s="1531">
        <f t="shared" si="375"/>
        <v>178.20000000000002</v>
      </c>
      <c r="AB460" s="1531">
        <f t="shared" si="375"/>
        <v>178.20000000000002</v>
      </c>
      <c r="AC460" s="1531">
        <f t="shared" si="375"/>
        <v>178.20000000000002</v>
      </c>
      <c r="AD460" s="1532">
        <f t="shared" si="375"/>
        <v>178.20000000000002</v>
      </c>
      <c r="AE460" s="1532">
        <f t="shared" si="375"/>
        <v>178.20000000000002</v>
      </c>
      <c r="AF460" s="1532">
        <f t="shared" si="375"/>
        <v>178.20000000000002</v>
      </c>
      <c r="AG460" s="1532">
        <f t="shared" si="375"/>
        <v>178.20000000000002</v>
      </c>
      <c r="AH460" s="1532">
        <f t="shared" si="375"/>
        <v>178.20000000000002</v>
      </c>
      <c r="AI460" s="1532">
        <f t="shared" si="375"/>
        <v>178.20000000000002</v>
      </c>
      <c r="AJ460" s="1010"/>
    </row>
    <row r="461" spans="1:36" s="1011" customFormat="1" ht="12.75" x14ac:dyDescent="0.25">
      <c r="A461" s="1004"/>
      <c r="B461" s="1493" t="s">
        <v>1366</v>
      </c>
      <c r="C461" s="1533" t="s">
        <v>1260</v>
      </c>
      <c r="D461" s="1391"/>
      <c r="E461" s="1534">
        <f>IF(E28=0,0,IF(E$71=0,0,-(E29-C29)/E28))</f>
        <v>-0.1111111111111111</v>
      </c>
      <c r="F461" s="1391"/>
      <c r="G461" s="1391"/>
      <c r="H461" s="1534">
        <f>IF(H28=0,0,IF(H$71=0,0,-(H29-E29)/H28))</f>
        <v>0</v>
      </c>
      <c r="I461" s="1391"/>
      <c r="J461" s="1391"/>
      <c r="K461" s="1534">
        <f>IF(K28=0,0,IF(K$71=0,0,-(K29-H29)/K28))</f>
        <v>0</v>
      </c>
      <c r="L461" s="1006"/>
      <c r="M461" s="1006"/>
      <c r="N461" s="1534">
        <f>IF(N28=0,0,IF(N$71=0,0,-(N29-H29)/N28))</f>
        <v>0</v>
      </c>
      <c r="O461" s="1006"/>
      <c r="P461" s="1006"/>
      <c r="Q461" s="1534">
        <f>IF(Q28=0,0,IF(Q$71=0,0,-(Q29-N29)/Q28))</f>
        <v>0</v>
      </c>
      <c r="R461" s="1006"/>
      <c r="S461" s="1006"/>
      <c r="T461" s="1496">
        <f>IF($N$71=0,0,E461*($E$241+$C$241)+H461*$H$241+N461*$N$241+Q461*$Q$241)</f>
        <v>-3.6666666666666667E-2</v>
      </c>
      <c r="U461" s="1496">
        <f t="shared" ref="U461:AI461" si="376">T461</f>
        <v>-3.6666666666666667E-2</v>
      </c>
      <c r="V461" s="1496">
        <f t="shared" si="376"/>
        <v>-3.6666666666666667E-2</v>
      </c>
      <c r="W461" s="1496">
        <f t="shared" si="376"/>
        <v>-3.6666666666666667E-2</v>
      </c>
      <c r="X461" s="1496">
        <f t="shared" si="376"/>
        <v>-3.6666666666666667E-2</v>
      </c>
      <c r="Y461" s="1496">
        <f t="shared" si="376"/>
        <v>-3.6666666666666667E-2</v>
      </c>
      <c r="Z461" s="1496">
        <f t="shared" si="376"/>
        <v>-3.6666666666666667E-2</v>
      </c>
      <c r="AA461" s="1496">
        <f t="shared" si="376"/>
        <v>-3.6666666666666667E-2</v>
      </c>
      <c r="AB461" s="1496">
        <f t="shared" si="376"/>
        <v>-3.6666666666666667E-2</v>
      </c>
      <c r="AC461" s="1496">
        <f t="shared" si="376"/>
        <v>-3.6666666666666667E-2</v>
      </c>
      <c r="AD461" s="1535">
        <f t="shared" si="376"/>
        <v>-3.6666666666666667E-2</v>
      </c>
      <c r="AE461" s="1535">
        <f t="shared" si="376"/>
        <v>-3.6666666666666667E-2</v>
      </c>
      <c r="AF461" s="1535">
        <f t="shared" si="376"/>
        <v>-3.6666666666666667E-2</v>
      </c>
      <c r="AG461" s="1535">
        <f t="shared" si="376"/>
        <v>-3.6666666666666667E-2</v>
      </c>
      <c r="AH461" s="1535">
        <f t="shared" si="376"/>
        <v>-3.6666666666666667E-2</v>
      </c>
      <c r="AI461" s="1535">
        <f t="shared" si="376"/>
        <v>-3.6666666666666667E-2</v>
      </c>
      <c r="AJ461" s="1010"/>
    </row>
    <row r="462" spans="1:36" s="1011" customFormat="1" ht="12.75" x14ac:dyDescent="0.25">
      <c r="A462" s="1004"/>
      <c r="B462" s="1493" t="s">
        <v>1367</v>
      </c>
      <c r="C462" s="1494">
        <f>IF(C28=0,0,IF(C$71=0,0,C90/C28))</f>
        <v>0</v>
      </c>
      <c r="D462" s="1006"/>
      <c r="E462" s="1495">
        <f>IF(E28=0,0,IF(E$71=0,0,E90/E28))</f>
        <v>7.407407407407407E-2</v>
      </c>
      <c r="F462" s="1006"/>
      <c r="G462" s="1006"/>
      <c r="H462" s="1495">
        <f>IF(H28=0,0,IF(H$71=0,0,H90/H28))</f>
        <v>7.407407407407407E-2</v>
      </c>
      <c r="I462" s="1006"/>
      <c r="J462" s="1006"/>
      <c r="K462" s="1495">
        <f>IF(K28=0,0,IF(K$71=0,0,K90/K28))</f>
        <v>7.407407407407407E-2</v>
      </c>
      <c r="L462" s="1006"/>
      <c r="M462" s="1006"/>
      <c r="N462" s="1495">
        <f>IF(N28=0,0,IF(N$71=0,0,N90/N28))</f>
        <v>7.407407407407407E-2</v>
      </c>
      <c r="O462" s="1006"/>
      <c r="P462" s="1006"/>
      <c r="Q462" s="1495">
        <f>IF(Q28=0,0,IF(Q$71=0,0,Q90/Q28))</f>
        <v>7.407407407407407E-2</v>
      </c>
      <c r="R462" s="1006"/>
      <c r="S462" s="1006"/>
      <c r="T462" s="1496">
        <f>IF($N$71=0,0,C462*$C$241+E462*$E$241+H462*$H$241+N462*$N$241+Q462*$Q$241)</f>
        <v>7.407407407407407E-2</v>
      </c>
      <c r="U462" s="1496">
        <f t="shared" ref="U462:AI462" si="377">T462</f>
        <v>7.407407407407407E-2</v>
      </c>
      <c r="V462" s="1496">
        <f t="shared" si="377"/>
        <v>7.407407407407407E-2</v>
      </c>
      <c r="W462" s="1496">
        <f t="shared" si="377"/>
        <v>7.407407407407407E-2</v>
      </c>
      <c r="X462" s="1496">
        <f t="shared" si="377"/>
        <v>7.407407407407407E-2</v>
      </c>
      <c r="Y462" s="1496">
        <f t="shared" si="377"/>
        <v>7.407407407407407E-2</v>
      </c>
      <c r="Z462" s="1496">
        <f t="shared" si="377"/>
        <v>7.407407407407407E-2</v>
      </c>
      <c r="AA462" s="1496">
        <f t="shared" si="377"/>
        <v>7.407407407407407E-2</v>
      </c>
      <c r="AB462" s="1496">
        <f t="shared" si="377"/>
        <v>7.407407407407407E-2</v>
      </c>
      <c r="AC462" s="1496">
        <f t="shared" si="377"/>
        <v>7.407407407407407E-2</v>
      </c>
      <c r="AD462" s="1535">
        <f t="shared" si="377"/>
        <v>7.407407407407407E-2</v>
      </c>
      <c r="AE462" s="1535">
        <f t="shared" si="377"/>
        <v>7.407407407407407E-2</v>
      </c>
      <c r="AF462" s="1535">
        <f t="shared" si="377"/>
        <v>7.407407407407407E-2</v>
      </c>
      <c r="AG462" s="1535">
        <f t="shared" si="377"/>
        <v>7.407407407407407E-2</v>
      </c>
      <c r="AH462" s="1535">
        <f t="shared" si="377"/>
        <v>7.407407407407407E-2</v>
      </c>
      <c r="AI462" s="1535">
        <f t="shared" si="377"/>
        <v>7.407407407407407E-2</v>
      </c>
      <c r="AJ462" s="1010"/>
    </row>
    <row r="463" spans="1:36" s="1011" customFormat="1" ht="12.75" x14ac:dyDescent="0.25">
      <c r="A463" s="1004"/>
      <c r="B463" s="1493" t="s">
        <v>1368</v>
      </c>
      <c r="C463" s="1536" t="s">
        <v>1260</v>
      </c>
      <c r="D463" s="1006"/>
      <c r="E463" s="1495">
        <f>IF(C30=0,0,IF(E$71=0,0,(E30/C30)-1))</f>
        <v>0</v>
      </c>
      <c r="F463" s="1006"/>
      <c r="G463" s="1006"/>
      <c r="H463" s="1495">
        <f>IF(E30=0,0,IF(H$71=0,0,(H30/E30)-1))</f>
        <v>0</v>
      </c>
      <c r="I463" s="1006"/>
      <c r="J463" s="1006"/>
      <c r="K463" s="1495">
        <f>IF(H30=0,0,IF(K$71=0,0,(K30/H30)-1))</f>
        <v>0</v>
      </c>
      <c r="L463" s="1006"/>
      <c r="M463" s="1006"/>
      <c r="N463" s="1495">
        <f>IF(H30=0,0,IF(N$71=0,0,(N30/H30)-1))</f>
        <v>0</v>
      </c>
      <c r="O463" s="1006"/>
      <c r="P463" s="1006"/>
      <c r="Q463" s="1495">
        <f>IF(N30=0,0,IF(Q$71=0,0,(Q30/N30)-1))</f>
        <v>0</v>
      </c>
      <c r="R463" s="1006"/>
      <c r="S463" s="1006"/>
      <c r="T463" s="1496">
        <f>IF($N$71=0,0,E463*($E$241+$C$241)+H463*$H$241+N463*$N$241+Q463*$Q$241)</f>
        <v>0</v>
      </c>
      <c r="U463" s="1496">
        <f t="shared" ref="U463:AI463" si="378">T463</f>
        <v>0</v>
      </c>
      <c r="V463" s="1496">
        <f t="shared" si="378"/>
        <v>0</v>
      </c>
      <c r="W463" s="1496">
        <f t="shared" si="378"/>
        <v>0</v>
      </c>
      <c r="X463" s="1496">
        <f t="shared" si="378"/>
        <v>0</v>
      </c>
      <c r="Y463" s="1496">
        <f t="shared" si="378"/>
        <v>0</v>
      </c>
      <c r="Z463" s="1496">
        <f t="shared" si="378"/>
        <v>0</v>
      </c>
      <c r="AA463" s="1496">
        <f t="shared" si="378"/>
        <v>0</v>
      </c>
      <c r="AB463" s="1496">
        <f t="shared" si="378"/>
        <v>0</v>
      </c>
      <c r="AC463" s="1496">
        <f t="shared" si="378"/>
        <v>0</v>
      </c>
      <c r="AD463" s="1535">
        <f t="shared" si="378"/>
        <v>0</v>
      </c>
      <c r="AE463" s="1535">
        <f t="shared" si="378"/>
        <v>0</v>
      </c>
      <c r="AF463" s="1535">
        <f t="shared" si="378"/>
        <v>0</v>
      </c>
      <c r="AG463" s="1535">
        <f t="shared" si="378"/>
        <v>0</v>
      </c>
      <c r="AH463" s="1535">
        <f t="shared" si="378"/>
        <v>0</v>
      </c>
      <c r="AI463" s="1535">
        <f t="shared" si="378"/>
        <v>0</v>
      </c>
      <c r="AJ463" s="1010"/>
    </row>
    <row r="464" spans="1:36" s="1011" customFormat="1" ht="12.75" x14ac:dyDescent="0.25">
      <c r="A464" s="1004"/>
      <c r="B464" s="1493" t="s">
        <v>1369</v>
      </c>
      <c r="C464" s="1494">
        <f>IF(C30=0,0,IF(C$71=0,0,(C91*360/C17)/C30))</f>
        <v>0</v>
      </c>
      <c r="D464" s="1006"/>
      <c r="E464" s="1495">
        <f>IF(E30=0,0,IF(E$71=0,0,(E91*360/E17)/E30))</f>
        <v>0</v>
      </c>
      <c r="F464" s="1006"/>
      <c r="G464" s="1006"/>
      <c r="H464" s="1495">
        <f>IF(H30=0,0,IF(H$71=0,0,(H91*360/H17)/H30))</f>
        <v>0</v>
      </c>
      <c r="I464" s="1006"/>
      <c r="J464" s="1006"/>
      <c r="K464" s="1495">
        <f>IF(K30=0,0,IF(K$71=0,0,(K91*360/K17)/K30))</f>
        <v>0</v>
      </c>
      <c r="L464" s="1006"/>
      <c r="M464" s="1006"/>
      <c r="N464" s="1495">
        <f>IF(N30=0,0,IF(N$71=0,0,(N91*360/N17)/N30))</f>
        <v>0</v>
      </c>
      <c r="O464" s="1006"/>
      <c r="P464" s="1006"/>
      <c r="Q464" s="1495">
        <f>IF(Q30=0,0,IF(Q$71=0,0,(Q91*360/Q17)/Q30))</f>
        <v>0</v>
      </c>
      <c r="R464" s="1006"/>
      <c r="S464" s="1006"/>
      <c r="T464" s="1496">
        <f>IF($N$71=0,0,C464*$C$241+E464*$E$241+H464*$H$241+N464*$N$241+Q464*$Q$241)</f>
        <v>0</v>
      </c>
      <c r="U464" s="1496">
        <f t="shared" ref="U464:AI464" si="379">T464</f>
        <v>0</v>
      </c>
      <c r="V464" s="1496">
        <f t="shared" si="379"/>
        <v>0</v>
      </c>
      <c r="W464" s="1496">
        <f t="shared" si="379"/>
        <v>0</v>
      </c>
      <c r="X464" s="1496">
        <f t="shared" si="379"/>
        <v>0</v>
      </c>
      <c r="Y464" s="1496">
        <f t="shared" si="379"/>
        <v>0</v>
      </c>
      <c r="Z464" s="1496">
        <f t="shared" si="379"/>
        <v>0</v>
      </c>
      <c r="AA464" s="1496">
        <f t="shared" si="379"/>
        <v>0</v>
      </c>
      <c r="AB464" s="1496">
        <f t="shared" si="379"/>
        <v>0</v>
      </c>
      <c r="AC464" s="1496">
        <f t="shared" si="379"/>
        <v>0</v>
      </c>
      <c r="AD464" s="1535">
        <f t="shared" si="379"/>
        <v>0</v>
      </c>
      <c r="AE464" s="1535">
        <f t="shared" si="379"/>
        <v>0</v>
      </c>
      <c r="AF464" s="1535">
        <f t="shared" si="379"/>
        <v>0</v>
      </c>
      <c r="AG464" s="1535">
        <f t="shared" si="379"/>
        <v>0</v>
      </c>
      <c r="AH464" s="1535">
        <f t="shared" si="379"/>
        <v>0</v>
      </c>
      <c r="AI464" s="1535">
        <f t="shared" si="379"/>
        <v>0</v>
      </c>
      <c r="AJ464" s="1010"/>
    </row>
    <row r="465" spans="1:43" s="1011" customFormat="1" ht="12.75" x14ac:dyDescent="0.25">
      <c r="A465" s="1004"/>
      <c r="B465" s="1493" t="s">
        <v>1370</v>
      </c>
      <c r="C465" s="1536" t="s">
        <v>1260</v>
      </c>
      <c r="D465" s="1006"/>
      <c r="E465" s="1537">
        <f>IF(C31=0,0,IF(E$71=0,0,(E31/C31)-1))</f>
        <v>0</v>
      </c>
      <c r="F465" s="1006"/>
      <c r="G465" s="1006"/>
      <c r="H465" s="1537">
        <f>IF(E31=0,0,IF(H$71=0,0,(H31/E31)-1))</f>
        <v>0</v>
      </c>
      <c r="I465" s="1006"/>
      <c r="J465" s="1006"/>
      <c r="K465" s="1537">
        <f>IF(H31=0,0,IF(K$71=0,0,(K31/H31)-1))</f>
        <v>0</v>
      </c>
      <c r="L465" s="1006"/>
      <c r="M465" s="1006"/>
      <c r="N465" s="1537">
        <f>IF(H31=0,0,IF(N$71=0,0,(N31/H31)-1))</f>
        <v>0</v>
      </c>
      <c r="O465" s="1006"/>
      <c r="P465" s="1006"/>
      <c r="Q465" s="1537">
        <f>IF(N31=0,0,IF(Q$71=0,0,(Q31/N31)-1))</f>
        <v>0</v>
      </c>
      <c r="R465" s="1006"/>
      <c r="S465" s="1006"/>
      <c r="T465" s="1496">
        <f>IF($N$71=0,0,E465*($E$241+$C$241)+H465*$H$241+N465*$N$241+Q465*$Q$241)</f>
        <v>0</v>
      </c>
      <c r="U465" s="1496">
        <f t="shared" ref="U465:AI465" si="380">T465</f>
        <v>0</v>
      </c>
      <c r="V465" s="1496">
        <f t="shared" si="380"/>
        <v>0</v>
      </c>
      <c r="W465" s="1496">
        <f t="shared" si="380"/>
        <v>0</v>
      </c>
      <c r="X465" s="1496">
        <f t="shared" si="380"/>
        <v>0</v>
      </c>
      <c r="Y465" s="1496">
        <f t="shared" si="380"/>
        <v>0</v>
      </c>
      <c r="Z465" s="1496">
        <f t="shared" si="380"/>
        <v>0</v>
      </c>
      <c r="AA465" s="1496">
        <f t="shared" si="380"/>
        <v>0</v>
      </c>
      <c r="AB465" s="1496">
        <f t="shared" si="380"/>
        <v>0</v>
      </c>
      <c r="AC465" s="1496">
        <f t="shared" si="380"/>
        <v>0</v>
      </c>
      <c r="AD465" s="1535">
        <f t="shared" si="380"/>
        <v>0</v>
      </c>
      <c r="AE465" s="1535">
        <f t="shared" si="380"/>
        <v>0</v>
      </c>
      <c r="AF465" s="1535">
        <f t="shared" si="380"/>
        <v>0</v>
      </c>
      <c r="AG465" s="1535">
        <f t="shared" si="380"/>
        <v>0</v>
      </c>
      <c r="AH465" s="1535">
        <f t="shared" si="380"/>
        <v>0</v>
      </c>
      <c r="AI465" s="1535">
        <f t="shared" si="380"/>
        <v>0</v>
      </c>
      <c r="AJ465" s="1010"/>
    </row>
    <row r="466" spans="1:43" s="1011" customFormat="1" ht="12.75" x14ac:dyDescent="0.25">
      <c r="A466" s="1004"/>
      <c r="B466" s="1493" t="s">
        <v>1371</v>
      </c>
      <c r="C466" s="1494">
        <f>IF(C31=0,0,IF(C$71=0,0,(C92*360/C17)/C31))</f>
        <v>0</v>
      </c>
      <c r="D466" s="1006"/>
      <c r="E466" s="1495">
        <f>IF(E31=0,0,IF(E$71=0,0,(E92*360/E17)/E31))</f>
        <v>0</v>
      </c>
      <c r="F466" s="1006"/>
      <c r="G466" s="1006"/>
      <c r="H466" s="1495">
        <f>IF(H31=0,0,IF(H$71=0,0,(H92*360/H17)/H31))</f>
        <v>0</v>
      </c>
      <c r="I466" s="1006"/>
      <c r="J466" s="1006"/>
      <c r="K466" s="1495">
        <f>IF(K31=0,0,IF(K$71=0,0,(K92*360/K17)/K31))</f>
        <v>0</v>
      </c>
      <c r="L466" s="1006"/>
      <c r="M466" s="1006"/>
      <c r="N466" s="1495">
        <f>IF(N31=0,0,IF(N$71=0,0,(N92*360/N17)/N31))</f>
        <v>0</v>
      </c>
      <c r="O466" s="1006"/>
      <c r="P466" s="1006"/>
      <c r="Q466" s="1495">
        <f>IF(Q31=0,0,IF(Q$71=0,0,(Q92*360/Q17)/Q31))</f>
        <v>0</v>
      </c>
      <c r="R466" s="1006"/>
      <c r="S466" s="1006"/>
      <c r="T466" s="1496">
        <f>IF($N$71=0,0,C466*$C$241+E466*$E$241+H466*$H$241+N466*$N$241+Q466*$Q$241)</f>
        <v>0</v>
      </c>
      <c r="U466" s="1496">
        <f t="shared" ref="U466:AI466" si="381">T466</f>
        <v>0</v>
      </c>
      <c r="V466" s="1496">
        <f t="shared" si="381"/>
        <v>0</v>
      </c>
      <c r="W466" s="1496">
        <f t="shared" si="381"/>
        <v>0</v>
      </c>
      <c r="X466" s="1496">
        <f t="shared" si="381"/>
        <v>0</v>
      </c>
      <c r="Y466" s="1496">
        <f t="shared" si="381"/>
        <v>0</v>
      </c>
      <c r="Z466" s="1496">
        <f t="shared" si="381"/>
        <v>0</v>
      </c>
      <c r="AA466" s="1496">
        <f t="shared" si="381"/>
        <v>0</v>
      </c>
      <c r="AB466" s="1496">
        <f t="shared" si="381"/>
        <v>0</v>
      </c>
      <c r="AC466" s="1496">
        <f t="shared" si="381"/>
        <v>0</v>
      </c>
      <c r="AD466" s="1535">
        <f t="shared" si="381"/>
        <v>0</v>
      </c>
      <c r="AE466" s="1535">
        <f t="shared" si="381"/>
        <v>0</v>
      </c>
      <c r="AF466" s="1535">
        <f t="shared" si="381"/>
        <v>0</v>
      </c>
      <c r="AG466" s="1535">
        <f t="shared" si="381"/>
        <v>0</v>
      </c>
      <c r="AH466" s="1535">
        <f t="shared" si="381"/>
        <v>0</v>
      </c>
      <c r="AI466" s="1535">
        <f t="shared" si="381"/>
        <v>0</v>
      </c>
      <c r="AJ466" s="1010"/>
    </row>
    <row r="467" spans="1:43" s="1011" customFormat="1" ht="12.75" x14ac:dyDescent="0.25">
      <c r="A467" s="1004"/>
      <c r="B467" s="1493" t="str">
        <f>"PASIVOS LABORALES / "&amp;IF(OR(C72&lt;&gt;0,E72&lt;&gt;0,H72&lt;&gt;0,K72&lt;&gt;0,N72&lt;&gt;0,Q72&lt;&gt;0,AND(C74=0,E74=0,H74=0,K74=0,N74=0,Q74=0)),"GASTOS OPERACIONALES (ANUALIZADOS)","COSTO DE VENTAS (ANUALIZADO)")</f>
        <v>PASIVOS LABORALES / GASTOS OPERACIONALES (ANUALIZADOS)</v>
      </c>
      <c r="C467" s="1494">
        <f>IF(AND(C72=0,C74=0),0,IF(C74&lt;&gt;0,C41/(C74*360/C17),C41/(C72*360/C17)))</f>
        <v>0</v>
      </c>
      <c r="D467" s="1006"/>
      <c r="E467" s="1495">
        <f>IF(AND(E72=0,E74=0),0,IF(E74&lt;&gt;0,E41/(E74*360/E17),E41/(E72*360/E17)))</f>
        <v>0.2</v>
      </c>
      <c r="F467" s="1006"/>
      <c r="G467" s="1006"/>
      <c r="H467" s="1495">
        <f>IF(AND(H72=0,H74=0),0,IF(H74&lt;&gt;0,H41/(H74*360/H17),H41/(H72*360/H17)))</f>
        <v>0.2</v>
      </c>
      <c r="I467" s="1006"/>
      <c r="J467" s="1006"/>
      <c r="K467" s="1495">
        <f>IF(AND(K72=0,K74=0),0,IF(K74&lt;&gt;0,K41/(K74*360/K17),K41/(K72*360/K17)))</f>
        <v>0.1</v>
      </c>
      <c r="L467" s="1006"/>
      <c r="M467" s="1006"/>
      <c r="N467" s="1495">
        <f>IF(AND(N72=0,N74=0),0,IF(N74&lt;&gt;0,N41/(N74*360/N17),N41/(N72*360/N17)))</f>
        <v>0.2</v>
      </c>
      <c r="O467" s="1006"/>
      <c r="P467" s="1006"/>
      <c r="Q467" s="1495">
        <f>IF(AND(Q72=0,Q74=0),0,IF(Q74&lt;&gt;0,Q41/(Q74*360/Q17),Q41/(Q72*360/Q17)))</f>
        <v>0.1</v>
      </c>
      <c r="R467" s="1006"/>
      <c r="S467" s="1006"/>
      <c r="T467" s="1496">
        <f>IF($N$71=0,0,C467*$C$241+E467*$E$241+H467*$H$241+N467*$N$241+Q467*$Q$241)</f>
        <v>0.2</v>
      </c>
      <c r="U467" s="1496">
        <f t="shared" ref="U467:AI467" si="382">T467</f>
        <v>0.2</v>
      </c>
      <c r="V467" s="1496">
        <f t="shared" si="382"/>
        <v>0.2</v>
      </c>
      <c r="W467" s="1496">
        <f t="shared" si="382"/>
        <v>0.2</v>
      </c>
      <c r="X467" s="1496">
        <f t="shared" si="382"/>
        <v>0.2</v>
      </c>
      <c r="Y467" s="1496">
        <f t="shared" si="382"/>
        <v>0.2</v>
      </c>
      <c r="Z467" s="1496">
        <f t="shared" si="382"/>
        <v>0.2</v>
      </c>
      <c r="AA467" s="1496">
        <f t="shared" si="382"/>
        <v>0.2</v>
      </c>
      <c r="AB467" s="1496">
        <f t="shared" si="382"/>
        <v>0.2</v>
      </c>
      <c r="AC467" s="1496">
        <f t="shared" si="382"/>
        <v>0.2</v>
      </c>
      <c r="AD467" s="1535">
        <f t="shared" si="382"/>
        <v>0.2</v>
      </c>
      <c r="AE467" s="1535">
        <f t="shared" si="382"/>
        <v>0.2</v>
      </c>
      <c r="AF467" s="1535">
        <f t="shared" si="382"/>
        <v>0.2</v>
      </c>
      <c r="AG467" s="1535">
        <f t="shared" si="382"/>
        <v>0.2</v>
      </c>
      <c r="AH467" s="1535">
        <f t="shared" si="382"/>
        <v>0.2</v>
      </c>
      <c r="AI467" s="1535">
        <f t="shared" si="382"/>
        <v>0.2</v>
      </c>
      <c r="AJ467" s="1010"/>
    </row>
    <row r="468" spans="1:43" s="1011" customFormat="1" ht="12.75" x14ac:dyDescent="0.25">
      <c r="A468" s="1004"/>
      <c r="B468" s="1493" t="s">
        <v>1372</v>
      </c>
      <c r="C468" s="1494">
        <f>IF(C$71=0,0,C42/(C71*360/C17))</f>
        <v>0</v>
      </c>
      <c r="D468" s="1006"/>
      <c r="E468" s="1495">
        <f>IF(E$71=0,0,E42/(E71*360/E17))</f>
        <v>1.1080332409972299E-2</v>
      </c>
      <c r="F468" s="1006"/>
      <c r="G468" s="1006"/>
      <c r="H468" s="1495">
        <f>IF(H$71=0,0,H42/(H71*360/H17))</f>
        <v>1.1080332409972299E-2</v>
      </c>
      <c r="I468" s="1006"/>
      <c r="J468" s="1006"/>
      <c r="K468" s="1495">
        <f>IF(K$71=0,0,K42/(K71*360/K17))</f>
        <v>5.5401662049861496E-3</v>
      </c>
      <c r="L468" s="1006"/>
      <c r="M468" s="1006"/>
      <c r="N468" s="1495">
        <f>IF(N$71=0,0,N42/(N71*360/N17))</f>
        <v>1.1080332409972299E-2</v>
      </c>
      <c r="O468" s="1006"/>
      <c r="P468" s="1006"/>
      <c r="Q468" s="1495">
        <f>IF(Q$71=0,0,Q42/(Q71*360/Q17))</f>
        <v>5.5401662049861496E-3</v>
      </c>
      <c r="R468" s="1006"/>
      <c r="S468" s="1006"/>
      <c r="T468" s="1496">
        <f>IF($N$71=0,0,C468*$C$241+E468*$E$241+H468*$H$241+N468*$N$241+Q468*$Q$241)</f>
        <v>1.1080332409972299E-2</v>
      </c>
      <c r="U468" s="1496">
        <f t="shared" ref="U468:AI468" si="383">T468</f>
        <v>1.1080332409972299E-2</v>
      </c>
      <c r="V468" s="1496">
        <f t="shared" si="383"/>
        <v>1.1080332409972299E-2</v>
      </c>
      <c r="W468" s="1496">
        <f t="shared" si="383"/>
        <v>1.1080332409972299E-2</v>
      </c>
      <c r="X468" s="1496">
        <f t="shared" si="383"/>
        <v>1.1080332409972299E-2</v>
      </c>
      <c r="Y468" s="1496">
        <f t="shared" si="383"/>
        <v>1.1080332409972299E-2</v>
      </c>
      <c r="Z468" s="1496">
        <f t="shared" si="383"/>
        <v>1.1080332409972299E-2</v>
      </c>
      <c r="AA468" s="1496">
        <f t="shared" si="383"/>
        <v>1.1080332409972299E-2</v>
      </c>
      <c r="AB468" s="1496">
        <f t="shared" si="383"/>
        <v>1.1080332409972299E-2</v>
      </c>
      <c r="AC468" s="1496">
        <f t="shared" si="383"/>
        <v>1.1080332409972299E-2</v>
      </c>
      <c r="AD468" s="1535">
        <f t="shared" si="383"/>
        <v>1.1080332409972299E-2</v>
      </c>
      <c r="AE468" s="1535">
        <f t="shared" si="383"/>
        <v>1.1080332409972299E-2</v>
      </c>
      <c r="AF468" s="1535">
        <f t="shared" si="383"/>
        <v>1.1080332409972299E-2</v>
      </c>
      <c r="AG468" s="1535">
        <f t="shared" si="383"/>
        <v>1.1080332409972299E-2</v>
      </c>
      <c r="AH468" s="1535">
        <f t="shared" si="383"/>
        <v>1.1080332409972299E-2</v>
      </c>
      <c r="AI468" s="1535">
        <f t="shared" si="383"/>
        <v>1.1080332409972299E-2</v>
      </c>
      <c r="AJ468" s="1010"/>
    </row>
    <row r="469" spans="1:43" s="1011" customFormat="1" ht="12.75" x14ac:dyDescent="0.25">
      <c r="A469" s="1004"/>
      <c r="B469" s="1493" t="str">
        <f>"CUENTAS POR PAGAR / "&amp;IF(OR(C72&lt;&gt;0,E72&lt;&gt;0,H72&lt;&gt;0,K72&lt;&gt;0,N72&lt;&gt;0,Q72&lt;&gt;0,AND(C74=0,E74=0,H74=0,K74=0,N74=0,Q74=0)),"COSTO DE VENTAS (ANUALIZADO)","GASTOS OPERACIONALES (ANUALIZADOS)")</f>
        <v>CUENTAS POR PAGAR / COSTO DE VENTAS (ANUALIZADO)</v>
      </c>
      <c r="C469" s="1494">
        <f>IF(AND(C72=0,C74=0),0,IF(C72&lt;&gt;0,C44/(C72*360/C17),C44/(C74*360/C17)))</f>
        <v>0</v>
      </c>
      <c r="D469" s="1006"/>
      <c r="E469" s="1495">
        <f>IF(AND(E72=0,E74=0),0,IF(E72&lt;&gt;0,E44/(E72*360/E17),E44/(E74*360/E17)))</f>
        <v>0.24</v>
      </c>
      <c r="F469" s="1006"/>
      <c r="G469" s="1006"/>
      <c r="H469" s="1495">
        <f>IF(AND(H72=0,H74=0),0,IF(H72&lt;&gt;0,H44/(H72*360/H17),H44/(H74*360/H17)))</f>
        <v>0.24</v>
      </c>
      <c r="I469" s="1006"/>
      <c r="J469" s="1006"/>
      <c r="K469" s="1495">
        <f>IF(AND(K72=0,K74=0),0,IF(K72&lt;&gt;0,K44/(K72*360/K17),K44/(K74*360/K17)))</f>
        <v>0.12</v>
      </c>
      <c r="L469" s="1006"/>
      <c r="M469" s="1006"/>
      <c r="N469" s="1495">
        <f>IF(AND(N72=0,N74=0),0,IF(N72&lt;&gt;0,N44/(N72*360/N17),N44/(N74*360/N17)))</f>
        <v>0.24</v>
      </c>
      <c r="O469" s="1006"/>
      <c r="P469" s="1006"/>
      <c r="Q469" s="1495">
        <f>IF(AND(Q72=0,Q74=0),0,IF(Q72&lt;&gt;0,Q44/(Q72*360/Q17),Q44/(Q74*360/Q17)))</f>
        <v>0.12</v>
      </c>
      <c r="R469" s="1006"/>
      <c r="S469" s="1006"/>
      <c r="T469" s="1496">
        <f>IF($N$71=0,0,C469*$C$241+E469*$E$241+H469*$H$241+N469*$N$241+Q469*$Q$241)</f>
        <v>0.24000000000000002</v>
      </c>
      <c r="U469" s="1496">
        <f t="shared" ref="U469:AI469" si="384">T469</f>
        <v>0.24000000000000002</v>
      </c>
      <c r="V469" s="1496">
        <f t="shared" si="384"/>
        <v>0.24000000000000002</v>
      </c>
      <c r="W469" s="1496">
        <f t="shared" si="384"/>
        <v>0.24000000000000002</v>
      </c>
      <c r="X469" s="1496">
        <f t="shared" si="384"/>
        <v>0.24000000000000002</v>
      </c>
      <c r="Y469" s="1496">
        <f t="shared" si="384"/>
        <v>0.24000000000000002</v>
      </c>
      <c r="Z469" s="1496">
        <f t="shared" si="384"/>
        <v>0.24000000000000002</v>
      </c>
      <c r="AA469" s="1496">
        <f t="shared" si="384"/>
        <v>0.24000000000000002</v>
      </c>
      <c r="AB469" s="1496">
        <f t="shared" si="384"/>
        <v>0.24000000000000002</v>
      </c>
      <c r="AC469" s="1496">
        <f t="shared" si="384"/>
        <v>0.24000000000000002</v>
      </c>
      <c r="AD469" s="1535">
        <f t="shared" si="384"/>
        <v>0.24000000000000002</v>
      </c>
      <c r="AE469" s="1535">
        <f t="shared" si="384"/>
        <v>0.24000000000000002</v>
      </c>
      <c r="AF469" s="1535">
        <f t="shared" si="384"/>
        <v>0.24000000000000002</v>
      </c>
      <c r="AG469" s="1535">
        <f t="shared" si="384"/>
        <v>0.24000000000000002</v>
      </c>
      <c r="AH469" s="1535">
        <f t="shared" si="384"/>
        <v>0.24000000000000002</v>
      </c>
      <c r="AI469" s="1535">
        <f t="shared" si="384"/>
        <v>0.24000000000000002</v>
      </c>
      <c r="AJ469" s="1010"/>
    </row>
    <row r="470" spans="1:43" s="1011" customFormat="1" ht="12.75" x14ac:dyDescent="0.25">
      <c r="A470" s="1004"/>
      <c r="B470" s="1493" t="str">
        <f>"PASIVOS ESTIMADOS Y PROVISIONES / "&amp;IF(OR(C72&lt;&gt;0,E72&lt;&gt;0,H72&lt;&gt;0,K72&lt;&gt;0,N72&lt;&gt;0,Q72&lt;&gt;0,AND(C74=0,E74=0,H74=0,K74=0,N74=0,Q74=0)),"GASTOS OPERACIONALES (ANUALIZADOS)","COSTO DE VENTAS (ANUALIZADO)")</f>
        <v>PASIVOS ESTIMADOS Y PROVISIONES / GASTOS OPERACIONALES (ANUALIZADOS)</v>
      </c>
      <c r="C470" s="1494">
        <f>IF(AND(C72=0,C74=0),0,IF(C74&lt;&gt;0,C46/(C74*360/C17),C46/(C72*360/C17)))</f>
        <v>0</v>
      </c>
      <c r="D470" s="1006"/>
      <c r="E470" s="1495">
        <f>IF(AND(E72=0,E74=0),0,IF(E74&lt;&gt;0,E46/(E74*360/E17),E46/(E72*360/E17)))</f>
        <v>0.3</v>
      </c>
      <c r="F470" s="1006"/>
      <c r="G470" s="1006"/>
      <c r="H470" s="1495">
        <f>IF(AND(H72=0,H74=0),0,IF(H74&lt;&gt;0,H46/(H74*360/H17),H46/(H72*360/H17)))</f>
        <v>0.3</v>
      </c>
      <c r="I470" s="1006"/>
      <c r="J470" s="1006"/>
      <c r="K470" s="1495">
        <f>IF(AND(K72=0,K74=0),0,IF(K74&lt;&gt;0,K46/(K74*360/K17),K46/(K72*360/K17)))</f>
        <v>0.15</v>
      </c>
      <c r="L470" s="1006"/>
      <c r="M470" s="1006"/>
      <c r="N470" s="1495">
        <f>IF(AND(N72=0,N74=0),0,IF(N74&lt;&gt;0,N46/(N74*360/N17),N46/(N72*360/N17)))</f>
        <v>0.3</v>
      </c>
      <c r="O470" s="1006"/>
      <c r="P470" s="1006"/>
      <c r="Q470" s="1495">
        <f>IF(AND(Q72=0,Q74=0),0,IF(Q74&lt;&gt;0,Q46/(Q74*360/Q17),Q46/(Q72*360/Q17)))</f>
        <v>0.15</v>
      </c>
      <c r="R470" s="1006"/>
      <c r="S470" s="1006"/>
      <c r="T470" s="1496">
        <f>IF($N$71=0,0,C470*$C$241+E470*$E$241+H470*$H$241+N470*$N$241+Q470*$Q$241)</f>
        <v>0.30000000000000004</v>
      </c>
      <c r="U470" s="1496">
        <f t="shared" ref="U470:AI470" si="385">T470</f>
        <v>0.30000000000000004</v>
      </c>
      <c r="V470" s="1496">
        <f t="shared" si="385"/>
        <v>0.30000000000000004</v>
      </c>
      <c r="W470" s="1496">
        <f t="shared" si="385"/>
        <v>0.30000000000000004</v>
      </c>
      <c r="X470" s="1496">
        <f t="shared" si="385"/>
        <v>0.30000000000000004</v>
      </c>
      <c r="Y470" s="1496">
        <f t="shared" si="385"/>
        <v>0.30000000000000004</v>
      </c>
      <c r="Z470" s="1496">
        <f t="shared" si="385"/>
        <v>0.30000000000000004</v>
      </c>
      <c r="AA470" s="1496">
        <f t="shared" si="385"/>
        <v>0.30000000000000004</v>
      </c>
      <c r="AB470" s="1496">
        <f t="shared" si="385"/>
        <v>0.30000000000000004</v>
      </c>
      <c r="AC470" s="1496">
        <f t="shared" si="385"/>
        <v>0.30000000000000004</v>
      </c>
      <c r="AD470" s="1535">
        <f t="shared" si="385"/>
        <v>0.30000000000000004</v>
      </c>
      <c r="AE470" s="1535">
        <f t="shared" si="385"/>
        <v>0.30000000000000004</v>
      </c>
      <c r="AF470" s="1535">
        <f t="shared" si="385"/>
        <v>0.30000000000000004</v>
      </c>
      <c r="AG470" s="1535">
        <f t="shared" si="385"/>
        <v>0.30000000000000004</v>
      </c>
      <c r="AH470" s="1535">
        <f t="shared" si="385"/>
        <v>0.30000000000000004</v>
      </c>
      <c r="AI470" s="1535">
        <f t="shared" si="385"/>
        <v>0.30000000000000004</v>
      </c>
      <c r="AJ470" s="1010"/>
    </row>
    <row r="471" spans="1:43" s="496" customFormat="1" ht="12.75" x14ac:dyDescent="0.2">
      <c r="A471" s="498"/>
      <c r="B471" s="1493" t="s">
        <v>1373</v>
      </c>
      <c r="C471" s="1533" t="s">
        <v>1260</v>
      </c>
      <c r="D471" s="1006"/>
      <c r="E471" s="1495">
        <f>IF(OR(C64=0,C64=0),0,-E140/C64)</f>
        <v>0</v>
      </c>
      <c r="F471" s="1006"/>
      <c r="G471" s="1006"/>
      <c r="H471" s="1495">
        <f>IF(OR(E64=0,E64=0),0,-H140/E64)</f>
        <v>1</v>
      </c>
      <c r="I471" s="1006"/>
      <c r="J471" s="1006"/>
      <c r="K471" s="1495">
        <f>IF(OR(H64=0,H64=0),0,-K140/H64)</f>
        <v>1</v>
      </c>
      <c r="L471" s="1006"/>
      <c r="M471" s="1006"/>
      <c r="N471" s="1495">
        <f>IF(OR(H64=0,H64=0),0,-N140/H64)</f>
        <v>1</v>
      </c>
      <c r="O471" s="1006"/>
      <c r="P471" s="1006"/>
      <c r="Q471" s="1495">
        <f>IF(OR(N64=0,N64=0),0,IF(OR(SUM(Q62:Q63,Q66)&gt;=SUM(N62:N64,N66),AND(SUM(Q60:Q61)&gt;SUM(N60:N61),SUM(Q62:Q63,Q66)&lt;SUM(N62:N64,N66),SUM(N62:N64,N66)-SUM(Q62:Q63,Q66)&lt;=SUM(Q60:Q61)-SUM(N60:N61))),0,IF(AND(SUM(Q60:Q61)&gt;SUM(N60:N61),SUM(Q62:Q63,Q66)&lt;SUM(N62:N64,N66),SUM(N62:N64,N66)-SUM(Q62:Q63,Q66)&gt;SUM(Q60:Q61)-SUM(N60:N61)),(SUM(N62:N64,N66)-SUM(Q62:Q63,Q66))-(SUM(Q60:Q61)-SUM(N60:N61)),SUM(N62:N64,N66)-SUM(Q62:Q63,Q66)))/N64)</f>
        <v>1</v>
      </c>
      <c r="R471" s="1006"/>
      <c r="S471" s="1006"/>
      <c r="T471" s="1496">
        <f>IF($N$71=0,0,E471*($E$241+$C$241)+H471*$H$241+N471*$N$241+Q471*$Q$241)</f>
        <v>0.67</v>
      </c>
      <c r="U471" s="1496">
        <f t="shared" ref="U471:AI471" si="386">T471</f>
        <v>0.67</v>
      </c>
      <c r="V471" s="1496">
        <f t="shared" si="386"/>
        <v>0.67</v>
      </c>
      <c r="W471" s="1496">
        <f t="shared" si="386"/>
        <v>0.67</v>
      </c>
      <c r="X471" s="1496">
        <f t="shared" si="386"/>
        <v>0.67</v>
      </c>
      <c r="Y471" s="1496">
        <f t="shared" si="386"/>
        <v>0.67</v>
      </c>
      <c r="Z471" s="1496">
        <f t="shared" si="386"/>
        <v>0.67</v>
      </c>
      <c r="AA471" s="1496">
        <f t="shared" si="386"/>
        <v>0.67</v>
      </c>
      <c r="AB471" s="1496">
        <f t="shared" si="386"/>
        <v>0.67</v>
      </c>
      <c r="AC471" s="1496">
        <f t="shared" si="386"/>
        <v>0.67</v>
      </c>
      <c r="AD471" s="1535">
        <f t="shared" si="386"/>
        <v>0.67</v>
      </c>
      <c r="AE471" s="1535">
        <f t="shared" si="386"/>
        <v>0.67</v>
      </c>
      <c r="AF471" s="1535">
        <f t="shared" si="386"/>
        <v>0.67</v>
      </c>
      <c r="AG471" s="1535">
        <f t="shared" si="386"/>
        <v>0.67</v>
      </c>
      <c r="AH471" s="1535">
        <f t="shared" si="386"/>
        <v>0.67</v>
      </c>
      <c r="AI471" s="1535">
        <f t="shared" si="386"/>
        <v>0.67</v>
      </c>
      <c r="AJ471" s="778"/>
      <c r="AN471" s="497"/>
      <c r="AO471" s="497"/>
      <c r="AP471" s="497"/>
      <c r="AQ471" s="497"/>
    </row>
    <row r="472" spans="1:43" s="1011" customFormat="1" ht="12.75" x14ac:dyDescent="0.25">
      <c r="A472" s="1004"/>
      <c r="B472" s="1506" t="s">
        <v>1374</v>
      </c>
      <c r="C472" s="1538" t="s">
        <v>1260</v>
      </c>
      <c r="D472" s="1006"/>
      <c r="E472" s="1508">
        <f>IF(C65=0,0,IF(E$71=0,0,(E65/C65)-1))</f>
        <v>0</v>
      </c>
      <c r="F472" s="1006"/>
      <c r="G472" s="1006"/>
      <c r="H472" s="1508">
        <f>IF(E65=0,0,IF(H$71=0,0,(H65/E65)-1))</f>
        <v>0</v>
      </c>
      <c r="I472" s="1006"/>
      <c r="J472" s="1006"/>
      <c r="K472" s="1508">
        <f>IF(H65=0,0,IF(K$71=0,0,(K65/H65)-1))</f>
        <v>0</v>
      </c>
      <c r="L472" s="496"/>
      <c r="M472" s="500"/>
      <c r="N472" s="1508">
        <f>IF(H65=0,0,IF(N$71=0,0,(N65/H65)-1))</f>
        <v>0</v>
      </c>
      <c r="O472" s="496"/>
      <c r="P472" s="500"/>
      <c r="Q472" s="1508">
        <f>IF(N65=0,0,IF(Q$71=0,0,(Q65/N65)-1))</f>
        <v>0</v>
      </c>
      <c r="R472" s="496"/>
      <c r="S472" s="500"/>
      <c r="T472" s="1509">
        <v>0</v>
      </c>
      <c r="U472" s="1509">
        <f t="shared" ref="U472:AI472" si="387">T472</f>
        <v>0</v>
      </c>
      <c r="V472" s="1509">
        <f t="shared" si="387"/>
        <v>0</v>
      </c>
      <c r="W472" s="1509">
        <f t="shared" si="387"/>
        <v>0</v>
      </c>
      <c r="X472" s="1509">
        <f t="shared" si="387"/>
        <v>0</v>
      </c>
      <c r="Y472" s="1509">
        <f t="shared" si="387"/>
        <v>0</v>
      </c>
      <c r="Z472" s="1509">
        <f t="shared" si="387"/>
        <v>0</v>
      </c>
      <c r="AA472" s="1509">
        <f t="shared" si="387"/>
        <v>0</v>
      </c>
      <c r="AB472" s="1509">
        <f t="shared" si="387"/>
        <v>0</v>
      </c>
      <c r="AC472" s="1509">
        <f t="shared" si="387"/>
        <v>0</v>
      </c>
      <c r="AD472" s="1539">
        <f t="shared" si="387"/>
        <v>0</v>
      </c>
      <c r="AE472" s="1539">
        <f t="shared" si="387"/>
        <v>0</v>
      </c>
      <c r="AF472" s="1539">
        <f t="shared" si="387"/>
        <v>0</v>
      </c>
      <c r="AG472" s="1539">
        <f t="shared" si="387"/>
        <v>0</v>
      </c>
      <c r="AH472" s="1539">
        <f t="shared" si="387"/>
        <v>0</v>
      </c>
      <c r="AI472" s="1539">
        <f t="shared" si="387"/>
        <v>0</v>
      </c>
      <c r="AJ472" s="1010"/>
    </row>
    <row r="473" spans="1:43" s="496" customFormat="1" ht="12.75" x14ac:dyDescent="0.2">
      <c r="A473" s="498"/>
      <c r="B473" s="1540"/>
      <c r="I473" s="495"/>
      <c r="J473" s="495"/>
      <c r="K473" s="495"/>
      <c r="M473" s="500"/>
      <c r="N473" s="495"/>
      <c r="P473" s="500"/>
      <c r="Q473" s="495"/>
      <c r="S473" s="500"/>
      <c r="T473" s="500"/>
      <c r="AE473" s="1541"/>
      <c r="AF473" s="1541"/>
      <c r="AJ473" s="778"/>
      <c r="AN473" s="497"/>
      <c r="AO473" s="497"/>
      <c r="AP473" s="497"/>
      <c r="AQ473" s="497"/>
    </row>
    <row r="474" spans="1:43" s="496" customFormat="1" ht="12.75" x14ac:dyDescent="0.2">
      <c r="A474" s="498"/>
      <c r="B474" s="1540"/>
      <c r="I474" s="495"/>
      <c r="J474" s="495"/>
      <c r="K474" s="495"/>
      <c r="M474" s="500"/>
      <c r="N474" s="495"/>
      <c r="P474" s="500"/>
      <c r="Q474" s="495"/>
      <c r="S474" s="500"/>
      <c r="T474" s="1542" t="s">
        <v>1044</v>
      </c>
      <c r="U474" s="1543" t="s">
        <v>1044</v>
      </c>
      <c r="V474" s="1543" t="s">
        <v>1044</v>
      </c>
      <c r="W474" s="1543" t="s">
        <v>1044</v>
      </c>
      <c r="X474" s="1543" t="s">
        <v>1044</v>
      </c>
      <c r="Y474" s="1543" t="s">
        <v>1044</v>
      </c>
      <c r="Z474" s="1543" t="s">
        <v>1044</v>
      </c>
      <c r="AA474" s="1543" t="s">
        <v>1044</v>
      </c>
      <c r="AB474" s="1543" t="s">
        <v>1044</v>
      </c>
      <c r="AC474" s="1543" t="s">
        <v>1044</v>
      </c>
      <c r="AD474" s="1544" t="s">
        <v>1044</v>
      </c>
      <c r="AE474" s="1544" t="s">
        <v>1044</v>
      </c>
      <c r="AF474" s="1544" t="s">
        <v>1044</v>
      </c>
      <c r="AG474" s="1544" t="s">
        <v>1044</v>
      </c>
      <c r="AH474" s="1544" t="s">
        <v>1044</v>
      </c>
      <c r="AI474" s="1544" t="s">
        <v>1044</v>
      </c>
      <c r="AJ474" s="778"/>
      <c r="AN474" s="497"/>
      <c r="AO474" s="497"/>
      <c r="AP474" s="497"/>
      <c r="AQ474" s="497"/>
    </row>
    <row r="475" spans="1:43" s="496" customFormat="1" ht="12.75" x14ac:dyDescent="0.2">
      <c r="A475" s="498"/>
      <c r="B475" s="1545" t="s">
        <v>1375</v>
      </c>
      <c r="C475" s="1546">
        <f>C428</f>
        <v>2018</v>
      </c>
      <c r="E475" s="1547">
        <f>E428</f>
        <v>2019</v>
      </c>
      <c r="H475" s="1547">
        <f>H428</f>
        <v>2020</v>
      </c>
      <c r="I475" s="495"/>
      <c r="J475" s="495"/>
      <c r="K475" s="1547">
        <f>K428</f>
        <v>2020</v>
      </c>
      <c r="M475" s="500"/>
      <c r="N475" s="1547">
        <f>N428</f>
        <v>2021</v>
      </c>
      <c r="P475" s="500"/>
      <c r="Q475" s="1547">
        <f>Q428</f>
        <v>2021</v>
      </c>
      <c r="S475" s="500"/>
      <c r="T475" s="1548">
        <f t="shared" ref="T475:AI475" si="388">T428</f>
        <v>2022</v>
      </c>
      <c r="U475" s="1549">
        <f t="shared" si="388"/>
        <v>2023</v>
      </c>
      <c r="V475" s="1549">
        <f t="shared" si="388"/>
        <v>2024</v>
      </c>
      <c r="W475" s="1549">
        <f t="shared" si="388"/>
        <v>2025</v>
      </c>
      <c r="X475" s="1549">
        <f t="shared" si="388"/>
        <v>2026</v>
      </c>
      <c r="Y475" s="1549">
        <f t="shared" si="388"/>
        <v>2027</v>
      </c>
      <c r="Z475" s="1549">
        <f t="shared" si="388"/>
        <v>2028</v>
      </c>
      <c r="AA475" s="1549">
        <f t="shared" si="388"/>
        <v>2029</v>
      </c>
      <c r="AB475" s="1549">
        <f t="shared" si="388"/>
        <v>2030</v>
      </c>
      <c r="AC475" s="1549">
        <f t="shared" si="388"/>
        <v>2031</v>
      </c>
      <c r="AD475" s="1550">
        <f t="shared" si="388"/>
        <v>2032</v>
      </c>
      <c r="AE475" s="1550">
        <f t="shared" si="388"/>
        <v>2033</v>
      </c>
      <c r="AF475" s="1550">
        <f t="shared" si="388"/>
        <v>2034</v>
      </c>
      <c r="AG475" s="1550">
        <f t="shared" si="388"/>
        <v>2035</v>
      </c>
      <c r="AH475" s="1550">
        <f t="shared" si="388"/>
        <v>2036</v>
      </c>
      <c r="AI475" s="1550">
        <f t="shared" si="388"/>
        <v>2037</v>
      </c>
      <c r="AJ475" s="778"/>
      <c r="AN475" s="497"/>
      <c r="AO475" s="497"/>
      <c r="AP475" s="497"/>
      <c r="AQ475" s="497"/>
    </row>
    <row r="476" spans="1:43" s="496" customFormat="1" ht="12.75" x14ac:dyDescent="0.2">
      <c r="A476" s="498"/>
      <c r="B476" s="1551" t="str">
        <f>B429</f>
        <v>Inflación</v>
      </c>
      <c r="C476" s="1552">
        <f>C429</f>
        <v>6.8000000000000005E-2</v>
      </c>
      <c r="E476" s="1553">
        <f>E429</f>
        <v>3.6999999999999998E-2</v>
      </c>
      <c r="H476" s="1553">
        <f>H429</f>
        <v>2.4400000000000002E-2</v>
      </c>
      <c r="I476" s="495"/>
      <c r="J476" s="495"/>
      <c r="K476" s="1553" t="str">
        <f>K429</f>
        <v>N/A</v>
      </c>
      <c r="M476" s="500"/>
      <c r="N476" s="1553">
        <f>N429</f>
        <v>3.6600000000000001E-2</v>
      </c>
      <c r="P476" s="500"/>
      <c r="Q476" s="1553" t="str">
        <f>Q429</f>
        <v>N/A</v>
      </c>
      <c r="S476" s="500"/>
      <c r="T476" s="1554">
        <f>T429</f>
        <v>6.7699999999999996E-2</v>
      </c>
      <c r="U476" s="1555">
        <f>U429</f>
        <v>3.6400000000000002E-2</v>
      </c>
      <c r="V476" s="1555">
        <f>IF(V475=2010,2.8%,3%)</f>
        <v>0.03</v>
      </c>
      <c r="W476" s="1555">
        <f t="shared" ref="W476:AI476" si="389">V476</f>
        <v>0.03</v>
      </c>
      <c r="X476" s="1555">
        <f t="shared" si="389"/>
        <v>0.03</v>
      </c>
      <c r="Y476" s="1555">
        <f t="shared" si="389"/>
        <v>0.03</v>
      </c>
      <c r="Z476" s="1555">
        <f t="shared" si="389"/>
        <v>0.03</v>
      </c>
      <c r="AA476" s="1555">
        <f t="shared" si="389"/>
        <v>0.03</v>
      </c>
      <c r="AB476" s="1555">
        <f t="shared" si="389"/>
        <v>0.03</v>
      </c>
      <c r="AC476" s="1555">
        <f t="shared" si="389"/>
        <v>0.03</v>
      </c>
      <c r="AD476" s="1556">
        <f t="shared" si="389"/>
        <v>0.03</v>
      </c>
      <c r="AE476" s="1556">
        <f t="shared" si="389"/>
        <v>0.03</v>
      </c>
      <c r="AF476" s="1556">
        <f t="shared" si="389"/>
        <v>0.03</v>
      </c>
      <c r="AG476" s="1556">
        <f t="shared" si="389"/>
        <v>0.03</v>
      </c>
      <c r="AH476" s="1556">
        <f t="shared" si="389"/>
        <v>0.03</v>
      </c>
      <c r="AI476" s="1556">
        <f t="shared" si="389"/>
        <v>0.03</v>
      </c>
      <c r="AJ476" s="778"/>
      <c r="AN476" s="497"/>
      <c r="AO476" s="497"/>
      <c r="AP476" s="497"/>
      <c r="AQ476" s="497"/>
    </row>
    <row r="477" spans="1:43" s="496" customFormat="1" ht="12.75" x14ac:dyDescent="0.2">
      <c r="A477" s="498"/>
      <c r="B477" s="1557" t="str">
        <f>B430</f>
        <v>Variación TRM</v>
      </c>
      <c r="C477" s="1558">
        <f>C430</f>
        <v>4.4900000000000002E-2</v>
      </c>
      <c r="E477" s="1559">
        <f>E430</f>
        <v>-0.13397724183117241</v>
      </c>
      <c r="H477" s="1559">
        <f>H430</f>
        <v>-9.0066906845084921E-2</v>
      </c>
      <c r="I477" s="495"/>
      <c r="J477" s="495"/>
      <c r="K477" s="1559" t="str">
        <f>K430</f>
        <v>N/A</v>
      </c>
      <c r="M477" s="500"/>
      <c r="N477" s="1559">
        <f>N430</f>
        <v>0.32480404320537187</v>
      </c>
      <c r="P477" s="500"/>
      <c r="Q477" s="1559" t="str">
        <f>Q430</f>
        <v>N/A</v>
      </c>
      <c r="S477" s="500"/>
      <c r="T477" s="1560">
        <f>T430</f>
        <v>0.38507704050111063</v>
      </c>
      <c r="U477" s="1561">
        <f>U430</f>
        <v>-0.13692170398303674</v>
      </c>
      <c r="V477" s="1561">
        <f>IF(V475=2009,2%,IF(V475=2010,3.04%,2.5%))</f>
        <v>2.5000000000000001E-2</v>
      </c>
      <c r="W477" s="1561">
        <f>IF(W475=2010,3.04%,IF(W475=2011,2.5%,4%))</f>
        <v>0.04</v>
      </c>
      <c r="X477" s="1561">
        <f>IF(X475&lt;=2012,2.5%,W477)</f>
        <v>0.04</v>
      </c>
      <c r="Y477" s="1562">
        <f t="shared" ref="Y477:AI477" si="390">X477</f>
        <v>0.04</v>
      </c>
      <c r="Z477" s="1562">
        <f t="shared" si="390"/>
        <v>0.04</v>
      </c>
      <c r="AA477" s="1562">
        <f t="shared" si="390"/>
        <v>0.04</v>
      </c>
      <c r="AB477" s="1562">
        <f t="shared" si="390"/>
        <v>0.04</v>
      </c>
      <c r="AC477" s="1562">
        <f t="shared" si="390"/>
        <v>0.04</v>
      </c>
      <c r="AD477" s="1563">
        <f t="shared" si="390"/>
        <v>0.04</v>
      </c>
      <c r="AE477" s="1563">
        <f t="shared" si="390"/>
        <v>0.04</v>
      </c>
      <c r="AF477" s="1563">
        <f t="shared" si="390"/>
        <v>0.04</v>
      </c>
      <c r="AG477" s="1563">
        <f t="shared" si="390"/>
        <v>0.04</v>
      </c>
      <c r="AH477" s="1563">
        <f t="shared" si="390"/>
        <v>0.04</v>
      </c>
      <c r="AI477" s="1563">
        <f t="shared" si="390"/>
        <v>0.04</v>
      </c>
      <c r="AJ477" s="778"/>
      <c r="AN477" s="497"/>
      <c r="AO477" s="497"/>
      <c r="AP477" s="497"/>
      <c r="AQ477" s="497"/>
    </row>
    <row r="478" spans="1:43" s="496" customFormat="1" ht="12.75" x14ac:dyDescent="0.2">
      <c r="A478" s="498"/>
      <c r="B478" s="1557" t="str">
        <f>B431</f>
        <v>Crecimiento PIB</v>
      </c>
      <c r="C478" s="1558">
        <f>C431</f>
        <v>6.5799999999999997E-2</v>
      </c>
      <c r="E478" s="1559">
        <f>E431</f>
        <v>4.0399999999999998E-2</v>
      </c>
      <c r="H478" s="1559">
        <f>H431</f>
        <v>4.9299999999999997E-2</v>
      </c>
      <c r="I478" s="495"/>
      <c r="J478" s="495"/>
      <c r="K478" s="1559" t="str">
        <f>K431</f>
        <v>N/A</v>
      </c>
      <c r="M478" s="500"/>
      <c r="N478" s="1559">
        <f>N431</f>
        <v>4.5499999999999999E-2</v>
      </c>
      <c r="P478" s="500"/>
      <c r="Q478" s="1559" t="str">
        <f>Q431</f>
        <v>N/A</v>
      </c>
      <c r="S478" s="500"/>
      <c r="T478" s="1564">
        <f>T479/N479-1</f>
        <v>0.38507704050111058</v>
      </c>
      <c r="U478" s="1565">
        <f>U479/T479-1</f>
        <v>-0.13692170398303671</v>
      </c>
      <c r="V478" s="1565">
        <f>V479/U479-1</f>
        <v>-0.24420714285714296</v>
      </c>
      <c r="W478" s="1565">
        <f>W479/V479-1</f>
        <v>3.5001086843522877E-2</v>
      </c>
      <c r="X478" s="1565">
        <f>X479/W479-1</f>
        <v>3.499999999999992E-2</v>
      </c>
      <c r="Y478" s="1561">
        <v>3.5000000000000003E-2</v>
      </c>
      <c r="Z478" s="1561">
        <f t="shared" ref="Z478:AI478" si="391">Y478</f>
        <v>3.5000000000000003E-2</v>
      </c>
      <c r="AA478" s="1561">
        <f t="shared" si="391"/>
        <v>3.5000000000000003E-2</v>
      </c>
      <c r="AB478" s="1561">
        <f t="shared" si="391"/>
        <v>3.5000000000000003E-2</v>
      </c>
      <c r="AC478" s="1561">
        <f t="shared" si="391"/>
        <v>3.5000000000000003E-2</v>
      </c>
      <c r="AD478" s="1566">
        <f t="shared" si="391"/>
        <v>3.5000000000000003E-2</v>
      </c>
      <c r="AE478" s="1566">
        <f t="shared" si="391"/>
        <v>3.5000000000000003E-2</v>
      </c>
      <c r="AF478" s="1566">
        <f t="shared" si="391"/>
        <v>3.5000000000000003E-2</v>
      </c>
      <c r="AG478" s="1566">
        <f t="shared" si="391"/>
        <v>3.5000000000000003E-2</v>
      </c>
      <c r="AH478" s="1566">
        <f t="shared" si="391"/>
        <v>3.5000000000000003E-2</v>
      </c>
      <c r="AI478" s="1566">
        <f t="shared" si="391"/>
        <v>3.5000000000000003E-2</v>
      </c>
      <c r="AJ478" s="778"/>
      <c r="AN478" s="497"/>
      <c r="AO478" s="497"/>
      <c r="AP478" s="497"/>
      <c r="AQ478" s="497"/>
    </row>
    <row r="479" spans="1:43" s="496" customFormat="1" ht="13.5" thickBot="1" x14ac:dyDescent="0.25">
      <c r="A479" s="498"/>
      <c r="B479" s="1567" t="str">
        <f>B432</f>
        <v>TRM (COP POR 1 USD)</v>
      </c>
      <c r="C479" s="1568">
        <f>C432</f>
        <v>2243.59</v>
      </c>
      <c r="D479" s="1569"/>
      <c r="E479" s="1570">
        <f>E432</f>
        <v>1943</v>
      </c>
      <c r="F479" s="1569"/>
      <c r="G479" s="1569"/>
      <c r="H479" s="1570">
        <f>H432</f>
        <v>1768</v>
      </c>
      <c r="I479" s="1571"/>
      <c r="J479" s="1571"/>
      <c r="K479" s="1570" t="str">
        <f>K432</f>
        <v>N/A</v>
      </c>
      <c r="L479" s="1569"/>
      <c r="M479" s="1572"/>
      <c r="N479" s="1570">
        <f>N432</f>
        <v>2342.2535483870975</v>
      </c>
      <c r="O479" s="1569"/>
      <c r="P479" s="1572"/>
      <c r="Q479" s="1570" t="str">
        <f>Q432</f>
        <v>N/A</v>
      </c>
      <c r="R479" s="1569"/>
      <c r="S479" s="1572"/>
      <c r="T479" s="1573">
        <f>T432</f>
        <v>3244.2016129032259</v>
      </c>
      <c r="U479" s="1574">
        <f>U432</f>
        <v>2800</v>
      </c>
      <c r="V479" s="1574">
        <f>IF(V475=2009,2044.23,IF(V475=2010,1978,IF(V475=2011,2034.83,2116.22)))</f>
        <v>2116.2199999999998</v>
      </c>
      <c r="W479" s="1574">
        <f>IF(W475=2010,1978,IF(W475=2011,2034.83,IF(W475=2012,2116.22,2190.29)))</f>
        <v>2190.29</v>
      </c>
      <c r="X479" s="1574">
        <f>IF(W475=2010,2034.83,IF(W475=2011,2116.22,IF(W475=2012,2190.29,W479*1.035)))</f>
        <v>2266.9501499999997</v>
      </c>
      <c r="Y479" s="1575">
        <f t="shared" ref="Y479:AI479" si="392">X479*(1+Y478)</f>
        <v>2346.2934052499995</v>
      </c>
      <c r="Z479" s="1575">
        <f t="shared" si="392"/>
        <v>2428.4136744337493</v>
      </c>
      <c r="AA479" s="1575">
        <f t="shared" si="392"/>
        <v>2513.4081530389303</v>
      </c>
      <c r="AB479" s="1575">
        <f t="shared" si="392"/>
        <v>2601.3774383952928</v>
      </c>
      <c r="AC479" s="1575">
        <f t="shared" si="392"/>
        <v>2692.4256487391276</v>
      </c>
      <c r="AD479" s="1576">
        <f t="shared" si="392"/>
        <v>2786.6605464449967</v>
      </c>
      <c r="AE479" s="1576">
        <f t="shared" si="392"/>
        <v>2884.1936655705713</v>
      </c>
      <c r="AF479" s="1576">
        <f t="shared" si="392"/>
        <v>2985.1404438655409</v>
      </c>
      <c r="AG479" s="1576">
        <f t="shared" si="392"/>
        <v>3089.6203594008348</v>
      </c>
      <c r="AH479" s="1576">
        <f t="shared" si="392"/>
        <v>3197.7570719798637</v>
      </c>
      <c r="AI479" s="1576">
        <f t="shared" si="392"/>
        <v>3309.6785694991586</v>
      </c>
      <c r="AJ479" s="778"/>
      <c r="AN479" s="497"/>
      <c r="AO479" s="497"/>
      <c r="AP479" s="497"/>
      <c r="AQ479" s="497"/>
    </row>
    <row r="480" spans="1:43" s="496" customFormat="1" ht="12.75" x14ac:dyDescent="0.2">
      <c r="A480" s="498"/>
      <c r="B480" s="603"/>
      <c r="C480" s="1463"/>
      <c r="E480" s="1463"/>
      <c r="H480" s="1463"/>
      <c r="I480" s="495"/>
      <c r="J480" s="495"/>
      <c r="K480" s="1463"/>
      <c r="M480" s="500"/>
      <c r="N480" s="1463"/>
      <c r="P480" s="500"/>
      <c r="Q480" s="1463"/>
      <c r="S480" s="500"/>
      <c r="T480" s="1577" t="s">
        <v>1376</v>
      </c>
      <c r="U480" s="1578"/>
      <c r="V480" s="1578"/>
      <c r="W480" s="1578"/>
      <c r="X480" s="1578"/>
      <c r="Y480" s="1578"/>
      <c r="Z480" s="1578"/>
      <c r="AA480" s="1578"/>
      <c r="AB480" s="1578"/>
      <c r="AC480" s="1578"/>
      <c r="AD480" s="1578"/>
      <c r="AF480" s="1482"/>
      <c r="AJ480" s="778"/>
      <c r="AN480" s="497"/>
      <c r="AO480" s="497"/>
      <c r="AP480" s="497"/>
      <c r="AQ480" s="497"/>
    </row>
    <row r="481" spans="1:43" s="496" customFormat="1" ht="13.5" thickBot="1" x14ac:dyDescent="0.25">
      <c r="A481" s="498"/>
      <c r="B481" s="603"/>
      <c r="D481" s="495"/>
      <c r="I481" s="495"/>
      <c r="J481" s="495"/>
      <c r="K481" s="1177"/>
      <c r="M481" s="500"/>
      <c r="N481" s="1177"/>
      <c r="P481" s="500"/>
      <c r="Q481" s="1177"/>
      <c r="S481" s="500"/>
      <c r="T481" s="1474"/>
      <c r="U481" s="1474"/>
      <c r="V481" s="1474"/>
      <c r="W481" s="1474"/>
      <c r="X481" s="1474"/>
      <c r="Y481" s="1474"/>
      <c r="Z481" s="1474"/>
      <c r="AA481" s="1474"/>
      <c r="AB481" s="1474"/>
      <c r="AC481" s="1474"/>
      <c r="AD481" s="1474"/>
      <c r="AJ481" s="778"/>
      <c r="AN481" s="497"/>
      <c r="AO481" s="497"/>
      <c r="AP481" s="497"/>
      <c r="AQ481" s="497"/>
    </row>
    <row r="482" spans="1:43" s="496" customFormat="1" ht="13.5" thickBot="1" x14ac:dyDescent="0.25">
      <c r="A482" s="498"/>
      <c r="B482" s="1579" t="str">
        <f>"INFORMACIÓN HISTÓRICA - ESCENARIO "&amp;H914</f>
        <v>INFORMACIÓN HISTÓRICA - ESCENARIO SENSIBILIZADO</v>
      </c>
      <c r="D482" s="495"/>
      <c r="I482" s="495"/>
      <c r="J482" s="495"/>
      <c r="K482" s="1177"/>
      <c r="M482" s="500"/>
      <c r="N482" s="1177"/>
      <c r="P482" s="500"/>
      <c r="Q482" s="1177"/>
      <c r="S482" s="500"/>
      <c r="T482" s="1580" t="str">
        <f>"PROYECCIÓN ESCENARIO "&amp;H914</f>
        <v>PROYECCIÓN ESCENARIO SENSIBILIZADO</v>
      </c>
      <c r="U482" s="1581"/>
      <c r="V482" s="1582"/>
      <c r="AJ482" s="778"/>
      <c r="AN482" s="497"/>
      <c r="AO482" s="497"/>
      <c r="AP482" s="497"/>
      <c r="AQ482" s="497"/>
    </row>
    <row r="483" spans="1:43" s="496" customFormat="1" ht="13.5" thickBot="1" x14ac:dyDescent="0.25">
      <c r="A483" s="498"/>
      <c r="B483" s="603"/>
      <c r="D483" s="495"/>
      <c r="I483" s="495"/>
      <c r="J483" s="495"/>
      <c r="K483" s="1177"/>
      <c r="M483" s="500"/>
      <c r="N483" s="1177"/>
      <c r="P483" s="500"/>
      <c r="Q483" s="1177"/>
      <c r="S483" s="500"/>
      <c r="AF483" s="1583"/>
      <c r="AJ483" s="778"/>
      <c r="AN483" s="497"/>
      <c r="AO483" s="497"/>
      <c r="AP483" s="497"/>
      <c r="AQ483" s="497"/>
    </row>
    <row r="484" spans="1:43" s="496" customFormat="1" ht="13.5" thickBot="1" x14ac:dyDescent="0.25">
      <c r="A484" s="498"/>
      <c r="B484" s="603"/>
      <c r="D484" s="495"/>
      <c r="I484" s="495"/>
      <c r="J484" s="495"/>
      <c r="K484" s="1177"/>
      <c r="M484" s="500"/>
      <c r="N484" s="1177"/>
      <c r="P484" s="500"/>
      <c r="Q484" s="1177"/>
      <c r="S484" s="500"/>
      <c r="T484" s="1584" t="s">
        <v>1044</v>
      </c>
      <c r="U484" s="1585" t="s">
        <v>1044</v>
      </c>
      <c r="V484" s="1585" t="s">
        <v>1044</v>
      </c>
      <c r="W484" s="1585" t="s">
        <v>1044</v>
      </c>
      <c r="X484" s="1585" t="s">
        <v>1044</v>
      </c>
      <c r="Y484" s="1585" t="s">
        <v>1044</v>
      </c>
      <c r="Z484" s="1585" t="s">
        <v>1044</v>
      </c>
      <c r="AA484" s="1585" t="s">
        <v>1044</v>
      </c>
      <c r="AB484" s="1585" t="s">
        <v>1044</v>
      </c>
      <c r="AC484" s="1585" t="s">
        <v>1044</v>
      </c>
      <c r="AD484" s="1586" t="s">
        <v>1044</v>
      </c>
      <c r="AE484" s="1586" t="s">
        <v>1044</v>
      </c>
      <c r="AF484" s="1586" t="s">
        <v>1044</v>
      </c>
      <c r="AG484" s="1586" t="s">
        <v>1044</v>
      </c>
      <c r="AH484" s="1586" t="s">
        <v>1044</v>
      </c>
      <c r="AI484" s="1586" t="s">
        <v>1044</v>
      </c>
      <c r="AJ484" s="778"/>
      <c r="AN484" s="497"/>
      <c r="AO484" s="497"/>
      <c r="AP484" s="497"/>
      <c r="AQ484" s="497"/>
    </row>
    <row r="485" spans="1:43" s="496" customFormat="1" ht="12.75" x14ac:dyDescent="0.2">
      <c r="A485" s="498"/>
      <c r="B485" s="1587" t="s">
        <v>1345</v>
      </c>
      <c r="C485" s="1588">
        <f>C15</f>
        <v>2018</v>
      </c>
      <c r="D485" s="1589"/>
      <c r="E485" s="1590">
        <f>E15</f>
        <v>2019</v>
      </c>
      <c r="F485" s="1589"/>
      <c r="G485" s="1589"/>
      <c r="H485" s="1590">
        <f>H15</f>
        <v>2020</v>
      </c>
      <c r="I485" s="1591"/>
      <c r="J485" s="1591"/>
      <c r="K485" s="1590">
        <f>K15</f>
        <v>2020</v>
      </c>
      <c r="L485" s="1589"/>
      <c r="M485" s="1592"/>
      <c r="N485" s="1590">
        <f>N15</f>
        <v>2021</v>
      </c>
      <c r="O485" s="1589"/>
      <c r="P485" s="1592"/>
      <c r="Q485" s="1590">
        <f>Q15</f>
        <v>2021</v>
      </c>
      <c r="R485" s="1589"/>
      <c r="S485" s="1593" t="s">
        <v>1377</v>
      </c>
      <c r="T485" s="1594">
        <f t="shared" ref="T485:AI485" si="393">T385</f>
        <v>2022</v>
      </c>
      <c r="U485" s="1594">
        <f t="shared" si="393"/>
        <v>2023</v>
      </c>
      <c r="V485" s="1594">
        <f t="shared" si="393"/>
        <v>2024</v>
      </c>
      <c r="W485" s="1594">
        <f t="shared" si="393"/>
        <v>2025</v>
      </c>
      <c r="X485" s="1594">
        <f t="shared" si="393"/>
        <v>2026</v>
      </c>
      <c r="Y485" s="1594">
        <f t="shared" si="393"/>
        <v>2027</v>
      </c>
      <c r="Z485" s="1594">
        <f t="shared" si="393"/>
        <v>2028</v>
      </c>
      <c r="AA485" s="1594">
        <f t="shared" si="393"/>
        <v>2029</v>
      </c>
      <c r="AB485" s="1594">
        <f t="shared" si="393"/>
        <v>2030</v>
      </c>
      <c r="AC485" s="1594">
        <f t="shared" si="393"/>
        <v>2031</v>
      </c>
      <c r="AD485" s="1595">
        <f t="shared" si="393"/>
        <v>2032</v>
      </c>
      <c r="AE485" s="1595">
        <f t="shared" si="393"/>
        <v>2033</v>
      </c>
      <c r="AF485" s="1595">
        <f t="shared" si="393"/>
        <v>2034</v>
      </c>
      <c r="AG485" s="1595">
        <f t="shared" si="393"/>
        <v>2035</v>
      </c>
      <c r="AH485" s="1595">
        <f t="shared" si="393"/>
        <v>2036</v>
      </c>
      <c r="AI485" s="1595">
        <f t="shared" si="393"/>
        <v>2037</v>
      </c>
      <c r="AJ485" s="778"/>
      <c r="AN485" s="497"/>
      <c r="AO485" s="497"/>
      <c r="AP485" s="497"/>
      <c r="AQ485" s="497"/>
    </row>
    <row r="486" spans="1:43" s="496" customFormat="1" ht="12.75" x14ac:dyDescent="0.2">
      <c r="A486" s="498"/>
      <c r="B486" s="1596" t="str">
        <f t="shared" ref="B486:C497" si="394">B439</f>
        <v>CRECIMIENTO EN VENTAS</v>
      </c>
      <c r="C486" s="1597" t="str">
        <f t="shared" si="394"/>
        <v>N/A</v>
      </c>
      <c r="E486" s="1598">
        <f t="shared" ref="E486:E497" si="395">E439</f>
        <v>0</v>
      </c>
      <c r="H486" s="1598">
        <f t="shared" ref="H486:H497" si="396">H439</f>
        <v>0</v>
      </c>
      <c r="I486" s="495"/>
      <c r="J486" s="495"/>
      <c r="K486" s="1598">
        <f t="shared" ref="K486:K497" si="397">K439</f>
        <v>1</v>
      </c>
      <c r="M486" s="500"/>
      <c r="N486" s="1598">
        <f t="shared" ref="N486:N497" si="398">N439</f>
        <v>0</v>
      </c>
      <c r="P486" s="500"/>
      <c r="Q486" s="1598">
        <f t="shared" ref="Q486:Q497" si="399">Q439</f>
        <v>1</v>
      </c>
      <c r="S486" s="1599"/>
      <c r="T486" s="1600">
        <f t="shared" ref="T486:AI486" si="400">T439+$S486</f>
        <v>0</v>
      </c>
      <c r="U486" s="1600">
        <f t="shared" si="400"/>
        <v>0</v>
      </c>
      <c r="V486" s="1600">
        <f t="shared" si="400"/>
        <v>0</v>
      </c>
      <c r="W486" s="1600">
        <f t="shared" si="400"/>
        <v>0</v>
      </c>
      <c r="X486" s="1600">
        <f t="shared" si="400"/>
        <v>0</v>
      </c>
      <c r="Y486" s="1600">
        <f t="shared" si="400"/>
        <v>0</v>
      </c>
      <c r="Z486" s="1600">
        <f t="shared" si="400"/>
        <v>0</v>
      </c>
      <c r="AA486" s="1600">
        <f t="shared" si="400"/>
        <v>0</v>
      </c>
      <c r="AB486" s="1600">
        <f t="shared" si="400"/>
        <v>0</v>
      </c>
      <c r="AC486" s="1600">
        <f t="shared" si="400"/>
        <v>0</v>
      </c>
      <c r="AD486" s="1601">
        <f t="shared" si="400"/>
        <v>0</v>
      </c>
      <c r="AE486" s="1601">
        <f t="shared" si="400"/>
        <v>0</v>
      </c>
      <c r="AF486" s="1601">
        <f t="shared" si="400"/>
        <v>0</v>
      </c>
      <c r="AG486" s="1601">
        <f t="shared" si="400"/>
        <v>0</v>
      </c>
      <c r="AH486" s="1601">
        <f t="shared" si="400"/>
        <v>0</v>
      </c>
      <c r="AI486" s="1601">
        <f t="shared" si="400"/>
        <v>0</v>
      </c>
      <c r="AJ486" s="778"/>
      <c r="AN486" s="497"/>
      <c r="AO486" s="497"/>
      <c r="AP486" s="497"/>
      <c r="AQ486" s="497"/>
    </row>
    <row r="487" spans="1:43" s="496" customFormat="1" ht="12.75" x14ac:dyDescent="0.2">
      <c r="A487" s="498"/>
      <c r="B487" s="1602" t="str">
        <f t="shared" si="394"/>
        <v>MARGEN BRUTO</v>
      </c>
      <c r="C487" s="1603">
        <f t="shared" si="394"/>
        <v>0</v>
      </c>
      <c r="E487" s="1604">
        <f t="shared" si="395"/>
        <v>0.86149584487534625</v>
      </c>
      <c r="H487" s="1604">
        <f t="shared" si="396"/>
        <v>0.86149584487534625</v>
      </c>
      <c r="I487" s="495"/>
      <c r="J487" s="495"/>
      <c r="K487" s="1604">
        <f t="shared" si="397"/>
        <v>0.86149584487534625</v>
      </c>
      <c r="M487" s="500"/>
      <c r="N487" s="1604">
        <f t="shared" si="398"/>
        <v>0.86149584487534625</v>
      </c>
      <c r="P487" s="500"/>
      <c r="Q487" s="1604">
        <f t="shared" si="399"/>
        <v>0.86149584487534625</v>
      </c>
      <c r="S487" s="1605"/>
      <c r="T487" s="1606">
        <f t="shared" ref="T487:AI487" si="401">T440+$S487</f>
        <v>0.86149584487534625</v>
      </c>
      <c r="U487" s="1606">
        <f t="shared" si="401"/>
        <v>0.86149584487534625</v>
      </c>
      <c r="V487" s="1606">
        <f t="shared" si="401"/>
        <v>0.86149584487534625</v>
      </c>
      <c r="W487" s="1606">
        <f t="shared" si="401"/>
        <v>0.86149584487534625</v>
      </c>
      <c r="X487" s="1606">
        <f t="shared" si="401"/>
        <v>0.86149584487534625</v>
      </c>
      <c r="Y487" s="1606">
        <f t="shared" si="401"/>
        <v>0.86149584487534625</v>
      </c>
      <c r="Z487" s="1606">
        <f t="shared" si="401"/>
        <v>0.86149584487534625</v>
      </c>
      <c r="AA487" s="1606">
        <f t="shared" si="401"/>
        <v>0.86149584487534625</v>
      </c>
      <c r="AB487" s="1606">
        <f t="shared" si="401"/>
        <v>0.86149584487534625</v>
      </c>
      <c r="AC487" s="1606">
        <f t="shared" si="401"/>
        <v>0.86149584487534625</v>
      </c>
      <c r="AD487" s="1607">
        <f t="shared" si="401"/>
        <v>0.86149584487534625</v>
      </c>
      <c r="AE487" s="1607">
        <f t="shared" si="401"/>
        <v>0.86149584487534625</v>
      </c>
      <c r="AF487" s="1607">
        <f t="shared" si="401"/>
        <v>0.86149584487534625</v>
      </c>
      <c r="AG487" s="1607">
        <f t="shared" si="401"/>
        <v>0.86149584487534625</v>
      </c>
      <c r="AH487" s="1607">
        <f t="shared" si="401"/>
        <v>0.86149584487534625</v>
      </c>
      <c r="AI487" s="1607">
        <f t="shared" si="401"/>
        <v>0.86149584487534625</v>
      </c>
      <c r="AJ487" s="778"/>
      <c r="AN487" s="497"/>
      <c r="AO487" s="497"/>
      <c r="AP487" s="497"/>
      <c r="AQ487" s="497"/>
    </row>
    <row r="488" spans="1:43" s="496" customFormat="1" ht="12.75" x14ac:dyDescent="0.2">
      <c r="A488" s="498"/>
      <c r="B488" s="1602" t="str">
        <f t="shared" si="394"/>
        <v>GASTOS DE ADMINISTRACIÓN Y VENTAS / VENTAS</v>
      </c>
      <c r="C488" s="1603">
        <f t="shared" si="394"/>
        <v>0</v>
      </c>
      <c r="E488" s="1604">
        <f t="shared" si="395"/>
        <v>8.3102493074792241E-2</v>
      </c>
      <c r="H488" s="1604">
        <f t="shared" si="396"/>
        <v>8.3102493074792241E-2</v>
      </c>
      <c r="I488" s="495"/>
      <c r="J488" s="495"/>
      <c r="K488" s="1604">
        <f t="shared" si="397"/>
        <v>8.3102493074792241E-2</v>
      </c>
      <c r="M488" s="500"/>
      <c r="N488" s="1604">
        <f t="shared" si="398"/>
        <v>8.3102493074792241E-2</v>
      </c>
      <c r="P488" s="500"/>
      <c r="Q488" s="1604">
        <f t="shared" si="399"/>
        <v>8.3102493074792241E-2</v>
      </c>
      <c r="S488" s="1605"/>
      <c r="T488" s="1606">
        <f t="shared" ref="T488:AI488" si="402">T441+$S488</f>
        <v>8.3102493074792241E-2</v>
      </c>
      <c r="U488" s="1606">
        <f t="shared" si="402"/>
        <v>8.3102493074792241E-2</v>
      </c>
      <c r="V488" s="1606">
        <f t="shared" si="402"/>
        <v>8.3102493074792241E-2</v>
      </c>
      <c r="W488" s="1606">
        <f t="shared" si="402"/>
        <v>8.3102493074792241E-2</v>
      </c>
      <c r="X488" s="1606">
        <f t="shared" si="402"/>
        <v>8.3102493074792241E-2</v>
      </c>
      <c r="Y488" s="1606">
        <f t="shared" si="402"/>
        <v>8.3102493074792241E-2</v>
      </c>
      <c r="Z488" s="1606">
        <f t="shared" si="402"/>
        <v>8.3102493074792241E-2</v>
      </c>
      <c r="AA488" s="1606">
        <f t="shared" si="402"/>
        <v>8.3102493074792241E-2</v>
      </c>
      <c r="AB488" s="1606">
        <f t="shared" si="402"/>
        <v>8.3102493074792241E-2</v>
      </c>
      <c r="AC488" s="1606">
        <f t="shared" si="402"/>
        <v>8.3102493074792241E-2</v>
      </c>
      <c r="AD488" s="1607">
        <f t="shared" si="402"/>
        <v>8.3102493074792241E-2</v>
      </c>
      <c r="AE488" s="1607">
        <f t="shared" si="402"/>
        <v>8.3102493074792241E-2</v>
      </c>
      <c r="AF488" s="1607">
        <f t="shared" si="402"/>
        <v>8.3102493074792241E-2</v>
      </c>
      <c r="AG488" s="1607">
        <f t="shared" si="402"/>
        <v>8.3102493074792241E-2</v>
      </c>
      <c r="AH488" s="1607">
        <f t="shared" si="402"/>
        <v>8.3102493074792241E-2</v>
      </c>
      <c r="AI488" s="1607">
        <f t="shared" si="402"/>
        <v>8.3102493074792241E-2</v>
      </c>
      <c r="AJ488" s="778"/>
      <c r="AN488" s="497"/>
      <c r="AO488" s="497"/>
      <c r="AP488" s="497"/>
      <c r="AQ488" s="497"/>
    </row>
    <row r="489" spans="1:43" s="496" customFormat="1" ht="12.75" x14ac:dyDescent="0.2">
      <c r="A489" s="498"/>
      <c r="B489" s="1602" t="str">
        <f t="shared" si="394"/>
        <v>TASA DE INTERÉS OBLIGACIONES FINANCIERAS CORRIENTES</v>
      </c>
      <c r="C489" s="1603">
        <f t="shared" si="394"/>
        <v>0</v>
      </c>
      <c r="E489" s="1604">
        <f t="shared" si="395"/>
        <v>0.04</v>
      </c>
      <c r="H489" s="1604">
        <f t="shared" si="396"/>
        <v>0.04</v>
      </c>
      <c r="I489" s="495"/>
      <c r="J489" s="495"/>
      <c r="K489" s="1604">
        <f t="shared" si="397"/>
        <v>0.04</v>
      </c>
      <c r="M489" s="500"/>
      <c r="N489" s="1604">
        <f t="shared" si="398"/>
        <v>0.04</v>
      </c>
      <c r="P489" s="500"/>
      <c r="Q489" s="1604">
        <f t="shared" si="399"/>
        <v>0.04</v>
      </c>
      <c r="S489" s="1608"/>
      <c r="T489" s="1609">
        <f t="shared" ref="T489:AI489" si="403">T442+$S489</f>
        <v>4.0000000000000008E-2</v>
      </c>
      <c r="U489" s="1609">
        <f t="shared" si="403"/>
        <v>4.0000000000000008E-2</v>
      </c>
      <c r="V489" s="1609">
        <f t="shared" si="403"/>
        <v>4.0000000000000008E-2</v>
      </c>
      <c r="W489" s="1609">
        <f t="shared" si="403"/>
        <v>4.0000000000000008E-2</v>
      </c>
      <c r="X489" s="1609">
        <f t="shared" si="403"/>
        <v>4.0000000000000008E-2</v>
      </c>
      <c r="Y489" s="1609">
        <f t="shared" si="403"/>
        <v>4.0000000000000008E-2</v>
      </c>
      <c r="Z489" s="1609">
        <f t="shared" si="403"/>
        <v>4.0000000000000008E-2</v>
      </c>
      <c r="AA489" s="1609">
        <f t="shared" si="403"/>
        <v>4.0000000000000008E-2</v>
      </c>
      <c r="AB489" s="1609">
        <f t="shared" si="403"/>
        <v>4.0000000000000008E-2</v>
      </c>
      <c r="AC489" s="1609">
        <f t="shared" si="403"/>
        <v>4.0000000000000008E-2</v>
      </c>
      <c r="AD489" s="1610">
        <f t="shared" si="403"/>
        <v>4.0000000000000008E-2</v>
      </c>
      <c r="AE489" s="1610">
        <f t="shared" si="403"/>
        <v>4.0000000000000008E-2</v>
      </c>
      <c r="AF489" s="1610">
        <f t="shared" si="403"/>
        <v>4.0000000000000008E-2</v>
      </c>
      <c r="AG489" s="1610">
        <f t="shared" si="403"/>
        <v>4.0000000000000008E-2</v>
      </c>
      <c r="AH489" s="1610">
        <f t="shared" si="403"/>
        <v>4.0000000000000008E-2</v>
      </c>
      <c r="AI489" s="1610">
        <f t="shared" si="403"/>
        <v>4.0000000000000008E-2</v>
      </c>
      <c r="AJ489" s="778"/>
      <c r="AN489" s="497"/>
      <c r="AO489" s="497"/>
      <c r="AP489" s="497"/>
      <c r="AQ489" s="497"/>
    </row>
    <row r="490" spans="1:43" s="496" customFormat="1" ht="12.75" x14ac:dyDescent="0.2">
      <c r="A490" s="498"/>
      <c r="B490" s="1602" t="str">
        <f t="shared" si="394"/>
        <v>CÁLCULO INTERESES OBLIGACIONES FINANCIERAS CORRIENTES</v>
      </c>
      <c r="C490" s="1611">
        <f t="shared" si="394"/>
        <v>0</v>
      </c>
      <c r="E490" s="1612">
        <f t="shared" si="395"/>
        <v>2</v>
      </c>
      <c r="H490" s="1612">
        <f t="shared" si="396"/>
        <v>2</v>
      </c>
      <c r="I490" s="495"/>
      <c r="J490" s="495"/>
      <c r="K490" s="1612">
        <f t="shared" si="397"/>
        <v>2</v>
      </c>
      <c r="M490" s="500"/>
      <c r="N490" s="1612">
        <f t="shared" si="398"/>
        <v>2</v>
      </c>
      <c r="P490" s="500"/>
      <c r="Q490" s="1612">
        <f t="shared" si="399"/>
        <v>2</v>
      </c>
      <c r="S490" s="1613"/>
      <c r="T490" s="1614">
        <f>N36*T489</f>
        <v>0.40000000000000008</v>
      </c>
      <c r="U490" s="1614">
        <f t="shared" ref="U490:AI490" si="404">T36*U489</f>
        <v>0</v>
      </c>
      <c r="V490" s="1614">
        <f t="shared" si="404"/>
        <v>0</v>
      </c>
      <c r="W490" s="1614">
        <f t="shared" si="404"/>
        <v>0</v>
      </c>
      <c r="X490" s="1614">
        <f t="shared" si="404"/>
        <v>0</v>
      </c>
      <c r="Y490" s="1614">
        <f t="shared" si="404"/>
        <v>0</v>
      </c>
      <c r="Z490" s="1614">
        <f t="shared" si="404"/>
        <v>0</v>
      </c>
      <c r="AA490" s="1614">
        <f t="shared" si="404"/>
        <v>0</v>
      </c>
      <c r="AB490" s="1614">
        <f t="shared" si="404"/>
        <v>0</v>
      </c>
      <c r="AC490" s="1614">
        <f t="shared" si="404"/>
        <v>0</v>
      </c>
      <c r="AD490" s="1615">
        <f t="shared" si="404"/>
        <v>0</v>
      </c>
      <c r="AE490" s="1615">
        <f t="shared" si="404"/>
        <v>0</v>
      </c>
      <c r="AF490" s="1615">
        <f t="shared" si="404"/>
        <v>0</v>
      </c>
      <c r="AG490" s="1615">
        <f t="shared" si="404"/>
        <v>0</v>
      </c>
      <c r="AH490" s="1615">
        <f t="shared" si="404"/>
        <v>0</v>
      </c>
      <c r="AI490" s="1615">
        <f t="shared" si="404"/>
        <v>0</v>
      </c>
      <c r="AJ490" s="778"/>
      <c r="AN490" s="497"/>
      <c r="AO490" s="497"/>
      <c r="AP490" s="497"/>
      <c r="AQ490" s="497"/>
    </row>
    <row r="491" spans="1:43" s="496" customFormat="1" ht="12.75" x14ac:dyDescent="0.2">
      <c r="A491" s="498"/>
      <c r="B491" s="1602" t="str">
        <f t="shared" si="394"/>
        <v>INGRESOS FINANCIEROS / VENTAS</v>
      </c>
      <c r="C491" s="1603">
        <f t="shared" si="394"/>
        <v>0</v>
      </c>
      <c r="E491" s="1604">
        <f t="shared" si="395"/>
        <v>5.5401662049861496E-3</v>
      </c>
      <c r="H491" s="1604">
        <f t="shared" si="396"/>
        <v>5.5401662049861496E-3</v>
      </c>
      <c r="I491" s="495"/>
      <c r="J491" s="495"/>
      <c r="K491" s="1604">
        <f t="shared" si="397"/>
        <v>5.5401662049861496E-3</v>
      </c>
      <c r="M491" s="500"/>
      <c r="N491" s="1604">
        <f t="shared" si="398"/>
        <v>5.5401662049861496E-3</v>
      </c>
      <c r="P491" s="500"/>
      <c r="Q491" s="1604">
        <f t="shared" si="399"/>
        <v>5.5401662049861496E-3</v>
      </c>
      <c r="S491" s="1616"/>
      <c r="T491" s="1617">
        <f t="shared" ref="T491:AI491" si="405">T444+$S491</f>
        <v>5.5401662049861496E-3</v>
      </c>
      <c r="U491" s="1617">
        <f t="shared" si="405"/>
        <v>5.5401662049861496E-3</v>
      </c>
      <c r="V491" s="1617">
        <f t="shared" si="405"/>
        <v>5.5401662049861496E-3</v>
      </c>
      <c r="W491" s="1617">
        <f t="shared" si="405"/>
        <v>5.5401662049861496E-3</v>
      </c>
      <c r="X491" s="1617">
        <f t="shared" si="405"/>
        <v>5.5401662049861496E-3</v>
      </c>
      <c r="Y491" s="1617">
        <f t="shared" si="405"/>
        <v>5.5401662049861496E-3</v>
      </c>
      <c r="Z491" s="1617">
        <f t="shared" si="405"/>
        <v>5.5401662049861496E-3</v>
      </c>
      <c r="AA491" s="1617">
        <f t="shared" si="405"/>
        <v>5.5401662049861496E-3</v>
      </c>
      <c r="AB491" s="1617">
        <f t="shared" si="405"/>
        <v>5.5401662049861496E-3</v>
      </c>
      <c r="AC491" s="1617">
        <f t="shared" si="405"/>
        <v>5.5401662049861496E-3</v>
      </c>
      <c r="AD491" s="1618">
        <f t="shared" si="405"/>
        <v>5.5401662049861496E-3</v>
      </c>
      <c r="AE491" s="1618">
        <f t="shared" si="405"/>
        <v>5.5401662049861496E-3</v>
      </c>
      <c r="AF491" s="1618">
        <f t="shared" si="405"/>
        <v>5.5401662049861496E-3</v>
      </c>
      <c r="AG491" s="1618">
        <f t="shared" si="405"/>
        <v>5.5401662049861496E-3</v>
      </c>
      <c r="AH491" s="1618">
        <f t="shared" si="405"/>
        <v>5.5401662049861496E-3</v>
      </c>
      <c r="AI491" s="1618">
        <f t="shared" si="405"/>
        <v>5.5401662049861496E-3</v>
      </c>
      <c r="AJ491" s="778"/>
      <c r="AN491" s="497"/>
      <c r="AO491" s="497"/>
      <c r="AP491" s="497"/>
      <c r="AQ491" s="497"/>
    </row>
    <row r="492" spans="1:43" s="496" customFormat="1" ht="12.75" x14ac:dyDescent="0.2">
      <c r="A492" s="498"/>
      <c r="B492" s="1602" t="str">
        <f t="shared" si="394"/>
        <v>UTILIDAD (PÉRDIDA) EN VENTA DE ACTIVOS FIJOS / VENTAS</v>
      </c>
      <c r="C492" s="1603">
        <f t="shared" si="394"/>
        <v>0</v>
      </c>
      <c r="E492" s="1604">
        <f t="shared" si="395"/>
        <v>0</v>
      </c>
      <c r="H492" s="1604">
        <f t="shared" si="396"/>
        <v>0</v>
      </c>
      <c r="I492" s="495"/>
      <c r="J492" s="495"/>
      <c r="K492" s="1604">
        <f t="shared" si="397"/>
        <v>0</v>
      </c>
      <c r="M492" s="500"/>
      <c r="N492" s="1604">
        <f t="shared" si="398"/>
        <v>0</v>
      </c>
      <c r="P492" s="500"/>
      <c r="Q492" s="1604">
        <f t="shared" si="399"/>
        <v>0</v>
      </c>
      <c r="S492" s="1605"/>
      <c r="T492" s="1606">
        <f t="shared" ref="T492:AI492" si="406">T445+$S492</f>
        <v>0</v>
      </c>
      <c r="U492" s="1606">
        <f t="shared" si="406"/>
        <v>0</v>
      </c>
      <c r="V492" s="1606">
        <f t="shared" si="406"/>
        <v>0</v>
      </c>
      <c r="W492" s="1606">
        <f t="shared" si="406"/>
        <v>0</v>
      </c>
      <c r="X492" s="1606">
        <f t="shared" si="406"/>
        <v>0</v>
      </c>
      <c r="Y492" s="1606">
        <f t="shared" si="406"/>
        <v>0</v>
      </c>
      <c r="Z492" s="1606">
        <f t="shared" si="406"/>
        <v>0</v>
      </c>
      <c r="AA492" s="1606">
        <f t="shared" si="406"/>
        <v>0</v>
      </c>
      <c r="AB492" s="1606">
        <f t="shared" si="406"/>
        <v>0</v>
      </c>
      <c r="AC492" s="1606">
        <f t="shared" si="406"/>
        <v>0</v>
      </c>
      <c r="AD492" s="1607">
        <f t="shared" si="406"/>
        <v>0</v>
      </c>
      <c r="AE492" s="1607">
        <f t="shared" si="406"/>
        <v>0</v>
      </c>
      <c r="AF492" s="1607">
        <f t="shared" si="406"/>
        <v>0</v>
      </c>
      <c r="AG492" s="1607">
        <f t="shared" si="406"/>
        <v>0</v>
      </c>
      <c r="AH492" s="1607">
        <f t="shared" si="406"/>
        <v>0</v>
      </c>
      <c r="AI492" s="1607">
        <f t="shared" si="406"/>
        <v>0</v>
      </c>
      <c r="AJ492" s="778"/>
      <c r="AN492" s="497"/>
      <c r="AO492" s="497"/>
      <c r="AP492" s="497"/>
      <c r="AQ492" s="497"/>
    </row>
    <row r="493" spans="1:43" s="496" customFormat="1" ht="12.75" x14ac:dyDescent="0.2">
      <c r="A493" s="498"/>
      <c r="B493" s="1602" t="str">
        <f t="shared" si="394"/>
        <v>UTILIDAD (PÉRDIDA) EN VENTA DE INVERSIONES / VENTAS</v>
      </c>
      <c r="C493" s="1603">
        <f t="shared" si="394"/>
        <v>0</v>
      </c>
      <c r="E493" s="1604">
        <f t="shared" si="395"/>
        <v>0</v>
      </c>
      <c r="H493" s="1604">
        <f t="shared" si="396"/>
        <v>0</v>
      </c>
      <c r="I493" s="495"/>
      <c r="J493" s="495"/>
      <c r="K493" s="1604">
        <f t="shared" si="397"/>
        <v>0</v>
      </c>
      <c r="M493" s="500"/>
      <c r="N493" s="1604">
        <f t="shared" si="398"/>
        <v>0</v>
      </c>
      <c r="P493" s="500"/>
      <c r="Q493" s="1604">
        <f t="shared" si="399"/>
        <v>0</v>
      </c>
      <c r="S493" s="1605"/>
      <c r="T493" s="1606">
        <f t="shared" ref="T493:AI493" si="407">T446+$S493</f>
        <v>0</v>
      </c>
      <c r="U493" s="1606">
        <f t="shared" si="407"/>
        <v>0</v>
      </c>
      <c r="V493" s="1606">
        <f t="shared" si="407"/>
        <v>0</v>
      </c>
      <c r="W493" s="1606">
        <f t="shared" si="407"/>
        <v>0</v>
      </c>
      <c r="X493" s="1606">
        <f t="shared" si="407"/>
        <v>0</v>
      </c>
      <c r="Y493" s="1606">
        <f t="shared" si="407"/>
        <v>0</v>
      </c>
      <c r="Z493" s="1606">
        <f t="shared" si="407"/>
        <v>0</v>
      </c>
      <c r="AA493" s="1606">
        <f t="shared" si="407"/>
        <v>0</v>
      </c>
      <c r="AB493" s="1606">
        <f t="shared" si="407"/>
        <v>0</v>
      </c>
      <c r="AC493" s="1606">
        <f t="shared" si="407"/>
        <v>0</v>
      </c>
      <c r="AD493" s="1607">
        <f t="shared" si="407"/>
        <v>0</v>
      </c>
      <c r="AE493" s="1607">
        <f t="shared" si="407"/>
        <v>0</v>
      </c>
      <c r="AF493" s="1607">
        <f t="shared" si="407"/>
        <v>0</v>
      </c>
      <c r="AG493" s="1607">
        <f t="shared" si="407"/>
        <v>0</v>
      </c>
      <c r="AH493" s="1607">
        <f t="shared" si="407"/>
        <v>0</v>
      </c>
      <c r="AI493" s="1607">
        <f t="shared" si="407"/>
        <v>0</v>
      </c>
      <c r="AJ493" s="778"/>
      <c r="AN493" s="497"/>
      <c r="AO493" s="497"/>
      <c r="AP493" s="497"/>
      <c r="AQ493" s="497"/>
    </row>
    <row r="494" spans="1:43" s="496" customFormat="1" ht="12.75" x14ac:dyDescent="0.2">
      <c r="A494" s="498"/>
      <c r="B494" s="1602" t="str">
        <f t="shared" si="394"/>
        <v>INGRESOS (EGRESOS) POR MÉTODO DE PARTICIPACIÓN / VENTAS</v>
      </c>
      <c r="C494" s="1603">
        <f t="shared" si="394"/>
        <v>0</v>
      </c>
      <c r="E494" s="1604">
        <f t="shared" si="395"/>
        <v>0</v>
      </c>
      <c r="H494" s="1604">
        <f t="shared" si="396"/>
        <v>0</v>
      </c>
      <c r="I494" s="495"/>
      <c r="J494" s="495"/>
      <c r="K494" s="1604">
        <f t="shared" si="397"/>
        <v>0</v>
      </c>
      <c r="M494" s="500"/>
      <c r="N494" s="1604">
        <f t="shared" si="398"/>
        <v>0</v>
      </c>
      <c r="P494" s="500"/>
      <c r="Q494" s="1604">
        <f t="shared" si="399"/>
        <v>0</v>
      </c>
      <c r="S494" s="1605"/>
      <c r="T494" s="1606">
        <f t="shared" ref="T494:AI494" si="408">T447+$S494</f>
        <v>0</v>
      </c>
      <c r="U494" s="1606">
        <f t="shared" si="408"/>
        <v>0</v>
      </c>
      <c r="V494" s="1606">
        <f t="shared" si="408"/>
        <v>0</v>
      </c>
      <c r="W494" s="1606">
        <f t="shared" si="408"/>
        <v>0</v>
      </c>
      <c r="X494" s="1606">
        <f t="shared" si="408"/>
        <v>0</v>
      </c>
      <c r="Y494" s="1606">
        <f t="shared" si="408"/>
        <v>0</v>
      </c>
      <c r="Z494" s="1606">
        <f t="shared" si="408"/>
        <v>0</v>
      </c>
      <c r="AA494" s="1606">
        <f t="shared" si="408"/>
        <v>0</v>
      </c>
      <c r="AB494" s="1606">
        <f t="shared" si="408"/>
        <v>0</v>
      </c>
      <c r="AC494" s="1606">
        <f t="shared" si="408"/>
        <v>0</v>
      </c>
      <c r="AD494" s="1607">
        <f t="shared" si="408"/>
        <v>0</v>
      </c>
      <c r="AE494" s="1607">
        <f t="shared" si="408"/>
        <v>0</v>
      </c>
      <c r="AF494" s="1607">
        <f t="shared" si="408"/>
        <v>0</v>
      </c>
      <c r="AG494" s="1607">
        <f t="shared" si="408"/>
        <v>0</v>
      </c>
      <c r="AH494" s="1607">
        <f t="shared" si="408"/>
        <v>0</v>
      </c>
      <c r="AI494" s="1607">
        <f t="shared" si="408"/>
        <v>0</v>
      </c>
      <c r="AJ494" s="778"/>
      <c r="AN494" s="497"/>
      <c r="AO494" s="497"/>
      <c r="AP494" s="497"/>
      <c r="AQ494" s="497"/>
    </row>
    <row r="495" spans="1:43" s="496" customFormat="1" ht="12.75" x14ac:dyDescent="0.2">
      <c r="A495" s="498"/>
      <c r="B495" s="1602" t="str">
        <f t="shared" si="394"/>
        <v>OTROS INGRESOS / VENTAS</v>
      </c>
      <c r="C495" s="1603">
        <f t="shared" si="394"/>
        <v>0</v>
      </c>
      <c r="D495" s="1006"/>
      <c r="E495" s="1604">
        <f t="shared" si="395"/>
        <v>1.662049861495845E-2</v>
      </c>
      <c r="F495" s="1006"/>
      <c r="G495" s="1006"/>
      <c r="H495" s="1604">
        <f t="shared" si="396"/>
        <v>1.662049861495845E-2</v>
      </c>
      <c r="I495" s="1006"/>
      <c r="J495" s="1006"/>
      <c r="K495" s="1604">
        <f t="shared" si="397"/>
        <v>1.662049861495845E-2</v>
      </c>
      <c r="M495" s="500"/>
      <c r="N495" s="1604">
        <f t="shared" si="398"/>
        <v>1.662049861495845E-2</v>
      </c>
      <c r="P495" s="500"/>
      <c r="Q495" s="1604">
        <f t="shared" si="399"/>
        <v>1.662049861495845E-2</v>
      </c>
      <c r="S495" s="1605"/>
      <c r="T495" s="1606">
        <f t="shared" ref="T495:AI495" si="409">T448+$S495</f>
        <v>1.662049861495845E-2</v>
      </c>
      <c r="U495" s="1606">
        <f t="shared" si="409"/>
        <v>1.662049861495845E-2</v>
      </c>
      <c r="V495" s="1606">
        <f t="shared" si="409"/>
        <v>1.662049861495845E-2</v>
      </c>
      <c r="W495" s="1606">
        <f t="shared" si="409"/>
        <v>1.662049861495845E-2</v>
      </c>
      <c r="X495" s="1606">
        <f t="shared" si="409"/>
        <v>1.662049861495845E-2</v>
      </c>
      <c r="Y495" s="1606">
        <f t="shared" si="409"/>
        <v>1.662049861495845E-2</v>
      </c>
      <c r="Z495" s="1606">
        <f t="shared" si="409"/>
        <v>1.662049861495845E-2</v>
      </c>
      <c r="AA495" s="1606">
        <f t="shared" si="409"/>
        <v>1.662049861495845E-2</v>
      </c>
      <c r="AB495" s="1606">
        <f t="shared" si="409"/>
        <v>1.662049861495845E-2</v>
      </c>
      <c r="AC495" s="1606">
        <f t="shared" si="409"/>
        <v>1.662049861495845E-2</v>
      </c>
      <c r="AD495" s="1607">
        <f t="shared" si="409"/>
        <v>1.662049861495845E-2</v>
      </c>
      <c r="AE495" s="1607">
        <f t="shared" si="409"/>
        <v>1.662049861495845E-2</v>
      </c>
      <c r="AF495" s="1607">
        <f t="shared" si="409"/>
        <v>1.662049861495845E-2</v>
      </c>
      <c r="AG495" s="1607">
        <f t="shared" si="409"/>
        <v>1.662049861495845E-2</v>
      </c>
      <c r="AH495" s="1607">
        <f t="shared" si="409"/>
        <v>1.662049861495845E-2</v>
      </c>
      <c r="AI495" s="1607">
        <f t="shared" si="409"/>
        <v>1.662049861495845E-2</v>
      </c>
      <c r="AJ495" s="778"/>
      <c r="AN495" s="497"/>
      <c r="AO495" s="497"/>
      <c r="AP495" s="497"/>
      <c r="AQ495" s="497"/>
    </row>
    <row r="496" spans="1:43" s="496" customFormat="1" ht="12.75" x14ac:dyDescent="0.2">
      <c r="A496" s="498"/>
      <c r="B496" s="1602" t="str">
        <f t="shared" si="394"/>
        <v>OTROS EGRESOS / VENTAS</v>
      </c>
      <c r="C496" s="1603">
        <f t="shared" si="394"/>
        <v>0</v>
      </c>
      <c r="D496" s="1006"/>
      <c r="E496" s="1604">
        <f t="shared" si="395"/>
        <v>1.9390581717451522E-2</v>
      </c>
      <c r="F496" s="1006"/>
      <c r="G496" s="1006"/>
      <c r="H496" s="1604">
        <f t="shared" si="396"/>
        <v>1.9390581717451522E-2</v>
      </c>
      <c r="I496" s="1006"/>
      <c r="J496" s="1006"/>
      <c r="K496" s="1604">
        <f t="shared" si="397"/>
        <v>1.9390581717451522E-2</v>
      </c>
      <c r="M496" s="500"/>
      <c r="N496" s="1604">
        <f t="shared" si="398"/>
        <v>1.9390581717451522E-2</v>
      </c>
      <c r="P496" s="500"/>
      <c r="Q496" s="1604">
        <f t="shared" si="399"/>
        <v>1.9390581717451522E-2</v>
      </c>
      <c r="S496" s="1605"/>
      <c r="T496" s="1606">
        <f t="shared" ref="T496:AI496" si="410">T449+$S496</f>
        <v>1.9390581717451526E-2</v>
      </c>
      <c r="U496" s="1606">
        <f t="shared" si="410"/>
        <v>1.9390581717451526E-2</v>
      </c>
      <c r="V496" s="1606">
        <f t="shared" si="410"/>
        <v>1.9390581717451526E-2</v>
      </c>
      <c r="W496" s="1606">
        <f t="shared" si="410"/>
        <v>1.9390581717451526E-2</v>
      </c>
      <c r="X496" s="1606">
        <f t="shared" si="410"/>
        <v>1.9390581717451526E-2</v>
      </c>
      <c r="Y496" s="1606">
        <f t="shared" si="410"/>
        <v>1.9390581717451526E-2</v>
      </c>
      <c r="Z496" s="1606">
        <f t="shared" si="410"/>
        <v>1.9390581717451526E-2</v>
      </c>
      <c r="AA496" s="1606">
        <f t="shared" si="410"/>
        <v>1.9390581717451526E-2</v>
      </c>
      <c r="AB496" s="1606">
        <f t="shared" si="410"/>
        <v>1.9390581717451526E-2</v>
      </c>
      <c r="AC496" s="1606">
        <f t="shared" si="410"/>
        <v>1.9390581717451526E-2</v>
      </c>
      <c r="AD496" s="1607">
        <f t="shared" si="410"/>
        <v>1.9390581717451526E-2</v>
      </c>
      <c r="AE496" s="1607">
        <f t="shared" si="410"/>
        <v>1.9390581717451526E-2</v>
      </c>
      <c r="AF496" s="1607">
        <f t="shared" si="410"/>
        <v>1.9390581717451526E-2</v>
      </c>
      <c r="AG496" s="1607">
        <f t="shared" si="410"/>
        <v>1.9390581717451526E-2</v>
      </c>
      <c r="AH496" s="1607">
        <f t="shared" si="410"/>
        <v>1.9390581717451526E-2</v>
      </c>
      <c r="AI496" s="1607">
        <f t="shared" si="410"/>
        <v>1.9390581717451526E-2</v>
      </c>
      <c r="AJ496" s="778"/>
      <c r="AN496" s="497"/>
      <c r="AO496" s="497"/>
      <c r="AP496" s="497"/>
      <c r="AQ496" s="497"/>
    </row>
    <row r="497" spans="1:43" s="496" customFormat="1" ht="12.75" x14ac:dyDescent="0.2">
      <c r="A497" s="498"/>
      <c r="B497" s="1619" t="str">
        <f t="shared" si="394"/>
        <v>IMPUESTOS / UTILIDAD NETA</v>
      </c>
      <c r="C497" s="1620">
        <f t="shared" si="394"/>
        <v>0</v>
      </c>
      <c r="D497" s="1006"/>
      <c r="E497" s="1621">
        <f t="shared" si="395"/>
        <v>0</v>
      </c>
      <c r="F497" s="1006"/>
      <c r="G497" s="1006"/>
      <c r="H497" s="1621">
        <f t="shared" si="396"/>
        <v>0</v>
      </c>
      <c r="I497" s="1006"/>
      <c r="J497" s="1006"/>
      <c r="K497" s="1621">
        <f t="shared" si="397"/>
        <v>0</v>
      </c>
      <c r="M497" s="500"/>
      <c r="N497" s="1621">
        <f t="shared" si="398"/>
        <v>0</v>
      </c>
      <c r="P497" s="500"/>
      <c r="Q497" s="1621">
        <f t="shared" si="399"/>
        <v>0</v>
      </c>
      <c r="S497" s="1622"/>
      <c r="T497" s="1623">
        <f t="shared" ref="T497:AI497" si="411">T450+$S497</f>
        <v>0</v>
      </c>
      <c r="U497" s="1623">
        <f t="shared" si="411"/>
        <v>0</v>
      </c>
      <c r="V497" s="1623">
        <f t="shared" si="411"/>
        <v>0</v>
      </c>
      <c r="W497" s="1623">
        <f t="shared" si="411"/>
        <v>0</v>
      </c>
      <c r="X497" s="1623">
        <f t="shared" si="411"/>
        <v>0</v>
      </c>
      <c r="Y497" s="1623">
        <f t="shared" si="411"/>
        <v>0</v>
      </c>
      <c r="Z497" s="1623">
        <f t="shared" si="411"/>
        <v>0</v>
      </c>
      <c r="AA497" s="1623">
        <f t="shared" si="411"/>
        <v>0</v>
      </c>
      <c r="AB497" s="1623">
        <f t="shared" si="411"/>
        <v>0</v>
      </c>
      <c r="AC497" s="1623">
        <f t="shared" si="411"/>
        <v>0</v>
      </c>
      <c r="AD497" s="1624">
        <f t="shared" si="411"/>
        <v>0</v>
      </c>
      <c r="AE497" s="1624">
        <f t="shared" si="411"/>
        <v>0</v>
      </c>
      <c r="AF497" s="1624">
        <f t="shared" si="411"/>
        <v>0</v>
      </c>
      <c r="AG497" s="1624">
        <f t="shared" si="411"/>
        <v>0</v>
      </c>
      <c r="AH497" s="1624">
        <f t="shared" si="411"/>
        <v>0</v>
      </c>
      <c r="AI497" s="1624">
        <f t="shared" si="411"/>
        <v>0</v>
      </c>
      <c r="AJ497" s="778"/>
      <c r="AN497" s="497"/>
      <c r="AO497" s="497"/>
      <c r="AP497" s="497"/>
      <c r="AQ497" s="497"/>
    </row>
    <row r="498" spans="1:43" s="496" customFormat="1" ht="12.75" x14ac:dyDescent="0.2">
      <c r="A498" s="498"/>
      <c r="B498" s="1625"/>
      <c r="C498" s="1366"/>
      <c r="D498" s="1376"/>
      <c r="E498" s="1366"/>
      <c r="F498" s="1376"/>
      <c r="G498" s="1376"/>
      <c r="H498" s="1366"/>
      <c r="I498" s="1376"/>
      <c r="J498" s="1376"/>
      <c r="K498" s="1366"/>
      <c r="M498" s="500"/>
      <c r="N498" s="1366"/>
      <c r="P498" s="500"/>
      <c r="Q498" s="1366"/>
      <c r="S498" s="500"/>
      <c r="T498" s="1365"/>
      <c r="U498" s="1365"/>
      <c r="V498" s="1365"/>
      <c r="W498" s="1365"/>
      <c r="X498" s="1365"/>
      <c r="Y498" s="1365"/>
      <c r="Z498" s="1365"/>
      <c r="AA498" s="1365"/>
      <c r="AB498" s="1365"/>
      <c r="AC498" s="1365"/>
      <c r="AD498" s="1365"/>
      <c r="AE498" s="1626"/>
      <c r="AF498" s="1626"/>
      <c r="AJ498" s="778"/>
      <c r="AN498" s="497"/>
      <c r="AO498" s="497"/>
      <c r="AP498" s="497"/>
      <c r="AQ498" s="497"/>
    </row>
    <row r="499" spans="1:43" s="496" customFormat="1" ht="12.75" x14ac:dyDescent="0.2">
      <c r="A499" s="498"/>
      <c r="B499" s="1627" t="s">
        <v>1358</v>
      </c>
      <c r="I499" s="495"/>
      <c r="J499" s="495"/>
      <c r="M499" s="500"/>
      <c r="P499" s="500"/>
      <c r="S499" s="500"/>
      <c r="V499" s="495"/>
      <c r="W499" s="495"/>
      <c r="X499" s="495"/>
      <c r="Y499" s="495"/>
      <c r="Z499" s="495"/>
      <c r="AA499" s="495"/>
      <c r="AB499" s="495"/>
      <c r="AC499" s="495"/>
      <c r="AD499" s="495"/>
      <c r="AE499" s="1628"/>
      <c r="AF499" s="1628"/>
      <c r="AJ499" s="778"/>
      <c r="AN499" s="497"/>
      <c r="AO499" s="497"/>
      <c r="AP499" s="497"/>
      <c r="AQ499" s="497"/>
    </row>
    <row r="500" spans="1:43" s="496" customFormat="1" ht="12.75" x14ac:dyDescent="0.2">
      <c r="A500" s="498"/>
      <c r="B500" s="1596" t="str">
        <f t="shared" ref="B500:C519" si="412">B453</f>
        <v>CAJA (EN DÍAS DE VENTAS): AL PROYECTAR SE USA PARA GENERAR LA CAJA MÍNIMA REQUERIDA</v>
      </c>
      <c r="C500" s="1629">
        <f t="shared" si="412"/>
        <v>0</v>
      </c>
      <c r="D500" s="1391"/>
      <c r="E500" s="1630">
        <f t="shared" ref="E500:E519" si="413">E453</f>
        <v>38.89196675900277</v>
      </c>
      <c r="F500" s="1391"/>
      <c r="G500" s="1391"/>
      <c r="H500" s="1630">
        <f t="shared" ref="H500:H519" si="414">H453</f>
        <v>38.89196675900277</v>
      </c>
      <c r="I500" s="1391"/>
      <c r="J500" s="1391"/>
      <c r="K500" s="1630">
        <f t="shared" ref="K500:K519" si="415">K453</f>
        <v>19.445983379501385</v>
      </c>
      <c r="M500" s="500"/>
      <c r="N500" s="1630">
        <f t="shared" ref="N500:N519" si="416">N453</f>
        <v>38.89196675900277</v>
      </c>
      <c r="P500" s="500"/>
      <c r="Q500" s="1630">
        <f t="shared" ref="Q500:Q519" si="417">Q453</f>
        <v>19.445983379501385</v>
      </c>
      <c r="S500" s="1631"/>
      <c r="T500" s="1632">
        <f t="shared" ref="T500:AI500" si="418">T453+$S500</f>
        <v>38.89196675900277</v>
      </c>
      <c r="U500" s="1632">
        <f t="shared" si="418"/>
        <v>38.89196675900277</v>
      </c>
      <c r="V500" s="1632">
        <f t="shared" si="418"/>
        <v>38.89196675900277</v>
      </c>
      <c r="W500" s="1632">
        <f t="shared" si="418"/>
        <v>38.89196675900277</v>
      </c>
      <c r="X500" s="1632">
        <f t="shared" si="418"/>
        <v>38.89196675900277</v>
      </c>
      <c r="Y500" s="1632">
        <f t="shared" si="418"/>
        <v>38.89196675900277</v>
      </c>
      <c r="Z500" s="1632">
        <f t="shared" si="418"/>
        <v>38.89196675900277</v>
      </c>
      <c r="AA500" s="1632">
        <f t="shared" si="418"/>
        <v>38.89196675900277</v>
      </c>
      <c r="AB500" s="1632">
        <f t="shared" si="418"/>
        <v>38.89196675900277</v>
      </c>
      <c r="AC500" s="1632">
        <f t="shared" si="418"/>
        <v>38.89196675900277</v>
      </c>
      <c r="AD500" s="1633">
        <f t="shared" si="418"/>
        <v>38.89196675900277</v>
      </c>
      <c r="AE500" s="1633">
        <f t="shared" si="418"/>
        <v>38.89196675900277</v>
      </c>
      <c r="AF500" s="1633">
        <f t="shared" si="418"/>
        <v>38.89196675900277</v>
      </c>
      <c r="AG500" s="1633">
        <f t="shared" si="418"/>
        <v>38.89196675900277</v>
      </c>
      <c r="AH500" s="1633">
        <f t="shared" si="418"/>
        <v>38.89196675900277</v>
      </c>
      <c r="AI500" s="1633">
        <f t="shared" si="418"/>
        <v>38.89196675900277</v>
      </c>
      <c r="AJ500" s="778"/>
      <c r="AN500" s="497"/>
      <c r="AO500" s="497"/>
      <c r="AP500" s="497"/>
      <c r="AQ500" s="497"/>
    </row>
    <row r="501" spans="1:43" s="496" customFormat="1" ht="12.75" x14ac:dyDescent="0.2">
      <c r="A501" s="498"/>
      <c r="B501" s="1602" t="str">
        <f t="shared" si="412"/>
        <v>DÍAS CARTERA BRUTA</v>
      </c>
      <c r="C501" s="1634">
        <f t="shared" si="412"/>
        <v>0</v>
      </c>
      <c r="D501" s="1391"/>
      <c r="E501" s="1635">
        <f t="shared" si="413"/>
        <v>11.966759002770083</v>
      </c>
      <c r="F501" s="1391"/>
      <c r="G501" s="1391"/>
      <c r="H501" s="1635">
        <f t="shared" si="414"/>
        <v>11.966759002770083</v>
      </c>
      <c r="I501" s="1391"/>
      <c r="J501" s="1391"/>
      <c r="K501" s="1635">
        <f t="shared" si="415"/>
        <v>5.9833795013850413</v>
      </c>
      <c r="M501" s="500"/>
      <c r="N501" s="1635">
        <f t="shared" si="416"/>
        <v>11.966759002770083</v>
      </c>
      <c r="P501" s="500"/>
      <c r="Q501" s="1635">
        <f t="shared" si="417"/>
        <v>5.9833795013850413</v>
      </c>
      <c r="S501" s="1636"/>
      <c r="T501" s="1637">
        <f t="shared" ref="T501:AI501" si="419">T454+$S501</f>
        <v>11.966759002770083</v>
      </c>
      <c r="U501" s="1637">
        <f t="shared" si="419"/>
        <v>11.966759002770083</v>
      </c>
      <c r="V501" s="1637">
        <f t="shared" si="419"/>
        <v>11.966759002770083</v>
      </c>
      <c r="W501" s="1637">
        <f t="shared" si="419"/>
        <v>11.966759002770083</v>
      </c>
      <c r="X501" s="1637">
        <f t="shared" si="419"/>
        <v>11.966759002770083</v>
      </c>
      <c r="Y501" s="1637">
        <f t="shared" si="419"/>
        <v>11.966759002770083</v>
      </c>
      <c r="Z501" s="1637">
        <f t="shared" si="419"/>
        <v>11.966759002770083</v>
      </c>
      <c r="AA501" s="1637">
        <f t="shared" si="419"/>
        <v>11.966759002770083</v>
      </c>
      <c r="AB501" s="1637">
        <f t="shared" si="419"/>
        <v>11.966759002770083</v>
      </c>
      <c r="AC501" s="1637">
        <f t="shared" si="419"/>
        <v>11.966759002770083</v>
      </c>
      <c r="AD501" s="1638">
        <f t="shared" si="419"/>
        <v>11.966759002770083</v>
      </c>
      <c r="AE501" s="1638">
        <f t="shared" si="419"/>
        <v>11.966759002770083</v>
      </c>
      <c r="AF501" s="1638">
        <f t="shared" si="419"/>
        <v>11.966759002770083</v>
      </c>
      <c r="AG501" s="1638">
        <f t="shared" si="419"/>
        <v>11.966759002770083</v>
      </c>
      <c r="AH501" s="1638">
        <f t="shared" si="419"/>
        <v>11.966759002770083</v>
      </c>
      <c r="AI501" s="1638">
        <f t="shared" si="419"/>
        <v>11.966759002770083</v>
      </c>
      <c r="AJ501" s="778"/>
      <c r="AN501" s="497"/>
      <c r="AO501" s="497"/>
      <c r="AP501" s="497"/>
      <c r="AQ501" s="497"/>
    </row>
    <row r="502" spans="1:43" s="496" customFormat="1" ht="12.75" x14ac:dyDescent="0.2">
      <c r="A502" s="498"/>
      <c r="B502" s="1602" t="str">
        <f t="shared" si="412"/>
        <v>PROVISIONES CUENTAS POR COBRAR  (% SOBRE LAS CUENTAS POR COBRAR)</v>
      </c>
      <c r="C502" s="1639">
        <f t="shared" si="412"/>
        <v>0</v>
      </c>
      <c r="D502" s="1391"/>
      <c r="E502" s="1640">
        <f t="shared" si="413"/>
        <v>0.25</v>
      </c>
      <c r="F502" s="1391"/>
      <c r="G502" s="1391"/>
      <c r="H502" s="1640">
        <f t="shared" si="414"/>
        <v>0.25</v>
      </c>
      <c r="I502" s="1391"/>
      <c r="J502" s="1391"/>
      <c r="K502" s="1640">
        <f t="shared" si="415"/>
        <v>0.25</v>
      </c>
      <c r="M502" s="500"/>
      <c r="N502" s="1640">
        <f t="shared" si="416"/>
        <v>0.25</v>
      </c>
      <c r="P502" s="500"/>
      <c r="Q502" s="1640">
        <f t="shared" si="417"/>
        <v>0.25</v>
      </c>
      <c r="S502" s="1605"/>
      <c r="T502" s="1641">
        <f t="shared" ref="T502:AI502" si="420">T455+$S502</f>
        <v>0.25</v>
      </c>
      <c r="U502" s="1641">
        <f t="shared" si="420"/>
        <v>0.25</v>
      </c>
      <c r="V502" s="1641">
        <f t="shared" si="420"/>
        <v>0.25</v>
      </c>
      <c r="W502" s="1641">
        <f t="shared" si="420"/>
        <v>0.25</v>
      </c>
      <c r="X502" s="1641">
        <f t="shared" si="420"/>
        <v>0.25</v>
      </c>
      <c r="Y502" s="1641">
        <f t="shared" si="420"/>
        <v>0.25</v>
      </c>
      <c r="Z502" s="1641">
        <f t="shared" si="420"/>
        <v>0.25</v>
      </c>
      <c r="AA502" s="1641">
        <f t="shared" si="420"/>
        <v>0.25</v>
      </c>
      <c r="AB502" s="1641">
        <f t="shared" si="420"/>
        <v>0.25</v>
      </c>
      <c r="AC502" s="1641">
        <f t="shared" si="420"/>
        <v>0.25</v>
      </c>
      <c r="AD502" s="1642">
        <f t="shared" si="420"/>
        <v>0.25</v>
      </c>
      <c r="AE502" s="1642">
        <f t="shared" si="420"/>
        <v>0.25</v>
      </c>
      <c r="AF502" s="1642">
        <f t="shared" si="420"/>
        <v>0.25</v>
      </c>
      <c r="AG502" s="1642">
        <f t="shared" si="420"/>
        <v>0.25</v>
      </c>
      <c r="AH502" s="1642">
        <f t="shared" si="420"/>
        <v>0.25</v>
      </c>
      <c r="AI502" s="1642">
        <f t="shared" si="420"/>
        <v>0.25</v>
      </c>
      <c r="AJ502" s="778"/>
      <c r="AN502" s="497"/>
      <c r="AO502" s="497"/>
      <c r="AP502" s="497"/>
      <c r="AQ502" s="497"/>
    </row>
    <row r="503" spans="1:43" s="496" customFormat="1" ht="12.75" x14ac:dyDescent="0.2">
      <c r="A503" s="498"/>
      <c r="B503" s="1602" t="str">
        <f t="shared" si="412"/>
        <v>DÍAS INVENTARIO BRUTO</v>
      </c>
      <c r="C503" s="1634">
        <f t="shared" si="412"/>
        <v>0</v>
      </c>
      <c r="D503" s="1391"/>
      <c r="E503" s="1635">
        <f t="shared" si="413"/>
        <v>259.2</v>
      </c>
      <c r="F503" s="1391"/>
      <c r="G503" s="1391"/>
      <c r="H503" s="1635">
        <f t="shared" si="414"/>
        <v>259.2</v>
      </c>
      <c r="I503" s="1391"/>
      <c r="J503" s="1391"/>
      <c r="K503" s="1635">
        <f t="shared" si="415"/>
        <v>129.6</v>
      </c>
      <c r="M503" s="500"/>
      <c r="N503" s="1635">
        <f t="shared" si="416"/>
        <v>259.2</v>
      </c>
      <c r="P503" s="500"/>
      <c r="Q503" s="1635">
        <f t="shared" si="417"/>
        <v>129.6</v>
      </c>
      <c r="S503" s="1636"/>
      <c r="T503" s="1637">
        <f t="shared" ref="T503:AI503" si="421">T456+$S503</f>
        <v>259.2</v>
      </c>
      <c r="U503" s="1637">
        <f t="shared" si="421"/>
        <v>259.2</v>
      </c>
      <c r="V503" s="1637">
        <f t="shared" si="421"/>
        <v>259.2</v>
      </c>
      <c r="W503" s="1637">
        <f t="shared" si="421"/>
        <v>259.2</v>
      </c>
      <c r="X503" s="1637">
        <f t="shared" si="421"/>
        <v>259.2</v>
      </c>
      <c r="Y503" s="1637">
        <f t="shared" si="421"/>
        <v>259.2</v>
      </c>
      <c r="Z503" s="1637">
        <f t="shared" si="421"/>
        <v>259.2</v>
      </c>
      <c r="AA503" s="1637">
        <f t="shared" si="421"/>
        <v>259.2</v>
      </c>
      <c r="AB503" s="1637">
        <f t="shared" si="421"/>
        <v>259.2</v>
      </c>
      <c r="AC503" s="1637">
        <f t="shared" si="421"/>
        <v>259.2</v>
      </c>
      <c r="AD503" s="1643">
        <f t="shared" si="421"/>
        <v>259.2</v>
      </c>
      <c r="AE503" s="1643">
        <f t="shared" si="421"/>
        <v>259.2</v>
      </c>
      <c r="AF503" s="1643">
        <f t="shared" si="421"/>
        <v>259.2</v>
      </c>
      <c r="AG503" s="1643">
        <f t="shared" si="421"/>
        <v>259.2</v>
      </c>
      <c r="AH503" s="1643">
        <f t="shared" si="421"/>
        <v>259.2</v>
      </c>
      <c r="AI503" s="1643">
        <f t="shared" si="421"/>
        <v>259.2</v>
      </c>
      <c r="AJ503" s="778"/>
      <c r="AN503" s="497"/>
      <c r="AO503" s="497"/>
      <c r="AP503" s="497"/>
      <c r="AQ503" s="497"/>
    </row>
    <row r="504" spans="1:43" s="496" customFormat="1" ht="12.75" x14ac:dyDescent="0.2">
      <c r="A504" s="498"/>
      <c r="B504" s="1602" t="str">
        <f t="shared" si="412"/>
        <v>PROVISIONES INVENTARIOS  (% SOBRE LOS INVENTARIOS)</v>
      </c>
      <c r="C504" s="1639">
        <f t="shared" si="412"/>
        <v>0</v>
      </c>
      <c r="D504" s="1391"/>
      <c r="E504" s="1640">
        <f t="shared" si="413"/>
        <v>-8.3333333333333329E-2</v>
      </c>
      <c r="F504" s="1391"/>
      <c r="G504" s="1391"/>
      <c r="H504" s="1640">
        <f t="shared" si="414"/>
        <v>-8.3333333333333329E-2</v>
      </c>
      <c r="I504" s="1391"/>
      <c r="J504" s="1391"/>
      <c r="K504" s="1640">
        <f t="shared" si="415"/>
        <v>-8.3333333333333329E-2</v>
      </c>
      <c r="M504" s="500"/>
      <c r="N504" s="1640">
        <f t="shared" si="416"/>
        <v>-8.3333333333333329E-2</v>
      </c>
      <c r="P504" s="500"/>
      <c r="Q504" s="1640">
        <f t="shared" si="417"/>
        <v>-8.3333333333333329E-2</v>
      </c>
      <c r="S504" s="1605"/>
      <c r="T504" s="1641">
        <f t="shared" ref="T504:AI504" si="422">T457+$S504</f>
        <v>-8.3333333333333343E-2</v>
      </c>
      <c r="U504" s="1641">
        <f t="shared" si="422"/>
        <v>-8.3333333333333343E-2</v>
      </c>
      <c r="V504" s="1641">
        <f t="shared" si="422"/>
        <v>-8.3333333333333343E-2</v>
      </c>
      <c r="W504" s="1641">
        <f t="shared" si="422"/>
        <v>-8.3333333333333343E-2</v>
      </c>
      <c r="X504" s="1641">
        <f t="shared" si="422"/>
        <v>-8.3333333333333343E-2</v>
      </c>
      <c r="Y504" s="1641">
        <f t="shared" si="422"/>
        <v>-8.3333333333333343E-2</v>
      </c>
      <c r="Z504" s="1641">
        <f t="shared" si="422"/>
        <v>-8.3333333333333343E-2</v>
      </c>
      <c r="AA504" s="1641">
        <f t="shared" si="422"/>
        <v>-8.3333333333333343E-2</v>
      </c>
      <c r="AB504" s="1641">
        <f t="shared" si="422"/>
        <v>-8.3333333333333343E-2</v>
      </c>
      <c r="AC504" s="1641">
        <f t="shared" si="422"/>
        <v>-8.3333333333333343E-2</v>
      </c>
      <c r="AD504" s="1642">
        <f t="shared" si="422"/>
        <v>-8.3333333333333343E-2</v>
      </c>
      <c r="AE504" s="1642">
        <f t="shared" si="422"/>
        <v>-8.3333333333333343E-2</v>
      </c>
      <c r="AF504" s="1642">
        <f t="shared" si="422"/>
        <v>-8.3333333333333343E-2</v>
      </c>
      <c r="AG504" s="1642">
        <f t="shared" si="422"/>
        <v>-8.3333333333333343E-2</v>
      </c>
      <c r="AH504" s="1642">
        <f t="shared" si="422"/>
        <v>-8.3333333333333343E-2</v>
      </c>
      <c r="AI504" s="1642">
        <f t="shared" si="422"/>
        <v>-8.3333333333333343E-2</v>
      </c>
      <c r="AJ504" s="778"/>
      <c r="AN504" s="497"/>
      <c r="AO504" s="497"/>
      <c r="AP504" s="497"/>
      <c r="AQ504" s="497"/>
    </row>
    <row r="505" spans="1:43" s="496" customFormat="1" ht="12.75" x14ac:dyDescent="0.2">
      <c r="A505" s="498"/>
      <c r="B505" s="1602" t="str">
        <f t="shared" si="412"/>
        <v>ANTICIPOS / COSTO DE VENTAS (ANUALIZADO)</v>
      </c>
      <c r="C505" s="1639">
        <f t="shared" si="412"/>
        <v>0</v>
      </c>
      <c r="D505" s="1391"/>
      <c r="E505" s="1640">
        <f t="shared" si="413"/>
        <v>0.12</v>
      </c>
      <c r="F505" s="1391"/>
      <c r="G505" s="1391"/>
      <c r="H505" s="1640">
        <f t="shared" si="414"/>
        <v>0.12</v>
      </c>
      <c r="I505" s="1391"/>
      <c r="J505" s="1391"/>
      <c r="K505" s="1640">
        <f t="shared" si="415"/>
        <v>0.06</v>
      </c>
      <c r="M505" s="500"/>
      <c r="N505" s="1640">
        <f t="shared" si="416"/>
        <v>0.12</v>
      </c>
      <c r="P505" s="500"/>
      <c r="Q505" s="1640">
        <f t="shared" si="417"/>
        <v>0.06</v>
      </c>
      <c r="S505" s="1644"/>
      <c r="T505" s="1641">
        <f t="shared" ref="T505:AI505" si="423">T458+$S505</f>
        <v>0.12000000000000001</v>
      </c>
      <c r="U505" s="1641">
        <f t="shared" si="423"/>
        <v>0.12000000000000001</v>
      </c>
      <c r="V505" s="1641">
        <f t="shared" si="423"/>
        <v>0.12000000000000001</v>
      </c>
      <c r="W505" s="1641">
        <f t="shared" si="423"/>
        <v>0.12000000000000001</v>
      </c>
      <c r="X505" s="1641">
        <f t="shared" si="423"/>
        <v>0.12000000000000001</v>
      </c>
      <c r="Y505" s="1641">
        <f t="shared" si="423"/>
        <v>0.12000000000000001</v>
      </c>
      <c r="Z505" s="1641">
        <f t="shared" si="423"/>
        <v>0.12000000000000001</v>
      </c>
      <c r="AA505" s="1641">
        <f t="shared" si="423"/>
        <v>0.12000000000000001</v>
      </c>
      <c r="AB505" s="1641">
        <f t="shared" si="423"/>
        <v>0.12000000000000001</v>
      </c>
      <c r="AC505" s="1641">
        <f t="shared" si="423"/>
        <v>0.12000000000000001</v>
      </c>
      <c r="AD505" s="1642">
        <f t="shared" si="423"/>
        <v>0.12000000000000001</v>
      </c>
      <c r="AE505" s="1642">
        <f t="shared" si="423"/>
        <v>0.12000000000000001</v>
      </c>
      <c r="AF505" s="1642">
        <f t="shared" si="423"/>
        <v>0.12000000000000001</v>
      </c>
      <c r="AG505" s="1642">
        <f t="shared" si="423"/>
        <v>0.12000000000000001</v>
      </c>
      <c r="AH505" s="1642">
        <f t="shared" si="423"/>
        <v>0.12000000000000001</v>
      </c>
      <c r="AI505" s="1642">
        <f t="shared" si="423"/>
        <v>0.12000000000000001</v>
      </c>
      <c r="AJ505" s="778"/>
      <c r="AN505" s="497"/>
      <c r="AO505" s="497"/>
      <c r="AP505" s="497"/>
      <c r="AQ505" s="497"/>
    </row>
    <row r="506" spans="1:43" s="496" customFormat="1" ht="12.75" x14ac:dyDescent="0.2">
      <c r="A506" s="498"/>
      <c r="B506" s="1602" t="str">
        <f t="shared" si="412"/>
        <v>DÍAS PAGO</v>
      </c>
      <c r="C506" s="1634">
        <f t="shared" si="412"/>
        <v>0</v>
      </c>
      <c r="D506" s="1391"/>
      <c r="E506" s="1635">
        <f t="shared" si="413"/>
        <v>21.6</v>
      </c>
      <c r="F506" s="1391"/>
      <c r="G506" s="1391"/>
      <c r="H506" s="1635">
        <f t="shared" si="414"/>
        <v>21.6</v>
      </c>
      <c r="I506" s="1391"/>
      <c r="J506" s="1391"/>
      <c r="K506" s="1635">
        <f t="shared" si="415"/>
        <v>10.8</v>
      </c>
      <c r="M506" s="500"/>
      <c r="N506" s="1635">
        <f t="shared" si="416"/>
        <v>21.6</v>
      </c>
      <c r="P506" s="500"/>
      <c r="Q506" s="1635">
        <f t="shared" si="417"/>
        <v>10.8</v>
      </c>
      <c r="S506" s="1636"/>
      <c r="T506" s="1637">
        <f t="shared" ref="T506:AI506" si="424">T459+$S506</f>
        <v>21.6</v>
      </c>
      <c r="U506" s="1637">
        <f t="shared" si="424"/>
        <v>21.6</v>
      </c>
      <c r="V506" s="1637">
        <f t="shared" si="424"/>
        <v>21.6</v>
      </c>
      <c r="W506" s="1637">
        <f t="shared" si="424"/>
        <v>21.6</v>
      </c>
      <c r="X506" s="1637">
        <f t="shared" si="424"/>
        <v>21.6</v>
      </c>
      <c r="Y506" s="1637">
        <f t="shared" si="424"/>
        <v>21.6</v>
      </c>
      <c r="Z506" s="1637">
        <f t="shared" si="424"/>
        <v>21.6</v>
      </c>
      <c r="AA506" s="1637">
        <f t="shared" si="424"/>
        <v>21.6</v>
      </c>
      <c r="AB506" s="1637">
        <f t="shared" si="424"/>
        <v>21.6</v>
      </c>
      <c r="AC506" s="1637">
        <f t="shared" si="424"/>
        <v>21.6</v>
      </c>
      <c r="AD506" s="1643">
        <f t="shared" si="424"/>
        <v>21.6</v>
      </c>
      <c r="AE506" s="1643">
        <f t="shared" si="424"/>
        <v>21.6</v>
      </c>
      <c r="AF506" s="1643">
        <f t="shared" si="424"/>
        <v>21.6</v>
      </c>
      <c r="AG506" s="1643">
        <f t="shared" si="424"/>
        <v>21.6</v>
      </c>
      <c r="AH506" s="1643">
        <f t="shared" si="424"/>
        <v>21.6</v>
      </c>
      <c r="AI506" s="1643">
        <f t="shared" si="424"/>
        <v>21.6</v>
      </c>
      <c r="AJ506" s="778"/>
      <c r="AN506" s="497"/>
      <c r="AO506" s="497"/>
      <c r="AP506" s="497"/>
      <c r="AQ506" s="497"/>
    </row>
    <row r="507" spans="1:43" s="496" customFormat="1" ht="12.75" x14ac:dyDescent="0.2">
      <c r="A507" s="498"/>
      <c r="B507" s="1602" t="str">
        <f t="shared" si="412"/>
        <v>CAPEX BRUTO ($MM)</v>
      </c>
      <c r="C507" s="1645" t="str">
        <f t="shared" si="412"/>
        <v>N/A</v>
      </c>
      <c r="D507" s="1391"/>
      <c r="E507" s="1612">
        <f t="shared" si="413"/>
        <v>540</v>
      </c>
      <c r="F507" s="1391"/>
      <c r="G507" s="1391"/>
      <c r="H507" s="1612">
        <f t="shared" si="414"/>
        <v>0</v>
      </c>
      <c r="I507" s="1391"/>
      <c r="J507" s="1391"/>
      <c r="K507" s="1612">
        <f t="shared" si="415"/>
        <v>0</v>
      </c>
      <c r="M507" s="500"/>
      <c r="N507" s="1612">
        <f t="shared" si="416"/>
        <v>0</v>
      </c>
      <c r="P507" s="500"/>
      <c r="Q507" s="1612">
        <f t="shared" si="417"/>
        <v>0</v>
      </c>
      <c r="S507" s="1646"/>
      <c r="T507" s="1647">
        <f t="shared" ref="T507:AI507" si="425">T460+$S507</f>
        <v>178.20000000000002</v>
      </c>
      <c r="U507" s="1647">
        <f t="shared" si="425"/>
        <v>178.20000000000002</v>
      </c>
      <c r="V507" s="1647">
        <f t="shared" si="425"/>
        <v>178.20000000000002</v>
      </c>
      <c r="W507" s="1647">
        <f t="shared" si="425"/>
        <v>178.20000000000002</v>
      </c>
      <c r="X507" s="1647">
        <f t="shared" si="425"/>
        <v>178.20000000000002</v>
      </c>
      <c r="Y507" s="1647">
        <f t="shared" si="425"/>
        <v>178.20000000000002</v>
      </c>
      <c r="Z507" s="1647">
        <f t="shared" si="425"/>
        <v>178.20000000000002</v>
      </c>
      <c r="AA507" s="1647">
        <f t="shared" si="425"/>
        <v>178.20000000000002</v>
      </c>
      <c r="AB507" s="1647">
        <f t="shared" si="425"/>
        <v>178.20000000000002</v>
      </c>
      <c r="AC507" s="1647">
        <f t="shared" si="425"/>
        <v>178.20000000000002</v>
      </c>
      <c r="AD507" s="1648">
        <f t="shared" si="425"/>
        <v>178.20000000000002</v>
      </c>
      <c r="AE507" s="1648">
        <f t="shared" si="425"/>
        <v>178.20000000000002</v>
      </c>
      <c r="AF507" s="1648">
        <f t="shared" si="425"/>
        <v>178.20000000000002</v>
      </c>
      <c r="AG507" s="1648">
        <f t="shared" si="425"/>
        <v>178.20000000000002</v>
      </c>
      <c r="AH507" s="1648">
        <f t="shared" si="425"/>
        <v>178.20000000000002</v>
      </c>
      <c r="AI507" s="1648">
        <f t="shared" si="425"/>
        <v>178.20000000000002</v>
      </c>
      <c r="AJ507" s="778"/>
      <c r="AN507" s="497"/>
      <c r="AO507" s="497"/>
      <c r="AP507" s="497"/>
      <c r="AQ507" s="497"/>
    </row>
    <row r="508" spans="1:43" s="496" customFormat="1" ht="12.75" x14ac:dyDescent="0.2">
      <c r="A508" s="498"/>
      <c r="B508" s="1602" t="str">
        <f t="shared" si="412"/>
        <v>VARIACIÓN DEPRECIACIÓN ACUMULADA / ACTIVO FIJO BRUTO</v>
      </c>
      <c r="C508" s="1649" t="str">
        <f t="shared" si="412"/>
        <v>N/A</v>
      </c>
      <c r="D508" s="1391"/>
      <c r="E508" s="1650">
        <f t="shared" si="413"/>
        <v>-0.1111111111111111</v>
      </c>
      <c r="F508" s="1391"/>
      <c r="G508" s="1391"/>
      <c r="H508" s="1650">
        <f t="shared" si="414"/>
        <v>0</v>
      </c>
      <c r="I508" s="1391"/>
      <c r="J508" s="1391"/>
      <c r="K508" s="1650">
        <f t="shared" si="415"/>
        <v>0</v>
      </c>
      <c r="M508" s="500"/>
      <c r="N508" s="1650">
        <f t="shared" si="416"/>
        <v>0</v>
      </c>
      <c r="P508" s="500"/>
      <c r="Q508" s="1650">
        <f t="shared" si="417"/>
        <v>0</v>
      </c>
      <c r="S508" s="1605"/>
      <c r="T508" s="1606">
        <f t="shared" ref="T508:AI508" si="426">T461+$S508</f>
        <v>-3.6666666666666667E-2</v>
      </c>
      <c r="U508" s="1606">
        <f t="shared" si="426"/>
        <v>-3.6666666666666667E-2</v>
      </c>
      <c r="V508" s="1606">
        <f t="shared" si="426"/>
        <v>-3.6666666666666667E-2</v>
      </c>
      <c r="W508" s="1606">
        <f t="shared" si="426"/>
        <v>-3.6666666666666667E-2</v>
      </c>
      <c r="X508" s="1606">
        <f t="shared" si="426"/>
        <v>-3.6666666666666667E-2</v>
      </c>
      <c r="Y508" s="1606">
        <f t="shared" si="426"/>
        <v>-3.6666666666666667E-2</v>
      </c>
      <c r="Z508" s="1606">
        <f t="shared" si="426"/>
        <v>-3.6666666666666667E-2</v>
      </c>
      <c r="AA508" s="1606">
        <f t="shared" si="426"/>
        <v>-3.6666666666666667E-2</v>
      </c>
      <c r="AB508" s="1606">
        <f t="shared" si="426"/>
        <v>-3.6666666666666667E-2</v>
      </c>
      <c r="AC508" s="1606">
        <f t="shared" si="426"/>
        <v>-3.6666666666666667E-2</v>
      </c>
      <c r="AD508" s="1607">
        <f t="shared" si="426"/>
        <v>-3.6666666666666667E-2</v>
      </c>
      <c r="AE508" s="1607">
        <f t="shared" si="426"/>
        <v>-3.6666666666666667E-2</v>
      </c>
      <c r="AF508" s="1607">
        <f t="shared" si="426"/>
        <v>-3.6666666666666667E-2</v>
      </c>
      <c r="AG508" s="1607">
        <f t="shared" si="426"/>
        <v>-3.6666666666666667E-2</v>
      </c>
      <c r="AH508" s="1607">
        <f t="shared" si="426"/>
        <v>-3.6666666666666667E-2</v>
      </c>
      <c r="AI508" s="1607">
        <f t="shared" si="426"/>
        <v>-3.6666666666666667E-2</v>
      </c>
      <c r="AJ508" s="778"/>
      <c r="AN508" s="497"/>
      <c r="AO508" s="497"/>
      <c r="AP508" s="497"/>
      <c r="AQ508" s="497"/>
    </row>
    <row r="509" spans="1:43" s="496" customFormat="1" ht="12.75" x14ac:dyDescent="0.2">
      <c r="A509" s="498"/>
      <c r="B509" s="1602" t="str">
        <f t="shared" si="412"/>
        <v>DEPRECIACIÓN / ACTIVO FIJO BRUTO</v>
      </c>
      <c r="C509" s="1603">
        <f t="shared" si="412"/>
        <v>0</v>
      </c>
      <c r="D509" s="1006"/>
      <c r="E509" s="1604">
        <f t="shared" si="413"/>
        <v>7.407407407407407E-2</v>
      </c>
      <c r="F509" s="1006"/>
      <c r="G509" s="1006"/>
      <c r="H509" s="1604">
        <f t="shared" si="414"/>
        <v>7.407407407407407E-2</v>
      </c>
      <c r="I509" s="1006"/>
      <c r="J509" s="1006"/>
      <c r="K509" s="1604">
        <f t="shared" si="415"/>
        <v>7.407407407407407E-2</v>
      </c>
      <c r="M509" s="500"/>
      <c r="N509" s="1604">
        <f t="shared" si="416"/>
        <v>7.407407407407407E-2</v>
      </c>
      <c r="P509" s="500"/>
      <c r="Q509" s="1604">
        <f t="shared" si="417"/>
        <v>7.407407407407407E-2</v>
      </c>
      <c r="S509" s="1605"/>
      <c r="T509" s="1606">
        <f t="shared" ref="T509:AI509" si="427">T462+$S509</f>
        <v>7.407407407407407E-2</v>
      </c>
      <c r="U509" s="1606">
        <f t="shared" si="427"/>
        <v>7.407407407407407E-2</v>
      </c>
      <c r="V509" s="1606">
        <f t="shared" si="427"/>
        <v>7.407407407407407E-2</v>
      </c>
      <c r="W509" s="1606">
        <f t="shared" si="427"/>
        <v>7.407407407407407E-2</v>
      </c>
      <c r="X509" s="1606">
        <f t="shared" si="427"/>
        <v>7.407407407407407E-2</v>
      </c>
      <c r="Y509" s="1606">
        <f t="shared" si="427"/>
        <v>7.407407407407407E-2</v>
      </c>
      <c r="Z509" s="1606">
        <f t="shared" si="427"/>
        <v>7.407407407407407E-2</v>
      </c>
      <c r="AA509" s="1606">
        <f t="shared" si="427"/>
        <v>7.407407407407407E-2</v>
      </c>
      <c r="AB509" s="1606">
        <f t="shared" si="427"/>
        <v>7.407407407407407E-2</v>
      </c>
      <c r="AC509" s="1606">
        <f t="shared" si="427"/>
        <v>7.407407407407407E-2</v>
      </c>
      <c r="AD509" s="1607">
        <f t="shared" si="427"/>
        <v>7.407407407407407E-2</v>
      </c>
      <c r="AE509" s="1607">
        <f t="shared" si="427"/>
        <v>7.407407407407407E-2</v>
      </c>
      <c r="AF509" s="1607">
        <f t="shared" si="427"/>
        <v>7.407407407407407E-2</v>
      </c>
      <c r="AG509" s="1607">
        <f t="shared" si="427"/>
        <v>7.407407407407407E-2</v>
      </c>
      <c r="AH509" s="1607">
        <f t="shared" si="427"/>
        <v>7.407407407407407E-2</v>
      </c>
      <c r="AI509" s="1607">
        <f t="shared" si="427"/>
        <v>7.407407407407407E-2</v>
      </c>
      <c r="AJ509" s="778"/>
      <c r="AN509" s="497"/>
      <c r="AO509" s="497"/>
      <c r="AP509" s="497"/>
      <c r="AQ509" s="497"/>
    </row>
    <row r="510" spans="1:43" s="496" customFormat="1" ht="12.75" x14ac:dyDescent="0.2">
      <c r="A510" s="498"/>
      <c r="B510" s="1602" t="str">
        <f t="shared" si="412"/>
        <v>VARIACIÓN INTANGIBLES</v>
      </c>
      <c r="C510" s="1651" t="str">
        <f t="shared" si="412"/>
        <v>N/A</v>
      </c>
      <c r="D510" s="1006"/>
      <c r="E510" s="1604">
        <f t="shared" si="413"/>
        <v>0</v>
      </c>
      <c r="F510" s="1006"/>
      <c r="G510" s="1006"/>
      <c r="H510" s="1604">
        <f t="shared" si="414"/>
        <v>0</v>
      </c>
      <c r="I510" s="1006"/>
      <c r="J510" s="1006"/>
      <c r="K510" s="1604">
        <f t="shared" si="415"/>
        <v>0</v>
      </c>
      <c r="M510" s="500"/>
      <c r="N510" s="1604">
        <f t="shared" si="416"/>
        <v>0</v>
      </c>
      <c r="P510" s="500"/>
      <c r="Q510" s="1604">
        <f t="shared" si="417"/>
        <v>0</v>
      </c>
      <c r="S510" s="1605"/>
      <c r="T510" s="1606">
        <f t="shared" ref="T510:AI510" si="428">T463+$S510</f>
        <v>0</v>
      </c>
      <c r="U510" s="1606">
        <f t="shared" si="428"/>
        <v>0</v>
      </c>
      <c r="V510" s="1606">
        <f t="shared" si="428"/>
        <v>0</v>
      </c>
      <c r="W510" s="1606">
        <f t="shared" si="428"/>
        <v>0</v>
      </c>
      <c r="X510" s="1606">
        <f t="shared" si="428"/>
        <v>0</v>
      </c>
      <c r="Y510" s="1606">
        <f t="shared" si="428"/>
        <v>0</v>
      </c>
      <c r="Z510" s="1606">
        <f t="shared" si="428"/>
        <v>0</v>
      </c>
      <c r="AA510" s="1606">
        <f t="shared" si="428"/>
        <v>0</v>
      </c>
      <c r="AB510" s="1606">
        <f t="shared" si="428"/>
        <v>0</v>
      </c>
      <c r="AC510" s="1606">
        <f t="shared" si="428"/>
        <v>0</v>
      </c>
      <c r="AD510" s="1607">
        <f t="shared" si="428"/>
        <v>0</v>
      </c>
      <c r="AE510" s="1607">
        <f t="shared" si="428"/>
        <v>0</v>
      </c>
      <c r="AF510" s="1607">
        <f t="shared" si="428"/>
        <v>0</v>
      </c>
      <c r="AG510" s="1607">
        <f t="shared" si="428"/>
        <v>0</v>
      </c>
      <c r="AH510" s="1607">
        <f t="shared" si="428"/>
        <v>0</v>
      </c>
      <c r="AI510" s="1607">
        <f t="shared" si="428"/>
        <v>0</v>
      </c>
      <c r="AJ510" s="778"/>
      <c r="AN510" s="497"/>
      <c r="AO510" s="497"/>
      <c r="AP510" s="497"/>
      <c r="AQ510" s="497"/>
    </row>
    <row r="511" spans="1:43" s="496" customFormat="1" ht="12.75" x14ac:dyDescent="0.2">
      <c r="A511" s="498"/>
      <c r="B511" s="1602" t="str">
        <f t="shared" si="412"/>
        <v>AMORTIZACIÓN INTANGIBLES / INTANGIBLES</v>
      </c>
      <c r="C511" s="1603">
        <f t="shared" si="412"/>
        <v>0</v>
      </c>
      <c r="D511" s="1006"/>
      <c r="E511" s="1604">
        <f t="shared" si="413"/>
        <v>0</v>
      </c>
      <c r="F511" s="1006"/>
      <c r="G511" s="1006"/>
      <c r="H511" s="1604">
        <f t="shared" si="414"/>
        <v>0</v>
      </c>
      <c r="I511" s="1006"/>
      <c r="J511" s="1006"/>
      <c r="K511" s="1604">
        <f t="shared" si="415"/>
        <v>0</v>
      </c>
      <c r="M511" s="500"/>
      <c r="N511" s="1604">
        <f t="shared" si="416"/>
        <v>0</v>
      </c>
      <c r="P511" s="500"/>
      <c r="Q511" s="1604">
        <f t="shared" si="417"/>
        <v>0</v>
      </c>
      <c r="S511" s="1605"/>
      <c r="T511" s="1606">
        <f t="shared" ref="T511:AI511" si="429">T464+$S511</f>
        <v>0</v>
      </c>
      <c r="U511" s="1606">
        <f t="shared" si="429"/>
        <v>0</v>
      </c>
      <c r="V511" s="1606">
        <f t="shared" si="429"/>
        <v>0</v>
      </c>
      <c r="W511" s="1606">
        <f t="shared" si="429"/>
        <v>0</v>
      </c>
      <c r="X511" s="1606">
        <f t="shared" si="429"/>
        <v>0</v>
      </c>
      <c r="Y511" s="1606">
        <f t="shared" si="429"/>
        <v>0</v>
      </c>
      <c r="Z511" s="1606">
        <f t="shared" si="429"/>
        <v>0</v>
      </c>
      <c r="AA511" s="1606">
        <f t="shared" si="429"/>
        <v>0</v>
      </c>
      <c r="AB511" s="1606">
        <f t="shared" si="429"/>
        <v>0</v>
      </c>
      <c r="AC511" s="1606">
        <f t="shared" si="429"/>
        <v>0</v>
      </c>
      <c r="AD511" s="1607">
        <f t="shared" si="429"/>
        <v>0</v>
      </c>
      <c r="AE511" s="1607">
        <f t="shared" si="429"/>
        <v>0</v>
      </c>
      <c r="AF511" s="1607">
        <f t="shared" si="429"/>
        <v>0</v>
      </c>
      <c r="AG511" s="1607">
        <f t="shared" si="429"/>
        <v>0</v>
      </c>
      <c r="AH511" s="1607">
        <f t="shared" si="429"/>
        <v>0</v>
      </c>
      <c r="AI511" s="1607">
        <f t="shared" si="429"/>
        <v>0</v>
      </c>
      <c r="AJ511" s="778"/>
      <c r="AN511" s="497"/>
      <c r="AO511" s="497"/>
      <c r="AP511" s="497"/>
      <c r="AQ511" s="497"/>
    </row>
    <row r="512" spans="1:43" s="496" customFormat="1" ht="12.75" x14ac:dyDescent="0.2">
      <c r="A512" s="498"/>
      <c r="B512" s="1602" t="str">
        <f t="shared" si="412"/>
        <v>VARIACIÓN DIFERIDOS</v>
      </c>
      <c r="C512" s="1651" t="str">
        <f t="shared" si="412"/>
        <v>N/A</v>
      </c>
      <c r="D512" s="1006"/>
      <c r="E512" s="1652">
        <f t="shared" si="413"/>
        <v>0</v>
      </c>
      <c r="F512" s="1006"/>
      <c r="G512" s="1006"/>
      <c r="H512" s="1652">
        <f t="shared" si="414"/>
        <v>0</v>
      </c>
      <c r="I512" s="1006"/>
      <c r="J512" s="1006"/>
      <c r="K512" s="1652">
        <f t="shared" si="415"/>
        <v>0</v>
      </c>
      <c r="M512" s="500"/>
      <c r="N512" s="1652">
        <f t="shared" si="416"/>
        <v>0</v>
      </c>
      <c r="P512" s="500"/>
      <c r="Q512" s="1652">
        <f t="shared" si="417"/>
        <v>0</v>
      </c>
      <c r="S512" s="1605"/>
      <c r="T512" s="1606">
        <f t="shared" ref="T512:AI512" si="430">T465+$S512</f>
        <v>0</v>
      </c>
      <c r="U512" s="1606">
        <f t="shared" si="430"/>
        <v>0</v>
      </c>
      <c r="V512" s="1606">
        <f t="shared" si="430"/>
        <v>0</v>
      </c>
      <c r="W512" s="1606">
        <f t="shared" si="430"/>
        <v>0</v>
      </c>
      <c r="X512" s="1606">
        <f t="shared" si="430"/>
        <v>0</v>
      </c>
      <c r="Y512" s="1606">
        <f t="shared" si="430"/>
        <v>0</v>
      </c>
      <c r="Z512" s="1606">
        <f t="shared" si="430"/>
        <v>0</v>
      </c>
      <c r="AA512" s="1606">
        <f t="shared" si="430"/>
        <v>0</v>
      </c>
      <c r="AB512" s="1606">
        <f t="shared" si="430"/>
        <v>0</v>
      </c>
      <c r="AC512" s="1606">
        <f t="shared" si="430"/>
        <v>0</v>
      </c>
      <c r="AD512" s="1607">
        <f t="shared" si="430"/>
        <v>0</v>
      </c>
      <c r="AE512" s="1607">
        <f t="shared" si="430"/>
        <v>0</v>
      </c>
      <c r="AF512" s="1607">
        <f t="shared" si="430"/>
        <v>0</v>
      </c>
      <c r="AG512" s="1607">
        <f t="shared" si="430"/>
        <v>0</v>
      </c>
      <c r="AH512" s="1607">
        <f t="shared" si="430"/>
        <v>0</v>
      </c>
      <c r="AI512" s="1607">
        <f t="shared" si="430"/>
        <v>0</v>
      </c>
      <c r="AJ512" s="778"/>
      <c r="AN512" s="497"/>
      <c r="AO512" s="497"/>
      <c r="AP512" s="497"/>
      <c r="AQ512" s="497"/>
    </row>
    <row r="513" spans="1:43" s="496" customFormat="1" ht="12.75" x14ac:dyDescent="0.2">
      <c r="A513" s="498"/>
      <c r="B513" s="1602" t="str">
        <f t="shared" si="412"/>
        <v>AMORTIZACIÓN DIFERIDOS / DIFERIDOS</v>
      </c>
      <c r="C513" s="1603">
        <f t="shared" si="412"/>
        <v>0</v>
      </c>
      <c r="D513" s="1006"/>
      <c r="E513" s="1604">
        <f t="shared" si="413"/>
        <v>0</v>
      </c>
      <c r="F513" s="1006"/>
      <c r="G513" s="1006"/>
      <c r="H513" s="1604">
        <f t="shared" si="414"/>
        <v>0</v>
      </c>
      <c r="I513" s="1006"/>
      <c r="J513" s="1006"/>
      <c r="K513" s="1604">
        <f t="shared" si="415"/>
        <v>0</v>
      </c>
      <c r="M513" s="500"/>
      <c r="N513" s="1604">
        <f t="shared" si="416"/>
        <v>0</v>
      </c>
      <c r="P513" s="500"/>
      <c r="Q513" s="1604">
        <f t="shared" si="417"/>
        <v>0</v>
      </c>
      <c r="S513" s="1605"/>
      <c r="T513" s="1606">
        <f t="shared" ref="T513:AI513" si="431">T466+$S513</f>
        <v>0</v>
      </c>
      <c r="U513" s="1606">
        <f t="shared" si="431"/>
        <v>0</v>
      </c>
      <c r="V513" s="1606">
        <f t="shared" si="431"/>
        <v>0</v>
      </c>
      <c r="W513" s="1606">
        <f t="shared" si="431"/>
        <v>0</v>
      </c>
      <c r="X513" s="1606">
        <f t="shared" si="431"/>
        <v>0</v>
      </c>
      <c r="Y513" s="1606">
        <f t="shared" si="431"/>
        <v>0</v>
      </c>
      <c r="Z513" s="1606">
        <f t="shared" si="431"/>
        <v>0</v>
      </c>
      <c r="AA513" s="1606">
        <f t="shared" si="431"/>
        <v>0</v>
      </c>
      <c r="AB513" s="1606">
        <f t="shared" si="431"/>
        <v>0</v>
      </c>
      <c r="AC513" s="1606">
        <f t="shared" si="431"/>
        <v>0</v>
      </c>
      <c r="AD513" s="1607">
        <f t="shared" si="431"/>
        <v>0</v>
      </c>
      <c r="AE513" s="1607">
        <f t="shared" si="431"/>
        <v>0</v>
      </c>
      <c r="AF513" s="1607">
        <f t="shared" si="431"/>
        <v>0</v>
      </c>
      <c r="AG513" s="1607">
        <f t="shared" si="431"/>
        <v>0</v>
      </c>
      <c r="AH513" s="1607">
        <f t="shared" si="431"/>
        <v>0</v>
      </c>
      <c r="AI513" s="1607">
        <f t="shared" si="431"/>
        <v>0</v>
      </c>
      <c r="AJ513" s="778"/>
      <c r="AN513" s="497"/>
      <c r="AO513" s="497"/>
      <c r="AP513" s="497"/>
      <c r="AQ513" s="497"/>
    </row>
    <row r="514" spans="1:43" s="496" customFormat="1" ht="12.75" x14ac:dyDescent="0.2">
      <c r="A514" s="498"/>
      <c r="B514" s="1602" t="str">
        <f t="shared" si="412"/>
        <v>PASIVOS LABORALES / GASTOS OPERACIONALES (ANUALIZADOS)</v>
      </c>
      <c r="C514" s="1603">
        <f t="shared" si="412"/>
        <v>0</v>
      </c>
      <c r="D514" s="1006"/>
      <c r="E514" s="1604">
        <f t="shared" si="413"/>
        <v>0.2</v>
      </c>
      <c r="F514" s="1006"/>
      <c r="G514" s="1006"/>
      <c r="H514" s="1604">
        <f t="shared" si="414"/>
        <v>0.2</v>
      </c>
      <c r="I514" s="1006"/>
      <c r="J514" s="1006"/>
      <c r="K514" s="1604">
        <f t="shared" si="415"/>
        <v>0.1</v>
      </c>
      <c r="M514" s="500"/>
      <c r="N514" s="1604">
        <f t="shared" si="416"/>
        <v>0.2</v>
      </c>
      <c r="P514" s="500"/>
      <c r="Q514" s="1604">
        <f t="shared" si="417"/>
        <v>0.1</v>
      </c>
      <c r="S514" s="1605"/>
      <c r="T514" s="1606">
        <f t="shared" ref="T514:AI514" si="432">T467+$S514</f>
        <v>0.2</v>
      </c>
      <c r="U514" s="1606">
        <f t="shared" si="432"/>
        <v>0.2</v>
      </c>
      <c r="V514" s="1606">
        <f t="shared" si="432"/>
        <v>0.2</v>
      </c>
      <c r="W514" s="1606">
        <f t="shared" si="432"/>
        <v>0.2</v>
      </c>
      <c r="X514" s="1606">
        <f t="shared" si="432"/>
        <v>0.2</v>
      </c>
      <c r="Y514" s="1606">
        <f t="shared" si="432"/>
        <v>0.2</v>
      </c>
      <c r="Z514" s="1606">
        <f t="shared" si="432"/>
        <v>0.2</v>
      </c>
      <c r="AA514" s="1606">
        <f t="shared" si="432"/>
        <v>0.2</v>
      </c>
      <c r="AB514" s="1606">
        <f t="shared" si="432"/>
        <v>0.2</v>
      </c>
      <c r="AC514" s="1606">
        <f t="shared" si="432"/>
        <v>0.2</v>
      </c>
      <c r="AD514" s="1607">
        <f t="shared" si="432"/>
        <v>0.2</v>
      </c>
      <c r="AE514" s="1607">
        <f t="shared" si="432"/>
        <v>0.2</v>
      </c>
      <c r="AF514" s="1607">
        <f t="shared" si="432"/>
        <v>0.2</v>
      </c>
      <c r="AG514" s="1607">
        <f t="shared" si="432"/>
        <v>0.2</v>
      </c>
      <c r="AH514" s="1607">
        <f t="shared" si="432"/>
        <v>0.2</v>
      </c>
      <c r="AI514" s="1607">
        <f t="shared" si="432"/>
        <v>0.2</v>
      </c>
      <c r="AJ514" s="778"/>
      <c r="AN514" s="497"/>
      <c r="AO514" s="497"/>
      <c r="AP514" s="497"/>
      <c r="AQ514" s="497"/>
    </row>
    <row r="515" spans="1:43" s="496" customFormat="1" ht="12.75" x14ac:dyDescent="0.2">
      <c r="A515" s="498"/>
      <c r="B515" s="1602" t="str">
        <f t="shared" si="412"/>
        <v>IMPUESTOS POR PAGAR / VENTAS (ANUALIZADAS)</v>
      </c>
      <c r="C515" s="1603">
        <f t="shared" si="412"/>
        <v>0</v>
      </c>
      <c r="D515" s="1006"/>
      <c r="E515" s="1604">
        <f t="shared" si="413"/>
        <v>1.1080332409972299E-2</v>
      </c>
      <c r="F515" s="1006"/>
      <c r="G515" s="1006"/>
      <c r="H515" s="1604">
        <f t="shared" si="414"/>
        <v>1.1080332409972299E-2</v>
      </c>
      <c r="I515" s="1006"/>
      <c r="J515" s="1006"/>
      <c r="K515" s="1604">
        <f t="shared" si="415"/>
        <v>5.5401662049861496E-3</v>
      </c>
      <c r="M515" s="500"/>
      <c r="N515" s="1604">
        <f t="shared" si="416"/>
        <v>1.1080332409972299E-2</v>
      </c>
      <c r="P515" s="500"/>
      <c r="Q515" s="1604">
        <f t="shared" si="417"/>
        <v>5.5401662049861496E-3</v>
      </c>
      <c r="S515" s="1605"/>
      <c r="T515" s="1606">
        <f t="shared" ref="T515:AI515" si="433">T468+$S515</f>
        <v>1.1080332409972299E-2</v>
      </c>
      <c r="U515" s="1606">
        <f t="shared" si="433"/>
        <v>1.1080332409972299E-2</v>
      </c>
      <c r="V515" s="1606">
        <f t="shared" si="433"/>
        <v>1.1080332409972299E-2</v>
      </c>
      <c r="W515" s="1606">
        <f t="shared" si="433"/>
        <v>1.1080332409972299E-2</v>
      </c>
      <c r="X515" s="1606">
        <f t="shared" si="433"/>
        <v>1.1080332409972299E-2</v>
      </c>
      <c r="Y515" s="1606">
        <f t="shared" si="433"/>
        <v>1.1080332409972299E-2</v>
      </c>
      <c r="Z515" s="1606">
        <f t="shared" si="433"/>
        <v>1.1080332409972299E-2</v>
      </c>
      <c r="AA515" s="1606">
        <f t="shared" si="433"/>
        <v>1.1080332409972299E-2</v>
      </c>
      <c r="AB515" s="1606">
        <f t="shared" si="433"/>
        <v>1.1080332409972299E-2</v>
      </c>
      <c r="AC515" s="1606">
        <f t="shared" si="433"/>
        <v>1.1080332409972299E-2</v>
      </c>
      <c r="AD515" s="1607">
        <f t="shared" si="433"/>
        <v>1.1080332409972299E-2</v>
      </c>
      <c r="AE515" s="1607">
        <f t="shared" si="433"/>
        <v>1.1080332409972299E-2</v>
      </c>
      <c r="AF515" s="1607">
        <f t="shared" si="433"/>
        <v>1.1080332409972299E-2</v>
      </c>
      <c r="AG515" s="1607">
        <f t="shared" si="433"/>
        <v>1.1080332409972299E-2</v>
      </c>
      <c r="AH515" s="1607">
        <f t="shared" si="433"/>
        <v>1.1080332409972299E-2</v>
      </c>
      <c r="AI515" s="1607">
        <f t="shared" si="433"/>
        <v>1.1080332409972299E-2</v>
      </c>
      <c r="AJ515" s="778"/>
      <c r="AN515" s="497"/>
      <c r="AO515" s="497"/>
      <c r="AP515" s="497"/>
      <c r="AQ515" s="497"/>
    </row>
    <row r="516" spans="1:43" s="496" customFormat="1" ht="12.75" x14ac:dyDescent="0.2">
      <c r="A516" s="498"/>
      <c r="B516" s="1602" t="str">
        <f t="shared" si="412"/>
        <v>CUENTAS POR PAGAR / COSTO DE VENTAS (ANUALIZADO)</v>
      </c>
      <c r="C516" s="1603">
        <f t="shared" si="412"/>
        <v>0</v>
      </c>
      <c r="D516" s="1006"/>
      <c r="E516" s="1604">
        <f t="shared" si="413"/>
        <v>0.24</v>
      </c>
      <c r="F516" s="1006"/>
      <c r="G516" s="1006"/>
      <c r="H516" s="1604">
        <f t="shared" si="414"/>
        <v>0.24</v>
      </c>
      <c r="I516" s="1006"/>
      <c r="J516" s="1006"/>
      <c r="K516" s="1604">
        <f t="shared" si="415"/>
        <v>0.12</v>
      </c>
      <c r="M516" s="500"/>
      <c r="N516" s="1604">
        <f t="shared" si="416"/>
        <v>0.24</v>
      </c>
      <c r="P516" s="500"/>
      <c r="Q516" s="1604">
        <f t="shared" si="417"/>
        <v>0.12</v>
      </c>
      <c r="S516" s="1605"/>
      <c r="T516" s="1606">
        <f t="shared" ref="T516:AI516" si="434">T469+$S516</f>
        <v>0.24000000000000002</v>
      </c>
      <c r="U516" s="1606">
        <f t="shared" si="434"/>
        <v>0.24000000000000002</v>
      </c>
      <c r="V516" s="1606">
        <f t="shared" si="434"/>
        <v>0.24000000000000002</v>
      </c>
      <c r="W516" s="1606">
        <f t="shared" si="434"/>
        <v>0.24000000000000002</v>
      </c>
      <c r="X516" s="1606">
        <f t="shared" si="434"/>
        <v>0.24000000000000002</v>
      </c>
      <c r="Y516" s="1606">
        <f t="shared" si="434"/>
        <v>0.24000000000000002</v>
      </c>
      <c r="Z516" s="1606">
        <f t="shared" si="434"/>
        <v>0.24000000000000002</v>
      </c>
      <c r="AA516" s="1606">
        <f t="shared" si="434"/>
        <v>0.24000000000000002</v>
      </c>
      <c r="AB516" s="1606">
        <f t="shared" si="434"/>
        <v>0.24000000000000002</v>
      </c>
      <c r="AC516" s="1606">
        <f t="shared" si="434"/>
        <v>0.24000000000000002</v>
      </c>
      <c r="AD516" s="1607">
        <f t="shared" si="434"/>
        <v>0.24000000000000002</v>
      </c>
      <c r="AE516" s="1607">
        <f t="shared" si="434"/>
        <v>0.24000000000000002</v>
      </c>
      <c r="AF516" s="1607">
        <f t="shared" si="434"/>
        <v>0.24000000000000002</v>
      </c>
      <c r="AG516" s="1607">
        <f t="shared" si="434"/>
        <v>0.24000000000000002</v>
      </c>
      <c r="AH516" s="1607">
        <f t="shared" si="434"/>
        <v>0.24000000000000002</v>
      </c>
      <c r="AI516" s="1607">
        <f t="shared" si="434"/>
        <v>0.24000000000000002</v>
      </c>
      <c r="AJ516" s="778"/>
      <c r="AN516" s="497"/>
      <c r="AO516" s="497"/>
      <c r="AP516" s="497"/>
      <c r="AQ516" s="497"/>
    </row>
    <row r="517" spans="1:43" s="496" customFormat="1" ht="12.75" x14ac:dyDescent="0.2">
      <c r="A517" s="498"/>
      <c r="B517" s="1602" t="str">
        <f t="shared" si="412"/>
        <v>PASIVOS ESTIMADOS Y PROVISIONES / GASTOS OPERACIONALES (ANUALIZADOS)</v>
      </c>
      <c r="C517" s="1603">
        <f t="shared" si="412"/>
        <v>0</v>
      </c>
      <c r="D517" s="1006"/>
      <c r="E517" s="1604">
        <f t="shared" si="413"/>
        <v>0.3</v>
      </c>
      <c r="F517" s="1006"/>
      <c r="G517" s="1006"/>
      <c r="H517" s="1604">
        <f t="shared" si="414"/>
        <v>0.3</v>
      </c>
      <c r="I517" s="1006"/>
      <c r="J517" s="1006"/>
      <c r="K517" s="1604">
        <f t="shared" si="415"/>
        <v>0.15</v>
      </c>
      <c r="M517" s="500"/>
      <c r="N517" s="1604">
        <f t="shared" si="416"/>
        <v>0.3</v>
      </c>
      <c r="P517" s="500"/>
      <c r="Q517" s="1604">
        <f t="shared" si="417"/>
        <v>0.15</v>
      </c>
      <c r="S517" s="1605"/>
      <c r="T517" s="1606">
        <f t="shared" ref="T517:AI517" si="435">T470+$S517</f>
        <v>0.30000000000000004</v>
      </c>
      <c r="U517" s="1606">
        <f t="shared" si="435"/>
        <v>0.30000000000000004</v>
      </c>
      <c r="V517" s="1606">
        <f t="shared" si="435"/>
        <v>0.30000000000000004</v>
      </c>
      <c r="W517" s="1606">
        <f t="shared" si="435"/>
        <v>0.30000000000000004</v>
      </c>
      <c r="X517" s="1606">
        <f t="shared" si="435"/>
        <v>0.30000000000000004</v>
      </c>
      <c r="Y517" s="1606">
        <f t="shared" si="435"/>
        <v>0.30000000000000004</v>
      </c>
      <c r="Z517" s="1606">
        <f t="shared" si="435"/>
        <v>0.30000000000000004</v>
      </c>
      <c r="AA517" s="1606">
        <f t="shared" si="435"/>
        <v>0.30000000000000004</v>
      </c>
      <c r="AB517" s="1606">
        <f t="shared" si="435"/>
        <v>0.30000000000000004</v>
      </c>
      <c r="AC517" s="1606">
        <f t="shared" si="435"/>
        <v>0.30000000000000004</v>
      </c>
      <c r="AD517" s="1607">
        <f t="shared" si="435"/>
        <v>0.30000000000000004</v>
      </c>
      <c r="AE517" s="1607">
        <f t="shared" si="435"/>
        <v>0.30000000000000004</v>
      </c>
      <c r="AF517" s="1607">
        <f t="shared" si="435"/>
        <v>0.30000000000000004</v>
      </c>
      <c r="AG517" s="1607">
        <f t="shared" si="435"/>
        <v>0.30000000000000004</v>
      </c>
      <c r="AH517" s="1607">
        <f t="shared" si="435"/>
        <v>0.30000000000000004</v>
      </c>
      <c r="AI517" s="1607">
        <f t="shared" si="435"/>
        <v>0.30000000000000004</v>
      </c>
      <c r="AJ517" s="778"/>
      <c r="AN517" s="497"/>
      <c r="AO517" s="497"/>
      <c r="AP517" s="497"/>
      <c r="AQ517" s="497"/>
    </row>
    <row r="518" spans="1:43" s="496" customFormat="1" ht="12.75" x14ac:dyDescent="0.2">
      <c r="A518" s="498"/>
      <c r="B518" s="1602" t="str">
        <f t="shared" si="412"/>
        <v>DIVIDENDOS PAGADOS / UTILIDAD NETA EJERCICIO ANTERIOR</v>
      </c>
      <c r="C518" s="1651" t="str">
        <f t="shared" si="412"/>
        <v>N/A</v>
      </c>
      <c r="D518" s="1006"/>
      <c r="E518" s="1604">
        <f t="shared" si="413"/>
        <v>0</v>
      </c>
      <c r="F518" s="1006"/>
      <c r="G518" s="1006"/>
      <c r="H518" s="1604">
        <f t="shared" si="414"/>
        <v>1</v>
      </c>
      <c r="I518" s="1006"/>
      <c r="J518" s="1006"/>
      <c r="K518" s="1604">
        <f t="shared" si="415"/>
        <v>1</v>
      </c>
      <c r="M518" s="500"/>
      <c r="N518" s="1604">
        <f t="shared" si="416"/>
        <v>1</v>
      </c>
      <c r="P518" s="500"/>
      <c r="Q518" s="1604">
        <f t="shared" si="417"/>
        <v>1</v>
      </c>
      <c r="S518" s="1605"/>
      <c r="T518" s="1606">
        <f t="shared" ref="T518:AI518" si="436">T471+$S518</f>
        <v>0.67</v>
      </c>
      <c r="U518" s="1606">
        <f t="shared" si="436"/>
        <v>0.67</v>
      </c>
      <c r="V518" s="1606">
        <f t="shared" si="436"/>
        <v>0.67</v>
      </c>
      <c r="W518" s="1606">
        <f t="shared" si="436"/>
        <v>0.67</v>
      </c>
      <c r="X518" s="1606">
        <f t="shared" si="436"/>
        <v>0.67</v>
      </c>
      <c r="Y518" s="1606">
        <f t="shared" si="436"/>
        <v>0.67</v>
      </c>
      <c r="Z518" s="1606">
        <f t="shared" si="436"/>
        <v>0.67</v>
      </c>
      <c r="AA518" s="1606">
        <f t="shared" si="436"/>
        <v>0.67</v>
      </c>
      <c r="AB518" s="1606">
        <f t="shared" si="436"/>
        <v>0.67</v>
      </c>
      <c r="AC518" s="1606">
        <f t="shared" si="436"/>
        <v>0.67</v>
      </c>
      <c r="AD518" s="1607">
        <f t="shared" si="436"/>
        <v>0.67</v>
      </c>
      <c r="AE518" s="1607">
        <f t="shared" si="436"/>
        <v>0.67</v>
      </c>
      <c r="AF518" s="1607">
        <f t="shared" si="436"/>
        <v>0.67</v>
      </c>
      <c r="AG518" s="1607">
        <f t="shared" si="436"/>
        <v>0.67</v>
      </c>
      <c r="AH518" s="1607">
        <f t="shared" si="436"/>
        <v>0.67</v>
      </c>
      <c r="AI518" s="1607">
        <f t="shared" si="436"/>
        <v>0.67</v>
      </c>
      <c r="AJ518" s="778"/>
      <c r="AN518" s="497"/>
      <c r="AO518" s="497"/>
      <c r="AP518" s="497"/>
      <c r="AQ518" s="497"/>
    </row>
    <row r="519" spans="1:43" s="496" customFormat="1" ht="12.75" x14ac:dyDescent="0.2">
      <c r="A519" s="498"/>
      <c r="B519" s="1619" t="str">
        <f t="shared" si="412"/>
        <v>VARIACIÓN REVALORIZACIÓN PATRIMONIAL</v>
      </c>
      <c r="C519" s="1653" t="str">
        <f t="shared" si="412"/>
        <v>N/A</v>
      </c>
      <c r="D519" s="1006"/>
      <c r="E519" s="1621">
        <f t="shared" si="413"/>
        <v>0</v>
      </c>
      <c r="F519" s="1006"/>
      <c r="G519" s="1006"/>
      <c r="H519" s="1621">
        <f t="shared" si="414"/>
        <v>0</v>
      </c>
      <c r="I519" s="1006"/>
      <c r="J519" s="1006"/>
      <c r="K519" s="1621">
        <f t="shared" si="415"/>
        <v>0</v>
      </c>
      <c r="M519" s="500"/>
      <c r="N519" s="1621">
        <f t="shared" si="416"/>
        <v>0</v>
      </c>
      <c r="P519" s="500"/>
      <c r="Q519" s="1621">
        <f t="shared" si="417"/>
        <v>0</v>
      </c>
      <c r="S519" s="1622"/>
      <c r="T519" s="1623">
        <v>0</v>
      </c>
      <c r="U519" s="1623">
        <f t="shared" ref="U519:AI519" si="437">U472+$S519</f>
        <v>0</v>
      </c>
      <c r="V519" s="1623">
        <f t="shared" si="437"/>
        <v>0</v>
      </c>
      <c r="W519" s="1623">
        <f t="shared" si="437"/>
        <v>0</v>
      </c>
      <c r="X519" s="1623">
        <f t="shared" si="437"/>
        <v>0</v>
      </c>
      <c r="Y519" s="1623">
        <f t="shared" si="437"/>
        <v>0</v>
      </c>
      <c r="Z519" s="1623">
        <f t="shared" si="437"/>
        <v>0</v>
      </c>
      <c r="AA519" s="1623">
        <f t="shared" si="437"/>
        <v>0</v>
      </c>
      <c r="AB519" s="1623">
        <f t="shared" si="437"/>
        <v>0</v>
      </c>
      <c r="AC519" s="1623">
        <f t="shared" si="437"/>
        <v>0</v>
      </c>
      <c r="AD519" s="1624">
        <f t="shared" si="437"/>
        <v>0</v>
      </c>
      <c r="AE519" s="1624">
        <f t="shared" si="437"/>
        <v>0</v>
      </c>
      <c r="AF519" s="1624">
        <f t="shared" si="437"/>
        <v>0</v>
      </c>
      <c r="AG519" s="1624">
        <f t="shared" si="437"/>
        <v>0</v>
      </c>
      <c r="AH519" s="1624">
        <f t="shared" si="437"/>
        <v>0</v>
      </c>
      <c r="AI519" s="1624">
        <f t="shared" si="437"/>
        <v>0</v>
      </c>
      <c r="AJ519" s="778"/>
      <c r="AN519" s="497"/>
      <c r="AO519" s="497"/>
      <c r="AP519" s="497"/>
      <c r="AQ519" s="497"/>
    </row>
    <row r="520" spans="1:43" s="496" customFormat="1" ht="12.75" x14ac:dyDescent="0.2">
      <c r="A520" s="498"/>
      <c r="B520" s="1654"/>
      <c r="I520" s="495"/>
      <c r="J520" s="495"/>
      <c r="K520" s="495"/>
      <c r="M520" s="500"/>
      <c r="N520" s="495"/>
      <c r="P520" s="500"/>
      <c r="Q520" s="495"/>
      <c r="S520" s="500"/>
      <c r="T520" s="500"/>
      <c r="AE520" s="1655"/>
      <c r="AF520" s="1655"/>
      <c r="AJ520" s="778"/>
      <c r="AN520" s="497"/>
      <c r="AO520" s="497"/>
      <c r="AP520" s="497"/>
      <c r="AQ520" s="497"/>
    </row>
    <row r="521" spans="1:43" s="496" customFormat="1" ht="12.75" x14ac:dyDescent="0.2">
      <c r="A521" s="498"/>
      <c r="B521" s="1654"/>
      <c r="I521" s="495"/>
      <c r="J521" s="495"/>
      <c r="K521" s="495"/>
      <c r="M521" s="500"/>
      <c r="N521" s="495"/>
      <c r="P521" s="500"/>
      <c r="Q521" s="495"/>
      <c r="S521" s="500"/>
      <c r="T521" s="1656" t="s">
        <v>1044</v>
      </c>
      <c r="U521" s="1657" t="s">
        <v>1044</v>
      </c>
      <c r="V521" s="1657" t="s">
        <v>1044</v>
      </c>
      <c r="W521" s="1657" t="s">
        <v>1044</v>
      </c>
      <c r="X521" s="1657" t="s">
        <v>1044</v>
      </c>
      <c r="Y521" s="1657" t="s">
        <v>1044</v>
      </c>
      <c r="Z521" s="1657" t="s">
        <v>1044</v>
      </c>
      <c r="AA521" s="1657" t="s">
        <v>1044</v>
      </c>
      <c r="AB521" s="1657" t="s">
        <v>1044</v>
      </c>
      <c r="AC521" s="1657" t="s">
        <v>1044</v>
      </c>
      <c r="AD521" s="1658" t="s">
        <v>1044</v>
      </c>
      <c r="AE521" s="1658" t="s">
        <v>1044</v>
      </c>
      <c r="AF521" s="1658" t="s">
        <v>1044</v>
      </c>
      <c r="AG521" s="1658" t="s">
        <v>1044</v>
      </c>
      <c r="AH521" s="1658" t="s">
        <v>1044</v>
      </c>
      <c r="AI521" s="1658" t="s">
        <v>1044</v>
      </c>
      <c r="AJ521" s="778"/>
      <c r="AN521" s="497"/>
      <c r="AO521" s="497"/>
      <c r="AP521" s="497"/>
      <c r="AQ521" s="497"/>
    </row>
    <row r="522" spans="1:43" s="496" customFormat="1" ht="12.75" x14ac:dyDescent="0.2">
      <c r="A522" s="498"/>
      <c r="B522" s="1659" t="s">
        <v>1375</v>
      </c>
      <c r="C522" s="1660">
        <f>C428</f>
        <v>2018</v>
      </c>
      <c r="E522" s="1661">
        <f>E428</f>
        <v>2019</v>
      </c>
      <c r="H522" s="1661">
        <f>H428</f>
        <v>2020</v>
      </c>
      <c r="I522" s="495"/>
      <c r="J522" s="495"/>
      <c r="K522" s="1661">
        <f>K428</f>
        <v>2020</v>
      </c>
      <c r="M522" s="500"/>
      <c r="N522" s="1661">
        <f>N428</f>
        <v>2021</v>
      </c>
      <c r="P522" s="500"/>
      <c r="Q522" s="1661">
        <f>Q428</f>
        <v>2021</v>
      </c>
      <c r="S522" s="500"/>
      <c r="T522" s="1662">
        <f t="shared" ref="T522:AI522" si="438">T428</f>
        <v>2022</v>
      </c>
      <c r="U522" s="1663">
        <f t="shared" si="438"/>
        <v>2023</v>
      </c>
      <c r="V522" s="1663">
        <f t="shared" si="438"/>
        <v>2024</v>
      </c>
      <c r="W522" s="1663">
        <f t="shared" si="438"/>
        <v>2025</v>
      </c>
      <c r="X522" s="1663">
        <f t="shared" si="438"/>
        <v>2026</v>
      </c>
      <c r="Y522" s="1663">
        <f t="shared" si="438"/>
        <v>2027</v>
      </c>
      <c r="Z522" s="1663">
        <f t="shared" si="438"/>
        <v>2028</v>
      </c>
      <c r="AA522" s="1663">
        <f t="shared" si="438"/>
        <v>2029</v>
      </c>
      <c r="AB522" s="1663">
        <f t="shared" si="438"/>
        <v>2030</v>
      </c>
      <c r="AC522" s="1663">
        <f t="shared" si="438"/>
        <v>2031</v>
      </c>
      <c r="AD522" s="1664">
        <f t="shared" si="438"/>
        <v>2032</v>
      </c>
      <c r="AE522" s="1664">
        <f t="shared" si="438"/>
        <v>2033</v>
      </c>
      <c r="AF522" s="1664">
        <f t="shared" si="438"/>
        <v>2034</v>
      </c>
      <c r="AG522" s="1664">
        <f t="shared" si="438"/>
        <v>2035</v>
      </c>
      <c r="AH522" s="1664">
        <f t="shared" si="438"/>
        <v>2036</v>
      </c>
      <c r="AI522" s="1664">
        <f t="shared" si="438"/>
        <v>2037</v>
      </c>
      <c r="AJ522" s="778"/>
      <c r="AN522" s="497"/>
      <c r="AO522" s="497"/>
      <c r="AP522" s="497"/>
      <c r="AQ522" s="497"/>
    </row>
    <row r="523" spans="1:43" s="496" customFormat="1" ht="12.75" x14ac:dyDescent="0.2">
      <c r="A523" s="498"/>
      <c r="B523" s="1665" t="str">
        <f>B429</f>
        <v>Inflación</v>
      </c>
      <c r="C523" s="1666">
        <f>C429</f>
        <v>6.8000000000000005E-2</v>
      </c>
      <c r="E523" s="1667">
        <f>E429</f>
        <v>3.6999999999999998E-2</v>
      </c>
      <c r="H523" s="1667">
        <f>H429</f>
        <v>2.4400000000000002E-2</v>
      </c>
      <c r="I523" s="495"/>
      <c r="J523" s="495"/>
      <c r="K523" s="1667" t="str">
        <f>K429</f>
        <v>N/A</v>
      </c>
      <c r="M523" s="500"/>
      <c r="N523" s="1667">
        <f>N429</f>
        <v>3.6600000000000001E-2</v>
      </c>
      <c r="P523" s="500"/>
      <c r="Q523" s="1667" t="str">
        <f>Q429</f>
        <v>N/A</v>
      </c>
      <c r="S523" s="728"/>
      <c r="T523" s="1668">
        <f t="shared" ref="T523:AI523" si="439">T476</f>
        <v>6.7699999999999996E-2</v>
      </c>
      <c r="U523" s="1669">
        <f t="shared" si="439"/>
        <v>3.6400000000000002E-2</v>
      </c>
      <c r="V523" s="1669">
        <f t="shared" si="439"/>
        <v>0.03</v>
      </c>
      <c r="W523" s="1669">
        <f t="shared" si="439"/>
        <v>0.03</v>
      </c>
      <c r="X523" s="1669">
        <f t="shared" si="439"/>
        <v>0.03</v>
      </c>
      <c r="Y523" s="1669">
        <f t="shared" si="439"/>
        <v>0.03</v>
      </c>
      <c r="Z523" s="1669">
        <f t="shared" si="439"/>
        <v>0.03</v>
      </c>
      <c r="AA523" s="1669">
        <f t="shared" si="439"/>
        <v>0.03</v>
      </c>
      <c r="AB523" s="1669">
        <f t="shared" si="439"/>
        <v>0.03</v>
      </c>
      <c r="AC523" s="1669">
        <f t="shared" si="439"/>
        <v>0.03</v>
      </c>
      <c r="AD523" s="1670">
        <f t="shared" si="439"/>
        <v>0.03</v>
      </c>
      <c r="AE523" s="1670">
        <f t="shared" si="439"/>
        <v>0.03</v>
      </c>
      <c r="AF523" s="1670">
        <f t="shared" si="439"/>
        <v>0.03</v>
      </c>
      <c r="AG523" s="1670">
        <f t="shared" si="439"/>
        <v>0.03</v>
      </c>
      <c r="AH523" s="1670">
        <f t="shared" si="439"/>
        <v>0.03</v>
      </c>
      <c r="AI523" s="1670">
        <f t="shared" si="439"/>
        <v>0.03</v>
      </c>
      <c r="AJ523" s="778"/>
      <c r="AN523" s="497"/>
      <c r="AO523" s="497"/>
      <c r="AP523" s="497"/>
      <c r="AQ523" s="497"/>
    </row>
    <row r="524" spans="1:43" s="496" customFormat="1" ht="12.75" x14ac:dyDescent="0.2">
      <c r="A524" s="498"/>
      <c r="B524" s="1671" t="str">
        <f>B430</f>
        <v>Variación TRM</v>
      </c>
      <c r="C524" s="1672">
        <f>C430</f>
        <v>4.4900000000000002E-2</v>
      </c>
      <c r="E524" s="1673">
        <f>E430</f>
        <v>-0.13397724183117241</v>
      </c>
      <c r="H524" s="1673">
        <f>H430</f>
        <v>-9.0066906845084921E-2</v>
      </c>
      <c r="I524" s="495"/>
      <c r="J524" s="495"/>
      <c r="K524" s="1673" t="str">
        <f>K430</f>
        <v>N/A</v>
      </c>
      <c r="M524" s="500"/>
      <c r="N524" s="1673">
        <f>N430</f>
        <v>0.32480404320537187</v>
      </c>
      <c r="P524" s="500"/>
      <c r="Q524" s="1673" t="str">
        <f>Q430</f>
        <v>N/A</v>
      </c>
      <c r="S524" s="728"/>
      <c r="T524" s="1674">
        <f t="shared" ref="T524:AI524" si="440">T477</f>
        <v>0.38507704050111063</v>
      </c>
      <c r="U524" s="1675">
        <f t="shared" si="440"/>
        <v>-0.13692170398303674</v>
      </c>
      <c r="V524" s="1675">
        <f t="shared" si="440"/>
        <v>2.5000000000000001E-2</v>
      </c>
      <c r="W524" s="1675">
        <f t="shared" si="440"/>
        <v>0.04</v>
      </c>
      <c r="X524" s="1675">
        <f t="shared" si="440"/>
        <v>0.04</v>
      </c>
      <c r="Y524" s="1676">
        <f t="shared" si="440"/>
        <v>0.04</v>
      </c>
      <c r="Z524" s="1676">
        <f t="shared" si="440"/>
        <v>0.04</v>
      </c>
      <c r="AA524" s="1676">
        <f t="shared" si="440"/>
        <v>0.04</v>
      </c>
      <c r="AB524" s="1676">
        <f t="shared" si="440"/>
        <v>0.04</v>
      </c>
      <c r="AC524" s="1676">
        <f t="shared" si="440"/>
        <v>0.04</v>
      </c>
      <c r="AD524" s="1677">
        <f t="shared" si="440"/>
        <v>0.04</v>
      </c>
      <c r="AE524" s="1677">
        <f t="shared" si="440"/>
        <v>0.04</v>
      </c>
      <c r="AF524" s="1677">
        <f t="shared" si="440"/>
        <v>0.04</v>
      </c>
      <c r="AG524" s="1677">
        <f t="shared" si="440"/>
        <v>0.04</v>
      </c>
      <c r="AH524" s="1677">
        <f t="shared" si="440"/>
        <v>0.04</v>
      </c>
      <c r="AI524" s="1677">
        <f t="shared" si="440"/>
        <v>0.04</v>
      </c>
      <c r="AJ524" s="778"/>
      <c r="AN524" s="497"/>
      <c r="AO524" s="497"/>
      <c r="AP524" s="497"/>
      <c r="AQ524" s="497"/>
    </row>
    <row r="525" spans="1:43" s="496" customFormat="1" ht="12.75" x14ac:dyDescent="0.2">
      <c r="A525" s="498"/>
      <c r="B525" s="1671" t="str">
        <f>B431</f>
        <v>Crecimiento PIB</v>
      </c>
      <c r="C525" s="1672">
        <f>C431</f>
        <v>6.5799999999999997E-2</v>
      </c>
      <c r="E525" s="1673">
        <f>E431</f>
        <v>4.0399999999999998E-2</v>
      </c>
      <c r="H525" s="1673">
        <f>H431</f>
        <v>4.9299999999999997E-2</v>
      </c>
      <c r="I525" s="495"/>
      <c r="J525" s="495"/>
      <c r="K525" s="1673" t="str">
        <f>K431</f>
        <v>N/A</v>
      </c>
      <c r="M525" s="500"/>
      <c r="N525" s="1673">
        <f>N431</f>
        <v>4.5499999999999999E-2</v>
      </c>
      <c r="P525" s="500"/>
      <c r="Q525" s="1673" t="str">
        <f>Q431</f>
        <v>N/A</v>
      </c>
      <c r="S525" s="728"/>
      <c r="T525" s="1678">
        <f>T526/N526-1</f>
        <v>0.38507704050111058</v>
      </c>
      <c r="U525" s="1679">
        <f>U526/T526-1</f>
        <v>-0.13692170398303671</v>
      </c>
      <c r="V525" s="1679">
        <f>V526/U526-1</f>
        <v>-0.24420714285714296</v>
      </c>
      <c r="W525" s="1679">
        <f>W526/V526-1</f>
        <v>3.5001086843522877E-2</v>
      </c>
      <c r="X525" s="1679">
        <f>X526/W526-1</f>
        <v>3.499999999999992E-2</v>
      </c>
      <c r="Y525" s="1675">
        <f>AVERAGE(T525:X525)</f>
        <v>1.4789856100890741E-2</v>
      </c>
      <c r="Z525" s="1675">
        <f t="shared" ref="Z525:AI525" si="441">Y525</f>
        <v>1.4789856100890741E-2</v>
      </c>
      <c r="AA525" s="1675">
        <f t="shared" si="441"/>
        <v>1.4789856100890741E-2</v>
      </c>
      <c r="AB525" s="1675">
        <f t="shared" si="441"/>
        <v>1.4789856100890741E-2</v>
      </c>
      <c r="AC525" s="1675">
        <f t="shared" si="441"/>
        <v>1.4789856100890741E-2</v>
      </c>
      <c r="AD525" s="1680">
        <f t="shared" si="441"/>
        <v>1.4789856100890741E-2</v>
      </c>
      <c r="AE525" s="1680">
        <f t="shared" si="441"/>
        <v>1.4789856100890741E-2</v>
      </c>
      <c r="AF525" s="1680">
        <f t="shared" si="441"/>
        <v>1.4789856100890741E-2</v>
      </c>
      <c r="AG525" s="1680">
        <f t="shared" si="441"/>
        <v>1.4789856100890741E-2</v>
      </c>
      <c r="AH525" s="1680">
        <f t="shared" si="441"/>
        <v>1.4789856100890741E-2</v>
      </c>
      <c r="AI525" s="1680">
        <f t="shared" si="441"/>
        <v>1.4789856100890741E-2</v>
      </c>
      <c r="AJ525" s="778"/>
      <c r="AN525" s="497"/>
      <c r="AO525" s="497"/>
      <c r="AP525" s="497"/>
      <c r="AQ525" s="497"/>
    </row>
    <row r="526" spans="1:43" s="496" customFormat="1" ht="13.5" thickBot="1" x14ac:dyDescent="0.25">
      <c r="A526" s="498"/>
      <c r="B526" s="1681" t="str">
        <f>B432</f>
        <v>TRM (COP POR 1 USD)</v>
      </c>
      <c r="C526" s="1682">
        <f>C432</f>
        <v>2243.59</v>
      </c>
      <c r="D526" s="1583"/>
      <c r="E526" s="1683">
        <f>E432</f>
        <v>1943</v>
      </c>
      <c r="F526" s="1583"/>
      <c r="G526" s="1583"/>
      <c r="H526" s="1683">
        <f>H432</f>
        <v>1768</v>
      </c>
      <c r="I526" s="1684"/>
      <c r="J526" s="1684"/>
      <c r="K526" s="1683" t="str">
        <f>K432</f>
        <v>N/A</v>
      </c>
      <c r="L526" s="1583"/>
      <c r="M526" s="1685"/>
      <c r="N526" s="1683">
        <f>N432</f>
        <v>2342.2535483870975</v>
      </c>
      <c r="O526" s="1583"/>
      <c r="P526" s="1685"/>
      <c r="Q526" s="1683" t="str">
        <f>Q432</f>
        <v>N/A</v>
      </c>
      <c r="R526" s="1583"/>
      <c r="S526" s="1686"/>
      <c r="T526" s="1687">
        <f>T479</f>
        <v>3244.2016129032259</v>
      </c>
      <c r="U526" s="1688">
        <f>U479</f>
        <v>2800</v>
      </c>
      <c r="V526" s="1688">
        <f>V479</f>
        <v>2116.2199999999998</v>
      </c>
      <c r="W526" s="1688">
        <f>W479</f>
        <v>2190.29</v>
      </c>
      <c r="X526" s="1688">
        <f>X479</f>
        <v>2266.9501499999997</v>
      </c>
      <c r="Y526" s="1689">
        <f t="shared" ref="Y526:AI526" si="442">X526*(1+Y525)</f>
        <v>2300.4780165063926</v>
      </c>
      <c r="Z526" s="1689">
        <f t="shared" si="442"/>
        <v>2334.5017553337848</v>
      </c>
      <c r="AA526" s="1689">
        <f t="shared" si="442"/>
        <v>2369.0287003624485</v>
      </c>
      <c r="AB526" s="1689">
        <f t="shared" si="442"/>
        <v>2404.0662939396893</v>
      </c>
      <c r="AC526" s="1689">
        <f t="shared" si="442"/>
        <v>2439.6220884840591</v>
      </c>
      <c r="AD526" s="1690">
        <f t="shared" si="442"/>
        <v>2475.7037481132929</v>
      </c>
      <c r="AE526" s="1690">
        <f t="shared" si="442"/>
        <v>2512.3190502963243</v>
      </c>
      <c r="AF526" s="1690">
        <f t="shared" si="442"/>
        <v>2549.4758875297334</v>
      </c>
      <c r="AG526" s="1690">
        <f t="shared" si="442"/>
        <v>2587.182269038989</v>
      </c>
      <c r="AH526" s="1690">
        <f t="shared" si="442"/>
        <v>2625.4463225048517</v>
      </c>
      <c r="AI526" s="1690">
        <f t="shared" si="442"/>
        <v>2664.2762958153112</v>
      </c>
      <c r="AJ526" s="778"/>
      <c r="AN526" s="497"/>
      <c r="AO526" s="497"/>
      <c r="AP526" s="497"/>
      <c r="AQ526" s="497"/>
    </row>
    <row r="527" spans="1:43" s="496" customFormat="1" ht="12.75" x14ac:dyDescent="0.2">
      <c r="A527" s="498"/>
      <c r="B527" s="603"/>
      <c r="C527" s="1463"/>
      <c r="E527" s="1463"/>
      <c r="H527" s="1463"/>
      <c r="I527" s="495"/>
      <c r="J527" s="495"/>
      <c r="K527" s="1463"/>
      <c r="M527" s="500"/>
      <c r="N527" s="1463"/>
      <c r="P527" s="500"/>
      <c r="Q527" s="1463"/>
      <c r="S527" s="500"/>
      <c r="T527" s="1691" t="str">
        <f>T480</f>
        <v>FUENTES PARA INFORMACIÓN INICIAL DE PROYECCIÓN: BANCO DE LA REPÚBLICA, DIRECCIÓN EJECUTIVA DE ESTUDIOS ECONÓMICOS, CÁLCULOS DAVIVIENDA</v>
      </c>
      <c r="U527" s="1692"/>
      <c r="V527" s="1692"/>
      <c r="W527" s="1692"/>
      <c r="X527" s="1692"/>
      <c r="Y527" s="1692"/>
      <c r="Z527" s="1692"/>
      <c r="AA527" s="1692"/>
      <c r="AB527" s="1692"/>
      <c r="AC527" s="1692"/>
      <c r="AD527" s="1692"/>
      <c r="AF527" s="1589"/>
      <c r="AJ527" s="778"/>
      <c r="AN527" s="497"/>
      <c r="AO527" s="497"/>
      <c r="AP527" s="497"/>
      <c r="AQ527" s="497"/>
    </row>
    <row r="528" spans="1:43" s="496" customFormat="1" ht="13.5" thickBot="1" x14ac:dyDescent="0.25">
      <c r="A528" s="498"/>
      <c r="B528" s="603"/>
      <c r="D528" s="495"/>
      <c r="I528" s="495"/>
      <c r="J528" s="495"/>
      <c r="K528" s="1177"/>
      <c r="M528" s="500"/>
      <c r="N528" s="1177"/>
      <c r="P528" s="500"/>
      <c r="Q528" s="1177"/>
      <c r="S528" s="500"/>
      <c r="T528" s="1693"/>
      <c r="U528" s="1693"/>
      <c r="V528" s="1693"/>
      <c r="W528" s="1693"/>
      <c r="X528" s="1693"/>
      <c r="Y528" s="1693"/>
      <c r="Z528" s="1693"/>
      <c r="AA528" s="1693"/>
      <c r="AB528" s="1693"/>
      <c r="AC528" s="1693"/>
      <c r="AD528" s="1693"/>
      <c r="AJ528" s="778"/>
      <c r="AN528" s="497"/>
      <c r="AO528" s="497"/>
      <c r="AP528" s="497"/>
      <c r="AQ528" s="497"/>
    </row>
    <row r="529" spans="1:43" s="496" customFormat="1" ht="13.5" thickBot="1" x14ac:dyDescent="0.25">
      <c r="A529" s="498"/>
      <c r="B529" s="1694" t="str">
        <f>"INFORMACIÓN HISTÓRICA - ESCENARIO "&amp;H915</f>
        <v>INFORMACIÓN HISTÓRICA - ESCENARIO SENSIBILIZADO 2</v>
      </c>
      <c r="D529" s="495"/>
      <c r="I529" s="495"/>
      <c r="J529" s="495"/>
      <c r="K529" s="1177"/>
      <c r="M529" s="500"/>
      <c r="N529" s="1177"/>
      <c r="P529" s="500"/>
      <c r="Q529" s="1177"/>
      <c r="S529" s="500"/>
      <c r="T529" s="1695" t="str">
        <f>"PROYECCIÓN ESCENARIO "&amp;H915</f>
        <v>PROYECCIÓN ESCENARIO SENSIBILIZADO 2</v>
      </c>
      <c r="U529" s="1696"/>
      <c r="V529" s="1697"/>
      <c r="AJ529" s="778"/>
      <c r="AN529" s="497"/>
      <c r="AO529" s="497"/>
      <c r="AP529" s="497"/>
      <c r="AQ529" s="497"/>
    </row>
    <row r="530" spans="1:43" s="496" customFormat="1" ht="13.5" thickBot="1" x14ac:dyDescent="0.25">
      <c r="A530" s="498"/>
      <c r="B530" s="603"/>
      <c r="D530" s="495"/>
      <c r="I530" s="495"/>
      <c r="J530" s="495"/>
      <c r="K530" s="1177"/>
      <c r="M530" s="500"/>
      <c r="N530" s="1177"/>
      <c r="P530" s="500"/>
      <c r="Q530" s="1177"/>
      <c r="S530" s="500"/>
      <c r="AF530" s="1698"/>
      <c r="AJ530" s="778"/>
      <c r="AN530" s="497"/>
      <c r="AO530" s="497"/>
      <c r="AP530" s="497"/>
      <c r="AQ530" s="497"/>
    </row>
    <row r="531" spans="1:43" s="496" customFormat="1" ht="13.5" thickBot="1" x14ac:dyDescent="0.25">
      <c r="A531" s="498"/>
      <c r="B531" s="603"/>
      <c r="D531" s="495"/>
      <c r="I531" s="495"/>
      <c r="J531" s="495"/>
      <c r="K531" s="1177"/>
      <c r="M531" s="500"/>
      <c r="N531" s="1177"/>
      <c r="P531" s="500"/>
      <c r="Q531" s="1177"/>
      <c r="S531" s="500"/>
      <c r="T531" s="1699" t="s">
        <v>1044</v>
      </c>
      <c r="U531" s="1700" t="s">
        <v>1044</v>
      </c>
      <c r="V531" s="1700" t="s">
        <v>1044</v>
      </c>
      <c r="W531" s="1700" t="s">
        <v>1044</v>
      </c>
      <c r="X531" s="1700" t="s">
        <v>1044</v>
      </c>
      <c r="Y531" s="1700" t="s">
        <v>1044</v>
      </c>
      <c r="Z531" s="1700" t="s">
        <v>1044</v>
      </c>
      <c r="AA531" s="1700" t="s">
        <v>1044</v>
      </c>
      <c r="AB531" s="1700" t="s">
        <v>1044</v>
      </c>
      <c r="AC531" s="1700" t="s">
        <v>1044</v>
      </c>
      <c r="AD531" s="1701" t="s">
        <v>1044</v>
      </c>
      <c r="AE531" s="1701" t="s">
        <v>1044</v>
      </c>
      <c r="AF531" s="1701" t="s">
        <v>1044</v>
      </c>
      <c r="AG531" s="1701" t="s">
        <v>1044</v>
      </c>
      <c r="AH531" s="1701" t="s">
        <v>1044</v>
      </c>
      <c r="AI531" s="1701" t="s">
        <v>1044</v>
      </c>
      <c r="AJ531" s="778"/>
      <c r="AN531" s="497"/>
      <c r="AO531" s="497"/>
      <c r="AP531" s="497"/>
      <c r="AQ531" s="497"/>
    </row>
    <row r="532" spans="1:43" s="496" customFormat="1" ht="12.75" x14ac:dyDescent="0.2">
      <c r="A532" s="498"/>
      <c r="B532" s="1702" t="s">
        <v>1345</v>
      </c>
      <c r="C532" s="1703">
        <f>C15</f>
        <v>2018</v>
      </c>
      <c r="D532" s="1704"/>
      <c r="E532" s="1705">
        <f>E15</f>
        <v>2019</v>
      </c>
      <c r="F532" s="1704"/>
      <c r="G532" s="1704"/>
      <c r="H532" s="1705">
        <f>H15</f>
        <v>2020</v>
      </c>
      <c r="I532" s="1706"/>
      <c r="J532" s="1706"/>
      <c r="K532" s="1705">
        <f>K15</f>
        <v>2020</v>
      </c>
      <c r="L532" s="1704"/>
      <c r="M532" s="1707"/>
      <c r="N532" s="1705">
        <f>N15</f>
        <v>2021</v>
      </c>
      <c r="O532" s="1704"/>
      <c r="P532" s="1707"/>
      <c r="Q532" s="1705">
        <f>Q15</f>
        <v>2021</v>
      </c>
      <c r="R532" s="1704"/>
      <c r="S532" s="1708" t="s">
        <v>1377</v>
      </c>
      <c r="T532" s="1709">
        <f t="shared" ref="T532:AI532" si="443">T385</f>
        <v>2022</v>
      </c>
      <c r="U532" s="1709">
        <f t="shared" si="443"/>
        <v>2023</v>
      </c>
      <c r="V532" s="1709">
        <f t="shared" si="443"/>
        <v>2024</v>
      </c>
      <c r="W532" s="1709">
        <f t="shared" si="443"/>
        <v>2025</v>
      </c>
      <c r="X532" s="1709">
        <f t="shared" si="443"/>
        <v>2026</v>
      </c>
      <c r="Y532" s="1709">
        <f t="shared" si="443"/>
        <v>2027</v>
      </c>
      <c r="Z532" s="1709">
        <f t="shared" si="443"/>
        <v>2028</v>
      </c>
      <c r="AA532" s="1709">
        <f t="shared" si="443"/>
        <v>2029</v>
      </c>
      <c r="AB532" s="1709">
        <f t="shared" si="443"/>
        <v>2030</v>
      </c>
      <c r="AC532" s="1709">
        <f t="shared" si="443"/>
        <v>2031</v>
      </c>
      <c r="AD532" s="1710">
        <f t="shared" si="443"/>
        <v>2032</v>
      </c>
      <c r="AE532" s="1710">
        <f t="shared" si="443"/>
        <v>2033</v>
      </c>
      <c r="AF532" s="1710">
        <f t="shared" si="443"/>
        <v>2034</v>
      </c>
      <c r="AG532" s="1710">
        <f t="shared" si="443"/>
        <v>2035</v>
      </c>
      <c r="AH532" s="1710">
        <f t="shared" si="443"/>
        <v>2036</v>
      </c>
      <c r="AI532" s="1710">
        <f t="shared" si="443"/>
        <v>2037</v>
      </c>
      <c r="AJ532" s="778"/>
      <c r="AN532" s="497"/>
      <c r="AO532" s="497"/>
      <c r="AP532" s="497"/>
      <c r="AQ532" s="497"/>
    </row>
    <row r="533" spans="1:43" s="496" customFormat="1" ht="12.75" x14ac:dyDescent="0.2">
      <c r="A533" s="498"/>
      <c r="B533" s="1711" t="str">
        <f t="shared" ref="B533:C544" si="444">B439</f>
        <v>CRECIMIENTO EN VENTAS</v>
      </c>
      <c r="C533" s="1712" t="str">
        <f t="shared" si="444"/>
        <v>N/A</v>
      </c>
      <c r="E533" s="1713">
        <f t="shared" ref="E533:E544" si="445">E439</f>
        <v>0</v>
      </c>
      <c r="H533" s="1713">
        <f t="shared" ref="H533:H544" si="446">H439</f>
        <v>0</v>
      </c>
      <c r="I533" s="495"/>
      <c r="J533" s="495"/>
      <c r="K533" s="1713">
        <f t="shared" ref="K533:K544" si="447">K439</f>
        <v>1</v>
      </c>
      <c r="M533" s="500"/>
      <c r="N533" s="1713">
        <f t="shared" ref="N533:N544" si="448">N439</f>
        <v>0</v>
      </c>
      <c r="P533" s="500"/>
      <c r="Q533" s="1713">
        <f t="shared" ref="Q533:Q544" si="449">Q439</f>
        <v>1</v>
      </c>
      <c r="S533" s="1714"/>
      <c r="T533" s="1715">
        <f t="shared" ref="T533:AI533" si="450">T439+$S533</f>
        <v>0</v>
      </c>
      <c r="U533" s="1715">
        <f t="shared" si="450"/>
        <v>0</v>
      </c>
      <c r="V533" s="1715">
        <f t="shared" si="450"/>
        <v>0</v>
      </c>
      <c r="W533" s="1715">
        <f t="shared" si="450"/>
        <v>0</v>
      </c>
      <c r="X533" s="1715">
        <f t="shared" si="450"/>
        <v>0</v>
      </c>
      <c r="Y533" s="1715">
        <f t="shared" si="450"/>
        <v>0</v>
      </c>
      <c r="Z533" s="1715">
        <f t="shared" si="450"/>
        <v>0</v>
      </c>
      <c r="AA533" s="1715">
        <f t="shared" si="450"/>
        <v>0</v>
      </c>
      <c r="AB533" s="1715">
        <f t="shared" si="450"/>
        <v>0</v>
      </c>
      <c r="AC533" s="1715">
        <f t="shared" si="450"/>
        <v>0</v>
      </c>
      <c r="AD533" s="1716">
        <f t="shared" si="450"/>
        <v>0</v>
      </c>
      <c r="AE533" s="1716">
        <f t="shared" si="450"/>
        <v>0</v>
      </c>
      <c r="AF533" s="1716">
        <f t="shared" si="450"/>
        <v>0</v>
      </c>
      <c r="AG533" s="1716">
        <f t="shared" si="450"/>
        <v>0</v>
      </c>
      <c r="AH533" s="1716">
        <f t="shared" si="450"/>
        <v>0</v>
      </c>
      <c r="AI533" s="1716">
        <f t="shared" si="450"/>
        <v>0</v>
      </c>
      <c r="AJ533" s="778"/>
      <c r="AN533" s="497"/>
      <c r="AO533" s="497"/>
      <c r="AP533" s="497"/>
      <c r="AQ533" s="497"/>
    </row>
    <row r="534" spans="1:43" s="496" customFormat="1" ht="12.75" x14ac:dyDescent="0.2">
      <c r="A534" s="498"/>
      <c r="B534" s="1717" t="str">
        <f t="shared" si="444"/>
        <v>MARGEN BRUTO</v>
      </c>
      <c r="C534" s="1718">
        <f t="shared" si="444"/>
        <v>0</v>
      </c>
      <c r="E534" s="1719">
        <f t="shared" si="445"/>
        <v>0.86149584487534625</v>
      </c>
      <c r="H534" s="1719">
        <f t="shared" si="446"/>
        <v>0.86149584487534625</v>
      </c>
      <c r="I534" s="495"/>
      <c r="J534" s="495"/>
      <c r="K534" s="1719">
        <f t="shared" si="447"/>
        <v>0.86149584487534625</v>
      </c>
      <c r="M534" s="500"/>
      <c r="N534" s="1719">
        <f t="shared" si="448"/>
        <v>0.86149584487534625</v>
      </c>
      <c r="P534" s="500"/>
      <c r="Q534" s="1719">
        <f t="shared" si="449"/>
        <v>0.86149584487534625</v>
      </c>
      <c r="S534" s="1720"/>
      <c r="T534" s="1721">
        <f t="shared" ref="T534:AI534" si="451">T440+$S534</f>
        <v>0.86149584487534625</v>
      </c>
      <c r="U534" s="1721">
        <f t="shared" si="451"/>
        <v>0.86149584487534625</v>
      </c>
      <c r="V534" s="1721">
        <f t="shared" si="451"/>
        <v>0.86149584487534625</v>
      </c>
      <c r="W534" s="1721">
        <f t="shared" si="451"/>
        <v>0.86149584487534625</v>
      </c>
      <c r="X534" s="1721">
        <f t="shared" si="451"/>
        <v>0.86149584487534625</v>
      </c>
      <c r="Y534" s="1721">
        <f t="shared" si="451"/>
        <v>0.86149584487534625</v>
      </c>
      <c r="Z534" s="1721">
        <f t="shared" si="451"/>
        <v>0.86149584487534625</v>
      </c>
      <c r="AA534" s="1721">
        <f t="shared" si="451"/>
        <v>0.86149584487534625</v>
      </c>
      <c r="AB534" s="1721">
        <f t="shared" si="451"/>
        <v>0.86149584487534625</v>
      </c>
      <c r="AC534" s="1721">
        <f t="shared" si="451"/>
        <v>0.86149584487534625</v>
      </c>
      <c r="AD534" s="1722">
        <f t="shared" si="451"/>
        <v>0.86149584487534625</v>
      </c>
      <c r="AE534" s="1722">
        <f t="shared" si="451"/>
        <v>0.86149584487534625</v>
      </c>
      <c r="AF534" s="1722">
        <f t="shared" si="451"/>
        <v>0.86149584487534625</v>
      </c>
      <c r="AG534" s="1722">
        <f t="shared" si="451"/>
        <v>0.86149584487534625</v>
      </c>
      <c r="AH534" s="1722">
        <f t="shared" si="451"/>
        <v>0.86149584487534625</v>
      </c>
      <c r="AI534" s="1722">
        <f t="shared" si="451"/>
        <v>0.86149584487534625</v>
      </c>
      <c r="AJ534" s="778"/>
      <c r="AN534" s="497"/>
      <c r="AO534" s="497"/>
      <c r="AP534" s="497"/>
      <c r="AQ534" s="497"/>
    </row>
    <row r="535" spans="1:43" s="496" customFormat="1" ht="12.75" x14ac:dyDescent="0.2">
      <c r="A535" s="498"/>
      <c r="B535" s="1717" t="str">
        <f t="shared" si="444"/>
        <v>GASTOS DE ADMINISTRACIÓN Y VENTAS / VENTAS</v>
      </c>
      <c r="C535" s="1718">
        <f t="shared" si="444"/>
        <v>0</v>
      </c>
      <c r="E535" s="1719">
        <f t="shared" si="445"/>
        <v>8.3102493074792241E-2</v>
      </c>
      <c r="H535" s="1719">
        <f t="shared" si="446"/>
        <v>8.3102493074792241E-2</v>
      </c>
      <c r="I535" s="495"/>
      <c r="J535" s="495"/>
      <c r="K535" s="1719">
        <f t="shared" si="447"/>
        <v>8.3102493074792241E-2</v>
      </c>
      <c r="M535" s="500"/>
      <c r="N535" s="1719">
        <f t="shared" si="448"/>
        <v>8.3102493074792241E-2</v>
      </c>
      <c r="P535" s="500"/>
      <c r="Q535" s="1719">
        <f t="shared" si="449"/>
        <v>8.3102493074792241E-2</v>
      </c>
      <c r="S535" s="1720"/>
      <c r="T535" s="1721">
        <f t="shared" ref="T535:AI535" si="452">T441+$S535</f>
        <v>8.3102493074792241E-2</v>
      </c>
      <c r="U535" s="1721">
        <f t="shared" si="452"/>
        <v>8.3102493074792241E-2</v>
      </c>
      <c r="V535" s="1721">
        <f t="shared" si="452"/>
        <v>8.3102493074792241E-2</v>
      </c>
      <c r="W535" s="1721">
        <f t="shared" si="452"/>
        <v>8.3102493074792241E-2</v>
      </c>
      <c r="X535" s="1721">
        <f t="shared" si="452"/>
        <v>8.3102493074792241E-2</v>
      </c>
      <c r="Y535" s="1721">
        <f t="shared" si="452"/>
        <v>8.3102493074792241E-2</v>
      </c>
      <c r="Z535" s="1721">
        <f t="shared" si="452"/>
        <v>8.3102493074792241E-2</v>
      </c>
      <c r="AA535" s="1721">
        <f t="shared" si="452"/>
        <v>8.3102493074792241E-2</v>
      </c>
      <c r="AB535" s="1721">
        <f t="shared" si="452"/>
        <v>8.3102493074792241E-2</v>
      </c>
      <c r="AC535" s="1721">
        <f t="shared" si="452"/>
        <v>8.3102493074792241E-2</v>
      </c>
      <c r="AD535" s="1722">
        <f t="shared" si="452"/>
        <v>8.3102493074792241E-2</v>
      </c>
      <c r="AE535" s="1722">
        <f t="shared" si="452"/>
        <v>8.3102493074792241E-2</v>
      </c>
      <c r="AF535" s="1722">
        <f t="shared" si="452"/>
        <v>8.3102493074792241E-2</v>
      </c>
      <c r="AG535" s="1722">
        <f t="shared" si="452"/>
        <v>8.3102493074792241E-2</v>
      </c>
      <c r="AH535" s="1722">
        <f t="shared" si="452"/>
        <v>8.3102493074792241E-2</v>
      </c>
      <c r="AI535" s="1722">
        <f t="shared" si="452"/>
        <v>8.3102493074792241E-2</v>
      </c>
      <c r="AJ535" s="778"/>
      <c r="AN535" s="497"/>
      <c r="AO535" s="497"/>
      <c r="AP535" s="497"/>
      <c r="AQ535" s="497"/>
    </row>
    <row r="536" spans="1:43" s="496" customFormat="1" ht="12.75" x14ac:dyDescent="0.2">
      <c r="A536" s="498"/>
      <c r="B536" s="1717" t="str">
        <f t="shared" si="444"/>
        <v>TASA DE INTERÉS OBLIGACIONES FINANCIERAS CORRIENTES</v>
      </c>
      <c r="C536" s="1718">
        <f t="shared" si="444"/>
        <v>0</v>
      </c>
      <c r="E536" s="1719">
        <f t="shared" si="445"/>
        <v>0.04</v>
      </c>
      <c r="H536" s="1719">
        <f t="shared" si="446"/>
        <v>0.04</v>
      </c>
      <c r="I536" s="495"/>
      <c r="J536" s="495"/>
      <c r="K536" s="1719">
        <f t="shared" si="447"/>
        <v>0.04</v>
      </c>
      <c r="M536" s="500"/>
      <c r="N536" s="1719">
        <f t="shared" si="448"/>
        <v>0.04</v>
      </c>
      <c r="P536" s="500"/>
      <c r="Q536" s="1719">
        <f t="shared" si="449"/>
        <v>0.04</v>
      </c>
      <c r="S536" s="1723"/>
      <c r="T536" s="1724">
        <f t="shared" ref="T536:AI536" si="453">T442+$S536</f>
        <v>4.0000000000000008E-2</v>
      </c>
      <c r="U536" s="1724">
        <f t="shared" si="453"/>
        <v>4.0000000000000008E-2</v>
      </c>
      <c r="V536" s="1724">
        <f t="shared" si="453"/>
        <v>4.0000000000000008E-2</v>
      </c>
      <c r="W536" s="1724">
        <f t="shared" si="453"/>
        <v>4.0000000000000008E-2</v>
      </c>
      <c r="X536" s="1724">
        <f t="shared" si="453"/>
        <v>4.0000000000000008E-2</v>
      </c>
      <c r="Y536" s="1724">
        <f t="shared" si="453"/>
        <v>4.0000000000000008E-2</v>
      </c>
      <c r="Z536" s="1724">
        <f t="shared" si="453"/>
        <v>4.0000000000000008E-2</v>
      </c>
      <c r="AA536" s="1724">
        <f t="shared" si="453"/>
        <v>4.0000000000000008E-2</v>
      </c>
      <c r="AB536" s="1724">
        <f t="shared" si="453"/>
        <v>4.0000000000000008E-2</v>
      </c>
      <c r="AC536" s="1724">
        <f t="shared" si="453"/>
        <v>4.0000000000000008E-2</v>
      </c>
      <c r="AD536" s="1725">
        <f t="shared" si="453"/>
        <v>4.0000000000000008E-2</v>
      </c>
      <c r="AE536" s="1725">
        <f t="shared" si="453"/>
        <v>4.0000000000000008E-2</v>
      </c>
      <c r="AF536" s="1725">
        <f t="shared" si="453"/>
        <v>4.0000000000000008E-2</v>
      </c>
      <c r="AG536" s="1725">
        <f t="shared" si="453"/>
        <v>4.0000000000000008E-2</v>
      </c>
      <c r="AH536" s="1725">
        <f t="shared" si="453"/>
        <v>4.0000000000000008E-2</v>
      </c>
      <c r="AI536" s="1725">
        <f t="shared" si="453"/>
        <v>4.0000000000000008E-2</v>
      </c>
      <c r="AJ536" s="778"/>
      <c r="AN536" s="497"/>
      <c r="AO536" s="497"/>
      <c r="AP536" s="497"/>
      <c r="AQ536" s="497"/>
    </row>
    <row r="537" spans="1:43" s="496" customFormat="1" ht="12.75" x14ac:dyDescent="0.2">
      <c r="A537" s="498"/>
      <c r="B537" s="1717" t="str">
        <f t="shared" si="444"/>
        <v>CÁLCULO INTERESES OBLIGACIONES FINANCIERAS CORRIENTES</v>
      </c>
      <c r="C537" s="1726">
        <f t="shared" si="444"/>
        <v>0</v>
      </c>
      <c r="E537" s="1727">
        <f t="shared" si="445"/>
        <v>2</v>
      </c>
      <c r="H537" s="1727">
        <f t="shared" si="446"/>
        <v>2</v>
      </c>
      <c r="I537" s="495"/>
      <c r="J537" s="495"/>
      <c r="K537" s="1727">
        <f t="shared" si="447"/>
        <v>2</v>
      </c>
      <c r="M537" s="500"/>
      <c r="N537" s="1727">
        <f t="shared" si="448"/>
        <v>2</v>
      </c>
      <c r="P537" s="500"/>
      <c r="Q537" s="1727">
        <f t="shared" si="449"/>
        <v>2</v>
      </c>
      <c r="S537" s="1728"/>
      <c r="T537" s="1729">
        <f>N36*T536</f>
        <v>0.40000000000000008</v>
      </c>
      <c r="U537" s="1729">
        <f t="shared" ref="U537:AI537" si="454">T36*U536</f>
        <v>0</v>
      </c>
      <c r="V537" s="1729">
        <f t="shared" si="454"/>
        <v>0</v>
      </c>
      <c r="W537" s="1729">
        <f t="shared" si="454"/>
        <v>0</v>
      </c>
      <c r="X537" s="1729">
        <f t="shared" si="454"/>
        <v>0</v>
      </c>
      <c r="Y537" s="1729">
        <f t="shared" si="454"/>
        <v>0</v>
      </c>
      <c r="Z537" s="1729">
        <f t="shared" si="454"/>
        <v>0</v>
      </c>
      <c r="AA537" s="1729">
        <f t="shared" si="454"/>
        <v>0</v>
      </c>
      <c r="AB537" s="1729">
        <f t="shared" si="454"/>
        <v>0</v>
      </c>
      <c r="AC537" s="1729">
        <f t="shared" si="454"/>
        <v>0</v>
      </c>
      <c r="AD537" s="1730">
        <f t="shared" si="454"/>
        <v>0</v>
      </c>
      <c r="AE537" s="1730">
        <f t="shared" si="454"/>
        <v>0</v>
      </c>
      <c r="AF537" s="1730">
        <f t="shared" si="454"/>
        <v>0</v>
      </c>
      <c r="AG537" s="1730">
        <f t="shared" si="454"/>
        <v>0</v>
      </c>
      <c r="AH537" s="1730">
        <f t="shared" si="454"/>
        <v>0</v>
      </c>
      <c r="AI537" s="1730">
        <f t="shared" si="454"/>
        <v>0</v>
      </c>
      <c r="AJ537" s="778"/>
      <c r="AN537" s="497"/>
      <c r="AO537" s="497"/>
      <c r="AP537" s="497"/>
      <c r="AQ537" s="497"/>
    </row>
    <row r="538" spans="1:43" s="496" customFormat="1" ht="12.75" x14ac:dyDescent="0.2">
      <c r="A538" s="498"/>
      <c r="B538" s="1717" t="str">
        <f t="shared" si="444"/>
        <v>INGRESOS FINANCIEROS / VENTAS</v>
      </c>
      <c r="C538" s="1718">
        <f t="shared" si="444"/>
        <v>0</v>
      </c>
      <c r="E538" s="1719">
        <f t="shared" si="445"/>
        <v>5.5401662049861496E-3</v>
      </c>
      <c r="H538" s="1719">
        <f t="shared" si="446"/>
        <v>5.5401662049861496E-3</v>
      </c>
      <c r="I538" s="495"/>
      <c r="J538" s="495"/>
      <c r="K538" s="1719">
        <f t="shared" si="447"/>
        <v>5.5401662049861496E-3</v>
      </c>
      <c r="M538" s="500"/>
      <c r="N538" s="1719">
        <f t="shared" si="448"/>
        <v>5.5401662049861496E-3</v>
      </c>
      <c r="P538" s="500"/>
      <c r="Q538" s="1719">
        <f t="shared" si="449"/>
        <v>5.5401662049861496E-3</v>
      </c>
      <c r="S538" s="1731"/>
      <c r="T538" s="1732">
        <f t="shared" ref="T538:AI538" si="455">T444+$S538</f>
        <v>5.5401662049861496E-3</v>
      </c>
      <c r="U538" s="1732">
        <f t="shared" si="455"/>
        <v>5.5401662049861496E-3</v>
      </c>
      <c r="V538" s="1732">
        <f t="shared" si="455"/>
        <v>5.5401662049861496E-3</v>
      </c>
      <c r="W538" s="1732">
        <f t="shared" si="455"/>
        <v>5.5401662049861496E-3</v>
      </c>
      <c r="X538" s="1732">
        <f t="shared" si="455"/>
        <v>5.5401662049861496E-3</v>
      </c>
      <c r="Y538" s="1732">
        <f t="shared" si="455"/>
        <v>5.5401662049861496E-3</v>
      </c>
      <c r="Z538" s="1732">
        <f t="shared" si="455"/>
        <v>5.5401662049861496E-3</v>
      </c>
      <c r="AA538" s="1732">
        <f t="shared" si="455"/>
        <v>5.5401662049861496E-3</v>
      </c>
      <c r="AB538" s="1732">
        <f t="shared" si="455"/>
        <v>5.5401662049861496E-3</v>
      </c>
      <c r="AC538" s="1732">
        <f t="shared" si="455"/>
        <v>5.5401662049861496E-3</v>
      </c>
      <c r="AD538" s="1733">
        <f t="shared" si="455"/>
        <v>5.5401662049861496E-3</v>
      </c>
      <c r="AE538" s="1733">
        <f t="shared" si="455"/>
        <v>5.5401662049861496E-3</v>
      </c>
      <c r="AF538" s="1733">
        <f t="shared" si="455"/>
        <v>5.5401662049861496E-3</v>
      </c>
      <c r="AG538" s="1733">
        <f t="shared" si="455"/>
        <v>5.5401662049861496E-3</v>
      </c>
      <c r="AH538" s="1733">
        <f t="shared" si="455"/>
        <v>5.5401662049861496E-3</v>
      </c>
      <c r="AI538" s="1733">
        <f t="shared" si="455"/>
        <v>5.5401662049861496E-3</v>
      </c>
      <c r="AJ538" s="778"/>
      <c r="AN538" s="497"/>
      <c r="AO538" s="497"/>
      <c r="AP538" s="497"/>
      <c r="AQ538" s="497"/>
    </row>
    <row r="539" spans="1:43" s="496" customFormat="1" ht="12.75" x14ac:dyDescent="0.2">
      <c r="A539" s="498"/>
      <c r="B539" s="1717" t="str">
        <f t="shared" si="444"/>
        <v>UTILIDAD (PÉRDIDA) EN VENTA DE ACTIVOS FIJOS / VENTAS</v>
      </c>
      <c r="C539" s="1718">
        <f t="shared" si="444"/>
        <v>0</v>
      </c>
      <c r="E539" s="1719">
        <f t="shared" si="445"/>
        <v>0</v>
      </c>
      <c r="H539" s="1719">
        <f t="shared" si="446"/>
        <v>0</v>
      </c>
      <c r="I539" s="495"/>
      <c r="J539" s="495"/>
      <c r="K539" s="1719">
        <f t="shared" si="447"/>
        <v>0</v>
      </c>
      <c r="M539" s="500"/>
      <c r="N539" s="1719">
        <f t="shared" si="448"/>
        <v>0</v>
      </c>
      <c r="P539" s="500"/>
      <c r="Q539" s="1719">
        <f t="shared" si="449"/>
        <v>0</v>
      </c>
      <c r="S539" s="1720"/>
      <c r="T539" s="1721">
        <f t="shared" ref="T539:AI539" si="456">T445+$S539</f>
        <v>0</v>
      </c>
      <c r="U539" s="1721">
        <f t="shared" si="456"/>
        <v>0</v>
      </c>
      <c r="V539" s="1721">
        <f t="shared" si="456"/>
        <v>0</v>
      </c>
      <c r="W539" s="1721">
        <f t="shared" si="456"/>
        <v>0</v>
      </c>
      <c r="X539" s="1721">
        <f t="shared" si="456"/>
        <v>0</v>
      </c>
      <c r="Y539" s="1721">
        <f t="shared" si="456"/>
        <v>0</v>
      </c>
      <c r="Z539" s="1721">
        <f t="shared" si="456"/>
        <v>0</v>
      </c>
      <c r="AA539" s="1721">
        <f t="shared" si="456"/>
        <v>0</v>
      </c>
      <c r="AB539" s="1721">
        <f t="shared" si="456"/>
        <v>0</v>
      </c>
      <c r="AC539" s="1721">
        <f t="shared" si="456"/>
        <v>0</v>
      </c>
      <c r="AD539" s="1722">
        <f t="shared" si="456"/>
        <v>0</v>
      </c>
      <c r="AE539" s="1722">
        <f t="shared" si="456"/>
        <v>0</v>
      </c>
      <c r="AF539" s="1722">
        <f t="shared" si="456"/>
        <v>0</v>
      </c>
      <c r="AG539" s="1722">
        <f t="shared" si="456"/>
        <v>0</v>
      </c>
      <c r="AH539" s="1722">
        <f t="shared" si="456"/>
        <v>0</v>
      </c>
      <c r="AI539" s="1722">
        <f t="shared" si="456"/>
        <v>0</v>
      </c>
      <c r="AJ539" s="778"/>
      <c r="AN539" s="497"/>
      <c r="AO539" s="497"/>
      <c r="AP539" s="497"/>
      <c r="AQ539" s="497"/>
    </row>
    <row r="540" spans="1:43" s="496" customFormat="1" ht="12.75" x14ac:dyDescent="0.2">
      <c r="A540" s="498"/>
      <c r="B540" s="1717" t="str">
        <f t="shared" si="444"/>
        <v>UTILIDAD (PÉRDIDA) EN VENTA DE INVERSIONES / VENTAS</v>
      </c>
      <c r="C540" s="1718">
        <f t="shared" si="444"/>
        <v>0</v>
      </c>
      <c r="E540" s="1719">
        <f t="shared" si="445"/>
        <v>0</v>
      </c>
      <c r="H540" s="1719">
        <f t="shared" si="446"/>
        <v>0</v>
      </c>
      <c r="I540" s="495"/>
      <c r="J540" s="495"/>
      <c r="K540" s="1719">
        <f t="shared" si="447"/>
        <v>0</v>
      </c>
      <c r="M540" s="500"/>
      <c r="N540" s="1719">
        <f t="shared" si="448"/>
        <v>0</v>
      </c>
      <c r="P540" s="500"/>
      <c r="Q540" s="1719">
        <f t="shared" si="449"/>
        <v>0</v>
      </c>
      <c r="S540" s="1720"/>
      <c r="T540" s="1721">
        <f t="shared" ref="T540:AI540" si="457">T446+$S540</f>
        <v>0</v>
      </c>
      <c r="U540" s="1721">
        <f t="shared" si="457"/>
        <v>0</v>
      </c>
      <c r="V540" s="1721">
        <f t="shared" si="457"/>
        <v>0</v>
      </c>
      <c r="W540" s="1721">
        <f t="shared" si="457"/>
        <v>0</v>
      </c>
      <c r="X540" s="1721">
        <f t="shared" si="457"/>
        <v>0</v>
      </c>
      <c r="Y540" s="1721">
        <f t="shared" si="457"/>
        <v>0</v>
      </c>
      <c r="Z540" s="1721">
        <f t="shared" si="457"/>
        <v>0</v>
      </c>
      <c r="AA540" s="1721">
        <f t="shared" si="457"/>
        <v>0</v>
      </c>
      <c r="AB540" s="1721">
        <f t="shared" si="457"/>
        <v>0</v>
      </c>
      <c r="AC540" s="1721">
        <f t="shared" si="457"/>
        <v>0</v>
      </c>
      <c r="AD540" s="1722">
        <f t="shared" si="457"/>
        <v>0</v>
      </c>
      <c r="AE540" s="1722">
        <f t="shared" si="457"/>
        <v>0</v>
      </c>
      <c r="AF540" s="1722">
        <f t="shared" si="457"/>
        <v>0</v>
      </c>
      <c r="AG540" s="1722">
        <f t="shared" si="457"/>
        <v>0</v>
      </c>
      <c r="AH540" s="1722">
        <f t="shared" si="457"/>
        <v>0</v>
      </c>
      <c r="AI540" s="1722">
        <f t="shared" si="457"/>
        <v>0</v>
      </c>
      <c r="AJ540" s="778"/>
      <c r="AN540" s="497"/>
      <c r="AO540" s="497"/>
      <c r="AP540" s="497"/>
      <c r="AQ540" s="497"/>
    </row>
    <row r="541" spans="1:43" s="496" customFormat="1" ht="12.75" x14ac:dyDescent="0.2">
      <c r="A541" s="498"/>
      <c r="B541" s="1717" t="str">
        <f t="shared" si="444"/>
        <v>INGRESOS (EGRESOS) POR MÉTODO DE PARTICIPACIÓN / VENTAS</v>
      </c>
      <c r="C541" s="1718">
        <f t="shared" si="444"/>
        <v>0</v>
      </c>
      <c r="E541" s="1719">
        <f t="shared" si="445"/>
        <v>0</v>
      </c>
      <c r="H541" s="1719">
        <f t="shared" si="446"/>
        <v>0</v>
      </c>
      <c r="I541" s="495"/>
      <c r="J541" s="495"/>
      <c r="K541" s="1719">
        <f t="shared" si="447"/>
        <v>0</v>
      </c>
      <c r="M541" s="500"/>
      <c r="N541" s="1719">
        <f t="shared" si="448"/>
        <v>0</v>
      </c>
      <c r="P541" s="500"/>
      <c r="Q541" s="1719">
        <f t="shared" si="449"/>
        <v>0</v>
      </c>
      <c r="S541" s="1720"/>
      <c r="T541" s="1721">
        <f t="shared" ref="T541:AI541" si="458">T447+$S541</f>
        <v>0</v>
      </c>
      <c r="U541" s="1721">
        <f t="shared" si="458"/>
        <v>0</v>
      </c>
      <c r="V541" s="1721">
        <f t="shared" si="458"/>
        <v>0</v>
      </c>
      <c r="W541" s="1721">
        <f t="shared" si="458"/>
        <v>0</v>
      </c>
      <c r="X541" s="1721">
        <f t="shared" si="458"/>
        <v>0</v>
      </c>
      <c r="Y541" s="1721">
        <f t="shared" si="458"/>
        <v>0</v>
      </c>
      <c r="Z541" s="1721">
        <f t="shared" si="458"/>
        <v>0</v>
      </c>
      <c r="AA541" s="1721">
        <f t="shared" si="458"/>
        <v>0</v>
      </c>
      <c r="AB541" s="1721">
        <f t="shared" si="458"/>
        <v>0</v>
      </c>
      <c r="AC541" s="1721">
        <f t="shared" si="458"/>
        <v>0</v>
      </c>
      <c r="AD541" s="1722">
        <f t="shared" si="458"/>
        <v>0</v>
      </c>
      <c r="AE541" s="1722">
        <f t="shared" si="458"/>
        <v>0</v>
      </c>
      <c r="AF541" s="1722">
        <f t="shared" si="458"/>
        <v>0</v>
      </c>
      <c r="AG541" s="1722">
        <f t="shared" si="458"/>
        <v>0</v>
      </c>
      <c r="AH541" s="1722">
        <f t="shared" si="458"/>
        <v>0</v>
      </c>
      <c r="AI541" s="1722">
        <f t="shared" si="458"/>
        <v>0</v>
      </c>
      <c r="AJ541" s="778"/>
      <c r="AN541" s="497"/>
      <c r="AO541" s="497"/>
      <c r="AP541" s="497"/>
      <c r="AQ541" s="497"/>
    </row>
    <row r="542" spans="1:43" s="496" customFormat="1" ht="12.75" x14ac:dyDescent="0.2">
      <c r="A542" s="498"/>
      <c r="B542" s="1717" t="str">
        <f t="shared" si="444"/>
        <v>OTROS INGRESOS / VENTAS</v>
      </c>
      <c r="C542" s="1718">
        <f t="shared" si="444"/>
        <v>0</v>
      </c>
      <c r="D542" s="1006"/>
      <c r="E542" s="1719">
        <f t="shared" si="445"/>
        <v>1.662049861495845E-2</v>
      </c>
      <c r="F542" s="1006"/>
      <c r="G542" s="1006"/>
      <c r="H542" s="1719">
        <f t="shared" si="446"/>
        <v>1.662049861495845E-2</v>
      </c>
      <c r="I542" s="1006"/>
      <c r="J542" s="1006"/>
      <c r="K542" s="1719">
        <f t="shared" si="447"/>
        <v>1.662049861495845E-2</v>
      </c>
      <c r="M542" s="500"/>
      <c r="N542" s="1719">
        <f t="shared" si="448"/>
        <v>1.662049861495845E-2</v>
      </c>
      <c r="P542" s="500"/>
      <c r="Q542" s="1719">
        <f t="shared" si="449"/>
        <v>1.662049861495845E-2</v>
      </c>
      <c r="S542" s="1720"/>
      <c r="T542" s="1721">
        <f t="shared" ref="T542:AI542" si="459">T448+$S542</f>
        <v>1.662049861495845E-2</v>
      </c>
      <c r="U542" s="1721">
        <f t="shared" si="459"/>
        <v>1.662049861495845E-2</v>
      </c>
      <c r="V542" s="1721">
        <f t="shared" si="459"/>
        <v>1.662049861495845E-2</v>
      </c>
      <c r="W542" s="1721">
        <f t="shared" si="459"/>
        <v>1.662049861495845E-2</v>
      </c>
      <c r="X542" s="1721">
        <f t="shared" si="459"/>
        <v>1.662049861495845E-2</v>
      </c>
      <c r="Y542" s="1721">
        <f t="shared" si="459"/>
        <v>1.662049861495845E-2</v>
      </c>
      <c r="Z542" s="1721">
        <f t="shared" si="459"/>
        <v>1.662049861495845E-2</v>
      </c>
      <c r="AA542" s="1721">
        <f t="shared" si="459"/>
        <v>1.662049861495845E-2</v>
      </c>
      <c r="AB542" s="1721">
        <f t="shared" si="459"/>
        <v>1.662049861495845E-2</v>
      </c>
      <c r="AC542" s="1721">
        <f t="shared" si="459"/>
        <v>1.662049861495845E-2</v>
      </c>
      <c r="AD542" s="1722">
        <f t="shared" si="459"/>
        <v>1.662049861495845E-2</v>
      </c>
      <c r="AE542" s="1722">
        <f t="shared" si="459"/>
        <v>1.662049861495845E-2</v>
      </c>
      <c r="AF542" s="1722">
        <f t="shared" si="459"/>
        <v>1.662049861495845E-2</v>
      </c>
      <c r="AG542" s="1722">
        <f t="shared" si="459"/>
        <v>1.662049861495845E-2</v>
      </c>
      <c r="AH542" s="1722">
        <f t="shared" si="459"/>
        <v>1.662049861495845E-2</v>
      </c>
      <c r="AI542" s="1722">
        <f t="shared" si="459"/>
        <v>1.662049861495845E-2</v>
      </c>
      <c r="AJ542" s="778"/>
      <c r="AN542" s="497"/>
      <c r="AO542" s="497"/>
      <c r="AP542" s="497"/>
      <c r="AQ542" s="497"/>
    </row>
    <row r="543" spans="1:43" s="496" customFormat="1" ht="12.75" x14ac:dyDescent="0.2">
      <c r="A543" s="498"/>
      <c r="B543" s="1717" t="str">
        <f t="shared" si="444"/>
        <v>OTROS EGRESOS / VENTAS</v>
      </c>
      <c r="C543" s="1718">
        <f t="shared" si="444"/>
        <v>0</v>
      </c>
      <c r="D543" s="1006"/>
      <c r="E543" s="1719">
        <f t="shared" si="445"/>
        <v>1.9390581717451522E-2</v>
      </c>
      <c r="F543" s="1006"/>
      <c r="G543" s="1006"/>
      <c r="H543" s="1719">
        <f t="shared" si="446"/>
        <v>1.9390581717451522E-2</v>
      </c>
      <c r="I543" s="1006"/>
      <c r="J543" s="1006"/>
      <c r="K543" s="1719">
        <f t="shared" si="447"/>
        <v>1.9390581717451522E-2</v>
      </c>
      <c r="M543" s="500"/>
      <c r="N543" s="1719">
        <f t="shared" si="448"/>
        <v>1.9390581717451522E-2</v>
      </c>
      <c r="P543" s="500"/>
      <c r="Q543" s="1719">
        <f t="shared" si="449"/>
        <v>1.9390581717451522E-2</v>
      </c>
      <c r="S543" s="1720"/>
      <c r="T543" s="1721">
        <f t="shared" ref="T543:AI543" si="460">T449+$S543</f>
        <v>1.9390581717451526E-2</v>
      </c>
      <c r="U543" s="1721">
        <f t="shared" si="460"/>
        <v>1.9390581717451526E-2</v>
      </c>
      <c r="V543" s="1721">
        <f t="shared" si="460"/>
        <v>1.9390581717451526E-2</v>
      </c>
      <c r="W543" s="1721">
        <f t="shared" si="460"/>
        <v>1.9390581717451526E-2</v>
      </c>
      <c r="X543" s="1721">
        <f t="shared" si="460"/>
        <v>1.9390581717451526E-2</v>
      </c>
      <c r="Y543" s="1721">
        <f t="shared" si="460"/>
        <v>1.9390581717451526E-2</v>
      </c>
      <c r="Z543" s="1721">
        <f t="shared" si="460"/>
        <v>1.9390581717451526E-2</v>
      </c>
      <c r="AA543" s="1721">
        <f t="shared" si="460"/>
        <v>1.9390581717451526E-2</v>
      </c>
      <c r="AB543" s="1721">
        <f t="shared" si="460"/>
        <v>1.9390581717451526E-2</v>
      </c>
      <c r="AC543" s="1721">
        <f t="shared" si="460"/>
        <v>1.9390581717451526E-2</v>
      </c>
      <c r="AD543" s="1722">
        <f t="shared" si="460"/>
        <v>1.9390581717451526E-2</v>
      </c>
      <c r="AE543" s="1722">
        <f t="shared" si="460"/>
        <v>1.9390581717451526E-2</v>
      </c>
      <c r="AF543" s="1722">
        <f t="shared" si="460"/>
        <v>1.9390581717451526E-2</v>
      </c>
      <c r="AG543" s="1722">
        <f t="shared" si="460"/>
        <v>1.9390581717451526E-2</v>
      </c>
      <c r="AH543" s="1722">
        <f t="shared" si="460"/>
        <v>1.9390581717451526E-2</v>
      </c>
      <c r="AI543" s="1722">
        <f t="shared" si="460"/>
        <v>1.9390581717451526E-2</v>
      </c>
      <c r="AJ543" s="778"/>
      <c r="AN543" s="497"/>
      <c r="AO543" s="497"/>
      <c r="AP543" s="497"/>
      <c r="AQ543" s="497"/>
    </row>
    <row r="544" spans="1:43" s="496" customFormat="1" ht="12.75" x14ac:dyDescent="0.2">
      <c r="A544" s="498"/>
      <c r="B544" s="1734" t="str">
        <f t="shared" si="444"/>
        <v>IMPUESTOS / UTILIDAD NETA</v>
      </c>
      <c r="C544" s="1735">
        <f t="shared" si="444"/>
        <v>0</v>
      </c>
      <c r="D544" s="1006"/>
      <c r="E544" s="1736">
        <f t="shared" si="445"/>
        <v>0</v>
      </c>
      <c r="F544" s="1006"/>
      <c r="G544" s="1006"/>
      <c r="H544" s="1736">
        <f t="shared" si="446"/>
        <v>0</v>
      </c>
      <c r="I544" s="1006"/>
      <c r="J544" s="1006"/>
      <c r="K544" s="1736">
        <f t="shared" si="447"/>
        <v>0</v>
      </c>
      <c r="M544" s="500"/>
      <c r="N544" s="1736">
        <f t="shared" si="448"/>
        <v>0</v>
      </c>
      <c r="P544" s="500"/>
      <c r="Q544" s="1736">
        <f t="shared" si="449"/>
        <v>0</v>
      </c>
      <c r="S544" s="1737"/>
      <c r="T544" s="1738">
        <f t="shared" ref="T544:AI544" si="461">T450+$S544</f>
        <v>0</v>
      </c>
      <c r="U544" s="1738">
        <f t="shared" si="461"/>
        <v>0</v>
      </c>
      <c r="V544" s="1738">
        <f t="shared" si="461"/>
        <v>0</v>
      </c>
      <c r="W544" s="1738">
        <f t="shared" si="461"/>
        <v>0</v>
      </c>
      <c r="X544" s="1738">
        <f t="shared" si="461"/>
        <v>0</v>
      </c>
      <c r="Y544" s="1738">
        <f t="shared" si="461"/>
        <v>0</v>
      </c>
      <c r="Z544" s="1738">
        <f t="shared" si="461"/>
        <v>0</v>
      </c>
      <c r="AA544" s="1738">
        <f t="shared" si="461"/>
        <v>0</v>
      </c>
      <c r="AB544" s="1738">
        <f t="shared" si="461"/>
        <v>0</v>
      </c>
      <c r="AC544" s="1738">
        <f t="shared" si="461"/>
        <v>0</v>
      </c>
      <c r="AD544" s="1739">
        <f t="shared" si="461"/>
        <v>0</v>
      </c>
      <c r="AE544" s="1739">
        <f t="shared" si="461"/>
        <v>0</v>
      </c>
      <c r="AF544" s="1739">
        <f t="shared" si="461"/>
        <v>0</v>
      </c>
      <c r="AG544" s="1739">
        <f t="shared" si="461"/>
        <v>0</v>
      </c>
      <c r="AH544" s="1739">
        <f t="shared" si="461"/>
        <v>0</v>
      </c>
      <c r="AI544" s="1739">
        <f t="shared" si="461"/>
        <v>0</v>
      </c>
      <c r="AJ544" s="778"/>
      <c r="AN544" s="497"/>
      <c r="AO544" s="497"/>
      <c r="AP544" s="497"/>
      <c r="AQ544" s="497"/>
    </row>
    <row r="545" spans="1:43" s="496" customFormat="1" ht="12.75" x14ac:dyDescent="0.2">
      <c r="A545" s="498"/>
      <c r="B545" s="1740"/>
      <c r="C545" s="1366"/>
      <c r="D545" s="1376"/>
      <c r="E545" s="1366"/>
      <c r="F545" s="1376"/>
      <c r="G545" s="1376"/>
      <c r="H545" s="1366"/>
      <c r="I545" s="1376"/>
      <c r="J545" s="1376"/>
      <c r="K545" s="1366"/>
      <c r="M545" s="500"/>
      <c r="N545" s="1366"/>
      <c r="P545" s="500"/>
      <c r="Q545" s="1366"/>
      <c r="S545" s="500"/>
      <c r="T545" s="1365"/>
      <c r="U545" s="1365"/>
      <c r="V545" s="1365"/>
      <c r="W545" s="1365"/>
      <c r="X545" s="1365"/>
      <c r="Y545" s="1365"/>
      <c r="Z545" s="1365"/>
      <c r="AA545" s="1365"/>
      <c r="AB545" s="1365"/>
      <c r="AC545" s="1365"/>
      <c r="AD545" s="1365"/>
      <c r="AE545" s="1741"/>
      <c r="AF545" s="1741"/>
      <c r="AJ545" s="778"/>
      <c r="AN545" s="497"/>
      <c r="AO545" s="497"/>
      <c r="AP545" s="497"/>
      <c r="AQ545" s="497"/>
    </row>
    <row r="546" spans="1:43" s="496" customFormat="1" ht="12.75" x14ac:dyDescent="0.2">
      <c r="A546" s="498"/>
      <c r="B546" s="1742" t="s">
        <v>1358</v>
      </c>
      <c r="I546" s="495"/>
      <c r="J546" s="495"/>
      <c r="M546" s="500"/>
      <c r="P546" s="500"/>
      <c r="S546" s="500"/>
      <c r="V546" s="495"/>
      <c r="W546" s="495"/>
      <c r="X546" s="495"/>
      <c r="Y546" s="495"/>
      <c r="Z546" s="495"/>
      <c r="AA546" s="495"/>
      <c r="AB546" s="495"/>
      <c r="AC546" s="495"/>
      <c r="AD546" s="495"/>
      <c r="AE546" s="1743"/>
      <c r="AF546" s="1743"/>
      <c r="AJ546" s="778"/>
      <c r="AN546" s="497"/>
      <c r="AO546" s="497"/>
      <c r="AP546" s="497"/>
      <c r="AQ546" s="497"/>
    </row>
    <row r="547" spans="1:43" s="496" customFormat="1" ht="12.75" x14ac:dyDescent="0.2">
      <c r="A547" s="498"/>
      <c r="B547" s="1711" t="str">
        <f t="shared" ref="B547:C566" si="462">B453</f>
        <v>CAJA (EN DÍAS DE VENTAS): AL PROYECTAR SE USA PARA GENERAR LA CAJA MÍNIMA REQUERIDA</v>
      </c>
      <c r="C547" s="1744">
        <f t="shared" si="462"/>
        <v>0</v>
      </c>
      <c r="D547" s="1391"/>
      <c r="E547" s="1745">
        <f t="shared" ref="E547:E566" si="463">E453</f>
        <v>38.89196675900277</v>
      </c>
      <c r="F547" s="1391"/>
      <c r="G547" s="1391"/>
      <c r="H547" s="1745">
        <f t="shared" ref="H547:H566" si="464">H453</f>
        <v>38.89196675900277</v>
      </c>
      <c r="I547" s="1391"/>
      <c r="J547" s="1391"/>
      <c r="K547" s="1745">
        <f t="shared" ref="K547:K566" si="465">K453</f>
        <v>19.445983379501385</v>
      </c>
      <c r="M547" s="500"/>
      <c r="N547" s="1745">
        <f t="shared" ref="N547:N566" si="466">N453</f>
        <v>38.89196675900277</v>
      </c>
      <c r="P547" s="500"/>
      <c r="Q547" s="1745">
        <f t="shared" ref="Q547:Q566" si="467">Q453</f>
        <v>19.445983379501385</v>
      </c>
      <c r="S547" s="1746"/>
      <c r="T547" s="1747">
        <f t="shared" ref="T547:AI547" si="468">T453+$S547</f>
        <v>38.89196675900277</v>
      </c>
      <c r="U547" s="1747">
        <f t="shared" si="468"/>
        <v>38.89196675900277</v>
      </c>
      <c r="V547" s="1747">
        <f t="shared" si="468"/>
        <v>38.89196675900277</v>
      </c>
      <c r="W547" s="1747">
        <f t="shared" si="468"/>
        <v>38.89196675900277</v>
      </c>
      <c r="X547" s="1747">
        <f t="shared" si="468"/>
        <v>38.89196675900277</v>
      </c>
      <c r="Y547" s="1747">
        <f t="shared" si="468"/>
        <v>38.89196675900277</v>
      </c>
      <c r="Z547" s="1747">
        <f t="shared" si="468"/>
        <v>38.89196675900277</v>
      </c>
      <c r="AA547" s="1747">
        <f t="shared" si="468"/>
        <v>38.89196675900277</v>
      </c>
      <c r="AB547" s="1747">
        <f t="shared" si="468"/>
        <v>38.89196675900277</v>
      </c>
      <c r="AC547" s="1747">
        <f t="shared" si="468"/>
        <v>38.89196675900277</v>
      </c>
      <c r="AD547" s="1748">
        <f t="shared" si="468"/>
        <v>38.89196675900277</v>
      </c>
      <c r="AE547" s="1748">
        <f t="shared" si="468"/>
        <v>38.89196675900277</v>
      </c>
      <c r="AF547" s="1748">
        <f t="shared" si="468"/>
        <v>38.89196675900277</v>
      </c>
      <c r="AG547" s="1748">
        <f t="shared" si="468"/>
        <v>38.89196675900277</v>
      </c>
      <c r="AH547" s="1748">
        <f t="shared" si="468"/>
        <v>38.89196675900277</v>
      </c>
      <c r="AI547" s="1748">
        <f t="shared" si="468"/>
        <v>38.89196675900277</v>
      </c>
      <c r="AJ547" s="778"/>
      <c r="AN547" s="497"/>
      <c r="AO547" s="497"/>
      <c r="AP547" s="497"/>
      <c r="AQ547" s="497"/>
    </row>
    <row r="548" spans="1:43" s="496" customFormat="1" ht="12.75" x14ac:dyDescent="0.2">
      <c r="A548" s="498"/>
      <c r="B548" s="1717" t="str">
        <f t="shared" si="462"/>
        <v>DÍAS CARTERA BRUTA</v>
      </c>
      <c r="C548" s="1749">
        <f t="shared" si="462"/>
        <v>0</v>
      </c>
      <c r="D548" s="1391"/>
      <c r="E548" s="1750">
        <f t="shared" si="463"/>
        <v>11.966759002770083</v>
      </c>
      <c r="F548" s="1391"/>
      <c r="G548" s="1391"/>
      <c r="H548" s="1750">
        <f t="shared" si="464"/>
        <v>11.966759002770083</v>
      </c>
      <c r="I548" s="1391"/>
      <c r="J548" s="1391"/>
      <c r="K548" s="1750">
        <f t="shared" si="465"/>
        <v>5.9833795013850413</v>
      </c>
      <c r="M548" s="500"/>
      <c r="N548" s="1750">
        <f t="shared" si="466"/>
        <v>11.966759002770083</v>
      </c>
      <c r="P548" s="500"/>
      <c r="Q548" s="1750">
        <f t="shared" si="467"/>
        <v>5.9833795013850413</v>
      </c>
      <c r="S548" s="1751"/>
      <c r="T548" s="1752">
        <f t="shared" ref="T548:AI548" si="469">T454+$S548</f>
        <v>11.966759002770083</v>
      </c>
      <c r="U548" s="1752">
        <f t="shared" si="469"/>
        <v>11.966759002770083</v>
      </c>
      <c r="V548" s="1752">
        <f t="shared" si="469"/>
        <v>11.966759002770083</v>
      </c>
      <c r="W548" s="1752">
        <f t="shared" si="469"/>
        <v>11.966759002770083</v>
      </c>
      <c r="X548" s="1752">
        <f t="shared" si="469"/>
        <v>11.966759002770083</v>
      </c>
      <c r="Y548" s="1752">
        <f t="shared" si="469"/>
        <v>11.966759002770083</v>
      </c>
      <c r="Z548" s="1752">
        <f t="shared" si="469"/>
        <v>11.966759002770083</v>
      </c>
      <c r="AA548" s="1752">
        <f t="shared" si="469"/>
        <v>11.966759002770083</v>
      </c>
      <c r="AB548" s="1752">
        <f t="shared" si="469"/>
        <v>11.966759002770083</v>
      </c>
      <c r="AC548" s="1752">
        <f t="shared" si="469"/>
        <v>11.966759002770083</v>
      </c>
      <c r="AD548" s="1753">
        <f t="shared" si="469"/>
        <v>11.966759002770083</v>
      </c>
      <c r="AE548" s="1753">
        <f t="shared" si="469"/>
        <v>11.966759002770083</v>
      </c>
      <c r="AF548" s="1753">
        <f t="shared" si="469"/>
        <v>11.966759002770083</v>
      </c>
      <c r="AG548" s="1753">
        <f t="shared" si="469"/>
        <v>11.966759002770083</v>
      </c>
      <c r="AH548" s="1753">
        <f t="shared" si="469"/>
        <v>11.966759002770083</v>
      </c>
      <c r="AI548" s="1753">
        <f t="shared" si="469"/>
        <v>11.966759002770083</v>
      </c>
      <c r="AJ548" s="778"/>
      <c r="AN548" s="497"/>
      <c r="AO548" s="497"/>
      <c r="AP548" s="497"/>
      <c r="AQ548" s="497"/>
    </row>
    <row r="549" spans="1:43" s="496" customFormat="1" ht="12.75" x14ac:dyDescent="0.2">
      <c r="A549" s="498"/>
      <c r="B549" s="1717" t="str">
        <f t="shared" si="462"/>
        <v>PROVISIONES CUENTAS POR COBRAR  (% SOBRE LAS CUENTAS POR COBRAR)</v>
      </c>
      <c r="C549" s="1754">
        <f t="shared" si="462"/>
        <v>0</v>
      </c>
      <c r="D549" s="1391"/>
      <c r="E549" s="1755">
        <f t="shared" si="463"/>
        <v>0.25</v>
      </c>
      <c r="F549" s="1391"/>
      <c r="G549" s="1391"/>
      <c r="H549" s="1755">
        <f t="shared" si="464"/>
        <v>0.25</v>
      </c>
      <c r="I549" s="1391"/>
      <c r="J549" s="1391"/>
      <c r="K549" s="1755">
        <f t="shared" si="465"/>
        <v>0.25</v>
      </c>
      <c r="M549" s="500"/>
      <c r="N549" s="1755">
        <f t="shared" si="466"/>
        <v>0.25</v>
      </c>
      <c r="P549" s="500"/>
      <c r="Q549" s="1755">
        <f t="shared" si="467"/>
        <v>0.25</v>
      </c>
      <c r="S549" s="1720"/>
      <c r="T549" s="1756">
        <f t="shared" ref="T549:AI549" si="470">T455+$S549</f>
        <v>0.25</v>
      </c>
      <c r="U549" s="1756">
        <f t="shared" si="470"/>
        <v>0.25</v>
      </c>
      <c r="V549" s="1756">
        <f t="shared" si="470"/>
        <v>0.25</v>
      </c>
      <c r="W549" s="1756">
        <f t="shared" si="470"/>
        <v>0.25</v>
      </c>
      <c r="X549" s="1756">
        <f t="shared" si="470"/>
        <v>0.25</v>
      </c>
      <c r="Y549" s="1756">
        <f t="shared" si="470"/>
        <v>0.25</v>
      </c>
      <c r="Z549" s="1756">
        <f t="shared" si="470"/>
        <v>0.25</v>
      </c>
      <c r="AA549" s="1756">
        <f t="shared" si="470"/>
        <v>0.25</v>
      </c>
      <c r="AB549" s="1756">
        <f t="shared" si="470"/>
        <v>0.25</v>
      </c>
      <c r="AC549" s="1756">
        <f t="shared" si="470"/>
        <v>0.25</v>
      </c>
      <c r="AD549" s="1757">
        <f t="shared" si="470"/>
        <v>0.25</v>
      </c>
      <c r="AE549" s="1757">
        <f t="shared" si="470"/>
        <v>0.25</v>
      </c>
      <c r="AF549" s="1757">
        <f t="shared" si="470"/>
        <v>0.25</v>
      </c>
      <c r="AG549" s="1757">
        <f t="shared" si="470"/>
        <v>0.25</v>
      </c>
      <c r="AH549" s="1757">
        <f t="shared" si="470"/>
        <v>0.25</v>
      </c>
      <c r="AI549" s="1757">
        <f t="shared" si="470"/>
        <v>0.25</v>
      </c>
      <c r="AJ549" s="778"/>
      <c r="AN549" s="497"/>
      <c r="AO549" s="497"/>
      <c r="AP549" s="497"/>
      <c r="AQ549" s="497"/>
    </row>
    <row r="550" spans="1:43" s="496" customFormat="1" ht="12.75" x14ac:dyDescent="0.2">
      <c r="A550" s="498"/>
      <c r="B550" s="1717" t="str">
        <f t="shared" si="462"/>
        <v>DÍAS INVENTARIO BRUTO</v>
      </c>
      <c r="C550" s="1749">
        <f t="shared" si="462"/>
        <v>0</v>
      </c>
      <c r="D550" s="1391"/>
      <c r="E550" s="1750">
        <f t="shared" si="463"/>
        <v>259.2</v>
      </c>
      <c r="F550" s="1391"/>
      <c r="G550" s="1391"/>
      <c r="H550" s="1750">
        <f t="shared" si="464"/>
        <v>259.2</v>
      </c>
      <c r="I550" s="1391"/>
      <c r="J550" s="1391"/>
      <c r="K550" s="1750">
        <f t="shared" si="465"/>
        <v>129.6</v>
      </c>
      <c r="M550" s="500"/>
      <c r="N550" s="1750">
        <f t="shared" si="466"/>
        <v>259.2</v>
      </c>
      <c r="P550" s="500"/>
      <c r="Q550" s="1750">
        <f t="shared" si="467"/>
        <v>129.6</v>
      </c>
      <c r="S550" s="1751"/>
      <c r="T550" s="1752">
        <f t="shared" ref="T550:AI550" si="471">T456+$S550</f>
        <v>259.2</v>
      </c>
      <c r="U550" s="1752">
        <f t="shared" si="471"/>
        <v>259.2</v>
      </c>
      <c r="V550" s="1752">
        <f t="shared" si="471"/>
        <v>259.2</v>
      </c>
      <c r="W550" s="1752">
        <f t="shared" si="471"/>
        <v>259.2</v>
      </c>
      <c r="X550" s="1752">
        <f t="shared" si="471"/>
        <v>259.2</v>
      </c>
      <c r="Y550" s="1752">
        <f t="shared" si="471"/>
        <v>259.2</v>
      </c>
      <c r="Z550" s="1752">
        <f t="shared" si="471"/>
        <v>259.2</v>
      </c>
      <c r="AA550" s="1752">
        <f t="shared" si="471"/>
        <v>259.2</v>
      </c>
      <c r="AB550" s="1752">
        <f t="shared" si="471"/>
        <v>259.2</v>
      </c>
      <c r="AC550" s="1752">
        <f t="shared" si="471"/>
        <v>259.2</v>
      </c>
      <c r="AD550" s="1753">
        <f t="shared" si="471"/>
        <v>259.2</v>
      </c>
      <c r="AE550" s="1753">
        <f t="shared" si="471"/>
        <v>259.2</v>
      </c>
      <c r="AF550" s="1753">
        <f t="shared" si="471"/>
        <v>259.2</v>
      </c>
      <c r="AG550" s="1753">
        <f t="shared" si="471"/>
        <v>259.2</v>
      </c>
      <c r="AH550" s="1753">
        <f t="shared" si="471"/>
        <v>259.2</v>
      </c>
      <c r="AI550" s="1753">
        <f t="shared" si="471"/>
        <v>259.2</v>
      </c>
      <c r="AJ550" s="778"/>
      <c r="AN550" s="497"/>
      <c r="AO550" s="497"/>
      <c r="AP550" s="497"/>
      <c r="AQ550" s="497"/>
    </row>
    <row r="551" spans="1:43" s="496" customFormat="1" ht="12.75" x14ac:dyDescent="0.2">
      <c r="A551" s="498"/>
      <c r="B551" s="1717" t="str">
        <f t="shared" si="462"/>
        <v>PROVISIONES INVENTARIOS  (% SOBRE LOS INVENTARIOS)</v>
      </c>
      <c r="C551" s="1754">
        <f t="shared" si="462"/>
        <v>0</v>
      </c>
      <c r="D551" s="1391"/>
      <c r="E551" s="1755">
        <f t="shared" si="463"/>
        <v>-8.3333333333333329E-2</v>
      </c>
      <c r="F551" s="1391"/>
      <c r="G551" s="1391"/>
      <c r="H551" s="1755">
        <f t="shared" si="464"/>
        <v>-8.3333333333333329E-2</v>
      </c>
      <c r="I551" s="1391"/>
      <c r="J551" s="1391"/>
      <c r="K551" s="1755">
        <f t="shared" si="465"/>
        <v>-8.3333333333333329E-2</v>
      </c>
      <c r="M551" s="500"/>
      <c r="N551" s="1755">
        <f t="shared" si="466"/>
        <v>-8.3333333333333329E-2</v>
      </c>
      <c r="P551" s="500"/>
      <c r="Q551" s="1755">
        <f t="shared" si="467"/>
        <v>-8.3333333333333329E-2</v>
      </c>
      <c r="S551" s="1720"/>
      <c r="T551" s="1756">
        <f t="shared" ref="T551:AI551" si="472">T457+$S551</f>
        <v>-8.3333333333333343E-2</v>
      </c>
      <c r="U551" s="1756">
        <f t="shared" si="472"/>
        <v>-8.3333333333333343E-2</v>
      </c>
      <c r="V551" s="1756">
        <f t="shared" si="472"/>
        <v>-8.3333333333333343E-2</v>
      </c>
      <c r="W551" s="1756">
        <f t="shared" si="472"/>
        <v>-8.3333333333333343E-2</v>
      </c>
      <c r="X551" s="1756">
        <f t="shared" si="472"/>
        <v>-8.3333333333333343E-2</v>
      </c>
      <c r="Y551" s="1756">
        <f t="shared" si="472"/>
        <v>-8.3333333333333343E-2</v>
      </c>
      <c r="Z551" s="1756">
        <f t="shared" si="472"/>
        <v>-8.3333333333333343E-2</v>
      </c>
      <c r="AA551" s="1756">
        <f t="shared" si="472"/>
        <v>-8.3333333333333343E-2</v>
      </c>
      <c r="AB551" s="1756">
        <f t="shared" si="472"/>
        <v>-8.3333333333333343E-2</v>
      </c>
      <c r="AC551" s="1756">
        <f t="shared" si="472"/>
        <v>-8.3333333333333343E-2</v>
      </c>
      <c r="AD551" s="1757">
        <f t="shared" si="472"/>
        <v>-8.3333333333333343E-2</v>
      </c>
      <c r="AE551" s="1757">
        <f t="shared" si="472"/>
        <v>-8.3333333333333343E-2</v>
      </c>
      <c r="AF551" s="1757">
        <f t="shared" si="472"/>
        <v>-8.3333333333333343E-2</v>
      </c>
      <c r="AG551" s="1757">
        <f t="shared" si="472"/>
        <v>-8.3333333333333343E-2</v>
      </c>
      <c r="AH551" s="1757">
        <f t="shared" si="472"/>
        <v>-8.3333333333333343E-2</v>
      </c>
      <c r="AI551" s="1757">
        <f t="shared" si="472"/>
        <v>-8.3333333333333343E-2</v>
      </c>
      <c r="AJ551" s="778"/>
      <c r="AN551" s="497"/>
      <c r="AO551" s="497"/>
      <c r="AP551" s="497"/>
      <c r="AQ551" s="497"/>
    </row>
    <row r="552" spans="1:43" s="496" customFormat="1" ht="12.75" x14ac:dyDescent="0.2">
      <c r="A552" s="498"/>
      <c r="B552" s="1717" t="str">
        <f t="shared" si="462"/>
        <v>ANTICIPOS / COSTO DE VENTAS (ANUALIZADO)</v>
      </c>
      <c r="C552" s="1754">
        <f t="shared" si="462"/>
        <v>0</v>
      </c>
      <c r="D552" s="1391"/>
      <c r="E552" s="1755">
        <f t="shared" si="463"/>
        <v>0.12</v>
      </c>
      <c r="F552" s="1391"/>
      <c r="G552" s="1391"/>
      <c r="H552" s="1755">
        <f t="shared" si="464"/>
        <v>0.12</v>
      </c>
      <c r="I552" s="1391"/>
      <c r="J552" s="1391"/>
      <c r="K552" s="1755">
        <f t="shared" si="465"/>
        <v>0.06</v>
      </c>
      <c r="M552" s="500"/>
      <c r="N552" s="1755">
        <f t="shared" si="466"/>
        <v>0.12</v>
      </c>
      <c r="P552" s="500"/>
      <c r="Q552" s="1755">
        <f t="shared" si="467"/>
        <v>0.06</v>
      </c>
      <c r="S552" s="1758"/>
      <c r="T552" s="1756">
        <f t="shared" ref="T552:AI552" si="473">T458+$S552</f>
        <v>0.12000000000000001</v>
      </c>
      <c r="U552" s="1756">
        <f t="shared" si="473"/>
        <v>0.12000000000000001</v>
      </c>
      <c r="V552" s="1756">
        <f t="shared" si="473"/>
        <v>0.12000000000000001</v>
      </c>
      <c r="W552" s="1756">
        <f t="shared" si="473"/>
        <v>0.12000000000000001</v>
      </c>
      <c r="X552" s="1756">
        <f t="shared" si="473"/>
        <v>0.12000000000000001</v>
      </c>
      <c r="Y552" s="1756">
        <f t="shared" si="473"/>
        <v>0.12000000000000001</v>
      </c>
      <c r="Z552" s="1756">
        <f t="shared" si="473"/>
        <v>0.12000000000000001</v>
      </c>
      <c r="AA552" s="1756">
        <f t="shared" si="473"/>
        <v>0.12000000000000001</v>
      </c>
      <c r="AB552" s="1756">
        <f t="shared" si="473"/>
        <v>0.12000000000000001</v>
      </c>
      <c r="AC552" s="1756">
        <f t="shared" si="473"/>
        <v>0.12000000000000001</v>
      </c>
      <c r="AD552" s="1757">
        <f t="shared" si="473"/>
        <v>0.12000000000000001</v>
      </c>
      <c r="AE552" s="1757">
        <f t="shared" si="473"/>
        <v>0.12000000000000001</v>
      </c>
      <c r="AF552" s="1757">
        <f t="shared" si="473"/>
        <v>0.12000000000000001</v>
      </c>
      <c r="AG552" s="1757">
        <f t="shared" si="473"/>
        <v>0.12000000000000001</v>
      </c>
      <c r="AH552" s="1757">
        <f t="shared" si="473"/>
        <v>0.12000000000000001</v>
      </c>
      <c r="AI552" s="1757">
        <f t="shared" si="473"/>
        <v>0.12000000000000001</v>
      </c>
      <c r="AJ552" s="778"/>
      <c r="AN552" s="497"/>
      <c r="AO552" s="497"/>
      <c r="AP552" s="497"/>
      <c r="AQ552" s="497"/>
    </row>
    <row r="553" spans="1:43" s="496" customFormat="1" ht="12.75" x14ac:dyDescent="0.2">
      <c r="A553" s="498"/>
      <c r="B553" s="1717" t="str">
        <f t="shared" si="462"/>
        <v>DÍAS PAGO</v>
      </c>
      <c r="C553" s="1749">
        <f t="shared" si="462"/>
        <v>0</v>
      </c>
      <c r="D553" s="1391"/>
      <c r="E553" s="1750">
        <f t="shared" si="463"/>
        <v>21.6</v>
      </c>
      <c r="F553" s="1391"/>
      <c r="G553" s="1391"/>
      <c r="H553" s="1750">
        <f t="shared" si="464"/>
        <v>21.6</v>
      </c>
      <c r="I553" s="1391"/>
      <c r="J553" s="1391"/>
      <c r="K553" s="1750">
        <f t="shared" si="465"/>
        <v>10.8</v>
      </c>
      <c r="M553" s="500"/>
      <c r="N553" s="1750">
        <f t="shared" si="466"/>
        <v>21.6</v>
      </c>
      <c r="P553" s="500"/>
      <c r="Q553" s="1750">
        <f t="shared" si="467"/>
        <v>10.8</v>
      </c>
      <c r="S553" s="1751"/>
      <c r="T553" s="1752">
        <f t="shared" ref="T553:AI553" si="474">T459+$S553</f>
        <v>21.6</v>
      </c>
      <c r="U553" s="1752">
        <f t="shared" si="474"/>
        <v>21.6</v>
      </c>
      <c r="V553" s="1752">
        <f t="shared" si="474"/>
        <v>21.6</v>
      </c>
      <c r="W553" s="1752">
        <f t="shared" si="474"/>
        <v>21.6</v>
      </c>
      <c r="X553" s="1752">
        <f t="shared" si="474"/>
        <v>21.6</v>
      </c>
      <c r="Y553" s="1752">
        <f t="shared" si="474"/>
        <v>21.6</v>
      </c>
      <c r="Z553" s="1752">
        <f t="shared" si="474"/>
        <v>21.6</v>
      </c>
      <c r="AA553" s="1752">
        <f t="shared" si="474"/>
        <v>21.6</v>
      </c>
      <c r="AB553" s="1752">
        <f t="shared" si="474"/>
        <v>21.6</v>
      </c>
      <c r="AC553" s="1752">
        <f t="shared" si="474"/>
        <v>21.6</v>
      </c>
      <c r="AD553" s="1753">
        <f t="shared" si="474"/>
        <v>21.6</v>
      </c>
      <c r="AE553" s="1753">
        <f t="shared" si="474"/>
        <v>21.6</v>
      </c>
      <c r="AF553" s="1753">
        <f t="shared" si="474"/>
        <v>21.6</v>
      </c>
      <c r="AG553" s="1753">
        <f t="shared" si="474"/>
        <v>21.6</v>
      </c>
      <c r="AH553" s="1753">
        <f t="shared" si="474"/>
        <v>21.6</v>
      </c>
      <c r="AI553" s="1753">
        <f t="shared" si="474"/>
        <v>21.6</v>
      </c>
      <c r="AJ553" s="778"/>
      <c r="AN553" s="497"/>
      <c r="AO553" s="497"/>
      <c r="AP553" s="497"/>
      <c r="AQ553" s="497"/>
    </row>
    <row r="554" spans="1:43" s="496" customFormat="1" ht="12.75" x14ac:dyDescent="0.2">
      <c r="A554" s="498"/>
      <c r="B554" s="1717" t="str">
        <f t="shared" si="462"/>
        <v>CAPEX BRUTO ($MM)</v>
      </c>
      <c r="C554" s="1759" t="str">
        <f t="shared" si="462"/>
        <v>N/A</v>
      </c>
      <c r="D554" s="1391"/>
      <c r="E554" s="1727">
        <f t="shared" si="463"/>
        <v>540</v>
      </c>
      <c r="F554" s="1391"/>
      <c r="G554" s="1391"/>
      <c r="H554" s="1727">
        <f t="shared" si="464"/>
        <v>0</v>
      </c>
      <c r="I554" s="1391"/>
      <c r="J554" s="1391"/>
      <c r="K554" s="1727">
        <f t="shared" si="465"/>
        <v>0</v>
      </c>
      <c r="M554" s="500"/>
      <c r="N554" s="1727">
        <f t="shared" si="466"/>
        <v>0</v>
      </c>
      <c r="P554" s="500"/>
      <c r="Q554" s="1727">
        <f t="shared" si="467"/>
        <v>0</v>
      </c>
      <c r="S554" s="1760"/>
      <c r="T554" s="1761">
        <f t="shared" ref="T554:AI554" si="475">T460+$S554</f>
        <v>178.20000000000002</v>
      </c>
      <c r="U554" s="1761">
        <f t="shared" si="475"/>
        <v>178.20000000000002</v>
      </c>
      <c r="V554" s="1761">
        <f t="shared" si="475"/>
        <v>178.20000000000002</v>
      </c>
      <c r="W554" s="1761">
        <f t="shared" si="475"/>
        <v>178.20000000000002</v>
      </c>
      <c r="X554" s="1761">
        <f t="shared" si="475"/>
        <v>178.20000000000002</v>
      </c>
      <c r="Y554" s="1761">
        <f t="shared" si="475"/>
        <v>178.20000000000002</v>
      </c>
      <c r="Z554" s="1761">
        <f t="shared" si="475"/>
        <v>178.20000000000002</v>
      </c>
      <c r="AA554" s="1761">
        <f t="shared" si="475"/>
        <v>178.20000000000002</v>
      </c>
      <c r="AB554" s="1761">
        <f t="shared" si="475"/>
        <v>178.20000000000002</v>
      </c>
      <c r="AC554" s="1761">
        <f t="shared" si="475"/>
        <v>178.20000000000002</v>
      </c>
      <c r="AD554" s="1762">
        <f t="shared" si="475"/>
        <v>178.20000000000002</v>
      </c>
      <c r="AE554" s="1762">
        <f t="shared" si="475"/>
        <v>178.20000000000002</v>
      </c>
      <c r="AF554" s="1762">
        <f t="shared" si="475"/>
        <v>178.20000000000002</v>
      </c>
      <c r="AG554" s="1762">
        <f t="shared" si="475"/>
        <v>178.20000000000002</v>
      </c>
      <c r="AH554" s="1762">
        <f t="shared" si="475"/>
        <v>178.20000000000002</v>
      </c>
      <c r="AI554" s="1762">
        <f t="shared" si="475"/>
        <v>178.20000000000002</v>
      </c>
      <c r="AJ554" s="778"/>
      <c r="AN554" s="497"/>
      <c r="AO554" s="497"/>
      <c r="AP554" s="497"/>
      <c r="AQ554" s="497"/>
    </row>
    <row r="555" spans="1:43" s="496" customFormat="1" ht="12.75" x14ac:dyDescent="0.2">
      <c r="A555" s="498"/>
      <c r="B555" s="1717" t="str">
        <f t="shared" si="462"/>
        <v>VARIACIÓN DEPRECIACIÓN ACUMULADA / ACTIVO FIJO BRUTO</v>
      </c>
      <c r="C555" s="1763" t="str">
        <f t="shared" si="462"/>
        <v>N/A</v>
      </c>
      <c r="D555" s="1391"/>
      <c r="E555" s="1764">
        <f t="shared" si="463"/>
        <v>-0.1111111111111111</v>
      </c>
      <c r="F555" s="1391"/>
      <c r="G555" s="1391"/>
      <c r="H555" s="1764">
        <f t="shared" si="464"/>
        <v>0</v>
      </c>
      <c r="I555" s="1391"/>
      <c r="J555" s="1391"/>
      <c r="K555" s="1764">
        <f t="shared" si="465"/>
        <v>0</v>
      </c>
      <c r="M555" s="500"/>
      <c r="N555" s="1764">
        <f t="shared" si="466"/>
        <v>0</v>
      </c>
      <c r="P555" s="500"/>
      <c r="Q555" s="1764">
        <f t="shared" si="467"/>
        <v>0</v>
      </c>
      <c r="S555" s="1720"/>
      <c r="T555" s="1721">
        <f t="shared" ref="T555:AI555" si="476">T461+$S555</f>
        <v>-3.6666666666666667E-2</v>
      </c>
      <c r="U555" s="1721">
        <f t="shared" si="476"/>
        <v>-3.6666666666666667E-2</v>
      </c>
      <c r="V555" s="1721">
        <f t="shared" si="476"/>
        <v>-3.6666666666666667E-2</v>
      </c>
      <c r="W555" s="1721">
        <f t="shared" si="476"/>
        <v>-3.6666666666666667E-2</v>
      </c>
      <c r="X555" s="1721">
        <f t="shared" si="476"/>
        <v>-3.6666666666666667E-2</v>
      </c>
      <c r="Y555" s="1721">
        <f t="shared" si="476"/>
        <v>-3.6666666666666667E-2</v>
      </c>
      <c r="Z555" s="1721">
        <f t="shared" si="476"/>
        <v>-3.6666666666666667E-2</v>
      </c>
      <c r="AA555" s="1721">
        <f t="shared" si="476"/>
        <v>-3.6666666666666667E-2</v>
      </c>
      <c r="AB555" s="1721">
        <f t="shared" si="476"/>
        <v>-3.6666666666666667E-2</v>
      </c>
      <c r="AC555" s="1721">
        <f t="shared" si="476"/>
        <v>-3.6666666666666667E-2</v>
      </c>
      <c r="AD555" s="1722">
        <f t="shared" si="476"/>
        <v>-3.6666666666666667E-2</v>
      </c>
      <c r="AE555" s="1722">
        <f t="shared" si="476"/>
        <v>-3.6666666666666667E-2</v>
      </c>
      <c r="AF555" s="1722">
        <f t="shared" si="476"/>
        <v>-3.6666666666666667E-2</v>
      </c>
      <c r="AG555" s="1722">
        <f t="shared" si="476"/>
        <v>-3.6666666666666667E-2</v>
      </c>
      <c r="AH555" s="1722">
        <f t="shared" si="476"/>
        <v>-3.6666666666666667E-2</v>
      </c>
      <c r="AI555" s="1722">
        <f t="shared" si="476"/>
        <v>-3.6666666666666667E-2</v>
      </c>
      <c r="AJ555" s="778"/>
      <c r="AN555" s="497"/>
      <c r="AO555" s="497"/>
      <c r="AP555" s="497"/>
      <c r="AQ555" s="497"/>
    </row>
    <row r="556" spans="1:43" s="496" customFormat="1" ht="12.75" x14ac:dyDescent="0.2">
      <c r="A556" s="498"/>
      <c r="B556" s="1717" t="str">
        <f t="shared" si="462"/>
        <v>DEPRECIACIÓN / ACTIVO FIJO BRUTO</v>
      </c>
      <c r="C556" s="1718">
        <f t="shared" si="462"/>
        <v>0</v>
      </c>
      <c r="D556" s="1006"/>
      <c r="E556" s="1719">
        <f t="shared" si="463"/>
        <v>7.407407407407407E-2</v>
      </c>
      <c r="F556" s="1006"/>
      <c r="G556" s="1006"/>
      <c r="H556" s="1719">
        <f t="shared" si="464"/>
        <v>7.407407407407407E-2</v>
      </c>
      <c r="I556" s="1006"/>
      <c r="J556" s="1006"/>
      <c r="K556" s="1719">
        <f t="shared" si="465"/>
        <v>7.407407407407407E-2</v>
      </c>
      <c r="M556" s="500"/>
      <c r="N556" s="1719">
        <f t="shared" si="466"/>
        <v>7.407407407407407E-2</v>
      </c>
      <c r="P556" s="500"/>
      <c r="Q556" s="1719">
        <f t="shared" si="467"/>
        <v>7.407407407407407E-2</v>
      </c>
      <c r="S556" s="1720"/>
      <c r="T556" s="1721">
        <f t="shared" ref="T556:AI556" si="477">T462+$S556</f>
        <v>7.407407407407407E-2</v>
      </c>
      <c r="U556" s="1721">
        <f t="shared" si="477"/>
        <v>7.407407407407407E-2</v>
      </c>
      <c r="V556" s="1721">
        <f t="shared" si="477"/>
        <v>7.407407407407407E-2</v>
      </c>
      <c r="W556" s="1721">
        <f t="shared" si="477"/>
        <v>7.407407407407407E-2</v>
      </c>
      <c r="X556" s="1721">
        <f t="shared" si="477"/>
        <v>7.407407407407407E-2</v>
      </c>
      <c r="Y556" s="1721">
        <f t="shared" si="477"/>
        <v>7.407407407407407E-2</v>
      </c>
      <c r="Z556" s="1721">
        <f t="shared" si="477"/>
        <v>7.407407407407407E-2</v>
      </c>
      <c r="AA556" s="1721">
        <f t="shared" si="477"/>
        <v>7.407407407407407E-2</v>
      </c>
      <c r="AB556" s="1721">
        <f t="shared" si="477"/>
        <v>7.407407407407407E-2</v>
      </c>
      <c r="AC556" s="1721">
        <f t="shared" si="477"/>
        <v>7.407407407407407E-2</v>
      </c>
      <c r="AD556" s="1722">
        <f t="shared" si="477"/>
        <v>7.407407407407407E-2</v>
      </c>
      <c r="AE556" s="1722">
        <f t="shared" si="477"/>
        <v>7.407407407407407E-2</v>
      </c>
      <c r="AF556" s="1722">
        <f t="shared" si="477"/>
        <v>7.407407407407407E-2</v>
      </c>
      <c r="AG556" s="1722">
        <f t="shared" si="477"/>
        <v>7.407407407407407E-2</v>
      </c>
      <c r="AH556" s="1722">
        <f t="shared" si="477"/>
        <v>7.407407407407407E-2</v>
      </c>
      <c r="AI556" s="1722">
        <f t="shared" si="477"/>
        <v>7.407407407407407E-2</v>
      </c>
      <c r="AJ556" s="778"/>
      <c r="AN556" s="497"/>
      <c r="AO556" s="497"/>
      <c r="AP556" s="497"/>
      <c r="AQ556" s="497"/>
    </row>
    <row r="557" spans="1:43" s="496" customFormat="1" ht="12.75" x14ac:dyDescent="0.2">
      <c r="A557" s="498"/>
      <c r="B557" s="1717" t="str">
        <f t="shared" si="462"/>
        <v>VARIACIÓN INTANGIBLES</v>
      </c>
      <c r="C557" s="1765" t="str">
        <f t="shared" si="462"/>
        <v>N/A</v>
      </c>
      <c r="D557" s="1006"/>
      <c r="E557" s="1719">
        <f t="shared" si="463"/>
        <v>0</v>
      </c>
      <c r="F557" s="1006"/>
      <c r="G557" s="1006"/>
      <c r="H557" s="1719">
        <f t="shared" si="464"/>
        <v>0</v>
      </c>
      <c r="I557" s="1006"/>
      <c r="J557" s="1006"/>
      <c r="K557" s="1719">
        <f t="shared" si="465"/>
        <v>0</v>
      </c>
      <c r="M557" s="500"/>
      <c r="N557" s="1719">
        <f t="shared" si="466"/>
        <v>0</v>
      </c>
      <c r="P557" s="500"/>
      <c r="Q557" s="1719">
        <f t="shared" si="467"/>
        <v>0</v>
      </c>
      <c r="S557" s="1720"/>
      <c r="T557" s="1721">
        <f t="shared" ref="T557:AI557" si="478">T463+$S557</f>
        <v>0</v>
      </c>
      <c r="U557" s="1721">
        <f t="shared" si="478"/>
        <v>0</v>
      </c>
      <c r="V557" s="1721">
        <f t="shared" si="478"/>
        <v>0</v>
      </c>
      <c r="W557" s="1721">
        <f t="shared" si="478"/>
        <v>0</v>
      </c>
      <c r="X557" s="1721">
        <f t="shared" si="478"/>
        <v>0</v>
      </c>
      <c r="Y557" s="1721">
        <f t="shared" si="478"/>
        <v>0</v>
      </c>
      <c r="Z557" s="1721">
        <f t="shared" si="478"/>
        <v>0</v>
      </c>
      <c r="AA557" s="1721">
        <f t="shared" si="478"/>
        <v>0</v>
      </c>
      <c r="AB557" s="1721">
        <f t="shared" si="478"/>
        <v>0</v>
      </c>
      <c r="AC557" s="1721">
        <f t="shared" si="478"/>
        <v>0</v>
      </c>
      <c r="AD557" s="1722">
        <f t="shared" si="478"/>
        <v>0</v>
      </c>
      <c r="AE557" s="1722">
        <f t="shared" si="478"/>
        <v>0</v>
      </c>
      <c r="AF557" s="1722">
        <f t="shared" si="478"/>
        <v>0</v>
      </c>
      <c r="AG557" s="1722">
        <f t="shared" si="478"/>
        <v>0</v>
      </c>
      <c r="AH557" s="1722">
        <f t="shared" si="478"/>
        <v>0</v>
      </c>
      <c r="AI557" s="1722">
        <f t="shared" si="478"/>
        <v>0</v>
      </c>
      <c r="AJ557" s="778"/>
      <c r="AN557" s="497"/>
      <c r="AO557" s="497"/>
      <c r="AP557" s="497"/>
      <c r="AQ557" s="497"/>
    </row>
    <row r="558" spans="1:43" s="496" customFormat="1" ht="12.75" x14ac:dyDescent="0.2">
      <c r="A558" s="498"/>
      <c r="B558" s="1717" t="str">
        <f t="shared" si="462"/>
        <v>AMORTIZACIÓN INTANGIBLES / INTANGIBLES</v>
      </c>
      <c r="C558" s="1718">
        <f t="shared" si="462"/>
        <v>0</v>
      </c>
      <c r="D558" s="1006"/>
      <c r="E558" s="1719">
        <f t="shared" si="463"/>
        <v>0</v>
      </c>
      <c r="F558" s="1006"/>
      <c r="G558" s="1006"/>
      <c r="H558" s="1719">
        <f t="shared" si="464"/>
        <v>0</v>
      </c>
      <c r="I558" s="1006"/>
      <c r="J558" s="1006"/>
      <c r="K558" s="1719">
        <f t="shared" si="465"/>
        <v>0</v>
      </c>
      <c r="M558" s="500"/>
      <c r="N558" s="1719">
        <f t="shared" si="466"/>
        <v>0</v>
      </c>
      <c r="P558" s="500"/>
      <c r="Q558" s="1719">
        <f t="shared" si="467"/>
        <v>0</v>
      </c>
      <c r="S558" s="1720"/>
      <c r="T558" s="1721">
        <f t="shared" ref="T558:AI558" si="479">T464+$S558</f>
        <v>0</v>
      </c>
      <c r="U558" s="1721">
        <f t="shared" si="479"/>
        <v>0</v>
      </c>
      <c r="V558" s="1721">
        <f t="shared" si="479"/>
        <v>0</v>
      </c>
      <c r="W558" s="1721">
        <f t="shared" si="479"/>
        <v>0</v>
      </c>
      <c r="X558" s="1721">
        <f t="shared" si="479"/>
        <v>0</v>
      </c>
      <c r="Y558" s="1721">
        <f t="shared" si="479"/>
        <v>0</v>
      </c>
      <c r="Z558" s="1721">
        <f t="shared" si="479"/>
        <v>0</v>
      </c>
      <c r="AA558" s="1721">
        <f t="shared" si="479"/>
        <v>0</v>
      </c>
      <c r="AB558" s="1721">
        <f t="shared" si="479"/>
        <v>0</v>
      </c>
      <c r="AC558" s="1721">
        <f t="shared" si="479"/>
        <v>0</v>
      </c>
      <c r="AD558" s="1722">
        <f t="shared" si="479"/>
        <v>0</v>
      </c>
      <c r="AE558" s="1722">
        <f t="shared" si="479"/>
        <v>0</v>
      </c>
      <c r="AF558" s="1722">
        <f t="shared" si="479"/>
        <v>0</v>
      </c>
      <c r="AG558" s="1722">
        <f t="shared" si="479"/>
        <v>0</v>
      </c>
      <c r="AH558" s="1722">
        <f t="shared" si="479"/>
        <v>0</v>
      </c>
      <c r="AI558" s="1722">
        <f t="shared" si="479"/>
        <v>0</v>
      </c>
      <c r="AJ558" s="778"/>
      <c r="AN558" s="497"/>
      <c r="AO558" s="497"/>
      <c r="AP558" s="497"/>
      <c r="AQ558" s="497"/>
    </row>
    <row r="559" spans="1:43" s="496" customFormat="1" ht="12.75" x14ac:dyDescent="0.2">
      <c r="A559" s="498"/>
      <c r="B559" s="1717" t="str">
        <f t="shared" si="462"/>
        <v>VARIACIÓN DIFERIDOS</v>
      </c>
      <c r="C559" s="1765" t="str">
        <f t="shared" si="462"/>
        <v>N/A</v>
      </c>
      <c r="D559" s="1006"/>
      <c r="E559" s="1766">
        <f t="shared" si="463"/>
        <v>0</v>
      </c>
      <c r="F559" s="1006"/>
      <c r="G559" s="1006"/>
      <c r="H559" s="1766">
        <f t="shared" si="464"/>
        <v>0</v>
      </c>
      <c r="I559" s="1006"/>
      <c r="J559" s="1006"/>
      <c r="K559" s="1766">
        <f t="shared" si="465"/>
        <v>0</v>
      </c>
      <c r="M559" s="500"/>
      <c r="N559" s="1766">
        <f t="shared" si="466"/>
        <v>0</v>
      </c>
      <c r="P559" s="500"/>
      <c r="Q559" s="1766">
        <f t="shared" si="467"/>
        <v>0</v>
      </c>
      <c r="S559" s="1720"/>
      <c r="T559" s="1721">
        <f t="shared" ref="T559:AI559" si="480">T465+$S559</f>
        <v>0</v>
      </c>
      <c r="U559" s="1721">
        <f t="shared" si="480"/>
        <v>0</v>
      </c>
      <c r="V559" s="1721">
        <f t="shared" si="480"/>
        <v>0</v>
      </c>
      <c r="W559" s="1721">
        <f t="shared" si="480"/>
        <v>0</v>
      </c>
      <c r="X559" s="1721">
        <f t="shared" si="480"/>
        <v>0</v>
      </c>
      <c r="Y559" s="1721">
        <f t="shared" si="480"/>
        <v>0</v>
      </c>
      <c r="Z559" s="1721">
        <f t="shared" si="480"/>
        <v>0</v>
      </c>
      <c r="AA559" s="1721">
        <f t="shared" si="480"/>
        <v>0</v>
      </c>
      <c r="AB559" s="1721">
        <f t="shared" si="480"/>
        <v>0</v>
      </c>
      <c r="AC559" s="1721">
        <f t="shared" si="480"/>
        <v>0</v>
      </c>
      <c r="AD559" s="1722">
        <f t="shared" si="480"/>
        <v>0</v>
      </c>
      <c r="AE559" s="1722">
        <f t="shared" si="480"/>
        <v>0</v>
      </c>
      <c r="AF559" s="1722">
        <f t="shared" si="480"/>
        <v>0</v>
      </c>
      <c r="AG559" s="1722">
        <f t="shared" si="480"/>
        <v>0</v>
      </c>
      <c r="AH559" s="1722">
        <f t="shared" si="480"/>
        <v>0</v>
      </c>
      <c r="AI559" s="1722">
        <f t="shared" si="480"/>
        <v>0</v>
      </c>
      <c r="AJ559" s="778"/>
      <c r="AN559" s="497"/>
      <c r="AO559" s="497"/>
      <c r="AP559" s="497"/>
      <c r="AQ559" s="497"/>
    </row>
    <row r="560" spans="1:43" s="496" customFormat="1" ht="12.75" x14ac:dyDescent="0.2">
      <c r="A560" s="498"/>
      <c r="B560" s="1717" t="str">
        <f t="shared" si="462"/>
        <v>AMORTIZACIÓN DIFERIDOS / DIFERIDOS</v>
      </c>
      <c r="C560" s="1718">
        <f t="shared" si="462"/>
        <v>0</v>
      </c>
      <c r="D560" s="1006"/>
      <c r="E560" s="1719">
        <f t="shared" si="463"/>
        <v>0</v>
      </c>
      <c r="F560" s="1006"/>
      <c r="G560" s="1006"/>
      <c r="H560" s="1719">
        <f t="shared" si="464"/>
        <v>0</v>
      </c>
      <c r="I560" s="1006"/>
      <c r="J560" s="1006"/>
      <c r="K560" s="1719">
        <f t="shared" si="465"/>
        <v>0</v>
      </c>
      <c r="M560" s="500"/>
      <c r="N560" s="1719">
        <f t="shared" si="466"/>
        <v>0</v>
      </c>
      <c r="P560" s="500"/>
      <c r="Q560" s="1719">
        <f t="shared" si="467"/>
        <v>0</v>
      </c>
      <c r="S560" s="1720"/>
      <c r="T560" s="1721">
        <f t="shared" ref="T560:AI560" si="481">T466+$S560</f>
        <v>0</v>
      </c>
      <c r="U560" s="1721">
        <f t="shared" si="481"/>
        <v>0</v>
      </c>
      <c r="V560" s="1721">
        <f t="shared" si="481"/>
        <v>0</v>
      </c>
      <c r="W560" s="1721">
        <f t="shared" si="481"/>
        <v>0</v>
      </c>
      <c r="X560" s="1721">
        <f t="shared" si="481"/>
        <v>0</v>
      </c>
      <c r="Y560" s="1721">
        <f t="shared" si="481"/>
        <v>0</v>
      </c>
      <c r="Z560" s="1721">
        <f t="shared" si="481"/>
        <v>0</v>
      </c>
      <c r="AA560" s="1721">
        <f t="shared" si="481"/>
        <v>0</v>
      </c>
      <c r="AB560" s="1721">
        <f t="shared" si="481"/>
        <v>0</v>
      </c>
      <c r="AC560" s="1721">
        <f t="shared" si="481"/>
        <v>0</v>
      </c>
      <c r="AD560" s="1722">
        <f t="shared" si="481"/>
        <v>0</v>
      </c>
      <c r="AE560" s="1722">
        <f t="shared" si="481"/>
        <v>0</v>
      </c>
      <c r="AF560" s="1722">
        <f t="shared" si="481"/>
        <v>0</v>
      </c>
      <c r="AG560" s="1722">
        <f t="shared" si="481"/>
        <v>0</v>
      </c>
      <c r="AH560" s="1722">
        <f t="shared" si="481"/>
        <v>0</v>
      </c>
      <c r="AI560" s="1722">
        <f t="shared" si="481"/>
        <v>0</v>
      </c>
      <c r="AJ560" s="778"/>
      <c r="AN560" s="497"/>
      <c r="AO560" s="497"/>
      <c r="AP560" s="497"/>
      <c r="AQ560" s="497"/>
    </row>
    <row r="561" spans="1:73" s="496" customFormat="1" ht="12.75" x14ac:dyDescent="0.2">
      <c r="A561" s="498"/>
      <c r="B561" s="1717" t="str">
        <f t="shared" si="462"/>
        <v>PASIVOS LABORALES / GASTOS OPERACIONALES (ANUALIZADOS)</v>
      </c>
      <c r="C561" s="1718">
        <f t="shared" si="462"/>
        <v>0</v>
      </c>
      <c r="D561" s="1006"/>
      <c r="E561" s="1719">
        <f t="shared" si="463"/>
        <v>0.2</v>
      </c>
      <c r="F561" s="1006"/>
      <c r="G561" s="1006"/>
      <c r="H561" s="1719">
        <f t="shared" si="464"/>
        <v>0.2</v>
      </c>
      <c r="I561" s="1006"/>
      <c r="J561" s="1006"/>
      <c r="K561" s="1719">
        <f t="shared" si="465"/>
        <v>0.1</v>
      </c>
      <c r="M561" s="500"/>
      <c r="N561" s="1719">
        <f t="shared" si="466"/>
        <v>0.2</v>
      </c>
      <c r="P561" s="500"/>
      <c r="Q561" s="1719">
        <f t="shared" si="467"/>
        <v>0.1</v>
      </c>
      <c r="S561" s="1720"/>
      <c r="T561" s="1721">
        <f t="shared" ref="T561:AI561" si="482">T467+$S561</f>
        <v>0.2</v>
      </c>
      <c r="U561" s="1721">
        <f t="shared" si="482"/>
        <v>0.2</v>
      </c>
      <c r="V561" s="1721">
        <f t="shared" si="482"/>
        <v>0.2</v>
      </c>
      <c r="W561" s="1721">
        <f t="shared" si="482"/>
        <v>0.2</v>
      </c>
      <c r="X561" s="1721">
        <f t="shared" si="482"/>
        <v>0.2</v>
      </c>
      <c r="Y561" s="1721">
        <f t="shared" si="482"/>
        <v>0.2</v>
      </c>
      <c r="Z561" s="1721">
        <f t="shared" si="482"/>
        <v>0.2</v>
      </c>
      <c r="AA561" s="1721">
        <f t="shared" si="482"/>
        <v>0.2</v>
      </c>
      <c r="AB561" s="1721">
        <f t="shared" si="482"/>
        <v>0.2</v>
      </c>
      <c r="AC561" s="1721">
        <f t="shared" si="482"/>
        <v>0.2</v>
      </c>
      <c r="AD561" s="1722">
        <f t="shared" si="482"/>
        <v>0.2</v>
      </c>
      <c r="AE561" s="1722">
        <f t="shared" si="482"/>
        <v>0.2</v>
      </c>
      <c r="AF561" s="1722">
        <f t="shared" si="482"/>
        <v>0.2</v>
      </c>
      <c r="AG561" s="1722">
        <f t="shared" si="482"/>
        <v>0.2</v>
      </c>
      <c r="AH561" s="1722">
        <f t="shared" si="482"/>
        <v>0.2</v>
      </c>
      <c r="AI561" s="1722">
        <f t="shared" si="482"/>
        <v>0.2</v>
      </c>
      <c r="AJ561" s="778"/>
      <c r="AN561" s="497"/>
      <c r="AO561" s="497"/>
      <c r="AP561" s="497"/>
      <c r="AQ561" s="497"/>
    </row>
    <row r="562" spans="1:73" s="496" customFormat="1" ht="12.75" x14ac:dyDescent="0.2">
      <c r="A562" s="498"/>
      <c r="B562" s="1717" t="str">
        <f t="shared" si="462"/>
        <v>IMPUESTOS POR PAGAR / VENTAS (ANUALIZADAS)</v>
      </c>
      <c r="C562" s="1718">
        <f t="shared" si="462"/>
        <v>0</v>
      </c>
      <c r="D562" s="1006"/>
      <c r="E562" s="1719">
        <f t="shared" si="463"/>
        <v>1.1080332409972299E-2</v>
      </c>
      <c r="F562" s="1006"/>
      <c r="G562" s="1006"/>
      <c r="H562" s="1719">
        <f t="shared" si="464"/>
        <v>1.1080332409972299E-2</v>
      </c>
      <c r="I562" s="1006"/>
      <c r="J562" s="1006"/>
      <c r="K562" s="1719">
        <f t="shared" si="465"/>
        <v>5.5401662049861496E-3</v>
      </c>
      <c r="M562" s="500"/>
      <c r="N562" s="1719">
        <f t="shared" si="466"/>
        <v>1.1080332409972299E-2</v>
      </c>
      <c r="P562" s="500"/>
      <c r="Q562" s="1719">
        <f t="shared" si="467"/>
        <v>5.5401662049861496E-3</v>
      </c>
      <c r="S562" s="1720"/>
      <c r="T562" s="1721">
        <f t="shared" ref="T562:AI562" si="483">T468+$S562</f>
        <v>1.1080332409972299E-2</v>
      </c>
      <c r="U562" s="1721">
        <f t="shared" si="483"/>
        <v>1.1080332409972299E-2</v>
      </c>
      <c r="V562" s="1721">
        <f t="shared" si="483"/>
        <v>1.1080332409972299E-2</v>
      </c>
      <c r="W562" s="1721">
        <f t="shared" si="483"/>
        <v>1.1080332409972299E-2</v>
      </c>
      <c r="X562" s="1721">
        <f t="shared" si="483"/>
        <v>1.1080332409972299E-2</v>
      </c>
      <c r="Y562" s="1721">
        <f t="shared" si="483"/>
        <v>1.1080332409972299E-2</v>
      </c>
      <c r="Z562" s="1721">
        <f t="shared" si="483"/>
        <v>1.1080332409972299E-2</v>
      </c>
      <c r="AA562" s="1721">
        <f t="shared" si="483"/>
        <v>1.1080332409972299E-2</v>
      </c>
      <c r="AB562" s="1721">
        <f t="shared" si="483"/>
        <v>1.1080332409972299E-2</v>
      </c>
      <c r="AC562" s="1721">
        <f t="shared" si="483"/>
        <v>1.1080332409972299E-2</v>
      </c>
      <c r="AD562" s="1722">
        <f t="shared" si="483"/>
        <v>1.1080332409972299E-2</v>
      </c>
      <c r="AE562" s="1722">
        <f t="shared" si="483"/>
        <v>1.1080332409972299E-2</v>
      </c>
      <c r="AF562" s="1722">
        <f t="shared" si="483"/>
        <v>1.1080332409972299E-2</v>
      </c>
      <c r="AG562" s="1722">
        <f t="shared" si="483"/>
        <v>1.1080332409972299E-2</v>
      </c>
      <c r="AH562" s="1722">
        <f t="shared" si="483"/>
        <v>1.1080332409972299E-2</v>
      </c>
      <c r="AI562" s="1722">
        <f t="shared" si="483"/>
        <v>1.1080332409972299E-2</v>
      </c>
      <c r="AJ562" s="778"/>
      <c r="AN562" s="497"/>
      <c r="AO562" s="497"/>
      <c r="AP562" s="497"/>
      <c r="AQ562" s="497"/>
    </row>
    <row r="563" spans="1:73" s="496" customFormat="1" ht="12.75" x14ac:dyDescent="0.2">
      <c r="A563" s="498"/>
      <c r="B563" s="1717" t="str">
        <f t="shared" si="462"/>
        <v>CUENTAS POR PAGAR / COSTO DE VENTAS (ANUALIZADO)</v>
      </c>
      <c r="C563" s="1718">
        <f t="shared" si="462"/>
        <v>0</v>
      </c>
      <c r="D563" s="1006"/>
      <c r="E563" s="1719">
        <f t="shared" si="463"/>
        <v>0.24</v>
      </c>
      <c r="F563" s="1006"/>
      <c r="G563" s="1006"/>
      <c r="H563" s="1719">
        <f t="shared" si="464"/>
        <v>0.24</v>
      </c>
      <c r="I563" s="1006"/>
      <c r="J563" s="1006"/>
      <c r="K563" s="1719">
        <f t="shared" si="465"/>
        <v>0.12</v>
      </c>
      <c r="M563" s="500"/>
      <c r="N563" s="1719">
        <f t="shared" si="466"/>
        <v>0.24</v>
      </c>
      <c r="P563" s="500"/>
      <c r="Q563" s="1719">
        <f t="shared" si="467"/>
        <v>0.12</v>
      </c>
      <c r="S563" s="1720"/>
      <c r="T563" s="1721">
        <f t="shared" ref="T563:AI563" si="484">T469+$S563</f>
        <v>0.24000000000000002</v>
      </c>
      <c r="U563" s="1721">
        <f t="shared" si="484"/>
        <v>0.24000000000000002</v>
      </c>
      <c r="V563" s="1721">
        <f t="shared" si="484"/>
        <v>0.24000000000000002</v>
      </c>
      <c r="W563" s="1721">
        <f t="shared" si="484"/>
        <v>0.24000000000000002</v>
      </c>
      <c r="X563" s="1721">
        <f t="shared" si="484"/>
        <v>0.24000000000000002</v>
      </c>
      <c r="Y563" s="1721">
        <f t="shared" si="484"/>
        <v>0.24000000000000002</v>
      </c>
      <c r="Z563" s="1721">
        <f t="shared" si="484"/>
        <v>0.24000000000000002</v>
      </c>
      <c r="AA563" s="1721">
        <f t="shared" si="484"/>
        <v>0.24000000000000002</v>
      </c>
      <c r="AB563" s="1721">
        <f t="shared" si="484"/>
        <v>0.24000000000000002</v>
      </c>
      <c r="AC563" s="1721">
        <f t="shared" si="484"/>
        <v>0.24000000000000002</v>
      </c>
      <c r="AD563" s="1722">
        <f t="shared" si="484"/>
        <v>0.24000000000000002</v>
      </c>
      <c r="AE563" s="1722">
        <f t="shared" si="484"/>
        <v>0.24000000000000002</v>
      </c>
      <c r="AF563" s="1722">
        <f t="shared" si="484"/>
        <v>0.24000000000000002</v>
      </c>
      <c r="AG563" s="1722">
        <f t="shared" si="484"/>
        <v>0.24000000000000002</v>
      </c>
      <c r="AH563" s="1722">
        <f t="shared" si="484"/>
        <v>0.24000000000000002</v>
      </c>
      <c r="AI563" s="1722">
        <f t="shared" si="484"/>
        <v>0.24000000000000002</v>
      </c>
      <c r="AJ563" s="778"/>
      <c r="AN563" s="497"/>
      <c r="AO563" s="497"/>
      <c r="AP563" s="497"/>
      <c r="AQ563" s="497"/>
    </row>
    <row r="564" spans="1:73" s="496" customFormat="1" ht="12.75" x14ac:dyDescent="0.2">
      <c r="A564" s="498"/>
      <c r="B564" s="1717" t="str">
        <f t="shared" si="462"/>
        <v>PASIVOS ESTIMADOS Y PROVISIONES / GASTOS OPERACIONALES (ANUALIZADOS)</v>
      </c>
      <c r="C564" s="1718">
        <f t="shared" si="462"/>
        <v>0</v>
      </c>
      <c r="D564" s="1006"/>
      <c r="E564" s="1719">
        <f t="shared" si="463"/>
        <v>0.3</v>
      </c>
      <c r="F564" s="1006"/>
      <c r="G564" s="1006"/>
      <c r="H564" s="1719">
        <f t="shared" si="464"/>
        <v>0.3</v>
      </c>
      <c r="I564" s="1006"/>
      <c r="J564" s="1006"/>
      <c r="K564" s="1719">
        <f t="shared" si="465"/>
        <v>0.15</v>
      </c>
      <c r="M564" s="500"/>
      <c r="N564" s="1719">
        <f t="shared" si="466"/>
        <v>0.3</v>
      </c>
      <c r="P564" s="500"/>
      <c r="Q564" s="1719">
        <f t="shared" si="467"/>
        <v>0.15</v>
      </c>
      <c r="S564" s="1720"/>
      <c r="T564" s="1721">
        <f t="shared" ref="T564:AI564" si="485">T470+$S564</f>
        <v>0.30000000000000004</v>
      </c>
      <c r="U564" s="1721">
        <f t="shared" si="485"/>
        <v>0.30000000000000004</v>
      </c>
      <c r="V564" s="1721">
        <f t="shared" si="485"/>
        <v>0.30000000000000004</v>
      </c>
      <c r="W564" s="1721">
        <f t="shared" si="485"/>
        <v>0.30000000000000004</v>
      </c>
      <c r="X564" s="1721">
        <f t="shared" si="485"/>
        <v>0.30000000000000004</v>
      </c>
      <c r="Y564" s="1721">
        <f t="shared" si="485"/>
        <v>0.30000000000000004</v>
      </c>
      <c r="Z564" s="1721">
        <f t="shared" si="485"/>
        <v>0.30000000000000004</v>
      </c>
      <c r="AA564" s="1721">
        <f t="shared" si="485"/>
        <v>0.30000000000000004</v>
      </c>
      <c r="AB564" s="1721">
        <f t="shared" si="485"/>
        <v>0.30000000000000004</v>
      </c>
      <c r="AC564" s="1721">
        <f t="shared" si="485"/>
        <v>0.30000000000000004</v>
      </c>
      <c r="AD564" s="1722">
        <f t="shared" si="485"/>
        <v>0.30000000000000004</v>
      </c>
      <c r="AE564" s="1722">
        <f t="shared" si="485"/>
        <v>0.30000000000000004</v>
      </c>
      <c r="AF564" s="1722">
        <f t="shared" si="485"/>
        <v>0.30000000000000004</v>
      </c>
      <c r="AG564" s="1722">
        <f t="shared" si="485"/>
        <v>0.30000000000000004</v>
      </c>
      <c r="AH564" s="1722">
        <f t="shared" si="485"/>
        <v>0.30000000000000004</v>
      </c>
      <c r="AI564" s="1722">
        <f t="shared" si="485"/>
        <v>0.30000000000000004</v>
      </c>
      <c r="AJ564" s="778"/>
      <c r="AN564" s="497"/>
      <c r="AO564" s="497"/>
      <c r="AP564" s="497"/>
      <c r="AQ564" s="497"/>
    </row>
    <row r="565" spans="1:73" s="496" customFormat="1" ht="12.75" x14ac:dyDescent="0.2">
      <c r="A565" s="498"/>
      <c r="B565" s="1717" t="str">
        <f t="shared" si="462"/>
        <v>DIVIDENDOS PAGADOS / UTILIDAD NETA EJERCICIO ANTERIOR</v>
      </c>
      <c r="C565" s="1765" t="str">
        <f t="shared" si="462"/>
        <v>N/A</v>
      </c>
      <c r="D565" s="1006"/>
      <c r="E565" s="1719">
        <f t="shared" si="463"/>
        <v>0</v>
      </c>
      <c r="F565" s="1006"/>
      <c r="G565" s="1006"/>
      <c r="H565" s="1719">
        <f t="shared" si="464"/>
        <v>1</v>
      </c>
      <c r="I565" s="1006"/>
      <c r="J565" s="1006"/>
      <c r="K565" s="1719">
        <f t="shared" si="465"/>
        <v>1</v>
      </c>
      <c r="M565" s="500"/>
      <c r="N565" s="1719">
        <f t="shared" si="466"/>
        <v>1</v>
      </c>
      <c r="P565" s="500"/>
      <c r="Q565" s="1719">
        <f t="shared" si="467"/>
        <v>1</v>
      </c>
      <c r="S565" s="1720"/>
      <c r="T565" s="1721">
        <f t="shared" ref="T565:AI565" si="486">T471+$S565</f>
        <v>0.67</v>
      </c>
      <c r="U565" s="1721">
        <f t="shared" si="486"/>
        <v>0.67</v>
      </c>
      <c r="V565" s="1721">
        <f t="shared" si="486"/>
        <v>0.67</v>
      </c>
      <c r="W565" s="1721">
        <f t="shared" si="486"/>
        <v>0.67</v>
      </c>
      <c r="X565" s="1721">
        <f t="shared" si="486"/>
        <v>0.67</v>
      </c>
      <c r="Y565" s="1721">
        <f t="shared" si="486"/>
        <v>0.67</v>
      </c>
      <c r="Z565" s="1721">
        <f t="shared" si="486"/>
        <v>0.67</v>
      </c>
      <c r="AA565" s="1721">
        <f t="shared" si="486"/>
        <v>0.67</v>
      </c>
      <c r="AB565" s="1721">
        <f t="shared" si="486"/>
        <v>0.67</v>
      </c>
      <c r="AC565" s="1721">
        <f t="shared" si="486"/>
        <v>0.67</v>
      </c>
      <c r="AD565" s="1722">
        <f t="shared" si="486"/>
        <v>0.67</v>
      </c>
      <c r="AE565" s="1722">
        <f t="shared" si="486"/>
        <v>0.67</v>
      </c>
      <c r="AF565" s="1722">
        <f t="shared" si="486"/>
        <v>0.67</v>
      </c>
      <c r="AG565" s="1722">
        <f t="shared" si="486"/>
        <v>0.67</v>
      </c>
      <c r="AH565" s="1722">
        <f t="shared" si="486"/>
        <v>0.67</v>
      </c>
      <c r="AI565" s="1722">
        <f t="shared" si="486"/>
        <v>0.67</v>
      </c>
      <c r="AJ565" s="778"/>
      <c r="AN565" s="497"/>
      <c r="AO565" s="497"/>
      <c r="AP565" s="497"/>
      <c r="AQ565" s="497"/>
    </row>
    <row r="566" spans="1:73" s="496" customFormat="1" ht="12.75" x14ac:dyDescent="0.2">
      <c r="A566" s="498"/>
      <c r="B566" s="1734" t="str">
        <f t="shared" si="462"/>
        <v>VARIACIÓN REVALORIZACIÓN PATRIMONIAL</v>
      </c>
      <c r="C566" s="1767" t="str">
        <f t="shared" si="462"/>
        <v>N/A</v>
      </c>
      <c r="D566" s="1006"/>
      <c r="E566" s="1736">
        <f t="shared" si="463"/>
        <v>0</v>
      </c>
      <c r="F566" s="1006"/>
      <c r="G566" s="1006"/>
      <c r="H566" s="1736">
        <f t="shared" si="464"/>
        <v>0</v>
      </c>
      <c r="I566" s="1006"/>
      <c r="J566" s="1006"/>
      <c r="K566" s="1736">
        <f t="shared" si="465"/>
        <v>0</v>
      </c>
      <c r="M566" s="500"/>
      <c r="N566" s="1736">
        <f t="shared" si="466"/>
        <v>0</v>
      </c>
      <c r="P566" s="500"/>
      <c r="Q566" s="1736">
        <f t="shared" si="467"/>
        <v>0</v>
      </c>
      <c r="S566" s="1737"/>
      <c r="T566" s="1738">
        <v>0</v>
      </c>
      <c r="U566" s="1738">
        <f t="shared" ref="U566:AI566" si="487">U472+$S566</f>
        <v>0</v>
      </c>
      <c r="V566" s="1738">
        <f t="shared" si="487"/>
        <v>0</v>
      </c>
      <c r="W566" s="1738">
        <f t="shared" si="487"/>
        <v>0</v>
      </c>
      <c r="X566" s="1738">
        <f t="shared" si="487"/>
        <v>0</v>
      </c>
      <c r="Y566" s="1738">
        <f t="shared" si="487"/>
        <v>0</v>
      </c>
      <c r="Z566" s="1738">
        <f t="shared" si="487"/>
        <v>0</v>
      </c>
      <c r="AA566" s="1738">
        <f t="shared" si="487"/>
        <v>0</v>
      </c>
      <c r="AB566" s="1738">
        <f t="shared" si="487"/>
        <v>0</v>
      </c>
      <c r="AC566" s="1738">
        <f t="shared" si="487"/>
        <v>0</v>
      </c>
      <c r="AD566" s="1739">
        <f t="shared" si="487"/>
        <v>0</v>
      </c>
      <c r="AE566" s="1739">
        <f t="shared" si="487"/>
        <v>0</v>
      </c>
      <c r="AF566" s="1739">
        <f t="shared" si="487"/>
        <v>0</v>
      </c>
      <c r="AG566" s="1739">
        <f t="shared" si="487"/>
        <v>0</v>
      </c>
      <c r="AH566" s="1739">
        <f t="shared" si="487"/>
        <v>0</v>
      </c>
      <c r="AI566" s="1739">
        <f t="shared" si="487"/>
        <v>0</v>
      </c>
      <c r="AJ566" s="778"/>
      <c r="AN566" s="497"/>
      <c r="AO566" s="497"/>
      <c r="AP566" s="497"/>
      <c r="AQ566" s="497"/>
    </row>
    <row r="567" spans="1:73" s="496" customFormat="1" ht="12.75" x14ac:dyDescent="0.2">
      <c r="A567" s="498"/>
      <c r="B567" s="1768"/>
      <c r="I567" s="495"/>
      <c r="J567" s="495"/>
      <c r="K567" s="495"/>
      <c r="M567" s="500"/>
      <c r="N567" s="495"/>
      <c r="P567" s="500"/>
      <c r="Q567" s="495"/>
      <c r="S567" s="500"/>
      <c r="T567" s="500"/>
      <c r="AE567" s="1769"/>
      <c r="AF567" s="1769"/>
      <c r="AJ567" s="778"/>
      <c r="AN567" s="497"/>
      <c r="AO567" s="497"/>
      <c r="AP567" s="497"/>
      <c r="AQ567" s="497"/>
    </row>
    <row r="568" spans="1:73" s="496" customFormat="1" ht="12.75" x14ac:dyDescent="0.2">
      <c r="A568" s="498"/>
      <c r="B568" s="1768"/>
      <c r="I568" s="495"/>
      <c r="J568" s="495"/>
      <c r="K568" s="495"/>
      <c r="M568" s="500"/>
      <c r="N568" s="495"/>
      <c r="P568" s="500"/>
      <c r="Q568" s="495"/>
      <c r="S568" s="500"/>
      <c r="T568" s="1770" t="s">
        <v>1044</v>
      </c>
      <c r="U568" s="1771" t="s">
        <v>1044</v>
      </c>
      <c r="V568" s="1771" t="s">
        <v>1044</v>
      </c>
      <c r="W568" s="1771" t="s">
        <v>1044</v>
      </c>
      <c r="X568" s="1771" t="s">
        <v>1044</v>
      </c>
      <c r="Y568" s="1771" t="s">
        <v>1044</v>
      </c>
      <c r="Z568" s="1771" t="s">
        <v>1044</v>
      </c>
      <c r="AA568" s="1771" t="s">
        <v>1044</v>
      </c>
      <c r="AB568" s="1771" t="s">
        <v>1044</v>
      </c>
      <c r="AC568" s="1771" t="s">
        <v>1044</v>
      </c>
      <c r="AD568" s="1772" t="s">
        <v>1044</v>
      </c>
      <c r="AE568" s="1772" t="s">
        <v>1044</v>
      </c>
      <c r="AF568" s="1772" t="s">
        <v>1044</v>
      </c>
      <c r="AG568" s="1772" t="s">
        <v>1044</v>
      </c>
      <c r="AH568" s="1772" t="s">
        <v>1044</v>
      </c>
      <c r="AI568" s="1772" t="s">
        <v>1044</v>
      </c>
      <c r="AJ568" s="778"/>
      <c r="AN568" s="497"/>
      <c r="AO568" s="497"/>
      <c r="AP568" s="497"/>
      <c r="AQ568" s="497"/>
    </row>
    <row r="569" spans="1:73" s="496" customFormat="1" ht="12.75" x14ac:dyDescent="0.2">
      <c r="A569" s="498"/>
      <c r="B569" s="1773" t="s">
        <v>1375</v>
      </c>
      <c r="C569" s="1774">
        <f>C428</f>
        <v>2018</v>
      </c>
      <c r="E569" s="1775">
        <f>E428</f>
        <v>2019</v>
      </c>
      <c r="H569" s="1775">
        <f>H428</f>
        <v>2020</v>
      </c>
      <c r="I569" s="495"/>
      <c r="J569" s="495"/>
      <c r="K569" s="1775">
        <f>K428</f>
        <v>2020</v>
      </c>
      <c r="M569" s="500"/>
      <c r="N569" s="1775">
        <f>N428</f>
        <v>2021</v>
      </c>
      <c r="P569" s="500"/>
      <c r="Q569" s="1775">
        <f>Q428</f>
        <v>2021</v>
      </c>
      <c r="S569" s="500"/>
      <c r="T569" s="1776">
        <f t="shared" ref="T569:AI569" si="488">T428</f>
        <v>2022</v>
      </c>
      <c r="U569" s="1777">
        <f t="shared" si="488"/>
        <v>2023</v>
      </c>
      <c r="V569" s="1777">
        <f t="shared" si="488"/>
        <v>2024</v>
      </c>
      <c r="W569" s="1777">
        <f t="shared" si="488"/>
        <v>2025</v>
      </c>
      <c r="X569" s="1777">
        <f t="shared" si="488"/>
        <v>2026</v>
      </c>
      <c r="Y569" s="1777">
        <f t="shared" si="488"/>
        <v>2027</v>
      </c>
      <c r="Z569" s="1777">
        <f t="shared" si="488"/>
        <v>2028</v>
      </c>
      <c r="AA569" s="1777">
        <f t="shared" si="488"/>
        <v>2029</v>
      </c>
      <c r="AB569" s="1777">
        <f t="shared" si="488"/>
        <v>2030</v>
      </c>
      <c r="AC569" s="1777">
        <f t="shared" si="488"/>
        <v>2031</v>
      </c>
      <c r="AD569" s="1778">
        <f t="shared" si="488"/>
        <v>2032</v>
      </c>
      <c r="AE569" s="1778">
        <f t="shared" si="488"/>
        <v>2033</v>
      </c>
      <c r="AF569" s="1778">
        <f t="shared" si="488"/>
        <v>2034</v>
      </c>
      <c r="AG569" s="1778">
        <f t="shared" si="488"/>
        <v>2035</v>
      </c>
      <c r="AH569" s="1778">
        <f t="shared" si="488"/>
        <v>2036</v>
      </c>
      <c r="AI569" s="1778">
        <f t="shared" si="488"/>
        <v>2037</v>
      </c>
      <c r="AJ569" s="778"/>
      <c r="AN569" s="497"/>
      <c r="AO569" s="497"/>
      <c r="AP569" s="497"/>
      <c r="AQ569" s="497"/>
    </row>
    <row r="570" spans="1:73" s="496" customFormat="1" ht="12.75" x14ac:dyDescent="0.2">
      <c r="A570" s="498"/>
      <c r="B570" s="1779" t="str">
        <f>B429</f>
        <v>Inflación</v>
      </c>
      <c r="C570" s="1780">
        <f>C429</f>
        <v>6.8000000000000005E-2</v>
      </c>
      <c r="E570" s="1781">
        <f>E429</f>
        <v>3.6999999999999998E-2</v>
      </c>
      <c r="H570" s="1781">
        <f>H429</f>
        <v>2.4400000000000002E-2</v>
      </c>
      <c r="I570" s="495"/>
      <c r="J570" s="495"/>
      <c r="K570" s="1781" t="str">
        <f>K429</f>
        <v>N/A</v>
      </c>
      <c r="M570" s="500"/>
      <c r="N570" s="1781">
        <f>N429</f>
        <v>3.6600000000000001E-2</v>
      </c>
      <c r="P570" s="500"/>
      <c r="Q570" s="1781" t="str">
        <f>Q429</f>
        <v>N/A</v>
      </c>
      <c r="S570" s="728"/>
      <c r="T570" s="1782">
        <f t="shared" ref="T570:AI570" si="489">T476</f>
        <v>6.7699999999999996E-2</v>
      </c>
      <c r="U570" s="1783">
        <f t="shared" si="489"/>
        <v>3.6400000000000002E-2</v>
      </c>
      <c r="V570" s="1783">
        <f t="shared" si="489"/>
        <v>0.03</v>
      </c>
      <c r="W570" s="1783">
        <f t="shared" si="489"/>
        <v>0.03</v>
      </c>
      <c r="X570" s="1783">
        <f t="shared" si="489"/>
        <v>0.03</v>
      </c>
      <c r="Y570" s="1783">
        <f t="shared" si="489"/>
        <v>0.03</v>
      </c>
      <c r="Z570" s="1783">
        <f t="shared" si="489"/>
        <v>0.03</v>
      </c>
      <c r="AA570" s="1783">
        <f t="shared" si="489"/>
        <v>0.03</v>
      </c>
      <c r="AB570" s="1783">
        <f t="shared" si="489"/>
        <v>0.03</v>
      </c>
      <c r="AC570" s="1783">
        <f t="shared" si="489"/>
        <v>0.03</v>
      </c>
      <c r="AD570" s="1784">
        <f t="shared" si="489"/>
        <v>0.03</v>
      </c>
      <c r="AE570" s="1784">
        <f t="shared" si="489"/>
        <v>0.03</v>
      </c>
      <c r="AF570" s="1784">
        <f t="shared" si="489"/>
        <v>0.03</v>
      </c>
      <c r="AG570" s="1784">
        <f t="shared" si="489"/>
        <v>0.03</v>
      </c>
      <c r="AH570" s="1784">
        <f t="shared" si="489"/>
        <v>0.03</v>
      </c>
      <c r="AI570" s="1784">
        <f t="shared" si="489"/>
        <v>0.03</v>
      </c>
      <c r="AJ570" s="778"/>
      <c r="AN570" s="497"/>
      <c r="AO570" s="497"/>
      <c r="AP570" s="497"/>
      <c r="AQ570" s="497"/>
    </row>
    <row r="571" spans="1:73" s="496" customFormat="1" ht="12.75" x14ac:dyDescent="0.2">
      <c r="A571" s="498"/>
      <c r="B571" s="1785" t="str">
        <f>B430</f>
        <v>Variación TRM</v>
      </c>
      <c r="C571" s="1786">
        <f>C430</f>
        <v>4.4900000000000002E-2</v>
      </c>
      <c r="E571" s="1787">
        <f>E430</f>
        <v>-0.13397724183117241</v>
      </c>
      <c r="H571" s="1787">
        <f>H430</f>
        <v>-9.0066906845084921E-2</v>
      </c>
      <c r="I571" s="495"/>
      <c r="J571" s="495"/>
      <c r="K571" s="1787" t="str">
        <f>K430</f>
        <v>N/A</v>
      </c>
      <c r="M571" s="500"/>
      <c r="N571" s="1787">
        <f>N430</f>
        <v>0.32480404320537187</v>
      </c>
      <c r="P571" s="500"/>
      <c r="Q571" s="1787" t="str">
        <f>Q430</f>
        <v>N/A</v>
      </c>
      <c r="S571" s="728"/>
      <c r="T571" s="1788">
        <f t="shared" ref="T571:AI571" si="490">T477</f>
        <v>0.38507704050111063</v>
      </c>
      <c r="U571" s="1789">
        <f t="shared" si="490"/>
        <v>-0.13692170398303674</v>
      </c>
      <c r="V571" s="1789">
        <f t="shared" si="490"/>
        <v>2.5000000000000001E-2</v>
      </c>
      <c r="W571" s="1789">
        <f t="shared" si="490"/>
        <v>0.04</v>
      </c>
      <c r="X571" s="1789">
        <f t="shared" si="490"/>
        <v>0.04</v>
      </c>
      <c r="Y571" s="1790">
        <f t="shared" si="490"/>
        <v>0.04</v>
      </c>
      <c r="Z571" s="1790">
        <f t="shared" si="490"/>
        <v>0.04</v>
      </c>
      <c r="AA571" s="1790">
        <f t="shared" si="490"/>
        <v>0.04</v>
      </c>
      <c r="AB571" s="1790">
        <f t="shared" si="490"/>
        <v>0.04</v>
      </c>
      <c r="AC571" s="1790">
        <f t="shared" si="490"/>
        <v>0.04</v>
      </c>
      <c r="AD571" s="1791">
        <f t="shared" si="490"/>
        <v>0.04</v>
      </c>
      <c r="AE571" s="1791">
        <f t="shared" si="490"/>
        <v>0.04</v>
      </c>
      <c r="AF571" s="1791">
        <f t="shared" si="490"/>
        <v>0.04</v>
      </c>
      <c r="AG571" s="1791">
        <f t="shared" si="490"/>
        <v>0.04</v>
      </c>
      <c r="AH571" s="1791">
        <f t="shared" si="490"/>
        <v>0.04</v>
      </c>
      <c r="AI571" s="1791">
        <f t="shared" si="490"/>
        <v>0.04</v>
      </c>
      <c r="AJ571" s="778"/>
      <c r="AN571" s="497"/>
      <c r="AO571" s="497"/>
      <c r="AP571" s="497"/>
      <c r="AQ571" s="497"/>
    </row>
    <row r="572" spans="1:73" s="496" customFormat="1" ht="12.75" x14ac:dyDescent="0.2">
      <c r="A572" s="498"/>
      <c r="B572" s="1785" t="str">
        <f>B431</f>
        <v>Crecimiento PIB</v>
      </c>
      <c r="C572" s="1786">
        <f>C431</f>
        <v>6.5799999999999997E-2</v>
      </c>
      <c r="E572" s="1787">
        <f>E431</f>
        <v>4.0399999999999998E-2</v>
      </c>
      <c r="H572" s="1787">
        <f>H431</f>
        <v>4.9299999999999997E-2</v>
      </c>
      <c r="I572" s="495"/>
      <c r="J572" s="495"/>
      <c r="K572" s="1787" t="str">
        <f>K431</f>
        <v>N/A</v>
      </c>
      <c r="M572" s="500"/>
      <c r="N572" s="1787">
        <f>N431</f>
        <v>4.5499999999999999E-2</v>
      </c>
      <c r="P572" s="500"/>
      <c r="Q572" s="1787" t="str">
        <f>Q431</f>
        <v>N/A</v>
      </c>
      <c r="S572" s="728"/>
      <c r="T572" s="1792">
        <f>T573/N573-1</f>
        <v>0.38507704050111058</v>
      </c>
      <c r="U572" s="1793">
        <f>U573/T573-1</f>
        <v>-0.13692170398303671</v>
      </c>
      <c r="V572" s="1793">
        <f>V573/U573-1</f>
        <v>-0.24420714285714296</v>
      </c>
      <c r="W572" s="1793">
        <f>W573/V573-1</f>
        <v>3.5001086843522877E-2</v>
      </c>
      <c r="X572" s="1793">
        <f>X573/W573-1</f>
        <v>3.499999999999992E-2</v>
      </c>
      <c r="Y572" s="1789">
        <f>AVERAGE(T572:X572)</f>
        <v>1.4789856100890741E-2</v>
      </c>
      <c r="Z572" s="1789">
        <f t="shared" ref="Z572:AI572" si="491">Y572</f>
        <v>1.4789856100890741E-2</v>
      </c>
      <c r="AA572" s="1789">
        <f t="shared" si="491"/>
        <v>1.4789856100890741E-2</v>
      </c>
      <c r="AB572" s="1789">
        <f t="shared" si="491"/>
        <v>1.4789856100890741E-2</v>
      </c>
      <c r="AC572" s="1789">
        <f t="shared" si="491"/>
        <v>1.4789856100890741E-2</v>
      </c>
      <c r="AD572" s="1794">
        <f t="shared" si="491"/>
        <v>1.4789856100890741E-2</v>
      </c>
      <c r="AE572" s="1794">
        <f t="shared" si="491"/>
        <v>1.4789856100890741E-2</v>
      </c>
      <c r="AF572" s="1794">
        <f t="shared" si="491"/>
        <v>1.4789856100890741E-2</v>
      </c>
      <c r="AG572" s="1794">
        <f t="shared" si="491"/>
        <v>1.4789856100890741E-2</v>
      </c>
      <c r="AH572" s="1794">
        <f t="shared" si="491"/>
        <v>1.4789856100890741E-2</v>
      </c>
      <c r="AI572" s="1794">
        <f t="shared" si="491"/>
        <v>1.4789856100890741E-2</v>
      </c>
      <c r="AJ572" s="778"/>
      <c r="AN572" s="497"/>
      <c r="AO572" s="497"/>
      <c r="AP572" s="497"/>
      <c r="AQ572" s="497"/>
    </row>
    <row r="573" spans="1:73" s="496" customFormat="1" ht="13.5" thickBot="1" x14ac:dyDescent="0.25">
      <c r="A573" s="498"/>
      <c r="B573" s="1795" t="str">
        <f>B432</f>
        <v>TRM (COP POR 1 USD)</v>
      </c>
      <c r="C573" s="1796">
        <f>C432</f>
        <v>2243.59</v>
      </c>
      <c r="D573" s="1698"/>
      <c r="E573" s="1797">
        <f>E432</f>
        <v>1943</v>
      </c>
      <c r="F573" s="1698"/>
      <c r="G573" s="1698"/>
      <c r="H573" s="1797">
        <f>H432</f>
        <v>1768</v>
      </c>
      <c r="I573" s="1798"/>
      <c r="J573" s="1798"/>
      <c r="K573" s="1797" t="str">
        <f>K432</f>
        <v>N/A</v>
      </c>
      <c r="L573" s="1698"/>
      <c r="M573" s="1799"/>
      <c r="N573" s="1797">
        <f>N432</f>
        <v>2342.2535483870975</v>
      </c>
      <c r="O573" s="1698"/>
      <c r="P573" s="1799"/>
      <c r="Q573" s="1797" t="str">
        <f>Q432</f>
        <v>N/A</v>
      </c>
      <c r="R573" s="1698"/>
      <c r="S573" s="1800"/>
      <c r="T573" s="1801">
        <f>T479</f>
        <v>3244.2016129032259</v>
      </c>
      <c r="U573" s="1802">
        <f>U479</f>
        <v>2800</v>
      </c>
      <c r="V573" s="1802">
        <f>V479</f>
        <v>2116.2199999999998</v>
      </c>
      <c r="W573" s="1802">
        <f>W479</f>
        <v>2190.29</v>
      </c>
      <c r="X573" s="1802">
        <f>X479</f>
        <v>2266.9501499999997</v>
      </c>
      <c r="Y573" s="1803">
        <f t="shared" ref="Y573:AI573" si="492">X573*(1+Y572)</f>
        <v>2300.4780165063926</v>
      </c>
      <c r="Z573" s="1803">
        <f t="shared" si="492"/>
        <v>2334.5017553337848</v>
      </c>
      <c r="AA573" s="1803">
        <f t="shared" si="492"/>
        <v>2369.0287003624485</v>
      </c>
      <c r="AB573" s="1803">
        <f t="shared" si="492"/>
        <v>2404.0662939396893</v>
      </c>
      <c r="AC573" s="1803">
        <f t="shared" si="492"/>
        <v>2439.6220884840591</v>
      </c>
      <c r="AD573" s="1804">
        <f t="shared" si="492"/>
        <v>2475.7037481132929</v>
      </c>
      <c r="AE573" s="1804">
        <f t="shared" si="492"/>
        <v>2512.3190502963243</v>
      </c>
      <c r="AF573" s="1804">
        <f t="shared" si="492"/>
        <v>2549.4758875297334</v>
      </c>
      <c r="AG573" s="1804">
        <f t="shared" si="492"/>
        <v>2587.182269038989</v>
      </c>
      <c r="AH573" s="1804">
        <f t="shared" si="492"/>
        <v>2625.4463225048517</v>
      </c>
      <c r="AI573" s="1804">
        <f t="shared" si="492"/>
        <v>2664.2762958153112</v>
      </c>
      <c r="AJ573" s="778"/>
      <c r="AN573" s="497"/>
      <c r="AO573" s="497"/>
      <c r="AQ573" s="497"/>
    </row>
    <row r="574" spans="1:73" s="496" customFormat="1" ht="13.5" thickBot="1" x14ac:dyDescent="0.25">
      <c r="A574" s="1805"/>
      <c r="B574" s="1806"/>
      <c r="C574" s="1807"/>
      <c r="D574" s="1806"/>
      <c r="E574" s="1807"/>
      <c r="F574" s="1806"/>
      <c r="G574" s="1806"/>
      <c r="H574" s="1807"/>
      <c r="I574" s="1808"/>
      <c r="J574" s="1808"/>
      <c r="K574" s="1807"/>
      <c r="L574" s="1806"/>
      <c r="M574" s="1809"/>
      <c r="N574" s="1807"/>
      <c r="O574" s="1806"/>
      <c r="P574" s="1809"/>
      <c r="Q574" s="1809"/>
      <c r="R574" s="1810"/>
      <c r="S574" s="1810"/>
      <c r="T574" s="1811" t="str">
        <f>T480</f>
        <v>FUENTES PARA INFORMACIÓN INICIAL DE PROYECCIÓN: BANCO DE LA REPÚBLICA, DIRECCIÓN EJECUTIVA DE ESTUDIOS ECONÓMICOS, CÁLCULOS DAVIVIENDA</v>
      </c>
      <c r="U574" s="1810"/>
      <c r="V574" s="1810"/>
      <c r="W574" s="1810"/>
      <c r="X574" s="1810"/>
      <c r="Y574" s="1810"/>
      <c r="Z574" s="1810"/>
      <c r="AA574" s="1810"/>
      <c r="AB574" s="1806"/>
      <c r="AC574" s="1806"/>
      <c r="AD574" s="1806"/>
      <c r="AE574" s="1806"/>
      <c r="AF574" s="1812"/>
      <c r="AG574" s="1806"/>
      <c r="AH574" s="1806"/>
      <c r="AI574" s="1806"/>
      <c r="AJ574" s="1813"/>
      <c r="AK574" s="497"/>
      <c r="AL574" s="497"/>
      <c r="AM574" s="497"/>
      <c r="AN574" s="497"/>
    </row>
    <row r="575" spans="1:73" s="496" customFormat="1" ht="14.25" thickTop="1" thickBot="1" x14ac:dyDescent="0.25">
      <c r="A575" s="498"/>
      <c r="C575" s="1463"/>
      <c r="E575" s="1463"/>
      <c r="H575" s="1463"/>
      <c r="I575" s="495"/>
      <c r="J575" s="495"/>
      <c r="K575" s="1463"/>
      <c r="M575" s="500"/>
      <c r="N575" s="1463"/>
      <c r="P575" s="500"/>
      <c r="Q575" s="500"/>
      <c r="R575" s="1814"/>
      <c r="S575" s="1814"/>
      <c r="T575" s="1815"/>
      <c r="U575" s="1814"/>
      <c r="V575" s="1814"/>
      <c r="W575" s="1814"/>
      <c r="X575" s="1814"/>
      <c r="Y575" s="1814"/>
      <c r="Z575" s="1814"/>
      <c r="AA575" s="1814"/>
      <c r="AK575" s="1816"/>
      <c r="AL575" s="497"/>
      <c r="AM575" s="497"/>
      <c r="AN575" s="497"/>
    </row>
    <row r="576" spans="1:73" s="496" customFormat="1" ht="24.75" thickTop="1" thickBot="1" x14ac:dyDescent="0.3">
      <c r="B576" s="1817" t="s">
        <v>1378</v>
      </c>
      <c r="AK576" s="1818"/>
      <c r="AL576" s="1819"/>
      <c r="AM576" s="1820" t="s">
        <v>1379</v>
      </c>
      <c r="AN576" s="1821"/>
      <c r="AO576" s="948"/>
      <c r="AP576" s="1821"/>
      <c r="AQ576" s="948"/>
      <c r="AR576" s="948"/>
      <c r="AS576" s="1821"/>
      <c r="AT576" s="1822"/>
      <c r="AU576" s="1822"/>
      <c r="AV576" s="1821"/>
      <c r="AW576" s="948"/>
      <c r="AX576" s="1823"/>
      <c r="AY576" s="1821"/>
      <c r="AZ576" s="948"/>
      <c r="BA576" s="1823"/>
      <c r="BB576" s="1823"/>
      <c r="BC576" s="1824"/>
      <c r="BD576" s="1824"/>
      <c r="BE576" s="1825"/>
      <c r="BF576" s="1824"/>
      <c r="BG576" s="1824"/>
      <c r="BH576" s="1824"/>
      <c r="BI576" s="1824"/>
      <c r="BJ576" s="1824"/>
      <c r="BK576" s="1824"/>
      <c r="BL576" s="1824"/>
      <c r="BM576" s="948"/>
      <c r="BN576" s="948"/>
      <c r="BO576" s="948"/>
      <c r="BP576" s="948"/>
      <c r="BQ576" s="948"/>
      <c r="BR576" s="948"/>
      <c r="BS576" s="948"/>
      <c r="BT576" s="948"/>
      <c r="BU576" s="1826"/>
    </row>
    <row r="577" spans="2:73" s="496" customFormat="1" ht="15.75" thickBot="1" x14ac:dyDescent="0.3">
      <c r="B577" s="1827" t="s">
        <v>1380</v>
      </c>
      <c r="I577" s="495"/>
      <c r="J577" s="495"/>
      <c r="K577" s="495"/>
      <c r="M577" s="500"/>
      <c r="N577" s="495"/>
      <c r="P577" s="500"/>
      <c r="Q577" s="495"/>
      <c r="S577" s="500"/>
      <c r="T577" s="1412" t="s">
        <v>1044</v>
      </c>
      <c r="U577" s="1235" t="s">
        <v>1044</v>
      </c>
      <c r="V577" s="1235" t="s">
        <v>1044</v>
      </c>
      <c r="AK577" s="1828"/>
      <c r="AL577" s="507"/>
      <c r="AM577" s="603"/>
      <c r="AO577" s="495"/>
      <c r="AT577" s="495"/>
      <c r="AU577" s="495"/>
      <c r="AV577" s="1829"/>
      <c r="AX577" s="500"/>
      <c r="AY577" s="1829"/>
      <c r="BA577" s="500"/>
      <c r="BB577" s="1474"/>
      <c r="BC577" s="1474"/>
      <c r="BD577" s="1474"/>
      <c r="BE577" s="1474"/>
      <c r="BF577" s="1474"/>
      <c r="BG577" s="1474"/>
      <c r="BH577" s="1474"/>
      <c r="BI577" s="1474"/>
      <c r="BJ577" s="1474"/>
      <c r="BK577" s="1474"/>
      <c r="BL577" s="1474"/>
      <c r="BU577" s="1830"/>
    </row>
    <row r="578" spans="2:73" s="496" customFormat="1" ht="15" x14ac:dyDescent="0.25">
      <c r="B578" s="1231" t="s">
        <v>1381</v>
      </c>
      <c r="C578" s="1413">
        <f>$C$422</f>
        <v>2018</v>
      </c>
      <c r="D578" s="1250"/>
      <c r="E578" s="1413">
        <f>$E$422</f>
        <v>2019</v>
      </c>
      <c r="F578" s="1250"/>
      <c r="G578" s="1250"/>
      <c r="H578" s="1413">
        <f>$H$422</f>
        <v>2020</v>
      </c>
      <c r="I578" s="1360"/>
      <c r="J578" s="1360"/>
      <c r="K578" s="1413">
        <f>K$422</f>
        <v>2020</v>
      </c>
      <c r="L578" s="1250"/>
      <c r="M578" s="1361"/>
      <c r="N578" s="1413">
        <f>$N$422</f>
        <v>2021</v>
      </c>
      <c r="O578" s="1250"/>
      <c r="P578" s="1361"/>
      <c r="Q578" s="1413">
        <f>$Q$422</f>
        <v>2021</v>
      </c>
      <c r="R578" s="1250"/>
      <c r="S578" s="1361"/>
      <c r="T578" s="1413">
        <f>$T$422</f>
        <v>2022</v>
      </c>
      <c r="U578" s="1413">
        <f>$U$422</f>
        <v>2023</v>
      </c>
      <c r="V578" s="1413">
        <f>$V$422</f>
        <v>2024</v>
      </c>
      <c r="X578" s="1831" t="s">
        <v>1382</v>
      </c>
      <c r="AK578" s="1828"/>
      <c r="AL578" s="507"/>
      <c r="AM578" s="603"/>
      <c r="AT578" s="495"/>
      <c r="AU578" s="495"/>
      <c r="AX578" s="500"/>
      <c r="BA578" s="500"/>
      <c r="BD578" s="500"/>
      <c r="BG578" s="495"/>
      <c r="BH578" s="495"/>
      <c r="BI578" s="495"/>
      <c r="BJ578" s="495"/>
      <c r="BK578" s="495"/>
      <c r="BL578" s="495"/>
      <c r="BM578" s="495"/>
      <c r="BN578" s="495"/>
      <c r="BO578" s="495"/>
      <c r="BU578" s="1830"/>
    </row>
    <row r="579" spans="2:73" s="496" customFormat="1" ht="12.75" x14ac:dyDescent="0.2">
      <c r="B579" s="1419" t="s">
        <v>870</v>
      </c>
      <c r="C579" s="1443">
        <v>5.7000000000000002E-2</v>
      </c>
      <c r="E579" s="1444">
        <v>4.9000000000000002E-2</v>
      </c>
      <c r="H579" s="1444">
        <v>4.4999999999999998E-2</v>
      </c>
      <c r="I579" s="495"/>
      <c r="J579" s="495"/>
      <c r="K579" s="1444" t="s">
        <v>1260</v>
      </c>
      <c r="M579" s="500"/>
      <c r="N579" s="1444">
        <v>5.1999999999999998E-2</v>
      </c>
      <c r="P579" s="500"/>
      <c r="Q579" s="1444" t="s">
        <v>1260</v>
      </c>
      <c r="S579" s="500"/>
      <c r="T579" s="1445">
        <v>5.0999999999999997E-2</v>
      </c>
      <c r="U579" s="1444">
        <v>0.05</v>
      </c>
      <c r="V579" s="1444">
        <v>0.05</v>
      </c>
      <c r="X579" s="496" t="s">
        <v>1380</v>
      </c>
      <c r="AK579" s="1828"/>
      <c r="AL579" s="507"/>
      <c r="AM579" s="603"/>
      <c r="AT579" s="495"/>
      <c r="AU579" s="495"/>
      <c r="AX579" s="500"/>
      <c r="BA579" s="500"/>
      <c r="BD579" s="500"/>
      <c r="BG579" s="495"/>
      <c r="BH579" s="495"/>
      <c r="BI579" s="495"/>
      <c r="BJ579" s="495"/>
      <c r="BK579" s="495"/>
      <c r="BL579" s="495"/>
      <c r="BM579" s="495"/>
      <c r="BN579" s="495"/>
      <c r="BO579" s="495"/>
      <c r="BP579" s="1832"/>
      <c r="BU579" s="1830"/>
    </row>
    <row r="580" spans="2:73" s="496" customFormat="1" ht="12.75" x14ac:dyDescent="0.2">
      <c r="B580" s="1423" t="s">
        <v>872</v>
      </c>
      <c r="C580" s="1447">
        <v>-8.2785326797955527E-2</v>
      </c>
      <c r="E580" s="1448">
        <v>-3.8358404807637476E-2</v>
      </c>
      <c r="H580" s="1448">
        <v>-5.4582130285172796E-3</v>
      </c>
      <c r="I580" s="495"/>
      <c r="J580" s="495"/>
      <c r="K580" s="1448" t="s">
        <v>1260</v>
      </c>
      <c r="M580" s="500"/>
      <c r="N580" s="1448">
        <v>-6.2239013720421467E-3</v>
      </c>
      <c r="P580" s="500"/>
      <c r="Q580" s="1448" t="s">
        <v>1260</v>
      </c>
      <c r="S580" s="500"/>
      <c r="T580" s="1449">
        <v>6.7030834183724519E-2</v>
      </c>
      <c r="U580" s="1448">
        <v>-4.2942599433682073E-3</v>
      </c>
      <c r="V580" s="1448">
        <v>2.2938717089155805E-2</v>
      </c>
      <c r="X580" s="496" t="s">
        <v>1383</v>
      </c>
      <c r="AK580" s="1828"/>
      <c r="AL580" s="507"/>
      <c r="AM580" s="603"/>
      <c r="AT580" s="495"/>
      <c r="AU580" s="495"/>
      <c r="AX580" s="500"/>
      <c r="BA580" s="500"/>
      <c r="BD580" s="500"/>
      <c r="BG580" s="495"/>
      <c r="BH580" s="495"/>
      <c r="BI580" s="495"/>
      <c r="BJ580" s="495"/>
      <c r="BK580" s="495"/>
      <c r="BL580" s="495"/>
      <c r="BM580" s="495"/>
      <c r="BN580" s="495"/>
      <c r="BO580" s="495"/>
      <c r="BP580" s="1833"/>
      <c r="BU580" s="1830"/>
    </row>
    <row r="581" spans="2:73" s="925" customFormat="1" ht="15" x14ac:dyDescent="0.2">
      <c r="B581" s="1423" t="s">
        <v>874</v>
      </c>
      <c r="C581" s="1447">
        <v>0.05</v>
      </c>
      <c r="D581" s="496"/>
      <c r="E581" s="1448">
        <v>4.4999999999999998E-2</v>
      </c>
      <c r="F581" s="496"/>
      <c r="G581" s="496"/>
      <c r="H581" s="1448">
        <v>5.0999999999999997E-2</v>
      </c>
      <c r="I581" s="495"/>
      <c r="J581" s="495"/>
      <c r="K581" s="1448" t="s">
        <v>1260</v>
      </c>
      <c r="L581" s="496"/>
      <c r="M581" s="500"/>
      <c r="N581" s="1448">
        <v>3.5000000000000003E-2</v>
      </c>
      <c r="O581" s="496"/>
      <c r="P581" s="500"/>
      <c r="Q581" s="1448" t="s">
        <v>1260</v>
      </c>
      <c r="R581" s="496"/>
      <c r="S581" s="500"/>
      <c r="T581" s="1449">
        <v>3.6999999999999998E-2</v>
      </c>
      <c r="U581" s="1448">
        <v>4.1000000000000002E-2</v>
      </c>
      <c r="V581" s="1448">
        <v>4.2000000000000003E-2</v>
      </c>
      <c r="X581" s="496" t="s">
        <v>1384</v>
      </c>
      <c r="AK581" s="1834"/>
      <c r="AL581" s="1835"/>
      <c r="AM581" s="1835" t="str">
        <f>B13</f>
        <v>ANEXO - ESTADOS FINANCIEROS0</v>
      </c>
      <c r="AS581" s="1836">
        <f ca="1">NOW()</f>
        <v>45165.397987962962</v>
      </c>
      <c r="AY581" s="880" t="str">
        <f>C13</f>
        <v>Miles de Lempira HNL</v>
      </c>
      <c r="BE581" s="1837" t="str">
        <f>IF($W$241="SI","ESCENARIO "&amp;$V$242,0)</f>
        <v>ESCENARIO BASE</v>
      </c>
      <c r="BG581" s="1838"/>
      <c r="BH581" s="1838"/>
      <c r="BI581" s="1838"/>
      <c r="BJ581" s="1838"/>
      <c r="BK581" s="1838"/>
      <c r="BL581" s="1838"/>
      <c r="BM581" s="1838"/>
      <c r="BN581" s="1838"/>
      <c r="BO581" s="1838"/>
      <c r="BP581" s="1839"/>
      <c r="BQ581" s="1840"/>
      <c r="BU581" s="1841"/>
    </row>
    <row r="582" spans="2:73" s="925" customFormat="1" ht="15.75" thickBot="1" x14ac:dyDescent="0.3">
      <c r="B582" s="1452" t="s">
        <v>1344</v>
      </c>
      <c r="C582" s="1453">
        <v>525.83000000000004</v>
      </c>
      <c r="D582" s="1454"/>
      <c r="E582" s="1455">
        <v>505.66</v>
      </c>
      <c r="F582" s="1454"/>
      <c r="G582" s="1454"/>
      <c r="H582" s="1455">
        <v>502.9</v>
      </c>
      <c r="I582" s="1456"/>
      <c r="J582" s="1456"/>
      <c r="K582" s="1457" t="s">
        <v>1260</v>
      </c>
      <c r="L582" s="1454"/>
      <c r="M582" s="1458"/>
      <c r="N582" s="1457">
        <v>499.77</v>
      </c>
      <c r="O582" s="1454"/>
      <c r="P582" s="1458"/>
      <c r="Q582" s="1457" t="s">
        <v>1260</v>
      </c>
      <c r="R582" s="1454"/>
      <c r="S582" s="1458"/>
      <c r="T582" s="1459">
        <v>533.27</v>
      </c>
      <c r="U582" s="1457">
        <v>530.98</v>
      </c>
      <c r="V582" s="1457">
        <v>543.16</v>
      </c>
      <c r="X582" s="496" t="s">
        <v>1385</v>
      </c>
      <c r="AK582" s="1834"/>
      <c r="AL582" s="1835"/>
      <c r="AM582" s="1842" t="str">
        <f>B14</f>
        <v>Prueba Da 27.08.23</v>
      </c>
      <c r="AP582" s="1843"/>
      <c r="AQ582" s="1843"/>
      <c r="AR582" s="1843"/>
      <c r="AS582" s="1843"/>
      <c r="AT582" s="1843"/>
      <c r="AU582" s="1843"/>
      <c r="AV582" s="1843"/>
      <c r="AW582" s="1843"/>
      <c r="AX582" s="1843"/>
      <c r="AY582" s="1843"/>
      <c r="AZ582" s="1843"/>
      <c r="BA582" s="1843"/>
      <c r="BB582" s="1843"/>
      <c r="BC582" s="1843"/>
      <c r="BD582" s="1843"/>
      <c r="BE582" s="634" t="s">
        <v>1044</v>
      </c>
      <c r="BF582" s="634" t="s">
        <v>1044</v>
      </c>
      <c r="BG582" s="634" t="s">
        <v>1044</v>
      </c>
      <c r="BH582" s="634" t="s">
        <v>1044</v>
      </c>
      <c r="BI582" s="634" t="s">
        <v>1044</v>
      </c>
      <c r="BJ582" s="634" t="s">
        <v>1044</v>
      </c>
      <c r="BK582" s="634" t="s">
        <v>1044</v>
      </c>
      <c r="BL582" s="634" t="s">
        <v>1044</v>
      </c>
      <c r="BM582" s="634" t="s">
        <v>1044</v>
      </c>
      <c r="BN582" s="634" t="s">
        <v>1044</v>
      </c>
      <c r="BO582" s="634" t="s">
        <v>1044</v>
      </c>
      <c r="BP582" s="634" t="s">
        <v>1044</v>
      </c>
      <c r="BQ582" s="634" t="s">
        <v>1044</v>
      </c>
      <c r="BR582" s="634" t="s">
        <v>1044</v>
      </c>
      <c r="BS582" s="634" t="s">
        <v>1044</v>
      </c>
      <c r="BT582" s="634" t="s">
        <v>1044</v>
      </c>
      <c r="BU582" s="1841"/>
    </row>
    <row r="583" spans="2:73" s="496" customFormat="1" ht="15.75" x14ac:dyDescent="0.25">
      <c r="X583" s="496" t="s">
        <v>1386</v>
      </c>
      <c r="AK583" s="1828"/>
      <c r="AL583" s="507"/>
      <c r="AM583" s="1844" t="s">
        <v>536</v>
      </c>
      <c r="AN583" s="1845">
        <f>C15</f>
        <v>2018</v>
      </c>
      <c r="AO583" s="3363" t="s">
        <v>1258</v>
      </c>
      <c r="AP583" s="1846">
        <f>E15</f>
        <v>2019</v>
      </c>
      <c r="AQ583" s="1847" t="s">
        <v>1258</v>
      </c>
      <c r="AR583" s="1848" t="s">
        <v>1259</v>
      </c>
      <c r="AS583" s="1846">
        <f>H15</f>
        <v>2020</v>
      </c>
      <c r="AT583" s="1847" t="s">
        <v>1258</v>
      </c>
      <c r="AU583" s="1848" t="s">
        <v>1259</v>
      </c>
      <c r="AV583" s="1846">
        <f>K15</f>
        <v>2020</v>
      </c>
      <c r="AW583" s="1847" t="s">
        <v>1258</v>
      </c>
      <c r="AX583" s="1849" t="s">
        <v>1259</v>
      </c>
      <c r="AY583" s="1846">
        <f>N15</f>
        <v>2021</v>
      </c>
      <c r="AZ583" s="1847" t="s">
        <v>1258</v>
      </c>
      <c r="BA583" s="1849" t="s">
        <v>1259</v>
      </c>
      <c r="BB583" s="1846">
        <f>Q15</f>
        <v>2021</v>
      </c>
      <c r="BC583" s="1847" t="s">
        <v>1258</v>
      </c>
      <c r="BD583" s="1849" t="s">
        <v>1259</v>
      </c>
      <c r="BE583" s="1846">
        <f t="shared" ref="BE583:BT583" si="493">T15</f>
        <v>2022</v>
      </c>
      <c r="BF583" s="1846">
        <f t="shared" si="493"/>
        <v>2023</v>
      </c>
      <c r="BG583" s="1846">
        <f t="shared" si="493"/>
        <v>2024</v>
      </c>
      <c r="BH583" s="1846">
        <f t="shared" si="493"/>
        <v>2025</v>
      </c>
      <c r="BI583" s="1846">
        <f t="shared" si="493"/>
        <v>2026</v>
      </c>
      <c r="BJ583" s="1846">
        <f t="shared" si="493"/>
        <v>2027</v>
      </c>
      <c r="BK583" s="1846">
        <f t="shared" si="493"/>
        <v>2028</v>
      </c>
      <c r="BL583" s="1846">
        <f t="shared" si="493"/>
        <v>2029</v>
      </c>
      <c r="BM583" s="1846">
        <f t="shared" si="493"/>
        <v>2030</v>
      </c>
      <c r="BN583" s="1846">
        <f t="shared" si="493"/>
        <v>2031</v>
      </c>
      <c r="BO583" s="1846">
        <f t="shared" si="493"/>
        <v>2032</v>
      </c>
      <c r="BP583" s="1846">
        <f t="shared" si="493"/>
        <v>2033</v>
      </c>
      <c r="BQ583" s="1846">
        <f t="shared" si="493"/>
        <v>2034</v>
      </c>
      <c r="BR583" s="1846">
        <f t="shared" si="493"/>
        <v>2035</v>
      </c>
      <c r="BS583" s="1846">
        <f t="shared" si="493"/>
        <v>2036</v>
      </c>
      <c r="BT583" s="1846">
        <f t="shared" si="493"/>
        <v>2037</v>
      </c>
      <c r="BU583" s="1830"/>
    </row>
    <row r="584" spans="2:73" s="496" customFormat="1" ht="16.5" thickBot="1" x14ac:dyDescent="0.3">
      <c r="AK584" s="1828"/>
      <c r="AL584" s="507"/>
      <c r="AM584" s="1850" t="s">
        <v>871</v>
      </c>
      <c r="AN584" s="1851">
        <f>C17</f>
        <v>360</v>
      </c>
      <c r="AO584" s="3364"/>
      <c r="AP584" s="1852">
        <f>E17</f>
        <v>360</v>
      </c>
      <c r="AQ584" s="1853"/>
      <c r="AR584" s="1854"/>
      <c r="AS584" s="1852">
        <f>H17</f>
        <v>360</v>
      </c>
      <c r="AT584" s="1853"/>
      <c r="AU584" s="1854"/>
      <c r="AV584" s="1855">
        <f>K17</f>
        <v>180</v>
      </c>
      <c r="AW584" s="1853"/>
      <c r="AX584" s="1856"/>
      <c r="AY584" s="1852">
        <f>N17</f>
        <v>360</v>
      </c>
      <c r="AZ584" s="1853"/>
      <c r="BA584" s="1856"/>
      <c r="BB584" s="1855">
        <f>Q17</f>
        <v>180</v>
      </c>
      <c r="BC584" s="1853"/>
      <c r="BD584" s="1856"/>
      <c r="BE584" s="1852">
        <f t="shared" ref="BE584:BT584" si="494">T17</f>
        <v>360</v>
      </c>
      <c r="BF584" s="1852">
        <f t="shared" si="494"/>
        <v>360</v>
      </c>
      <c r="BG584" s="1852">
        <f t="shared" si="494"/>
        <v>360</v>
      </c>
      <c r="BH584" s="1852">
        <f t="shared" si="494"/>
        <v>360</v>
      </c>
      <c r="BI584" s="1852">
        <f t="shared" si="494"/>
        <v>360</v>
      </c>
      <c r="BJ584" s="1852">
        <f t="shared" si="494"/>
        <v>360</v>
      </c>
      <c r="BK584" s="1852">
        <f t="shared" si="494"/>
        <v>360</v>
      </c>
      <c r="BL584" s="1852">
        <f t="shared" si="494"/>
        <v>360</v>
      </c>
      <c r="BM584" s="1852">
        <f t="shared" si="494"/>
        <v>360</v>
      </c>
      <c r="BN584" s="1852">
        <f t="shared" si="494"/>
        <v>360</v>
      </c>
      <c r="BO584" s="1852">
        <f t="shared" si="494"/>
        <v>360</v>
      </c>
      <c r="BP584" s="1852">
        <f t="shared" si="494"/>
        <v>360</v>
      </c>
      <c r="BQ584" s="1852">
        <f t="shared" si="494"/>
        <v>360</v>
      </c>
      <c r="BR584" s="1852">
        <f t="shared" si="494"/>
        <v>360</v>
      </c>
      <c r="BS584" s="1852">
        <f t="shared" si="494"/>
        <v>360</v>
      </c>
      <c r="BT584" s="1852">
        <f t="shared" si="494"/>
        <v>360</v>
      </c>
      <c r="BU584" s="1830"/>
    </row>
    <row r="585" spans="2:73" s="496" customFormat="1" ht="16.5" thickBot="1" x14ac:dyDescent="0.25">
      <c r="B585" s="1827" t="s">
        <v>1383</v>
      </c>
      <c r="I585" s="495"/>
      <c r="J585" s="495"/>
      <c r="K585" s="495"/>
      <c r="M585" s="500"/>
      <c r="N585" s="495"/>
      <c r="P585" s="500"/>
      <c r="Q585" s="495"/>
      <c r="S585" s="500"/>
      <c r="T585" s="1412" t="s">
        <v>1044</v>
      </c>
      <c r="U585" s="1235" t="s">
        <v>1044</v>
      </c>
      <c r="V585" s="1235" t="s">
        <v>1044</v>
      </c>
      <c r="AK585" s="1828"/>
      <c r="AL585" s="507"/>
      <c r="AM585" s="507" t="s">
        <v>541</v>
      </c>
      <c r="AN585" s="502"/>
      <c r="AO585" s="1857"/>
      <c r="AP585" s="502"/>
      <c r="AQ585" s="1857"/>
      <c r="AR585" s="1857"/>
      <c r="AS585" s="502"/>
      <c r="AT585" s="1857"/>
      <c r="AU585" s="1857"/>
      <c r="AV585" s="502"/>
      <c r="AW585" s="1857"/>
      <c r="AX585" s="1858"/>
      <c r="AY585" s="502"/>
      <c r="AZ585" s="1857"/>
      <c r="BA585" s="1858"/>
      <c r="BB585" s="502"/>
      <c r="BC585" s="1857"/>
      <c r="BD585" s="1858"/>
      <c r="BE585" s="1438"/>
      <c r="BF585" s="1438"/>
      <c r="BG585" s="1438"/>
      <c r="BH585" s="1438"/>
      <c r="BI585" s="1438"/>
      <c r="BJ585" s="1438"/>
      <c r="BK585" s="1438"/>
      <c r="BL585" s="1438"/>
      <c r="BM585" s="1438"/>
      <c r="BN585" s="1438"/>
      <c r="BO585" s="1438"/>
      <c r="BP585" s="1859"/>
      <c r="BQ585" s="1860"/>
      <c r="BU585" s="1830"/>
    </row>
    <row r="586" spans="2:73" s="496" customFormat="1" ht="12.75" x14ac:dyDescent="0.25">
      <c r="B586" s="1231" t="s">
        <v>1381</v>
      </c>
      <c r="C586" s="1413">
        <f>$C$422</f>
        <v>2018</v>
      </c>
      <c r="D586" s="1250"/>
      <c r="E586" s="1413">
        <f>$E$422</f>
        <v>2019</v>
      </c>
      <c r="F586" s="1250"/>
      <c r="G586" s="1250"/>
      <c r="H586" s="1413">
        <f>$H$422</f>
        <v>2020</v>
      </c>
      <c r="I586" s="1360"/>
      <c r="J586" s="1360"/>
      <c r="K586" s="1413">
        <f>K$422</f>
        <v>2020</v>
      </c>
      <c r="L586" s="1250"/>
      <c r="M586" s="1361"/>
      <c r="N586" s="1413">
        <f>$N$422</f>
        <v>2021</v>
      </c>
      <c r="O586" s="1250"/>
      <c r="P586" s="1361"/>
      <c r="Q586" s="1413">
        <f>$Q$422</f>
        <v>2021</v>
      </c>
      <c r="R586" s="1250"/>
      <c r="S586" s="1361"/>
      <c r="T586" s="1413">
        <f>$T$422</f>
        <v>2022</v>
      </c>
      <c r="U586" s="1413">
        <f>$U$422</f>
        <v>2023</v>
      </c>
      <c r="V586" s="1413">
        <f>$V$422</f>
        <v>2024</v>
      </c>
      <c r="AK586" s="1828"/>
      <c r="AL586" s="1861">
        <f t="shared" ref="AL586:AM588" si="495">A18</f>
        <v>1</v>
      </c>
      <c r="AM586" s="1862" t="str">
        <f t="shared" si="495"/>
        <v>CAJA E INVERSIONES TEMPORALES</v>
      </c>
      <c r="AN586" s="1863"/>
      <c r="AO586" s="1864">
        <f t="shared" ref="AO586:AO616" si="496">IF(OR(AN586=0,AN$616=0),0,AN586/AN$616)</f>
        <v>0</v>
      </c>
      <c r="AP586" s="1865">
        <f>E18</f>
        <v>390</v>
      </c>
      <c r="AQ586" s="1866">
        <f t="shared" ref="AQ586:AQ616" si="497">IF(OR(AP586=0,AP$616=0),0,AP586/AP$616)</f>
        <v>0.10077519379844961</v>
      </c>
      <c r="AR586" s="1867">
        <f t="shared" ref="AR586:AR617" si="498">IF(OR(AN586=0,AP586=0),0,IF(ABS((AP586/AN586)-1)&gt;1000000%,0,(AP586/AN586)-1))</f>
        <v>0</v>
      </c>
      <c r="AS586" s="1865">
        <f>H18</f>
        <v>390</v>
      </c>
      <c r="AT586" s="1866">
        <f t="shared" ref="AT586:AT616" si="499">IF(OR(AS586=0,AS$616=0),0,AS586/AS$616)</f>
        <v>0.10077519379844961</v>
      </c>
      <c r="AU586" s="1867">
        <f t="shared" ref="AU586:AU617" si="500">IF(OR(AP586=0,AS586=0),0,IF(ABS((AS586/AP586)-1)&gt;1000000%,0,(AS586/AP586)-1))</f>
        <v>0</v>
      </c>
      <c r="AV586" s="1865">
        <f>K18</f>
        <v>390</v>
      </c>
      <c r="AW586" s="1866">
        <f t="shared" ref="AW586:AW616" si="501">IF(OR(AV586=0,AV$616=0),0,AV586/AV$616)</f>
        <v>0.10077519379844961</v>
      </c>
      <c r="AX586" s="1868">
        <f t="shared" ref="AX586:AX617" si="502">IF(OR(AS586=0,AV586=0),0,IF(ABS((AV586/AS586)-1)&gt;1000000%,0,(AV586/AS586)-1))</f>
        <v>0</v>
      </c>
      <c r="AY586" s="1865">
        <f>N18</f>
        <v>390</v>
      </c>
      <c r="AZ586" s="1866">
        <f t="shared" ref="AZ586:AZ616" si="503">IF(OR(AY586=0,AY$616=0),0,AY586/AY$616)</f>
        <v>0.10077519379844961</v>
      </c>
      <c r="BA586" s="1868">
        <f t="shared" ref="BA586:BA617" si="504">IF(OR(AS586=0,AY586=0),0,IF(ABS((AY586/AS586)-1)&gt;1000000%,0,(AY586/AS586)-1))</f>
        <v>0</v>
      </c>
      <c r="BB586" s="1865">
        <f>Q18</f>
        <v>390</v>
      </c>
      <c r="BC586" s="1866">
        <f t="shared" ref="BC586:BC616" si="505">IF(OR(BB586=0,BB$616=0),0,BB586/BB$616)</f>
        <v>0.10077519379844961</v>
      </c>
      <c r="BD586" s="1868">
        <f t="shared" ref="BD586:BD617" si="506">IF(OR(AY586=0,BB586=0),0,IF(ABS((BB586/AY586)-1)&gt;1000000%,0,(BB586/AY586)-1))</f>
        <v>0</v>
      </c>
      <c r="BE586" s="1869">
        <f t="shared" ref="BE586:BT588" si="507">T18</f>
        <v>1105.1659999999993</v>
      </c>
      <c r="BF586" s="1869">
        <f t="shared" si="507"/>
        <v>1822.5899999999992</v>
      </c>
      <c r="BG586" s="1869">
        <f t="shared" si="507"/>
        <v>2537.2119999999991</v>
      </c>
      <c r="BH586" s="1869">
        <f t="shared" si="507"/>
        <v>3242.619999999999</v>
      </c>
      <c r="BI586" s="1869">
        <f t="shared" si="507"/>
        <v>3941.4939999999988</v>
      </c>
      <c r="BJ586" s="1869">
        <f t="shared" si="507"/>
        <v>4633.833999999998</v>
      </c>
      <c r="BK586" s="1869">
        <f t="shared" si="507"/>
        <v>5319.6399999999985</v>
      </c>
      <c r="BL586" s="1869">
        <f t="shared" si="507"/>
        <v>5998.9119999999966</v>
      </c>
      <c r="BM586" s="1869">
        <f t="shared" si="507"/>
        <v>6671.6499999999978</v>
      </c>
      <c r="BN586" s="1869">
        <f t="shared" si="507"/>
        <v>7337.8539999999966</v>
      </c>
      <c r="BO586" s="1869">
        <f t="shared" si="507"/>
        <v>7997.5239999999976</v>
      </c>
      <c r="BP586" s="1869">
        <f t="shared" si="507"/>
        <v>8650.6599999999962</v>
      </c>
      <c r="BQ586" s="1869">
        <f t="shared" si="507"/>
        <v>9297.261999999997</v>
      </c>
      <c r="BR586" s="1869">
        <f t="shared" si="507"/>
        <v>9937.3299999999963</v>
      </c>
      <c r="BS586" s="1869">
        <f t="shared" si="507"/>
        <v>10570.863999999998</v>
      </c>
      <c r="BT586" s="1869">
        <f t="shared" si="507"/>
        <v>11197.863999999996</v>
      </c>
      <c r="BU586" s="1830"/>
    </row>
    <row r="587" spans="2:73" s="496" customFormat="1" ht="12.75" x14ac:dyDescent="0.25">
      <c r="B587" s="1419" t="s">
        <v>870</v>
      </c>
      <c r="C587" s="1443">
        <v>8.9999999999999993E-3</v>
      </c>
      <c r="E587" s="1444">
        <v>5.0999999999999997E-2</v>
      </c>
      <c r="H587" s="1444">
        <v>1.7000000000000001E-2</v>
      </c>
      <c r="I587" s="495"/>
      <c r="J587" s="495"/>
      <c r="K587" s="1444" t="s">
        <v>1260</v>
      </c>
      <c r="M587" s="500"/>
      <c r="N587" s="1444">
        <v>8.0000000000000002E-3</v>
      </c>
      <c r="P587" s="500"/>
      <c r="Q587" s="1444" t="s">
        <v>1260</v>
      </c>
      <c r="S587" s="500"/>
      <c r="T587" s="1445">
        <v>5.0000000000000001E-3</v>
      </c>
      <c r="U587" s="1444">
        <v>6.0000000000000001E-3</v>
      </c>
      <c r="V587" s="1444">
        <v>6.0000000000000001E-3</v>
      </c>
      <c r="AK587" s="1828"/>
      <c r="AL587" s="1870" t="str">
        <f t="shared" si="495"/>
        <v>2.1</v>
      </c>
      <c r="AM587" s="1871" t="str">
        <f t="shared" si="495"/>
        <v>DEUDORES COMERCIALES</v>
      </c>
      <c r="AN587" s="1872">
        <f>C19</f>
        <v>0</v>
      </c>
      <c r="AO587" s="1873">
        <f t="shared" si="496"/>
        <v>0</v>
      </c>
      <c r="AP587" s="1874">
        <f>E19</f>
        <v>120</v>
      </c>
      <c r="AQ587" s="1875">
        <f t="shared" si="497"/>
        <v>3.1007751937984496E-2</v>
      </c>
      <c r="AR587" s="1876">
        <f t="shared" si="498"/>
        <v>0</v>
      </c>
      <c r="AS587" s="1874">
        <f>H19</f>
        <v>120</v>
      </c>
      <c r="AT587" s="1875">
        <f t="shared" si="499"/>
        <v>3.1007751937984496E-2</v>
      </c>
      <c r="AU587" s="1876">
        <f t="shared" si="500"/>
        <v>0</v>
      </c>
      <c r="AV587" s="1874">
        <f>K19</f>
        <v>120</v>
      </c>
      <c r="AW587" s="1875">
        <f t="shared" si="501"/>
        <v>3.1007751937984496E-2</v>
      </c>
      <c r="AX587" s="1877">
        <f t="shared" si="502"/>
        <v>0</v>
      </c>
      <c r="AY587" s="1874">
        <f>N19</f>
        <v>120</v>
      </c>
      <c r="AZ587" s="1875">
        <f t="shared" si="503"/>
        <v>3.1007751937984496E-2</v>
      </c>
      <c r="BA587" s="1877">
        <f t="shared" si="504"/>
        <v>0</v>
      </c>
      <c r="BB587" s="1874">
        <f>Q19</f>
        <v>120</v>
      </c>
      <c r="BC587" s="1875">
        <f t="shared" si="505"/>
        <v>3.1007751937984496E-2</v>
      </c>
      <c r="BD587" s="1877">
        <f t="shared" si="506"/>
        <v>0</v>
      </c>
      <c r="BE587" s="1878">
        <f t="shared" si="507"/>
        <v>120</v>
      </c>
      <c r="BF587" s="1878">
        <f t="shared" si="507"/>
        <v>120</v>
      </c>
      <c r="BG587" s="1878">
        <f t="shared" si="507"/>
        <v>120</v>
      </c>
      <c r="BH587" s="1878">
        <f t="shared" si="507"/>
        <v>120</v>
      </c>
      <c r="BI587" s="1878">
        <f t="shared" si="507"/>
        <v>120</v>
      </c>
      <c r="BJ587" s="1878">
        <f t="shared" si="507"/>
        <v>120</v>
      </c>
      <c r="BK587" s="1878">
        <f t="shared" si="507"/>
        <v>120</v>
      </c>
      <c r="BL587" s="1878">
        <f t="shared" si="507"/>
        <v>120</v>
      </c>
      <c r="BM587" s="1878">
        <f t="shared" si="507"/>
        <v>120</v>
      </c>
      <c r="BN587" s="1878">
        <f t="shared" si="507"/>
        <v>120</v>
      </c>
      <c r="BO587" s="1878">
        <f t="shared" si="507"/>
        <v>120</v>
      </c>
      <c r="BP587" s="1878">
        <f t="shared" si="507"/>
        <v>120</v>
      </c>
      <c r="BQ587" s="1878">
        <f t="shared" si="507"/>
        <v>120</v>
      </c>
      <c r="BR587" s="1878">
        <f t="shared" si="507"/>
        <v>120</v>
      </c>
      <c r="BS587" s="1878">
        <f t="shared" si="507"/>
        <v>120</v>
      </c>
      <c r="BT587" s="1878">
        <f t="shared" si="507"/>
        <v>120</v>
      </c>
      <c r="BU587" s="1830"/>
    </row>
    <row r="588" spans="2:73" s="496" customFormat="1" ht="12.75" x14ac:dyDescent="0.25">
      <c r="B588" s="1423" t="s">
        <v>872</v>
      </c>
      <c r="C588" s="1447" t="s">
        <v>1260</v>
      </c>
      <c r="E588" s="1447" t="s">
        <v>1260</v>
      </c>
      <c r="H588" s="1447" t="s">
        <v>1260</v>
      </c>
      <c r="I588" s="495"/>
      <c r="J588" s="495"/>
      <c r="K588" s="1448" t="s">
        <v>1260</v>
      </c>
      <c r="M588" s="500"/>
      <c r="N588" s="1447" t="s">
        <v>1260</v>
      </c>
      <c r="P588" s="500"/>
      <c r="Q588" s="1448" t="s">
        <v>1260</v>
      </c>
      <c r="S588" s="500"/>
      <c r="T588" s="1447" t="s">
        <v>1260</v>
      </c>
      <c r="U588" s="1447" t="s">
        <v>1260</v>
      </c>
      <c r="V588" s="1447" t="s">
        <v>1260</v>
      </c>
      <c r="AK588" s="1828"/>
      <c r="AL588" s="1870" t="str">
        <f t="shared" si="495"/>
        <v>2.2</v>
      </c>
      <c r="AM588" s="1871" t="str">
        <f t="shared" si="495"/>
        <v>PROVISIONES DEUDORES COMERCIALES</v>
      </c>
      <c r="AN588" s="1872">
        <f>C20</f>
        <v>0</v>
      </c>
      <c r="AO588" s="1873">
        <f t="shared" si="496"/>
        <v>0</v>
      </c>
      <c r="AP588" s="1874">
        <f>E20</f>
        <v>-30</v>
      </c>
      <c r="AQ588" s="1875">
        <f t="shared" si="497"/>
        <v>-7.7519379844961239E-3</v>
      </c>
      <c r="AR588" s="1876">
        <f t="shared" si="498"/>
        <v>0</v>
      </c>
      <c r="AS588" s="1874">
        <f>H20</f>
        <v>-30</v>
      </c>
      <c r="AT588" s="1875">
        <f t="shared" si="499"/>
        <v>-7.7519379844961239E-3</v>
      </c>
      <c r="AU588" s="1876">
        <f t="shared" si="500"/>
        <v>0</v>
      </c>
      <c r="AV588" s="1874">
        <f>K20</f>
        <v>-30</v>
      </c>
      <c r="AW588" s="1875">
        <f t="shared" si="501"/>
        <v>-7.7519379844961239E-3</v>
      </c>
      <c r="AX588" s="1877">
        <f t="shared" si="502"/>
        <v>0</v>
      </c>
      <c r="AY588" s="1874">
        <f>N20</f>
        <v>-30</v>
      </c>
      <c r="AZ588" s="1875">
        <f t="shared" si="503"/>
        <v>-7.7519379844961239E-3</v>
      </c>
      <c r="BA588" s="1877">
        <f t="shared" si="504"/>
        <v>0</v>
      </c>
      <c r="BB588" s="1874">
        <f>Q20</f>
        <v>-30</v>
      </c>
      <c r="BC588" s="1875">
        <f t="shared" si="505"/>
        <v>-7.7519379844961239E-3</v>
      </c>
      <c r="BD588" s="1877">
        <f t="shared" si="506"/>
        <v>0</v>
      </c>
      <c r="BE588" s="1878">
        <f t="shared" si="507"/>
        <v>-30</v>
      </c>
      <c r="BF588" s="1878">
        <f t="shared" si="507"/>
        <v>-30</v>
      </c>
      <c r="BG588" s="1878">
        <f t="shared" si="507"/>
        <v>-30</v>
      </c>
      <c r="BH588" s="1878">
        <f t="shared" si="507"/>
        <v>-30</v>
      </c>
      <c r="BI588" s="1878">
        <f t="shared" si="507"/>
        <v>-30</v>
      </c>
      <c r="BJ588" s="1878">
        <f t="shared" si="507"/>
        <v>-30</v>
      </c>
      <c r="BK588" s="1878">
        <f t="shared" si="507"/>
        <v>-30</v>
      </c>
      <c r="BL588" s="1878">
        <f t="shared" si="507"/>
        <v>-30</v>
      </c>
      <c r="BM588" s="1878">
        <f t="shared" si="507"/>
        <v>-30</v>
      </c>
      <c r="BN588" s="1878">
        <f t="shared" si="507"/>
        <v>-30</v>
      </c>
      <c r="BO588" s="1878">
        <f t="shared" si="507"/>
        <v>-30</v>
      </c>
      <c r="BP588" s="1878">
        <f t="shared" si="507"/>
        <v>-30</v>
      </c>
      <c r="BQ588" s="1878">
        <f t="shared" si="507"/>
        <v>-30</v>
      </c>
      <c r="BR588" s="1878">
        <f t="shared" si="507"/>
        <v>-30</v>
      </c>
      <c r="BS588" s="1878">
        <f t="shared" si="507"/>
        <v>-30</v>
      </c>
      <c r="BT588" s="1878">
        <f t="shared" si="507"/>
        <v>-30</v>
      </c>
      <c r="BU588" s="1830"/>
    </row>
    <row r="589" spans="2:73" s="496" customFormat="1" ht="12.75" x14ac:dyDescent="0.25">
      <c r="B589" s="1423" t="s">
        <v>874</v>
      </c>
      <c r="C589" s="1447">
        <v>1.4E-2</v>
      </c>
      <c r="E589" s="1448">
        <v>2.1999999999999999E-2</v>
      </c>
      <c r="H589" s="1448">
        <v>1.9E-2</v>
      </c>
      <c r="I589" s="495"/>
      <c r="J589" s="495"/>
      <c r="K589" s="1448" t="s">
        <v>1260</v>
      </c>
      <c r="M589" s="500"/>
      <c r="N589" s="1448">
        <v>1.7000000000000001E-2</v>
      </c>
      <c r="P589" s="500"/>
      <c r="Q589" s="1448" t="s">
        <v>1260</v>
      </c>
      <c r="S589" s="500"/>
      <c r="T589" s="1449">
        <v>1.9E-2</v>
      </c>
      <c r="U589" s="1448">
        <v>2.4E-2</v>
      </c>
      <c r="V589" s="1448">
        <v>2.7E-2</v>
      </c>
      <c r="AK589" s="1828"/>
      <c r="AL589" s="1870">
        <v>2</v>
      </c>
      <c r="AM589" s="1879" t="s">
        <v>1387</v>
      </c>
      <c r="AN589" s="1880">
        <f>AN587+AN588</f>
        <v>0</v>
      </c>
      <c r="AO589" s="1873">
        <f t="shared" si="496"/>
        <v>0</v>
      </c>
      <c r="AP589" s="1881">
        <f>AP587+AP588</f>
        <v>90</v>
      </c>
      <c r="AQ589" s="1875">
        <f t="shared" si="497"/>
        <v>2.3255813953488372E-2</v>
      </c>
      <c r="AR589" s="1876">
        <f t="shared" si="498"/>
        <v>0</v>
      </c>
      <c r="AS589" s="1881">
        <f>AS587+AS588</f>
        <v>90</v>
      </c>
      <c r="AT589" s="1875">
        <f t="shared" si="499"/>
        <v>2.3255813953488372E-2</v>
      </c>
      <c r="AU589" s="1876">
        <f t="shared" si="500"/>
        <v>0</v>
      </c>
      <c r="AV589" s="1881">
        <f>AV587+AV588</f>
        <v>90</v>
      </c>
      <c r="AW589" s="1875">
        <f t="shared" si="501"/>
        <v>2.3255813953488372E-2</v>
      </c>
      <c r="AX589" s="1877">
        <f t="shared" si="502"/>
        <v>0</v>
      </c>
      <c r="AY589" s="1881">
        <f>AY587+AY588</f>
        <v>90</v>
      </c>
      <c r="AZ589" s="1875">
        <f t="shared" si="503"/>
        <v>2.3255813953488372E-2</v>
      </c>
      <c r="BA589" s="1877">
        <f t="shared" si="504"/>
        <v>0</v>
      </c>
      <c r="BB589" s="1881">
        <f>BB587+BB588</f>
        <v>90</v>
      </c>
      <c r="BC589" s="1875">
        <f t="shared" si="505"/>
        <v>2.3255813953488372E-2</v>
      </c>
      <c r="BD589" s="1877">
        <f t="shared" si="506"/>
        <v>0</v>
      </c>
      <c r="BE589" s="1881">
        <f t="shared" ref="BE589:BT589" si="508">BE587+BE588</f>
        <v>90</v>
      </c>
      <c r="BF589" s="1881">
        <f t="shared" si="508"/>
        <v>90</v>
      </c>
      <c r="BG589" s="1881">
        <f t="shared" si="508"/>
        <v>90</v>
      </c>
      <c r="BH589" s="1881">
        <f t="shared" si="508"/>
        <v>90</v>
      </c>
      <c r="BI589" s="1881">
        <f t="shared" si="508"/>
        <v>90</v>
      </c>
      <c r="BJ589" s="1881">
        <f t="shared" si="508"/>
        <v>90</v>
      </c>
      <c r="BK589" s="1881">
        <f t="shared" si="508"/>
        <v>90</v>
      </c>
      <c r="BL589" s="1881">
        <f t="shared" si="508"/>
        <v>90</v>
      </c>
      <c r="BM589" s="1881">
        <f t="shared" si="508"/>
        <v>90</v>
      </c>
      <c r="BN589" s="1881">
        <f t="shared" si="508"/>
        <v>90</v>
      </c>
      <c r="BO589" s="1881">
        <f t="shared" si="508"/>
        <v>90</v>
      </c>
      <c r="BP589" s="1881">
        <f t="shared" si="508"/>
        <v>90</v>
      </c>
      <c r="BQ589" s="1881">
        <f t="shared" si="508"/>
        <v>90</v>
      </c>
      <c r="BR589" s="1881">
        <f t="shared" si="508"/>
        <v>90</v>
      </c>
      <c r="BS589" s="1881">
        <f t="shared" si="508"/>
        <v>90</v>
      </c>
      <c r="BT589" s="1881">
        <f t="shared" si="508"/>
        <v>90</v>
      </c>
      <c r="BU589" s="1830"/>
    </row>
    <row r="590" spans="2:73" s="496" customFormat="1" ht="13.5" thickBot="1" x14ac:dyDescent="0.3">
      <c r="B590" s="1452" t="s">
        <v>1344</v>
      </c>
      <c r="C590" s="1453">
        <v>1</v>
      </c>
      <c r="D590" s="1454"/>
      <c r="E590" s="1455">
        <v>1</v>
      </c>
      <c r="F590" s="1454"/>
      <c r="G590" s="1454"/>
      <c r="H590" s="1455">
        <v>1</v>
      </c>
      <c r="I590" s="1456"/>
      <c r="J590" s="1456"/>
      <c r="K590" s="1457" t="s">
        <v>1260</v>
      </c>
      <c r="L590" s="1454"/>
      <c r="M590" s="1458"/>
      <c r="N590" s="1457">
        <v>1</v>
      </c>
      <c r="O590" s="1454"/>
      <c r="P590" s="1458"/>
      <c r="Q590" s="1457" t="s">
        <v>1260</v>
      </c>
      <c r="R590" s="1454"/>
      <c r="S590" s="1458"/>
      <c r="T590" s="1459">
        <v>1</v>
      </c>
      <c r="U590" s="1457">
        <v>1</v>
      </c>
      <c r="V590" s="1457">
        <v>1</v>
      </c>
      <c r="AK590" s="1828"/>
      <c r="AL590" s="1870" t="str">
        <f>A21</f>
        <v>3.1</v>
      </c>
      <c r="AM590" s="1871" t="str">
        <f>B21</f>
        <v>INVENTARIOS</v>
      </c>
      <c r="AN590" s="1872">
        <f>C21-C113</f>
        <v>0</v>
      </c>
      <c r="AO590" s="1873">
        <f t="shared" si="496"/>
        <v>0</v>
      </c>
      <c r="AP590" s="1874">
        <f>E21-E113</f>
        <v>360</v>
      </c>
      <c r="AQ590" s="1875">
        <f t="shared" si="497"/>
        <v>9.3023255813953487E-2</v>
      </c>
      <c r="AR590" s="1876">
        <f t="shared" si="498"/>
        <v>0</v>
      </c>
      <c r="AS590" s="1874">
        <f>H21-H113</f>
        <v>360</v>
      </c>
      <c r="AT590" s="1875">
        <f t="shared" si="499"/>
        <v>9.3023255813953487E-2</v>
      </c>
      <c r="AU590" s="1876">
        <f t="shared" si="500"/>
        <v>0</v>
      </c>
      <c r="AV590" s="1874">
        <f>K21-K113</f>
        <v>360</v>
      </c>
      <c r="AW590" s="1875">
        <f t="shared" si="501"/>
        <v>9.3023255813953487E-2</v>
      </c>
      <c r="AX590" s="1877">
        <f t="shared" si="502"/>
        <v>0</v>
      </c>
      <c r="AY590" s="1874">
        <f>N21-N113</f>
        <v>360</v>
      </c>
      <c r="AZ590" s="1875">
        <f t="shared" si="503"/>
        <v>9.3023255813953487E-2</v>
      </c>
      <c r="BA590" s="1877">
        <f t="shared" si="504"/>
        <v>0</v>
      </c>
      <c r="BB590" s="1874">
        <f>Q21-Q113</f>
        <v>360</v>
      </c>
      <c r="BC590" s="1875">
        <f t="shared" si="505"/>
        <v>9.3023255813953487E-2</v>
      </c>
      <c r="BD590" s="1877">
        <f t="shared" si="506"/>
        <v>0</v>
      </c>
      <c r="BE590" s="1878">
        <f t="shared" ref="BE590:BT590" si="509">T21-T113</f>
        <v>360.00000000000006</v>
      </c>
      <c r="BF590" s="1878">
        <f t="shared" si="509"/>
        <v>360.00000000000006</v>
      </c>
      <c r="BG590" s="1878">
        <f t="shared" si="509"/>
        <v>360.00000000000006</v>
      </c>
      <c r="BH590" s="1878">
        <f t="shared" si="509"/>
        <v>360.00000000000006</v>
      </c>
      <c r="BI590" s="1878">
        <f t="shared" si="509"/>
        <v>360.00000000000006</v>
      </c>
      <c r="BJ590" s="1878">
        <f t="shared" si="509"/>
        <v>360.00000000000006</v>
      </c>
      <c r="BK590" s="1878">
        <f t="shared" si="509"/>
        <v>360.00000000000006</v>
      </c>
      <c r="BL590" s="1878">
        <f t="shared" si="509"/>
        <v>360.00000000000006</v>
      </c>
      <c r="BM590" s="1878">
        <f t="shared" si="509"/>
        <v>360.00000000000006</v>
      </c>
      <c r="BN590" s="1878">
        <f t="shared" si="509"/>
        <v>360.00000000000006</v>
      </c>
      <c r="BO590" s="1878">
        <f t="shared" si="509"/>
        <v>360.00000000000006</v>
      </c>
      <c r="BP590" s="1878">
        <f t="shared" si="509"/>
        <v>360.00000000000006</v>
      </c>
      <c r="BQ590" s="1878">
        <f t="shared" si="509"/>
        <v>360.00000000000006</v>
      </c>
      <c r="BR590" s="1878">
        <f t="shared" si="509"/>
        <v>360.00000000000006</v>
      </c>
      <c r="BS590" s="1878">
        <f t="shared" si="509"/>
        <v>360.00000000000006</v>
      </c>
      <c r="BT590" s="1878">
        <f t="shared" si="509"/>
        <v>360.00000000000006</v>
      </c>
      <c r="BU590" s="1830"/>
    </row>
    <row r="591" spans="2:73" s="496" customFormat="1" ht="12.75" x14ac:dyDescent="0.25">
      <c r="AK591" s="1828"/>
      <c r="AL591" s="1870" t="str">
        <f>A22</f>
        <v>3.2</v>
      </c>
      <c r="AM591" s="1871" t="str">
        <f>B22</f>
        <v>PROVISIONES INVENTARIOS</v>
      </c>
      <c r="AN591" s="1872">
        <f>C22</f>
        <v>0</v>
      </c>
      <c r="AO591" s="1873">
        <f t="shared" si="496"/>
        <v>0</v>
      </c>
      <c r="AP591" s="1874">
        <f>E22</f>
        <v>30</v>
      </c>
      <c r="AQ591" s="1875">
        <f t="shared" si="497"/>
        <v>7.7519379844961239E-3</v>
      </c>
      <c r="AR591" s="1876">
        <f t="shared" si="498"/>
        <v>0</v>
      </c>
      <c r="AS591" s="1874">
        <f>H22</f>
        <v>30</v>
      </c>
      <c r="AT591" s="1875">
        <f t="shared" si="499"/>
        <v>7.7519379844961239E-3</v>
      </c>
      <c r="AU591" s="1876">
        <f t="shared" si="500"/>
        <v>0</v>
      </c>
      <c r="AV591" s="1874">
        <f>K22</f>
        <v>30</v>
      </c>
      <c r="AW591" s="1875">
        <f t="shared" si="501"/>
        <v>7.7519379844961239E-3</v>
      </c>
      <c r="AX591" s="1877">
        <f t="shared" si="502"/>
        <v>0</v>
      </c>
      <c r="AY591" s="1874">
        <f>N22</f>
        <v>30</v>
      </c>
      <c r="AZ591" s="1875">
        <f t="shared" si="503"/>
        <v>7.7519379844961239E-3</v>
      </c>
      <c r="BA591" s="1877">
        <f t="shared" si="504"/>
        <v>0</v>
      </c>
      <c r="BB591" s="1874">
        <f>Q22</f>
        <v>30</v>
      </c>
      <c r="BC591" s="1875">
        <f t="shared" si="505"/>
        <v>7.7519379844961239E-3</v>
      </c>
      <c r="BD591" s="1877">
        <f t="shared" si="506"/>
        <v>0</v>
      </c>
      <c r="BE591" s="1878">
        <f t="shared" ref="BE591:BT591" si="510">T22</f>
        <v>30.000000000000007</v>
      </c>
      <c r="BF591" s="1878">
        <f t="shared" si="510"/>
        <v>30.000000000000007</v>
      </c>
      <c r="BG591" s="1878">
        <f t="shared" si="510"/>
        <v>30.000000000000007</v>
      </c>
      <c r="BH591" s="1878">
        <f t="shared" si="510"/>
        <v>30.000000000000007</v>
      </c>
      <c r="BI591" s="1878">
        <f t="shared" si="510"/>
        <v>30.000000000000007</v>
      </c>
      <c r="BJ591" s="1878">
        <f t="shared" si="510"/>
        <v>30.000000000000007</v>
      </c>
      <c r="BK591" s="1878">
        <f t="shared" si="510"/>
        <v>30.000000000000007</v>
      </c>
      <c r="BL591" s="1878">
        <f t="shared" si="510"/>
        <v>30.000000000000007</v>
      </c>
      <c r="BM591" s="1878">
        <f t="shared" si="510"/>
        <v>30.000000000000007</v>
      </c>
      <c r="BN591" s="1878">
        <f t="shared" si="510"/>
        <v>30.000000000000007</v>
      </c>
      <c r="BO591" s="1878">
        <f t="shared" si="510"/>
        <v>30.000000000000007</v>
      </c>
      <c r="BP591" s="1878">
        <f t="shared" si="510"/>
        <v>30.000000000000007</v>
      </c>
      <c r="BQ591" s="1878">
        <f t="shared" si="510"/>
        <v>30.000000000000007</v>
      </c>
      <c r="BR591" s="1878">
        <f t="shared" si="510"/>
        <v>30.000000000000007</v>
      </c>
      <c r="BS591" s="1878">
        <f t="shared" si="510"/>
        <v>30.000000000000007</v>
      </c>
      <c r="BT591" s="1878">
        <f t="shared" si="510"/>
        <v>30.000000000000007</v>
      </c>
      <c r="BU591" s="1830"/>
    </row>
    <row r="592" spans="2:73" s="496" customFormat="1" ht="13.5" thickBot="1" x14ac:dyDescent="0.3">
      <c r="AK592" s="1828"/>
      <c r="AL592" s="1882" t="s">
        <v>1388</v>
      </c>
      <c r="AM592" s="1871" t="str">
        <f>B113</f>
        <v>AJUSTE POR INFLACIÓN  INVENTARIOS</v>
      </c>
      <c r="AN592" s="1872">
        <f>C113</f>
        <v>0</v>
      </c>
      <c r="AO592" s="1873">
        <f t="shared" si="496"/>
        <v>0</v>
      </c>
      <c r="AP592" s="1874">
        <f>E113</f>
        <v>0</v>
      </c>
      <c r="AQ592" s="1875">
        <f t="shared" si="497"/>
        <v>0</v>
      </c>
      <c r="AR592" s="1876">
        <f t="shared" si="498"/>
        <v>0</v>
      </c>
      <c r="AS592" s="1874">
        <f>H113</f>
        <v>0</v>
      </c>
      <c r="AT592" s="1875">
        <f t="shared" si="499"/>
        <v>0</v>
      </c>
      <c r="AU592" s="1876">
        <f t="shared" si="500"/>
        <v>0</v>
      </c>
      <c r="AV592" s="1874">
        <f>K113</f>
        <v>0</v>
      </c>
      <c r="AW592" s="1875">
        <f t="shared" si="501"/>
        <v>0</v>
      </c>
      <c r="AX592" s="1877">
        <f t="shared" si="502"/>
        <v>0</v>
      </c>
      <c r="AY592" s="1874">
        <f>N113</f>
        <v>0</v>
      </c>
      <c r="AZ592" s="1875">
        <f t="shared" si="503"/>
        <v>0</v>
      </c>
      <c r="BA592" s="1877">
        <f t="shared" si="504"/>
        <v>0</v>
      </c>
      <c r="BB592" s="1874">
        <f>Q113</f>
        <v>0</v>
      </c>
      <c r="BC592" s="1875">
        <f t="shared" si="505"/>
        <v>0</v>
      </c>
      <c r="BD592" s="1877">
        <f t="shared" si="506"/>
        <v>0</v>
      </c>
      <c r="BE592" s="1878">
        <f t="shared" ref="BE592:BT592" si="511">T113</f>
        <v>0</v>
      </c>
      <c r="BF592" s="1878">
        <f t="shared" si="511"/>
        <v>0</v>
      </c>
      <c r="BG592" s="1878">
        <f t="shared" si="511"/>
        <v>0</v>
      </c>
      <c r="BH592" s="1878">
        <f t="shared" si="511"/>
        <v>0</v>
      </c>
      <c r="BI592" s="1878">
        <f t="shared" si="511"/>
        <v>0</v>
      </c>
      <c r="BJ592" s="1878">
        <f t="shared" si="511"/>
        <v>0</v>
      </c>
      <c r="BK592" s="1878">
        <f t="shared" si="511"/>
        <v>0</v>
      </c>
      <c r="BL592" s="1878">
        <f t="shared" si="511"/>
        <v>0</v>
      </c>
      <c r="BM592" s="1878">
        <f t="shared" si="511"/>
        <v>0</v>
      </c>
      <c r="BN592" s="1878">
        <f t="shared" si="511"/>
        <v>0</v>
      </c>
      <c r="BO592" s="1878">
        <f t="shared" si="511"/>
        <v>0</v>
      </c>
      <c r="BP592" s="1878">
        <f t="shared" si="511"/>
        <v>0</v>
      </c>
      <c r="BQ592" s="1878">
        <f t="shared" si="511"/>
        <v>0</v>
      </c>
      <c r="BR592" s="1878">
        <f t="shared" si="511"/>
        <v>0</v>
      </c>
      <c r="BS592" s="1878">
        <f t="shared" si="511"/>
        <v>0</v>
      </c>
      <c r="BT592" s="1878">
        <f t="shared" si="511"/>
        <v>0</v>
      </c>
      <c r="BU592" s="1830"/>
    </row>
    <row r="593" spans="2:73" s="496" customFormat="1" ht="15.75" thickBot="1" x14ac:dyDescent="0.3">
      <c r="B593" s="1827" t="s">
        <v>1384</v>
      </c>
      <c r="I593" s="495"/>
      <c r="J593" s="495"/>
      <c r="K593" s="495"/>
      <c r="M593" s="500"/>
      <c r="N593" s="495"/>
      <c r="P593" s="500"/>
      <c r="Q593" s="495"/>
      <c r="S593" s="500"/>
      <c r="T593" s="1412" t="s">
        <v>1044</v>
      </c>
      <c r="U593" s="1235" t="s">
        <v>1044</v>
      </c>
      <c r="V593" s="1235" t="s">
        <v>1044</v>
      </c>
      <c r="AK593" s="1828"/>
      <c r="AL593" s="1870">
        <v>3</v>
      </c>
      <c r="AM593" s="1879" t="s">
        <v>1389</v>
      </c>
      <c r="AN593" s="1880">
        <f>SUM(AN590:AN592)</f>
        <v>0</v>
      </c>
      <c r="AO593" s="1873">
        <f t="shared" si="496"/>
        <v>0</v>
      </c>
      <c r="AP593" s="1881">
        <f>SUM(AP590:AP592)</f>
        <v>390</v>
      </c>
      <c r="AQ593" s="1875">
        <f t="shared" si="497"/>
        <v>0.10077519379844961</v>
      </c>
      <c r="AR593" s="1876">
        <f t="shared" si="498"/>
        <v>0</v>
      </c>
      <c r="AS593" s="1881">
        <f>SUM(AS590:AS592)</f>
        <v>390</v>
      </c>
      <c r="AT593" s="1875">
        <f t="shared" si="499"/>
        <v>0.10077519379844961</v>
      </c>
      <c r="AU593" s="1876">
        <f t="shared" si="500"/>
        <v>0</v>
      </c>
      <c r="AV593" s="1881">
        <f>SUM(AV590:AV592)</f>
        <v>390</v>
      </c>
      <c r="AW593" s="1875">
        <f t="shared" si="501"/>
        <v>0.10077519379844961</v>
      </c>
      <c r="AX593" s="1877">
        <f t="shared" si="502"/>
        <v>0</v>
      </c>
      <c r="AY593" s="1881">
        <f>SUM(AY590:AY592)</f>
        <v>390</v>
      </c>
      <c r="AZ593" s="1875">
        <f t="shared" si="503"/>
        <v>0.10077519379844961</v>
      </c>
      <c r="BA593" s="1877">
        <f t="shared" si="504"/>
        <v>0</v>
      </c>
      <c r="BB593" s="1881">
        <f>SUM(BB590:BB592)</f>
        <v>390</v>
      </c>
      <c r="BC593" s="1875">
        <f t="shared" si="505"/>
        <v>0.10077519379844961</v>
      </c>
      <c r="BD593" s="1877">
        <f t="shared" si="506"/>
        <v>0</v>
      </c>
      <c r="BE593" s="1881">
        <f t="shared" ref="BE593:BT593" si="512">SUM(BE590:BE592)</f>
        <v>390.00000000000006</v>
      </c>
      <c r="BF593" s="1881">
        <f t="shared" si="512"/>
        <v>390.00000000000006</v>
      </c>
      <c r="BG593" s="1881">
        <f t="shared" si="512"/>
        <v>390.00000000000006</v>
      </c>
      <c r="BH593" s="1881">
        <f t="shared" si="512"/>
        <v>390.00000000000006</v>
      </c>
      <c r="BI593" s="1881">
        <f t="shared" si="512"/>
        <v>390.00000000000006</v>
      </c>
      <c r="BJ593" s="1881">
        <f t="shared" si="512"/>
        <v>390.00000000000006</v>
      </c>
      <c r="BK593" s="1881">
        <f t="shared" si="512"/>
        <v>390.00000000000006</v>
      </c>
      <c r="BL593" s="1881">
        <f t="shared" si="512"/>
        <v>390.00000000000006</v>
      </c>
      <c r="BM593" s="1881">
        <f t="shared" si="512"/>
        <v>390.00000000000006</v>
      </c>
      <c r="BN593" s="1881">
        <f t="shared" si="512"/>
        <v>390.00000000000006</v>
      </c>
      <c r="BO593" s="1881">
        <f t="shared" si="512"/>
        <v>390.00000000000006</v>
      </c>
      <c r="BP593" s="1881">
        <f t="shared" si="512"/>
        <v>390.00000000000006</v>
      </c>
      <c r="BQ593" s="1881">
        <f t="shared" si="512"/>
        <v>390.00000000000006</v>
      </c>
      <c r="BR593" s="1881">
        <f t="shared" si="512"/>
        <v>390.00000000000006</v>
      </c>
      <c r="BS593" s="1881">
        <f t="shared" si="512"/>
        <v>390.00000000000006</v>
      </c>
      <c r="BT593" s="1881">
        <f t="shared" si="512"/>
        <v>390.00000000000006</v>
      </c>
      <c r="BU593" s="1830"/>
    </row>
    <row r="594" spans="2:73" s="496" customFormat="1" ht="12.75" x14ac:dyDescent="0.25">
      <c r="B594" s="1231" t="s">
        <v>1381</v>
      </c>
      <c r="C594" s="1413">
        <f>$C$422</f>
        <v>2018</v>
      </c>
      <c r="D594" s="1250"/>
      <c r="E594" s="1413">
        <f>$E$422</f>
        <v>2019</v>
      </c>
      <c r="F594" s="1250"/>
      <c r="G594" s="1250"/>
      <c r="H594" s="1413">
        <f>$H$422</f>
        <v>2020</v>
      </c>
      <c r="I594" s="1360"/>
      <c r="J594" s="1360"/>
      <c r="K594" s="1413">
        <f>K$422</f>
        <v>2020</v>
      </c>
      <c r="L594" s="1250"/>
      <c r="M594" s="1361"/>
      <c r="N594" s="1413">
        <f>$N$422</f>
        <v>2021</v>
      </c>
      <c r="O594" s="1250"/>
      <c r="P594" s="1361"/>
      <c r="Q594" s="1413">
        <f>$Q$422</f>
        <v>2021</v>
      </c>
      <c r="R594" s="1250"/>
      <c r="S594" s="1361"/>
      <c r="T594" s="1413">
        <f>$T$422</f>
        <v>2022</v>
      </c>
      <c r="U594" s="1413">
        <f>$U$422</f>
        <v>2023</v>
      </c>
      <c r="V594" s="1413">
        <f>$V$422</f>
        <v>2024</v>
      </c>
      <c r="AK594" s="1828"/>
      <c r="AL594" s="1870">
        <f t="shared" ref="AL594:AN596" si="513">A23</f>
        <v>4</v>
      </c>
      <c r="AM594" s="1883" t="str">
        <f t="shared" si="513"/>
        <v>ANTICIPOS - IMPUESTOS</v>
      </c>
      <c r="AN594" s="1884">
        <f t="shared" si="513"/>
        <v>0</v>
      </c>
      <c r="AO594" s="1873">
        <f t="shared" si="496"/>
        <v>0</v>
      </c>
      <c r="AP594" s="1885">
        <f>E23</f>
        <v>60</v>
      </c>
      <c r="AQ594" s="1875">
        <f t="shared" si="497"/>
        <v>1.5503875968992248E-2</v>
      </c>
      <c r="AR594" s="1876">
        <f t="shared" si="498"/>
        <v>0</v>
      </c>
      <c r="AS594" s="1885">
        <f>H23</f>
        <v>60</v>
      </c>
      <c r="AT594" s="1875">
        <f t="shared" si="499"/>
        <v>1.5503875968992248E-2</v>
      </c>
      <c r="AU594" s="1876">
        <f t="shared" si="500"/>
        <v>0</v>
      </c>
      <c r="AV594" s="1885">
        <f>K23</f>
        <v>60</v>
      </c>
      <c r="AW594" s="1875">
        <f t="shared" si="501"/>
        <v>1.5503875968992248E-2</v>
      </c>
      <c r="AX594" s="1877">
        <f t="shared" si="502"/>
        <v>0</v>
      </c>
      <c r="AY594" s="1885">
        <f>N23</f>
        <v>60</v>
      </c>
      <c r="AZ594" s="1875">
        <f t="shared" si="503"/>
        <v>1.5503875968992248E-2</v>
      </c>
      <c r="BA594" s="1877">
        <f t="shared" si="504"/>
        <v>0</v>
      </c>
      <c r="BB594" s="1885">
        <f>Q23</f>
        <v>60</v>
      </c>
      <c r="BC594" s="1875">
        <f t="shared" si="505"/>
        <v>1.5503875968992248E-2</v>
      </c>
      <c r="BD594" s="1877">
        <f t="shared" si="506"/>
        <v>0</v>
      </c>
      <c r="BE594" s="1886">
        <f t="shared" ref="BE594:BT596" si="514">T23</f>
        <v>60.000000000000014</v>
      </c>
      <c r="BF594" s="1886">
        <f t="shared" si="514"/>
        <v>60.000000000000014</v>
      </c>
      <c r="BG594" s="1886">
        <f t="shared" si="514"/>
        <v>60.000000000000014</v>
      </c>
      <c r="BH594" s="1886">
        <f t="shared" si="514"/>
        <v>60.000000000000014</v>
      </c>
      <c r="BI594" s="1886">
        <f t="shared" si="514"/>
        <v>60.000000000000014</v>
      </c>
      <c r="BJ594" s="1886">
        <f t="shared" si="514"/>
        <v>60.000000000000014</v>
      </c>
      <c r="BK594" s="1886">
        <f t="shared" si="514"/>
        <v>60.000000000000014</v>
      </c>
      <c r="BL594" s="1886">
        <f t="shared" si="514"/>
        <v>60.000000000000014</v>
      </c>
      <c r="BM594" s="1886">
        <f t="shared" si="514"/>
        <v>60.000000000000014</v>
      </c>
      <c r="BN594" s="1886">
        <f t="shared" si="514"/>
        <v>60.000000000000014</v>
      </c>
      <c r="BO594" s="1886">
        <f t="shared" si="514"/>
        <v>60.000000000000014</v>
      </c>
      <c r="BP594" s="1886">
        <f t="shared" si="514"/>
        <v>60.000000000000014</v>
      </c>
      <c r="BQ594" s="1886">
        <f t="shared" si="514"/>
        <v>60.000000000000014</v>
      </c>
      <c r="BR594" s="1886">
        <f t="shared" si="514"/>
        <v>60.000000000000014</v>
      </c>
      <c r="BS594" s="1886">
        <f t="shared" si="514"/>
        <v>60.000000000000014</v>
      </c>
      <c r="BT594" s="1886">
        <f t="shared" si="514"/>
        <v>60.000000000000014</v>
      </c>
      <c r="BU594" s="1830"/>
    </row>
    <row r="595" spans="2:73" s="496" customFormat="1" ht="12.75" x14ac:dyDescent="0.25">
      <c r="B595" s="1419" t="s">
        <v>870</v>
      </c>
      <c r="C595" s="1443">
        <v>4.7E-2</v>
      </c>
      <c r="E595" s="1444">
        <v>6.8000000000000005E-2</v>
      </c>
      <c r="H595" s="1444">
        <v>5.1999999999999998E-2</v>
      </c>
      <c r="I595" s="495"/>
      <c r="J595" s="495"/>
      <c r="K595" s="1444" t="s">
        <v>1260</v>
      </c>
      <c r="M595" s="500"/>
      <c r="N595" s="1444">
        <v>5.1999999999999998E-2</v>
      </c>
      <c r="P595" s="500"/>
      <c r="Q595" s="1444" t="s">
        <v>1260</v>
      </c>
      <c r="S595" s="500"/>
      <c r="T595" s="1445">
        <v>5.8000000000000003E-2</v>
      </c>
      <c r="U595" s="1444">
        <v>5.5E-2</v>
      </c>
      <c r="V595" s="1444">
        <v>5.5E-2</v>
      </c>
      <c r="AK595" s="1828"/>
      <c r="AL595" s="1870" t="str">
        <f t="shared" si="513"/>
        <v>5.1</v>
      </c>
      <c r="AM595" s="1871" t="str">
        <f t="shared" si="513"/>
        <v>DEUDORES VARIOS</v>
      </c>
      <c r="AN595" s="1872">
        <f t="shared" si="513"/>
        <v>0</v>
      </c>
      <c r="AO595" s="1873">
        <f t="shared" si="496"/>
        <v>0</v>
      </c>
      <c r="AP595" s="1874">
        <f>E24</f>
        <v>360</v>
      </c>
      <c r="AQ595" s="1875">
        <f t="shared" si="497"/>
        <v>9.3023255813953487E-2</v>
      </c>
      <c r="AR595" s="1876">
        <f t="shared" si="498"/>
        <v>0</v>
      </c>
      <c r="AS595" s="1874">
        <f>H24</f>
        <v>360</v>
      </c>
      <c r="AT595" s="1875">
        <f t="shared" si="499"/>
        <v>9.3023255813953487E-2</v>
      </c>
      <c r="AU595" s="1876">
        <f t="shared" si="500"/>
        <v>0</v>
      </c>
      <c r="AV595" s="1874">
        <f>K24</f>
        <v>360</v>
      </c>
      <c r="AW595" s="1875">
        <f t="shared" si="501"/>
        <v>9.3023255813953487E-2</v>
      </c>
      <c r="AX595" s="1877">
        <f t="shared" si="502"/>
        <v>0</v>
      </c>
      <c r="AY595" s="1874">
        <f>N24</f>
        <v>360</v>
      </c>
      <c r="AZ595" s="1875">
        <f t="shared" si="503"/>
        <v>9.3023255813953487E-2</v>
      </c>
      <c r="BA595" s="1877">
        <f t="shared" si="504"/>
        <v>0</v>
      </c>
      <c r="BB595" s="1874">
        <f>Q24</f>
        <v>360</v>
      </c>
      <c r="BC595" s="1875">
        <f t="shared" si="505"/>
        <v>9.3023255813953487E-2</v>
      </c>
      <c r="BD595" s="1877">
        <f t="shared" si="506"/>
        <v>0</v>
      </c>
      <c r="BE595" s="1878">
        <f t="shared" si="514"/>
        <v>360</v>
      </c>
      <c r="BF595" s="1878">
        <f t="shared" si="514"/>
        <v>360</v>
      </c>
      <c r="BG595" s="1878">
        <f t="shared" si="514"/>
        <v>360</v>
      </c>
      <c r="BH595" s="1878">
        <f t="shared" si="514"/>
        <v>360</v>
      </c>
      <c r="BI595" s="1878">
        <f t="shared" si="514"/>
        <v>360</v>
      </c>
      <c r="BJ595" s="1878">
        <f t="shared" si="514"/>
        <v>360</v>
      </c>
      <c r="BK595" s="1878">
        <f t="shared" si="514"/>
        <v>360</v>
      </c>
      <c r="BL595" s="1878">
        <f t="shared" si="514"/>
        <v>360</v>
      </c>
      <c r="BM595" s="1878">
        <f t="shared" si="514"/>
        <v>360</v>
      </c>
      <c r="BN595" s="1878">
        <f t="shared" si="514"/>
        <v>360</v>
      </c>
      <c r="BO595" s="1878">
        <f t="shared" si="514"/>
        <v>360</v>
      </c>
      <c r="BP595" s="1878">
        <f t="shared" si="514"/>
        <v>360</v>
      </c>
      <c r="BQ595" s="1878">
        <f t="shared" si="514"/>
        <v>360</v>
      </c>
      <c r="BR595" s="1878">
        <f t="shared" si="514"/>
        <v>360</v>
      </c>
      <c r="BS595" s="1878">
        <f t="shared" si="514"/>
        <v>360</v>
      </c>
      <c r="BT595" s="1878">
        <f t="shared" si="514"/>
        <v>360</v>
      </c>
      <c r="BU595" s="1830"/>
    </row>
    <row r="596" spans="2:73" s="496" customFormat="1" ht="12.75" x14ac:dyDescent="0.25">
      <c r="B596" s="1423" t="s">
        <v>872</v>
      </c>
      <c r="C596" s="1447">
        <v>0</v>
      </c>
      <c r="E596" s="1448">
        <v>1.0582010582012237E-3</v>
      </c>
      <c r="H596" s="1448">
        <v>3.0655391120507306E-2</v>
      </c>
      <c r="I596" s="495"/>
      <c r="J596" s="495"/>
      <c r="K596" s="1448" t="s">
        <v>1260</v>
      </c>
      <c r="M596" s="500"/>
      <c r="N596" s="1448">
        <v>5.128205128205128E-2</v>
      </c>
      <c r="P596" s="500"/>
      <c r="Q596" s="1448" t="s">
        <v>1260</v>
      </c>
      <c r="S596" s="500"/>
      <c r="T596" s="1449">
        <v>3.0731707317073122E-2</v>
      </c>
      <c r="U596" s="1448">
        <v>-6.1523899668716993E-3</v>
      </c>
      <c r="V596" s="1448">
        <v>0</v>
      </c>
      <c r="AK596" s="1828"/>
      <c r="AL596" s="1870" t="str">
        <f t="shared" si="513"/>
        <v>5.2</v>
      </c>
      <c r="AM596" s="1871" t="str">
        <f t="shared" si="513"/>
        <v>OTROS CORRIENTES</v>
      </c>
      <c r="AN596" s="1872">
        <f t="shared" si="513"/>
        <v>0</v>
      </c>
      <c r="AO596" s="1873">
        <f t="shared" si="496"/>
        <v>0</v>
      </c>
      <c r="AP596" s="1874">
        <f>E25</f>
        <v>570</v>
      </c>
      <c r="AQ596" s="1875">
        <f t="shared" si="497"/>
        <v>0.14728682170542637</v>
      </c>
      <c r="AR596" s="1876">
        <f t="shared" si="498"/>
        <v>0</v>
      </c>
      <c r="AS596" s="1874">
        <f>H25</f>
        <v>570</v>
      </c>
      <c r="AT596" s="1875">
        <f t="shared" si="499"/>
        <v>0.14728682170542637</v>
      </c>
      <c r="AU596" s="1876">
        <f t="shared" si="500"/>
        <v>0</v>
      </c>
      <c r="AV596" s="1874">
        <f>K25</f>
        <v>570</v>
      </c>
      <c r="AW596" s="1875">
        <f t="shared" si="501"/>
        <v>0.14728682170542637</v>
      </c>
      <c r="AX596" s="1877">
        <f t="shared" si="502"/>
        <v>0</v>
      </c>
      <c r="AY596" s="1874">
        <f>N25</f>
        <v>570</v>
      </c>
      <c r="AZ596" s="1875">
        <f t="shared" si="503"/>
        <v>0.14728682170542637</v>
      </c>
      <c r="BA596" s="1877">
        <f t="shared" si="504"/>
        <v>0</v>
      </c>
      <c r="BB596" s="1874">
        <f>Q25</f>
        <v>570</v>
      </c>
      <c r="BC596" s="1875">
        <f t="shared" si="505"/>
        <v>0.14728682170542637</v>
      </c>
      <c r="BD596" s="1877">
        <f t="shared" si="506"/>
        <v>0</v>
      </c>
      <c r="BE596" s="1878">
        <f t="shared" si="514"/>
        <v>570</v>
      </c>
      <c r="BF596" s="1878">
        <f t="shared" si="514"/>
        <v>570</v>
      </c>
      <c r="BG596" s="1878">
        <f t="shared" si="514"/>
        <v>570</v>
      </c>
      <c r="BH596" s="1878">
        <f t="shared" si="514"/>
        <v>570</v>
      </c>
      <c r="BI596" s="1878">
        <f t="shared" si="514"/>
        <v>570</v>
      </c>
      <c r="BJ596" s="1878">
        <f t="shared" si="514"/>
        <v>570</v>
      </c>
      <c r="BK596" s="1878">
        <f t="shared" si="514"/>
        <v>570</v>
      </c>
      <c r="BL596" s="1878">
        <f t="shared" si="514"/>
        <v>570</v>
      </c>
      <c r="BM596" s="1878">
        <f t="shared" si="514"/>
        <v>570</v>
      </c>
      <c r="BN596" s="1878">
        <f t="shared" si="514"/>
        <v>570</v>
      </c>
      <c r="BO596" s="1878">
        <f t="shared" si="514"/>
        <v>570</v>
      </c>
      <c r="BP596" s="1878">
        <f t="shared" si="514"/>
        <v>570</v>
      </c>
      <c r="BQ596" s="1878">
        <f t="shared" si="514"/>
        <v>570</v>
      </c>
      <c r="BR596" s="1878">
        <f t="shared" si="514"/>
        <v>570</v>
      </c>
      <c r="BS596" s="1878">
        <f t="shared" si="514"/>
        <v>570</v>
      </c>
      <c r="BT596" s="1878">
        <f t="shared" si="514"/>
        <v>570</v>
      </c>
      <c r="BU596" s="1830"/>
    </row>
    <row r="597" spans="2:73" s="496" customFormat="1" ht="12.75" x14ac:dyDescent="0.25">
      <c r="B597" s="1423" t="s">
        <v>874</v>
      </c>
      <c r="C597" s="1447">
        <v>3.6999999999999998E-2</v>
      </c>
      <c r="E597" s="1448">
        <v>3.7999999999999999E-2</v>
      </c>
      <c r="H597" s="1448">
        <v>3.9E-2</v>
      </c>
      <c r="I597" s="495"/>
      <c r="J597" s="495"/>
      <c r="K597" s="1448" t="s">
        <v>1260</v>
      </c>
      <c r="M597" s="500"/>
      <c r="N597" s="1448">
        <v>2.5999999999999999E-2</v>
      </c>
      <c r="P597" s="500"/>
      <c r="Q597" s="1448" t="s">
        <v>1260</v>
      </c>
      <c r="S597" s="500"/>
      <c r="T597" s="1449">
        <v>0.03</v>
      </c>
      <c r="U597" s="1448">
        <v>0.03</v>
      </c>
      <c r="V597" s="1448">
        <v>3.3000000000000002E-2</v>
      </c>
      <c r="AK597" s="1828"/>
      <c r="AL597" s="1887">
        <v>5</v>
      </c>
      <c r="AM597" s="1879" t="s">
        <v>1390</v>
      </c>
      <c r="AN597" s="1880">
        <f>SUM(AN595:AN596)</f>
        <v>0</v>
      </c>
      <c r="AO597" s="1873">
        <f t="shared" si="496"/>
        <v>0</v>
      </c>
      <c r="AP597" s="1881">
        <f>SUM(AP595:AP596)</f>
        <v>930</v>
      </c>
      <c r="AQ597" s="1875">
        <f t="shared" si="497"/>
        <v>0.24031007751937986</v>
      </c>
      <c r="AR597" s="1876">
        <f t="shared" si="498"/>
        <v>0</v>
      </c>
      <c r="AS597" s="1881">
        <f>SUM(AS595:AS596)</f>
        <v>930</v>
      </c>
      <c r="AT597" s="1875">
        <f t="shared" si="499"/>
        <v>0.24031007751937986</v>
      </c>
      <c r="AU597" s="1876">
        <f t="shared" si="500"/>
        <v>0</v>
      </c>
      <c r="AV597" s="1881">
        <f>SUM(AV595:AV596)</f>
        <v>930</v>
      </c>
      <c r="AW597" s="1875">
        <f t="shared" si="501"/>
        <v>0.24031007751937986</v>
      </c>
      <c r="AX597" s="1877">
        <f t="shared" si="502"/>
        <v>0</v>
      </c>
      <c r="AY597" s="1881">
        <f>SUM(AY595:AY596)</f>
        <v>930</v>
      </c>
      <c r="AZ597" s="1875">
        <f t="shared" si="503"/>
        <v>0.24031007751937986</v>
      </c>
      <c r="BA597" s="1877">
        <f t="shared" si="504"/>
        <v>0</v>
      </c>
      <c r="BB597" s="1881">
        <f>SUM(BB595:BB596)</f>
        <v>930</v>
      </c>
      <c r="BC597" s="1875">
        <f t="shared" si="505"/>
        <v>0.24031007751937986</v>
      </c>
      <c r="BD597" s="1877">
        <f t="shared" si="506"/>
        <v>0</v>
      </c>
      <c r="BE597" s="1881">
        <f t="shared" ref="BE597:BT597" si="515">SUM(BE595:BE596)</f>
        <v>930</v>
      </c>
      <c r="BF597" s="1881">
        <f t="shared" si="515"/>
        <v>930</v>
      </c>
      <c r="BG597" s="1881">
        <f t="shared" si="515"/>
        <v>930</v>
      </c>
      <c r="BH597" s="1881">
        <f t="shared" si="515"/>
        <v>930</v>
      </c>
      <c r="BI597" s="1881">
        <f t="shared" si="515"/>
        <v>930</v>
      </c>
      <c r="BJ597" s="1881">
        <f t="shared" si="515"/>
        <v>930</v>
      </c>
      <c r="BK597" s="1881">
        <f t="shared" si="515"/>
        <v>930</v>
      </c>
      <c r="BL597" s="1881">
        <f t="shared" si="515"/>
        <v>930</v>
      </c>
      <c r="BM597" s="1881">
        <f t="shared" si="515"/>
        <v>930</v>
      </c>
      <c r="BN597" s="1881">
        <f t="shared" si="515"/>
        <v>930</v>
      </c>
      <c r="BO597" s="1881">
        <f t="shared" si="515"/>
        <v>930</v>
      </c>
      <c r="BP597" s="1881">
        <f t="shared" si="515"/>
        <v>930</v>
      </c>
      <c r="BQ597" s="1881">
        <f t="shared" si="515"/>
        <v>930</v>
      </c>
      <c r="BR597" s="1881">
        <f t="shared" si="515"/>
        <v>930</v>
      </c>
      <c r="BS597" s="1881">
        <f t="shared" si="515"/>
        <v>930</v>
      </c>
      <c r="BT597" s="1881">
        <f t="shared" si="515"/>
        <v>930</v>
      </c>
      <c r="BU597" s="1830"/>
    </row>
    <row r="598" spans="2:73" s="496" customFormat="1" ht="13.5" thickBot="1" x14ac:dyDescent="0.3">
      <c r="B598" s="1452" t="s">
        <v>1344</v>
      </c>
      <c r="C598" s="1453">
        <v>18.899999999999999</v>
      </c>
      <c r="D598" s="1454"/>
      <c r="E598" s="1455">
        <v>18.920000000000002</v>
      </c>
      <c r="F598" s="1454"/>
      <c r="G598" s="1454"/>
      <c r="H598" s="1455">
        <v>19.5</v>
      </c>
      <c r="I598" s="1456"/>
      <c r="J598" s="1456"/>
      <c r="K598" s="1457" t="s">
        <v>1260</v>
      </c>
      <c r="L598" s="1454"/>
      <c r="M598" s="1458"/>
      <c r="N598" s="1457">
        <v>20.5</v>
      </c>
      <c r="O598" s="1454"/>
      <c r="P598" s="1458"/>
      <c r="Q598" s="1457" t="s">
        <v>1260</v>
      </c>
      <c r="R598" s="1454"/>
      <c r="S598" s="1458"/>
      <c r="T598" s="1459">
        <v>21.13</v>
      </c>
      <c r="U598" s="1457">
        <v>21</v>
      </c>
      <c r="V598" s="1457">
        <v>21</v>
      </c>
      <c r="AK598" s="1828"/>
      <c r="AL598" s="1888"/>
      <c r="AM598" s="1889" t="s">
        <v>1058</v>
      </c>
      <c r="AN598" s="1890">
        <f>SUM(AN586,AN589,AN593,AN594,AN597)</f>
        <v>0</v>
      </c>
      <c r="AO598" s="1891">
        <f t="shared" si="496"/>
        <v>0</v>
      </c>
      <c r="AP598" s="1892">
        <f>SUM(AP586,AP589,AP593,AP594,AP597)</f>
        <v>1860</v>
      </c>
      <c r="AQ598" s="1893">
        <f t="shared" si="497"/>
        <v>0.48062015503875971</v>
      </c>
      <c r="AR598" s="1894">
        <f t="shared" si="498"/>
        <v>0</v>
      </c>
      <c r="AS598" s="1892">
        <f>SUM(AS586,AS589,AS593,AS594,AS597)</f>
        <v>1860</v>
      </c>
      <c r="AT598" s="1893">
        <f t="shared" si="499"/>
        <v>0.48062015503875971</v>
      </c>
      <c r="AU598" s="1894">
        <f t="shared" si="500"/>
        <v>0</v>
      </c>
      <c r="AV598" s="1892">
        <f>SUM(AV586,AV589,AV593,AV594,AV597)</f>
        <v>1860</v>
      </c>
      <c r="AW598" s="1893">
        <f t="shared" si="501"/>
        <v>0.48062015503875971</v>
      </c>
      <c r="AX598" s="1895">
        <f t="shared" si="502"/>
        <v>0</v>
      </c>
      <c r="AY598" s="1892">
        <f>SUM(AY586,AY589,AY593,AY594,AY597)</f>
        <v>1860</v>
      </c>
      <c r="AZ598" s="1893">
        <f t="shared" si="503"/>
        <v>0.48062015503875971</v>
      </c>
      <c r="BA598" s="1895">
        <f t="shared" si="504"/>
        <v>0</v>
      </c>
      <c r="BB598" s="1892">
        <f>SUM(BB586,BB589,BB593,BB594,BB597)</f>
        <v>1860</v>
      </c>
      <c r="BC598" s="1893">
        <f t="shared" si="505"/>
        <v>0.48062015503875971</v>
      </c>
      <c r="BD598" s="1895">
        <f t="shared" si="506"/>
        <v>0</v>
      </c>
      <c r="BE598" s="1896">
        <f t="shared" ref="BE598:BT598" si="516">SUM(BE586,BE589,BE593,BE594,BE597)</f>
        <v>2575.1659999999993</v>
      </c>
      <c r="BF598" s="1896">
        <f t="shared" si="516"/>
        <v>3292.5899999999992</v>
      </c>
      <c r="BG598" s="1896">
        <f t="shared" si="516"/>
        <v>4007.2119999999991</v>
      </c>
      <c r="BH598" s="1896">
        <f t="shared" si="516"/>
        <v>4712.619999999999</v>
      </c>
      <c r="BI598" s="1896">
        <f t="shared" si="516"/>
        <v>5411.4939999999988</v>
      </c>
      <c r="BJ598" s="1896">
        <f t="shared" si="516"/>
        <v>6103.833999999998</v>
      </c>
      <c r="BK598" s="1896">
        <f t="shared" si="516"/>
        <v>6789.6399999999985</v>
      </c>
      <c r="BL598" s="1896">
        <f t="shared" si="516"/>
        <v>7468.9119999999966</v>
      </c>
      <c r="BM598" s="1896">
        <f t="shared" si="516"/>
        <v>8141.6499999999978</v>
      </c>
      <c r="BN598" s="1896">
        <f t="shared" si="516"/>
        <v>8807.8539999999957</v>
      </c>
      <c r="BO598" s="1896">
        <f t="shared" si="516"/>
        <v>9467.5239999999976</v>
      </c>
      <c r="BP598" s="1896">
        <f t="shared" si="516"/>
        <v>10120.659999999996</v>
      </c>
      <c r="BQ598" s="1896">
        <f t="shared" si="516"/>
        <v>10767.261999999997</v>
      </c>
      <c r="BR598" s="1896">
        <f t="shared" si="516"/>
        <v>11407.329999999996</v>
      </c>
      <c r="BS598" s="1896">
        <f t="shared" si="516"/>
        <v>12040.863999999998</v>
      </c>
      <c r="BT598" s="1896">
        <f t="shared" si="516"/>
        <v>12667.863999999996</v>
      </c>
      <c r="BU598" s="1830"/>
    </row>
    <row r="599" spans="2:73" s="496" customFormat="1" ht="12.75" x14ac:dyDescent="0.25">
      <c r="AK599" s="1828"/>
      <c r="AL599" s="1897" t="s">
        <v>1391</v>
      </c>
      <c r="AM599" s="1871" t="str">
        <f>B27</f>
        <v>INVERSIONES EN FILIALES Y ASOCIADAS (PERMANENTES)</v>
      </c>
      <c r="AN599" s="1872">
        <f>C27-C118</f>
        <v>0</v>
      </c>
      <c r="AO599" s="1873">
        <f t="shared" si="496"/>
        <v>0</v>
      </c>
      <c r="AP599" s="1874">
        <f>E27-E118</f>
        <v>270</v>
      </c>
      <c r="AQ599" s="1875">
        <f t="shared" si="497"/>
        <v>6.9767441860465115E-2</v>
      </c>
      <c r="AR599" s="1876">
        <f t="shared" si="498"/>
        <v>0</v>
      </c>
      <c r="AS599" s="1874">
        <f>H27-H118</f>
        <v>270</v>
      </c>
      <c r="AT599" s="1875">
        <f t="shared" si="499"/>
        <v>6.9767441860465115E-2</v>
      </c>
      <c r="AU599" s="1876">
        <f t="shared" si="500"/>
        <v>0</v>
      </c>
      <c r="AV599" s="1874">
        <f>K27-K118</f>
        <v>270</v>
      </c>
      <c r="AW599" s="1875">
        <f t="shared" si="501"/>
        <v>6.9767441860465115E-2</v>
      </c>
      <c r="AX599" s="1877">
        <f t="shared" si="502"/>
        <v>0</v>
      </c>
      <c r="AY599" s="1874">
        <f>N27-N118</f>
        <v>270</v>
      </c>
      <c r="AZ599" s="1875">
        <f t="shared" si="503"/>
        <v>6.9767441860465115E-2</v>
      </c>
      <c r="BA599" s="1877">
        <f t="shared" si="504"/>
        <v>0</v>
      </c>
      <c r="BB599" s="1874">
        <f>Q27-Q118</f>
        <v>270</v>
      </c>
      <c r="BC599" s="1875">
        <f t="shared" si="505"/>
        <v>6.9767441860465115E-2</v>
      </c>
      <c r="BD599" s="1877">
        <f t="shared" si="506"/>
        <v>0</v>
      </c>
      <c r="BE599" s="1878">
        <f t="shared" ref="BE599:BT599" si="517">T27-T118</f>
        <v>270</v>
      </c>
      <c r="BF599" s="1878">
        <f t="shared" si="517"/>
        <v>270</v>
      </c>
      <c r="BG599" s="1878">
        <f t="shared" si="517"/>
        <v>270</v>
      </c>
      <c r="BH599" s="1878">
        <f t="shared" si="517"/>
        <v>270</v>
      </c>
      <c r="BI599" s="1878">
        <f t="shared" si="517"/>
        <v>270</v>
      </c>
      <c r="BJ599" s="1878">
        <f t="shared" si="517"/>
        <v>270</v>
      </c>
      <c r="BK599" s="1878">
        <f t="shared" si="517"/>
        <v>270</v>
      </c>
      <c r="BL599" s="1878">
        <f t="shared" si="517"/>
        <v>270</v>
      </c>
      <c r="BM599" s="1878">
        <f t="shared" si="517"/>
        <v>270</v>
      </c>
      <c r="BN599" s="1878">
        <f t="shared" si="517"/>
        <v>270</v>
      </c>
      <c r="BO599" s="1878">
        <f t="shared" si="517"/>
        <v>270</v>
      </c>
      <c r="BP599" s="1878">
        <f t="shared" si="517"/>
        <v>270</v>
      </c>
      <c r="BQ599" s="1878">
        <f t="shared" si="517"/>
        <v>270</v>
      </c>
      <c r="BR599" s="1878">
        <f t="shared" si="517"/>
        <v>270</v>
      </c>
      <c r="BS599" s="1878">
        <f t="shared" si="517"/>
        <v>270</v>
      </c>
      <c r="BT599" s="1878">
        <f t="shared" si="517"/>
        <v>270</v>
      </c>
      <c r="BU599" s="1830"/>
    </row>
    <row r="600" spans="2:73" s="496" customFormat="1" ht="13.5" thickBot="1" x14ac:dyDescent="0.3">
      <c r="AK600" s="1828"/>
      <c r="AL600" s="1882" t="s">
        <v>1392</v>
      </c>
      <c r="AM600" s="1871" t="str">
        <f>B118</f>
        <v>AJUSTE POR INFLACIÓN  INVERSIONES PERMANENTES</v>
      </c>
      <c r="AN600" s="1898">
        <f>C118</f>
        <v>0</v>
      </c>
      <c r="AO600" s="1873">
        <f t="shared" si="496"/>
        <v>0</v>
      </c>
      <c r="AP600" s="1878">
        <f>E118</f>
        <v>0</v>
      </c>
      <c r="AQ600" s="1875">
        <f t="shared" si="497"/>
        <v>0</v>
      </c>
      <c r="AR600" s="1876">
        <f t="shared" si="498"/>
        <v>0</v>
      </c>
      <c r="AS600" s="1878">
        <f>H118</f>
        <v>0</v>
      </c>
      <c r="AT600" s="1875">
        <f t="shared" si="499"/>
        <v>0</v>
      </c>
      <c r="AU600" s="1876">
        <f t="shared" si="500"/>
        <v>0</v>
      </c>
      <c r="AV600" s="1878">
        <f>K118</f>
        <v>0</v>
      </c>
      <c r="AW600" s="1875">
        <f t="shared" si="501"/>
        <v>0</v>
      </c>
      <c r="AX600" s="1877">
        <f t="shared" si="502"/>
        <v>0</v>
      </c>
      <c r="AY600" s="1878">
        <f>N118</f>
        <v>0</v>
      </c>
      <c r="AZ600" s="1875">
        <f t="shared" si="503"/>
        <v>0</v>
      </c>
      <c r="BA600" s="1877">
        <f t="shared" si="504"/>
        <v>0</v>
      </c>
      <c r="BB600" s="1878">
        <f>Q118</f>
        <v>0</v>
      </c>
      <c r="BC600" s="1875">
        <f t="shared" si="505"/>
        <v>0</v>
      </c>
      <c r="BD600" s="1877">
        <f t="shared" si="506"/>
        <v>0</v>
      </c>
      <c r="BE600" s="1878">
        <f t="shared" ref="BE600:BT600" si="518">T118</f>
        <v>0</v>
      </c>
      <c r="BF600" s="1878">
        <f t="shared" si="518"/>
        <v>0</v>
      </c>
      <c r="BG600" s="1878">
        <f t="shared" si="518"/>
        <v>0</v>
      </c>
      <c r="BH600" s="1878">
        <f t="shared" si="518"/>
        <v>0</v>
      </c>
      <c r="BI600" s="1878">
        <f t="shared" si="518"/>
        <v>0</v>
      </c>
      <c r="BJ600" s="1878">
        <f t="shared" si="518"/>
        <v>0</v>
      </c>
      <c r="BK600" s="1878">
        <f t="shared" si="518"/>
        <v>0</v>
      </c>
      <c r="BL600" s="1878">
        <f t="shared" si="518"/>
        <v>0</v>
      </c>
      <c r="BM600" s="1878">
        <f t="shared" si="518"/>
        <v>0</v>
      </c>
      <c r="BN600" s="1878">
        <f t="shared" si="518"/>
        <v>0</v>
      </c>
      <c r="BO600" s="1878">
        <f t="shared" si="518"/>
        <v>0</v>
      </c>
      <c r="BP600" s="1878">
        <f t="shared" si="518"/>
        <v>0</v>
      </c>
      <c r="BQ600" s="1878">
        <f t="shared" si="518"/>
        <v>0</v>
      </c>
      <c r="BR600" s="1878">
        <f t="shared" si="518"/>
        <v>0</v>
      </c>
      <c r="BS600" s="1878">
        <f t="shared" si="518"/>
        <v>0</v>
      </c>
      <c r="BT600" s="1878">
        <f t="shared" si="518"/>
        <v>0</v>
      </c>
      <c r="BU600" s="1830"/>
    </row>
    <row r="601" spans="2:73" s="496" customFormat="1" ht="15.75" thickBot="1" x14ac:dyDescent="0.3">
      <c r="B601" s="1827" t="s">
        <v>1385</v>
      </c>
      <c r="I601" s="495"/>
      <c r="J601" s="495"/>
      <c r="K601" s="495"/>
      <c r="M601" s="500"/>
      <c r="N601" s="495"/>
      <c r="P601" s="500"/>
      <c r="Q601" s="495"/>
      <c r="S601" s="500"/>
      <c r="T601" s="1412" t="s">
        <v>1044</v>
      </c>
      <c r="U601" s="1235" t="s">
        <v>1044</v>
      </c>
      <c r="V601" s="1235" t="s">
        <v>1044</v>
      </c>
      <c r="AK601" s="1828"/>
      <c r="AL601" s="1899">
        <f>A27</f>
        <v>6</v>
      </c>
      <c r="AM601" s="1879" t="s">
        <v>1393</v>
      </c>
      <c r="AN601" s="1880">
        <f>SUM(AN599:AN600)</f>
        <v>0</v>
      </c>
      <c r="AO601" s="1873">
        <f t="shared" si="496"/>
        <v>0</v>
      </c>
      <c r="AP601" s="1881">
        <f>SUM(AP599:AP600)</f>
        <v>270</v>
      </c>
      <c r="AQ601" s="1875">
        <f t="shared" si="497"/>
        <v>6.9767441860465115E-2</v>
      </c>
      <c r="AR601" s="1876">
        <f t="shared" si="498"/>
        <v>0</v>
      </c>
      <c r="AS601" s="1881">
        <f>SUM(AS599:AS600)</f>
        <v>270</v>
      </c>
      <c r="AT601" s="1875">
        <f t="shared" si="499"/>
        <v>6.9767441860465115E-2</v>
      </c>
      <c r="AU601" s="1876">
        <f t="shared" si="500"/>
        <v>0</v>
      </c>
      <c r="AV601" s="1881">
        <f>SUM(AV599:AV600)</f>
        <v>270</v>
      </c>
      <c r="AW601" s="1875">
        <f t="shared" si="501"/>
        <v>6.9767441860465115E-2</v>
      </c>
      <c r="AX601" s="1877">
        <f t="shared" si="502"/>
        <v>0</v>
      </c>
      <c r="AY601" s="1881">
        <f>SUM(AY599:AY600)</f>
        <v>270</v>
      </c>
      <c r="AZ601" s="1875">
        <f t="shared" si="503"/>
        <v>6.9767441860465115E-2</v>
      </c>
      <c r="BA601" s="1877">
        <f t="shared" si="504"/>
        <v>0</v>
      </c>
      <c r="BB601" s="1881">
        <f>SUM(BB599:BB600)</f>
        <v>270</v>
      </c>
      <c r="BC601" s="1875">
        <f t="shared" si="505"/>
        <v>6.9767441860465115E-2</v>
      </c>
      <c r="BD601" s="1877">
        <f t="shared" si="506"/>
        <v>0</v>
      </c>
      <c r="BE601" s="1881">
        <f t="shared" ref="BE601:BT601" si="519">SUM(BE599:BE600)</f>
        <v>270</v>
      </c>
      <c r="BF601" s="1881">
        <f t="shared" si="519"/>
        <v>270</v>
      </c>
      <c r="BG601" s="1881">
        <f t="shared" si="519"/>
        <v>270</v>
      </c>
      <c r="BH601" s="1881">
        <f t="shared" si="519"/>
        <v>270</v>
      </c>
      <c r="BI601" s="1881">
        <f t="shared" si="519"/>
        <v>270</v>
      </c>
      <c r="BJ601" s="1881">
        <f t="shared" si="519"/>
        <v>270</v>
      </c>
      <c r="BK601" s="1881">
        <f t="shared" si="519"/>
        <v>270</v>
      </c>
      <c r="BL601" s="1881">
        <f t="shared" si="519"/>
        <v>270</v>
      </c>
      <c r="BM601" s="1881">
        <f t="shared" si="519"/>
        <v>270</v>
      </c>
      <c r="BN601" s="1881">
        <f t="shared" si="519"/>
        <v>270</v>
      </c>
      <c r="BO601" s="1881">
        <f t="shared" si="519"/>
        <v>270</v>
      </c>
      <c r="BP601" s="1881">
        <f t="shared" si="519"/>
        <v>270</v>
      </c>
      <c r="BQ601" s="1881">
        <f t="shared" si="519"/>
        <v>270</v>
      </c>
      <c r="BR601" s="1881">
        <f t="shared" si="519"/>
        <v>270</v>
      </c>
      <c r="BS601" s="1881">
        <f t="shared" si="519"/>
        <v>270</v>
      </c>
      <c r="BT601" s="1881">
        <f t="shared" si="519"/>
        <v>270</v>
      </c>
      <c r="BU601" s="1830"/>
    </row>
    <row r="602" spans="2:73" s="496" customFormat="1" ht="12.75" x14ac:dyDescent="0.25">
      <c r="B602" s="1231" t="s">
        <v>1381</v>
      </c>
      <c r="C602" s="1413">
        <f>$C$422</f>
        <v>2018</v>
      </c>
      <c r="D602" s="1250"/>
      <c r="E602" s="1413">
        <f>$E$422</f>
        <v>2019</v>
      </c>
      <c r="F602" s="1250"/>
      <c r="G602" s="1250"/>
      <c r="H602" s="1413">
        <f>$H$422</f>
        <v>2020</v>
      </c>
      <c r="I602" s="1360"/>
      <c r="J602" s="1360"/>
      <c r="K602" s="1413">
        <f>K$422</f>
        <v>2020</v>
      </c>
      <c r="L602" s="1250"/>
      <c r="M602" s="1361"/>
      <c r="N602" s="1413">
        <f>$N$422</f>
        <v>2021</v>
      </c>
      <c r="O602" s="1250"/>
      <c r="P602" s="1361"/>
      <c r="Q602" s="1413">
        <f>$Q$422</f>
        <v>2021</v>
      </c>
      <c r="R602" s="1250"/>
      <c r="S602" s="1361"/>
      <c r="T602" s="1413">
        <f>$T$422</f>
        <v>2022</v>
      </c>
      <c r="U602" s="1413">
        <f>$U$422</f>
        <v>2023</v>
      </c>
      <c r="V602" s="1413">
        <f>$V$422</f>
        <v>2024</v>
      </c>
      <c r="AK602" s="1828"/>
      <c r="AL602" s="1870" t="str">
        <f>A28</f>
        <v>7.1</v>
      </c>
      <c r="AM602" s="1871" t="str">
        <f>B28</f>
        <v>ACTIVOS FIJOS</v>
      </c>
      <c r="AN602" s="1898">
        <f>C28-C114</f>
        <v>0</v>
      </c>
      <c r="AO602" s="1873">
        <f t="shared" si="496"/>
        <v>0</v>
      </c>
      <c r="AP602" s="1878">
        <f>E28-E114</f>
        <v>540</v>
      </c>
      <c r="AQ602" s="1875">
        <f t="shared" si="497"/>
        <v>0.13953488372093023</v>
      </c>
      <c r="AR602" s="1876">
        <f t="shared" si="498"/>
        <v>0</v>
      </c>
      <c r="AS602" s="1878">
        <f>H28-H114</f>
        <v>540</v>
      </c>
      <c r="AT602" s="1875">
        <f t="shared" si="499"/>
        <v>0.13953488372093023</v>
      </c>
      <c r="AU602" s="1876">
        <f t="shared" si="500"/>
        <v>0</v>
      </c>
      <c r="AV602" s="1878">
        <f>K28-K114</f>
        <v>540</v>
      </c>
      <c r="AW602" s="1875">
        <f t="shared" si="501"/>
        <v>0.13953488372093023</v>
      </c>
      <c r="AX602" s="1877">
        <f t="shared" si="502"/>
        <v>0</v>
      </c>
      <c r="AY602" s="1878">
        <f>N28-N114</f>
        <v>540</v>
      </c>
      <c r="AZ602" s="1875">
        <f t="shared" si="503"/>
        <v>0.13953488372093023</v>
      </c>
      <c r="BA602" s="1877">
        <f t="shared" si="504"/>
        <v>0</v>
      </c>
      <c r="BB602" s="1878">
        <f>Q28-Q114</f>
        <v>540</v>
      </c>
      <c r="BC602" s="1875">
        <f t="shared" si="505"/>
        <v>0.13953488372093023</v>
      </c>
      <c r="BD602" s="1877">
        <f t="shared" si="506"/>
        <v>0</v>
      </c>
      <c r="BE602" s="1878">
        <f t="shared" ref="BE602:BT602" si="520">T28-T114</f>
        <v>718.2</v>
      </c>
      <c r="BF602" s="1878">
        <f t="shared" si="520"/>
        <v>896.40000000000009</v>
      </c>
      <c r="BG602" s="1878">
        <f t="shared" si="520"/>
        <v>1074.6000000000001</v>
      </c>
      <c r="BH602" s="1878">
        <f t="shared" si="520"/>
        <v>1252.8000000000002</v>
      </c>
      <c r="BI602" s="1878">
        <f t="shared" si="520"/>
        <v>1431.0000000000002</v>
      </c>
      <c r="BJ602" s="1878">
        <f t="shared" si="520"/>
        <v>1609.2000000000003</v>
      </c>
      <c r="BK602" s="1878">
        <f t="shared" si="520"/>
        <v>1787.4000000000003</v>
      </c>
      <c r="BL602" s="1878">
        <f t="shared" si="520"/>
        <v>1965.6000000000004</v>
      </c>
      <c r="BM602" s="1878">
        <f t="shared" si="520"/>
        <v>2143.8000000000002</v>
      </c>
      <c r="BN602" s="1878">
        <f t="shared" si="520"/>
        <v>2322</v>
      </c>
      <c r="BO602" s="1878">
        <f t="shared" si="520"/>
        <v>2500.1999999999998</v>
      </c>
      <c r="BP602" s="1878">
        <f t="shared" si="520"/>
        <v>2678.3999999999996</v>
      </c>
      <c r="BQ602" s="1878">
        <f t="shared" si="520"/>
        <v>2856.5999999999995</v>
      </c>
      <c r="BR602" s="1878">
        <f t="shared" si="520"/>
        <v>3034.7999999999993</v>
      </c>
      <c r="BS602" s="1878">
        <f t="shared" si="520"/>
        <v>3212.9999999999991</v>
      </c>
      <c r="BT602" s="1878">
        <f t="shared" si="520"/>
        <v>3391.1999999999989</v>
      </c>
      <c r="BU602" s="1830"/>
    </row>
    <row r="603" spans="2:73" s="496" customFormat="1" ht="12.75" x14ac:dyDescent="0.25">
      <c r="B603" s="1419" t="s">
        <v>870</v>
      </c>
      <c r="C603" s="1443">
        <v>3.5000000000000003E-2</v>
      </c>
      <c r="E603" s="1444">
        <v>5.8999999999999997E-2</v>
      </c>
      <c r="H603" s="1444">
        <v>5.7000000000000002E-2</v>
      </c>
      <c r="I603" s="495"/>
      <c r="J603" s="495"/>
      <c r="K603" s="1444" t="s">
        <v>1260</v>
      </c>
      <c r="M603" s="500"/>
      <c r="N603" s="1444">
        <v>0.04</v>
      </c>
      <c r="P603" s="500"/>
      <c r="Q603" s="1444" t="s">
        <v>1260</v>
      </c>
      <c r="S603" s="500"/>
      <c r="T603" s="1445">
        <v>1.7000000000000001E-2</v>
      </c>
      <c r="U603" s="1444">
        <v>4.2999999999999997E-2</v>
      </c>
      <c r="V603" s="1444">
        <v>4.3999999999999997E-2</v>
      </c>
      <c r="AK603" s="1828"/>
      <c r="AL603" s="1870" t="str">
        <f>A29</f>
        <v>7.2</v>
      </c>
      <c r="AM603" s="1871" t="str">
        <f>B29</f>
        <v>DEPRECIACIÓN ACUMULADA ACTIVOS FIJOS</v>
      </c>
      <c r="AN603" s="1898">
        <f>C29+C115</f>
        <v>0</v>
      </c>
      <c r="AO603" s="1873">
        <f t="shared" si="496"/>
        <v>0</v>
      </c>
      <c r="AP603" s="1878">
        <f>E29+E115</f>
        <v>60</v>
      </c>
      <c r="AQ603" s="1875">
        <f t="shared" si="497"/>
        <v>1.5503875968992248E-2</v>
      </c>
      <c r="AR603" s="1876">
        <f t="shared" si="498"/>
        <v>0</v>
      </c>
      <c r="AS603" s="1878">
        <f>H29+H115</f>
        <v>60</v>
      </c>
      <c r="AT603" s="1875">
        <f t="shared" si="499"/>
        <v>1.5503875968992248E-2</v>
      </c>
      <c r="AU603" s="1876">
        <f t="shared" si="500"/>
        <v>0</v>
      </c>
      <c r="AV603" s="1878">
        <f>K29+K115</f>
        <v>60</v>
      </c>
      <c r="AW603" s="1875">
        <f t="shared" si="501"/>
        <v>1.5503875968992248E-2</v>
      </c>
      <c r="AX603" s="1877">
        <f t="shared" si="502"/>
        <v>0</v>
      </c>
      <c r="AY603" s="1878">
        <f>N29+N115</f>
        <v>60</v>
      </c>
      <c r="AZ603" s="1875">
        <f t="shared" si="503"/>
        <v>1.5503875968992248E-2</v>
      </c>
      <c r="BA603" s="1877">
        <f t="shared" si="504"/>
        <v>0</v>
      </c>
      <c r="BB603" s="1878">
        <f>Q29+Q115</f>
        <v>60</v>
      </c>
      <c r="BC603" s="1875">
        <f t="shared" si="505"/>
        <v>1.5503875968992248E-2</v>
      </c>
      <c r="BD603" s="1877">
        <f t="shared" si="506"/>
        <v>0</v>
      </c>
      <c r="BE603" s="1878">
        <f t="shared" ref="BE603:BT603" si="521">T29+T115</f>
        <v>86.334000000000003</v>
      </c>
      <c r="BF603" s="1878">
        <f t="shared" si="521"/>
        <v>119.202</v>
      </c>
      <c r="BG603" s="1878">
        <f t="shared" si="521"/>
        <v>158.60400000000001</v>
      </c>
      <c r="BH603" s="1878">
        <f t="shared" si="521"/>
        <v>204.54000000000002</v>
      </c>
      <c r="BI603" s="1878">
        <f t="shared" si="521"/>
        <v>257.01000000000005</v>
      </c>
      <c r="BJ603" s="1878">
        <f t="shared" si="521"/>
        <v>316.01400000000007</v>
      </c>
      <c r="BK603" s="1878">
        <f t="shared" si="521"/>
        <v>381.55200000000008</v>
      </c>
      <c r="BL603" s="1878">
        <f t="shared" si="521"/>
        <v>453.62400000000008</v>
      </c>
      <c r="BM603" s="1878">
        <f t="shared" si="521"/>
        <v>532.23000000000013</v>
      </c>
      <c r="BN603" s="1878">
        <f t="shared" si="521"/>
        <v>617.37000000000012</v>
      </c>
      <c r="BO603" s="1878">
        <f t="shared" si="521"/>
        <v>709.0440000000001</v>
      </c>
      <c r="BP603" s="1878">
        <f t="shared" si="521"/>
        <v>807.25200000000007</v>
      </c>
      <c r="BQ603" s="1878">
        <f t="shared" si="521"/>
        <v>911.99400000000003</v>
      </c>
      <c r="BR603" s="1878">
        <f t="shared" si="521"/>
        <v>1023.27</v>
      </c>
      <c r="BS603" s="1878">
        <f t="shared" si="521"/>
        <v>1141.08</v>
      </c>
      <c r="BT603" s="1878">
        <f t="shared" si="521"/>
        <v>1265.424</v>
      </c>
      <c r="BU603" s="1830"/>
    </row>
    <row r="604" spans="2:73" s="496" customFormat="1" ht="12.75" x14ac:dyDescent="0.25">
      <c r="B604" s="1423" t="s">
        <v>872</v>
      </c>
      <c r="C604" s="1447" t="s">
        <v>1260</v>
      </c>
      <c r="E604" s="1447" t="s">
        <v>1260</v>
      </c>
      <c r="H604" s="1447" t="s">
        <v>1260</v>
      </c>
      <c r="I604" s="495"/>
      <c r="J604" s="495"/>
      <c r="K604" s="1448" t="s">
        <v>1260</v>
      </c>
      <c r="M604" s="500"/>
      <c r="N604" s="1447" t="s">
        <v>1260</v>
      </c>
      <c r="P604" s="500"/>
      <c r="Q604" s="1448" t="s">
        <v>1260</v>
      </c>
      <c r="S604" s="500"/>
      <c r="T604" s="1447" t="s">
        <v>1260</v>
      </c>
      <c r="U604" s="1447" t="s">
        <v>1260</v>
      </c>
      <c r="V604" s="1447" t="s">
        <v>1260</v>
      </c>
      <c r="AK604" s="1828"/>
      <c r="AL604" s="1882" t="s">
        <v>1394</v>
      </c>
      <c r="AM604" s="1871" t="s">
        <v>1395</v>
      </c>
      <c r="AN604" s="1872">
        <f>C114-C115</f>
        <v>0</v>
      </c>
      <c r="AO604" s="1873">
        <f t="shared" si="496"/>
        <v>0</v>
      </c>
      <c r="AP604" s="1874">
        <f>E114-E115</f>
        <v>0</v>
      </c>
      <c r="AQ604" s="1875">
        <f t="shared" si="497"/>
        <v>0</v>
      </c>
      <c r="AR604" s="1876">
        <f t="shared" si="498"/>
        <v>0</v>
      </c>
      <c r="AS604" s="1874">
        <f>H114-H115</f>
        <v>0</v>
      </c>
      <c r="AT604" s="1875">
        <f t="shared" si="499"/>
        <v>0</v>
      </c>
      <c r="AU604" s="1876">
        <f t="shared" si="500"/>
        <v>0</v>
      </c>
      <c r="AV604" s="1874">
        <f>K114-K115</f>
        <v>0</v>
      </c>
      <c r="AW604" s="1875">
        <f t="shared" si="501"/>
        <v>0</v>
      </c>
      <c r="AX604" s="1877">
        <f t="shared" si="502"/>
        <v>0</v>
      </c>
      <c r="AY604" s="1874">
        <f>N114-N115</f>
        <v>0</v>
      </c>
      <c r="AZ604" s="1875">
        <f t="shared" si="503"/>
        <v>0</v>
      </c>
      <c r="BA604" s="1877">
        <f t="shared" si="504"/>
        <v>0</v>
      </c>
      <c r="BB604" s="1874">
        <f>Q114-Q115</f>
        <v>0</v>
      </c>
      <c r="BC604" s="1875">
        <f t="shared" si="505"/>
        <v>0</v>
      </c>
      <c r="BD604" s="1877">
        <f t="shared" si="506"/>
        <v>0</v>
      </c>
      <c r="BE604" s="1878">
        <f t="shared" ref="BE604:BT604" si="522">T114-T115</f>
        <v>0</v>
      </c>
      <c r="BF604" s="1878">
        <f t="shared" si="522"/>
        <v>0</v>
      </c>
      <c r="BG604" s="1878">
        <f t="shared" si="522"/>
        <v>0</v>
      </c>
      <c r="BH604" s="1878">
        <f t="shared" si="522"/>
        <v>0</v>
      </c>
      <c r="BI604" s="1878">
        <f t="shared" si="522"/>
        <v>0</v>
      </c>
      <c r="BJ604" s="1878">
        <f t="shared" si="522"/>
        <v>0</v>
      </c>
      <c r="BK604" s="1878">
        <f t="shared" si="522"/>
        <v>0</v>
      </c>
      <c r="BL604" s="1878">
        <f t="shared" si="522"/>
        <v>0</v>
      </c>
      <c r="BM604" s="1878">
        <f t="shared" si="522"/>
        <v>0</v>
      </c>
      <c r="BN604" s="1878">
        <f t="shared" si="522"/>
        <v>0</v>
      </c>
      <c r="BO604" s="1878">
        <f t="shared" si="522"/>
        <v>0</v>
      </c>
      <c r="BP604" s="1878">
        <f t="shared" si="522"/>
        <v>0</v>
      </c>
      <c r="BQ604" s="1878">
        <f t="shared" si="522"/>
        <v>0</v>
      </c>
      <c r="BR604" s="1878">
        <f t="shared" si="522"/>
        <v>0</v>
      </c>
      <c r="BS604" s="1878">
        <f t="shared" si="522"/>
        <v>0</v>
      </c>
      <c r="BT604" s="1878">
        <f t="shared" si="522"/>
        <v>0</v>
      </c>
      <c r="BU604" s="1830"/>
    </row>
    <row r="605" spans="2:73" s="496" customFormat="1" ht="12.75" x14ac:dyDescent="0.25">
      <c r="B605" s="1423" t="s">
        <v>874</v>
      </c>
      <c r="C605" s="1447">
        <v>5.8999999999999997E-2</v>
      </c>
      <c r="E605" s="1448">
        <v>0.108</v>
      </c>
      <c r="H605" s="1448">
        <v>0.10199999999999999</v>
      </c>
      <c r="I605" s="495"/>
      <c r="J605" s="495"/>
      <c r="K605" s="1448" t="s">
        <v>1260</v>
      </c>
      <c r="M605" s="500"/>
      <c r="N605" s="1448">
        <v>8.4000000000000005E-2</v>
      </c>
      <c r="P605" s="500"/>
      <c r="Q605" s="1448" t="s">
        <v>1260</v>
      </c>
      <c r="S605" s="500"/>
      <c r="T605" s="1449">
        <v>6.5000000000000002E-2</v>
      </c>
      <c r="U605" s="1448">
        <v>6.0999999999999999E-2</v>
      </c>
      <c r="V605" s="1448">
        <v>5.8000000000000003E-2</v>
      </c>
      <c r="AK605" s="1828"/>
      <c r="AL605" s="1870">
        <v>7</v>
      </c>
      <c r="AM605" s="1879" t="s">
        <v>1396</v>
      </c>
      <c r="AN605" s="1880">
        <f>SUM(AN602:AN604)</f>
        <v>0</v>
      </c>
      <c r="AO605" s="1873">
        <f t="shared" si="496"/>
        <v>0</v>
      </c>
      <c r="AP605" s="1881">
        <f>SUM(AP602:AP604)</f>
        <v>600</v>
      </c>
      <c r="AQ605" s="1875">
        <f t="shared" si="497"/>
        <v>0.15503875968992248</v>
      </c>
      <c r="AR605" s="1876">
        <f t="shared" si="498"/>
        <v>0</v>
      </c>
      <c r="AS605" s="1881">
        <f>SUM(AS602:AS604)</f>
        <v>600</v>
      </c>
      <c r="AT605" s="1875">
        <f t="shared" si="499"/>
        <v>0.15503875968992248</v>
      </c>
      <c r="AU605" s="1876">
        <f t="shared" si="500"/>
        <v>0</v>
      </c>
      <c r="AV605" s="1881">
        <f>SUM(AV602:AV604)</f>
        <v>600</v>
      </c>
      <c r="AW605" s="1875">
        <f t="shared" si="501"/>
        <v>0.15503875968992248</v>
      </c>
      <c r="AX605" s="1877">
        <f t="shared" si="502"/>
        <v>0</v>
      </c>
      <c r="AY605" s="1881">
        <f>SUM(AY602:AY604)</f>
        <v>600</v>
      </c>
      <c r="AZ605" s="1875">
        <f t="shared" si="503"/>
        <v>0.15503875968992248</v>
      </c>
      <c r="BA605" s="1877">
        <f t="shared" si="504"/>
        <v>0</v>
      </c>
      <c r="BB605" s="1881">
        <f>SUM(BB602:BB604)</f>
        <v>600</v>
      </c>
      <c r="BC605" s="1875">
        <f t="shared" si="505"/>
        <v>0.15503875968992248</v>
      </c>
      <c r="BD605" s="1877">
        <f t="shared" si="506"/>
        <v>0</v>
      </c>
      <c r="BE605" s="1881">
        <f t="shared" ref="BE605:BT605" si="523">SUM(BE602:BE604)</f>
        <v>804.53400000000011</v>
      </c>
      <c r="BF605" s="1881">
        <f t="shared" si="523"/>
        <v>1015.6020000000001</v>
      </c>
      <c r="BG605" s="1881">
        <f t="shared" si="523"/>
        <v>1233.2040000000002</v>
      </c>
      <c r="BH605" s="1881">
        <f t="shared" si="523"/>
        <v>1457.3400000000001</v>
      </c>
      <c r="BI605" s="1881">
        <f t="shared" si="523"/>
        <v>1688.0100000000002</v>
      </c>
      <c r="BJ605" s="1881">
        <f t="shared" si="523"/>
        <v>1925.2140000000004</v>
      </c>
      <c r="BK605" s="1881">
        <f t="shared" si="523"/>
        <v>2168.9520000000002</v>
      </c>
      <c r="BL605" s="1881">
        <f t="shared" si="523"/>
        <v>2419.2240000000006</v>
      </c>
      <c r="BM605" s="1881">
        <f t="shared" si="523"/>
        <v>2676.03</v>
      </c>
      <c r="BN605" s="1881">
        <f t="shared" si="523"/>
        <v>2939.37</v>
      </c>
      <c r="BO605" s="1881">
        <f t="shared" si="523"/>
        <v>3209.2439999999997</v>
      </c>
      <c r="BP605" s="1881">
        <f t="shared" si="523"/>
        <v>3485.6519999999996</v>
      </c>
      <c r="BQ605" s="1881">
        <f t="shared" si="523"/>
        <v>3768.5939999999996</v>
      </c>
      <c r="BR605" s="1881">
        <f t="shared" si="523"/>
        <v>4058.0699999999993</v>
      </c>
      <c r="BS605" s="1881">
        <f t="shared" si="523"/>
        <v>4354.079999999999</v>
      </c>
      <c r="BT605" s="1881">
        <f t="shared" si="523"/>
        <v>4656.6239999999989</v>
      </c>
      <c r="BU605" s="1830"/>
    </row>
    <row r="606" spans="2:73" s="496" customFormat="1" ht="13.5" thickBot="1" x14ac:dyDescent="0.3">
      <c r="B606" s="1452" t="s">
        <v>1344</v>
      </c>
      <c r="C606" s="1453">
        <v>1</v>
      </c>
      <c r="D606" s="1454"/>
      <c r="E606" s="1455">
        <v>1</v>
      </c>
      <c r="F606" s="1454"/>
      <c r="G606" s="1454"/>
      <c r="H606" s="1455">
        <v>1</v>
      </c>
      <c r="I606" s="1456"/>
      <c r="J606" s="1456"/>
      <c r="K606" s="1457" t="s">
        <v>1260</v>
      </c>
      <c r="L606" s="1454"/>
      <c r="M606" s="1458"/>
      <c r="N606" s="1457">
        <v>1</v>
      </c>
      <c r="O606" s="1454"/>
      <c r="P606" s="1458"/>
      <c r="Q606" s="1457" t="s">
        <v>1260</v>
      </c>
      <c r="R606" s="1454"/>
      <c r="S606" s="1458"/>
      <c r="T606" s="1459">
        <v>1</v>
      </c>
      <c r="U606" s="1457">
        <v>1</v>
      </c>
      <c r="V606" s="1457">
        <v>1</v>
      </c>
      <c r="AK606" s="1828"/>
      <c r="AL606" s="1882" t="s">
        <v>1397</v>
      </c>
      <c r="AM606" s="1871" t="str">
        <f>B30</f>
        <v>INTANGIBLES NETO</v>
      </c>
      <c r="AN606" s="1872">
        <f>C30-C116+C117</f>
        <v>0</v>
      </c>
      <c r="AO606" s="1873">
        <f t="shared" si="496"/>
        <v>0</v>
      </c>
      <c r="AP606" s="1874">
        <f>E30-E116+E117</f>
        <v>210</v>
      </c>
      <c r="AQ606" s="1875">
        <f t="shared" si="497"/>
        <v>5.4263565891472867E-2</v>
      </c>
      <c r="AR606" s="1876">
        <f t="shared" si="498"/>
        <v>0</v>
      </c>
      <c r="AS606" s="1874">
        <f>H30-H116+H117</f>
        <v>210</v>
      </c>
      <c r="AT606" s="1875">
        <f t="shared" si="499"/>
        <v>5.4263565891472867E-2</v>
      </c>
      <c r="AU606" s="1876">
        <f t="shared" si="500"/>
        <v>0</v>
      </c>
      <c r="AV606" s="1874">
        <f>K30-K116+K117</f>
        <v>210</v>
      </c>
      <c r="AW606" s="1875">
        <f t="shared" si="501"/>
        <v>5.4263565891472867E-2</v>
      </c>
      <c r="AX606" s="1877">
        <f t="shared" si="502"/>
        <v>0</v>
      </c>
      <c r="AY606" s="1874">
        <f>N30-N116+N117</f>
        <v>210</v>
      </c>
      <c r="AZ606" s="1875">
        <f t="shared" si="503"/>
        <v>5.4263565891472867E-2</v>
      </c>
      <c r="BA606" s="1877">
        <f t="shared" si="504"/>
        <v>0</v>
      </c>
      <c r="BB606" s="1874">
        <f>Q30-Q116+Q117</f>
        <v>210</v>
      </c>
      <c r="BC606" s="1875">
        <f t="shared" si="505"/>
        <v>5.4263565891472867E-2</v>
      </c>
      <c r="BD606" s="1877">
        <f t="shared" si="506"/>
        <v>0</v>
      </c>
      <c r="BE606" s="1878">
        <f t="shared" ref="BE606:BT606" si="524">T30-T116+T117</f>
        <v>210</v>
      </c>
      <c r="BF606" s="1878">
        <f t="shared" si="524"/>
        <v>210</v>
      </c>
      <c r="BG606" s="1878">
        <f t="shared" si="524"/>
        <v>210</v>
      </c>
      <c r="BH606" s="1878">
        <f t="shared" si="524"/>
        <v>210</v>
      </c>
      <c r="BI606" s="1878">
        <f t="shared" si="524"/>
        <v>210</v>
      </c>
      <c r="BJ606" s="1878">
        <f t="shared" si="524"/>
        <v>210</v>
      </c>
      <c r="BK606" s="1878">
        <f t="shared" si="524"/>
        <v>210</v>
      </c>
      <c r="BL606" s="1878">
        <f t="shared" si="524"/>
        <v>210</v>
      </c>
      <c r="BM606" s="1878">
        <f t="shared" si="524"/>
        <v>210</v>
      </c>
      <c r="BN606" s="1878">
        <f t="shared" si="524"/>
        <v>210</v>
      </c>
      <c r="BO606" s="1878">
        <f t="shared" si="524"/>
        <v>210</v>
      </c>
      <c r="BP606" s="1878">
        <f t="shared" si="524"/>
        <v>210</v>
      </c>
      <c r="BQ606" s="1878">
        <f t="shared" si="524"/>
        <v>210</v>
      </c>
      <c r="BR606" s="1878">
        <f t="shared" si="524"/>
        <v>210</v>
      </c>
      <c r="BS606" s="1878">
        <f t="shared" si="524"/>
        <v>210</v>
      </c>
      <c r="BT606" s="1878">
        <f t="shared" si="524"/>
        <v>210</v>
      </c>
      <c r="BU606" s="1830"/>
    </row>
    <row r="607" spans="2:73" s="496" customFormat="1" ht="12.75" x14ac:dyDescent="0.25">
      <c r="AK607" s="1828"/>
      <c r="AL607" s="1882" t="s">
        <v>1398</v>
      </c>
      <c r="AM607" s="1871" t="s">
        <v>1399</v>
      </c>
      <c r="AN607" s="1872">
        <f>C116-C117</f>
        <v>0</v>
      </c>
      <c r="AO607" s="1873">
        <f t="shared" si="496"/>
        <v>0</v>
      </c>
      <c r="AP607" s="1874">
        <f>E116-E117</f>
        <v>0</v>
      </c>
      <c r="AQ607" s="1875">
        <f t="shared" si="497"/>
        <v>0</v>
      </c>
      <c r="AR607" s="1876">
        <f t="shared" si="498"/>
        <v>0</v>
      </c>
      <c r="AS607" s="1874">
        <f>H116-H117</f>
        <v>0</v>
      </c>
      <c r="AT607" s="1875">
        <f t="shared" si="499"/>
        <v>0</v>
      </c>
      <c r="AU607" s="1876">
        <f t="shared" si="500"/>
        <v>0</v>
      </c>
      <c r="AV607" s="1874">
        <f>K116-K117</f>
        <v>0</v>
      </c>
      <c r="AW607" s="1875">
        <f t="shared" si="501"/>
        <v>0</v>
      </c>
      <c r="AX607" s="1877">
        <f t="shared" si="502"/>
        <v>0</v>
      </c>
      <c r="AY607" s="1874">
        <f>N116-N117</f>
        <v>0</v>
      </c>
      <c r="AZ607" s="1875">
        <f t="shared" si="503"/>
        <v>0</v>
      </c>
      <c r="BA607" s="1877">
        <f t="shared" si="504"/>
        <v>0</v>
      </c>
      <c r="BB607" s="1874">
        <f>Q116-Q117</f>
        <v>0</v>
      </c>
      <c r="BC607" s="1875">
        <f t="shared" si="505"/>
        <v>0</v>
      </c>
      <c r="BD607" s="1877">
        <f t="shared" si="506"/>
        <v>0</v>
      </c>
      <c r="BE607" s="1878">
        <f t="shared" ref="BE607:BT607" si="525">T116-T117</f>
        <v>0</v>
      </c>
      <c r="BF607" s="1878">
        <f t="shared" si="525"/>
        <v>0</v>
      </c>
      <c r="BG607" s="1878">
        <f t="shared" si="525"/>
        <v>0</v>
      </c>
      <c r="BH607" s="1878">
        <f t="shared" si="525"/>
        <v>0</v>
      </c>
      <c r="BI607" s="1878">
        <f t="shared" si="525"/>
        <v>0</v>
      </c>
      <c r="BJ607" s="1878">
        <f t="shared" si="525"/>
        <v>0</v>
      </c>
      <c r="BK607" s="1878">
        <f t="shared" si="525"/>
        <v>0</v>
      </c>
      <c r="BL607" s="1878">
        <f t="shared" si="525"/>
        <v>0</v>
      </c>
      <c r="BM607" s="1878">
        <f t="shared" si="525"/>
        <v>0</v>
      </c>
      <c r="BN607" s="1878">
        <f t="shared" si="525"/>
        <v>0</v>
      </c>
      <c r="BO607" s="1878">
        <f t="shared" si="525"/>
        <v>0</v>
      </c>
      <c r="BP607" s="1878">
        <f t="shared" si="525"/>
        <v>0</v>
      </c>
      <c r="BQ607" s="1878">
        <f t="shared" si="525"/>
        <v>0</v>
      </c>
      <c r="BR607" s="1878">
        <f t="shared" si="525"/>
        <v>0</v>
      </c>
      <c r="BS607" s="1878">
        <f t="shared" si="525"/>
        <v>0</v>
      </c>
      <c r="BT607" s="1878">
        <f t="shared" si="525"/>
        <v>0</v>
      </c>
      <c r="BU607" s="1830"/>
    </row>
    <row r="608" spans="2:73" s="496" customFormat="1" ht="12.75" x14ac:dyDescent="0.25">
      <c r="AK608" s="1828"/>
      <c r="AL608" s="1870">
        <f>A30</f>
        <v>8</v>
      </c>
      <c r="AM608" s="1879" t="s">
        <v>1400</v>
      </c>
      <c r="AN608" s="1880">
        <f>SUM(AN606:AN607)</f>
        <v>0</v>
      </c>
      <c r="AO608" s="1873">
        <f t="shared" si="496"/>
        <v>0</v>
      </c>
      <c r="AP608" s="1881">
        <f>SUM(AP606:AP607)</f>
        <v>210</v>
      </c>
      <c r="AQ608" s="1875">
        <f t="shared" si="497"/>
        <v>5.4263565891472867E-2</v>
      </c>
      <c r="AR608" s="1876">
        <f t="shared" si="498"/>
        <v>0</v>
      </c>
      <c r="AS608" s="1881">
        <f>SUM(AS606:AS607)</f>
        <v>210</v>
      </c>
      <c r="AT608" s="1875">
        <f t="shared" si="499"/>
        <v>5.4263565891472867E-2</v>
      </c>
      <c r="AU608" s="1876">
        <f t="shared" si="500"/>
        <v>0</v>
      </c>
      <c r="AV608" s="1881">
        <f>SUM(AV606:AV607)</f>
        <v>210</v>
      </c>
      <c r="AW608" s="1875">
        <f t="shared" si="501"/>
        <v>5.4263565891472867E-2</v>
      </c>
      <c r="AX608" s="1877">
        <f t="shared" si="502"/>
        <v>0</v>
      </c>
      <c r="AY608" s="1881">
        <f>SUM(AY606:AY607)</f>
        <v>210</v>
      </c>
      <c r="AZ608" s="1875">
        <f t="shared" si="503"/>
        <v>5.4263565891472867E-2</v>
      </c>
      <c r="BA608" s="1877">
        <f t="shared" si="504"/>
        <v>0</v>
      </c>
      <c r="BB608" s="1881">
        <f>SUM(BB606:BB607)</f>
        <v>210</v>
      </c>
      <c r="BC608" s="1875">
        <f t="shared" si="505"/>
        <v>5.4263565891472867E-2</v>
      </c>
      <c r="BD608" s="1877">
        <f t="shared" si="506"/>
        <v>0</v>
      </c>
      <c r="BE608" s="1881">
        <f t="shared" ref="BE608:BT608" si="526">SUM(BE606:BE607)</f>
        <v>210</v>
      </c>
      <c r="BF608" s="1881">
        <f t="shared" si="526"/>
        <v>210</v>
      </c>
      <c r="BG608" s="1881">
        <f t="shared" si="526"/>
        <v>210</v>
      </c>
      <c r="BH608" s="1881">
        <f t="shared" si="526"/>
        <v>210</v>
      </c>
      <c r="BI608" s="1881">
        <f t="shared" si="526"/>
        <v>210</v>
      </c>
      <c r="BJ608" s="1881">
        <f t="shared" si="526"/>
        <v>210</v>
      </c>
      <c r="BK608" s="1881">
        <f t="shared" si="526"/>
        <v>210</v>
      </c>
      <c r="BL608" s="1881">
        <f t="shared" si="526"/>
        <v>210</v>
      </c>
      <c r="BM608" s="1881">
        <f t="shared" si="526"/>
        <v>210</v>
      </c>
      <c r="BN608" s="1881">
        <f t="shared" si="526"/>
        <v>210</v>
      </c>
      <c r="BO608" s="1881">
        <f t="shared" si="526"/>
        <v>210</v>
      </c>
      <c r="BP608" s="1881">
        <f t="shared" si="526"/>
        <v>210</v>
      </c>
      <c r="BQ608" s="1881">
        <f t="shared" si="526"/>
        <v>210</v>
      </c>
      <c r="BR608" s="1881">
        <f t="shared" si="526"/>
        <v>210</v>
      </c>
      <c r="BS608" s="1881">
        <f t="shared" si="526"/>
        <v>210</v>
      </c>
      <c r="BT608" s="1881">
        <f t="shared" si="526"/>
        <v>210</v>
      </c>
      <c r="BU608" s="1830"/>
    </row>
    <row r="609" spans="2:73" s="496" customFormat="1" ht="12.75" x14ac:dyDescent="0.25">
      <c r="AK609" s="1828"/>
      <c r="AL609" s="1882" t="s">
        <v>1157</v>
      </c>
      <c r="AM609" s="1871" t="str">
        <f>B31</f>
        <v>CARGOS DIFERIDOS NETO</v>
      </c>
      <c r="AN609" s="1872">
        <f>C31-C119+C120</f>
        <v>0</v>
      </c>
      <c r="AO609" s="1873">
        <f t="shared" si="496"/>
        <v>0</v>
      </c>
      <c r="AP609" s="1874">
        <f>E31-E119+E120</f>
        <v>180</v>
      </c>
      <c r="AQ609" s="1875">
        <f t="shared" si="497"/>
        <v>4.6511627906976744E-2</v>
      </c>
      <c r="AR609" s="1876">
        <f t="shared" si="498"/>
        <v>0</v>
      </c>
      <c r="AS609" s="1874">
        <f>H31-H119+H120</f>
        <v>180</v>
      </c>
      <c r="AT609" s="1875">
        <f t="shared" si="499"/>
        <v>4.6511627906976744E-2</v>
      </c>
      <c r="AU609" s="1876">
        <f t="shared" si="500"/>
        <v>0</v>
      </c>
      <c r="AV609" s="1874">
        <f>K31-K119+K120</f>
        <v>180</v>
      </c>
      <c r="AW609" s="1875">
        <f t="shared" si="501"/>
        <v>4.6511627906976744E-2</v>
      </c>
      <c r="AX609" s="1877">
        <f t="shared" si="502"/>
        <v>0</v>
      </c>
      <c r="AY609" s="1874">
        <f>N31-N119+N120</f>
        <v>180</v>
      </c>
      <c r="AZ609" s="1875">
        <f t="shared" si="503"/>
        <v>4.6511627906976744E-2</v>
      </c>
      <c r="BA609" s="1877">
        <f t="shared" si="504"/>
        <v>0</v>
      </c>
      <c r="BB609" s="1874">
        <f>Q31-Q119+Q120</f>
        <v>180</v>
      </c>
      <c r="BC609" s="1875">
        <f t="shared" si="505"/>
        <v>4.6511627906976744E-2</v>
      </c>
      <c r="BD609" s="1877">
        <f t="shared" si="506"/>
        <v>0</v>
      </c>
      <c r="BE609" s="1878">
        <f t="shared" ref="BE609:BT609" si="527">T31-T119+T120</f>
        <v>180</v>
      </c>
      <c r="BF609" s="1878">
        <f t="shared" si="527"/>
        <v>180</v>
      </c>
      <c r="BG609" s="1878">
        <f t="shared" si="527"/>
        <v>180</v>
      </c>
      <c r="BH609" s="1878">
        <f t="shared" si="527"/>
        <v>180</v>
      </c>
      <c r="BI609" s="1878">
        <f t="shared" si="527"/>
        <v>180</v>
      </c>
      <c r="BJ609" s="1878">
        <f t="shared" si="527"/>
        <v>180</v>
      </c>
      <c r="BK609" s="1878">
        <f t="shared" si="527"/>
        <v>180</v>
      </c>
      <c r="BL609" s="1878">
        <f t="shared" si="527"/>
        <v>180</v>
      </c>
      <c r="BM609" s="1878">
        <f t="shared" si="527"/>
        <v>180</v>
      </c>
      <c r="BN609" s="1878">
        <f t="shared" si="527"/>
        <v>180</v>
      </c>
      <c r="BO609" s="1878">
        <f t="shared" si="527"/>
        <v>180</v>
      </c>
      <c r="BP609" s="1878">
        <f t="shared" si="527"/>
        <v>180</v>
      </c>
      <c r="BQ609" s="1878">
        <f t="shared" si="527"/>
        <v>180</v>
      </c>
      <c r="BR609" s="1878">
        <f t="shared" si="527"/>
        <v>180</v>
      </c>
      <c r="BS609" s="1878">
        <f t="shared" si="527"/>
        <v>180</v>
      </c>
      <c r="BT609" s="1878">
        <f t="shared" si="527"/>
        <v>180</v>
      </c>
      <c r="BU609" s="1830"/>
    </row>
    <row r="610" spans="2:73" s="496" customFormat="1" ht="12.75" x14ac:dyDescent="0.25">
      <c r="AK610" s="1828"/>
      <c r="AL610" s="1882" t="s">
        <v>1159</v>
      </c>
      <c r="AM610" s="1871" t="s">
        <v>1401</v>
      </c>
      <c r="AN610" s="1872">
        <f>C119-C120</f>
        <v>0</v>
      </c>
      <c r="AO610" s="1873">
        <f t="shared" si="496"/>
        <v>0</v>
      </c>
      <c r="AP610" s="1874">
        <f>E119-E120</f>
        <v>0</v>
      </c>
      <c r="AQ610" s="1875">
        <f t="shared" si="497"/>
        <v>0</v>
      </c>
      <c r="AR610" s="1876">
        <f t="shared" si="498"/>
        <v>0</v>
      </c>
      <c r="AS610" s="1874">
        <f>H119-H120</f>
        <v>0</v>
      </c>
      <c r="AT610" s="1875">
        <f t="shared" si="499"/>
        <v>0</v>
      </c>
      <c r="AU610" s="1876">
        <f t="shared" si="500"/>
        <v>0</v>
      </c>
      <c r="AV610" s="1874">
        <f>K119-K120</f>
        <v>0</v>
      </c>
      <c r="AW610" s="1875">
        <f t="shared" si="501"/>
        <v>0</v>
      </c>
      <c r="AX610" s="1877">
        <f t="shared" si="502"/>
        <v>0</v>
      </c>
      <c r="AY610" s="1874">
        <f>N119-N120</f>
        <v>0</v>
      </c>
      <c r="AZ610" s="1875">
        <f t="shared" si="503"/>
        <v>0</v>
      </c>
      <c r="BA610" s="1877">
        <f t="shared" si="504"/>
        <v>0</v>
      </c>
      <c r="BB610" s="1874">
        <f>Q119-Q120</f>
        <v>0</v>
      </c>
      <c r="BC610" s="1875">
        <f t="shared" si="505"/>
        <v>0</v>
      </c>
      <c r="BD610" s="1877">
        <f t="shared" si="506"/>
        <v>0</v>
      </c>
      <c r="BE610" s="1878">
        <f t="shared" ref="BE610:BT610" si="528">T119-T120</f>
        <v>0</v>
      </c>
      <c r="BF610" s="1878">
        <f t="shared" si="528"/>
        <v>0</v>
      </c>
      <c r="BG610" s="1878">
        <f t="shared" si="528"/>
        <v>0</v>
      </c>
      <c r="BH610" s="1878">
        <f t="shared" si="528"/>
        <v>0</v>
      </c>
      <c r="BI610" s="1878">
        <f t="shared" si="528"/>
        <v>0</v>
      </c>
      <c r="BJ610" s="1878">
        <f t="shared" si="528"/>
        <v>0</v>
      </c>
      <c r="BK610" s="1878">
        <f t="shared" si="528"/>
        <v>0</v>
      </c>
      <c r="BL610" s="1878">
        <f t="shared" si="528"/>
        <v>0</v>
      </c>
      <c r="BM610" s="1878">
        <f t="shared" si="528"/>
        <v>0</v>
      </c>
      <c r="BN610" s="1878">
        <f t="shared" si="528"/>
        <v>0</v>
      </c>
      <c r="BO610" s="1878">
        <f t="shared" si="528"/>
        <v>0</v>
      </c>
      <c r="BP610" s="1878">
        <f t="shared" si="528"/>
        <v>0</v>
      </c>
      <c r="BQ610" s="1878">
        <f t="shared" si="528"/>
        <v>0</v>
      </c>
      <c r="BR610" s="1878">
        <f t="shared" si="528"/>
        <v>0</v>
      </c>
      <c r="BS610" s="1878">
        <f t="shared" si="528"/>
        <v>0</v>
      </c>
      <c r="BT610" s="1878">
        <f t="shared" si="528"/>
        <v>0</v>
      </c>
      <c r="BU610" s="1830"/>
    </row>
    <row r="611" spans="2:73" s="496" customFormat="1" ht="12.75" x14ac:dyDescent="0.25">
      <c r="AK611" s="1828"/>
      <c r="AL611" s="1870">
        <f>A31</f>
        <v>9</v>
      </c>
      <c r="AM611" s="1879" t="s">
        <v>1402</v>
      </c>
      <c r="AN611" s="1880">
        <f>SUM(AN609:AN610)</f>
        <v>0</v>
      </c>
      <c r="AO611" s="1873">
        <f t="shared" si="496"/>
        <v>0</v>
      </c>
      <c r="AP611" s="1881">
        <f>SUM(AP609:AP610)</f>
        <v>180</v>
      </c>
      <c r="AQ611" s="1875">
        <f t="shared" si="497"/>
        <v>4.6511627906976744E-2</v>
      </c>
      <c r="AR611" s="1876">
        <f t="shared" si="498"/>
        <v>0</v>
      </c>
      <c r="AS611" s="1881">
        <f>SUM(AS609:AS610)</f>
        <v>180</v>
      </c>
      <c r="AT611" s="1875">
        <f t="shared" si="499"/>
        <v>4.6511627906976744E-2</v>
      </c>
      <c r="AU611" s="1876">
        <f t="shared" si="500"/>
        <v>0</v>
      </c>
      <c r="AV611" s="1881">
        <f>SUM(AV609:AV610)</f>
        <v>180</v>
      </c>
      <c r="AW611" s="1875">
        <f t="shared" si="501"/>
        <v>4.6511627906976744E-2</v>
      </c>
      <c r="AX611" s="1877">
        <f t="shared" si="502"/>
        <v>0</v>
      </c>
      <c r="AY611" s="1881">
        <f>SUM(AY609:AY610)</f>
        <v>180</v>
      </c>
      <c r="AZ611" s="1875">
        <f t="shared" si="503"/>
        <v>4.6511627906976744E-2</v>
      </c>
      <c r="BA611" s="1877">
        <f t="shared" si="504"/>
        <v>0</v>
      </c>
      <c r="BB611" s="1881">
        <f>SUM(BB609:BB610)</f>
        <v>180</v>
      </c>
      <c r="BC611" s="1875">
        <f t="shared" si="505"/>
        <v>4.6511627906976744E-2</v>
      </c>
      <c r="BD611" s="1877">
        <f t="shared" si="506"/>
        <v>0</v>
      </c>
      <c r="BE611" s="1881">
        <f t="shared" ref="BE611:BT611" si="529">SUM(BE609:BE610)</f>
        <v>180</v>
      </c>
      <c r="BF611" s="1881">
        <f t="shared" si="529"/>
        <v>180</v>
      </c>
      <c r="BG611" s="1881">
        <f t="shared" si="529"/>
        <v>180</v>
      </c>
      <c r="BH611" s="1881">
        <f t="shared" si="529"/>
        <v>180</v>
      </c>
      <c r="BI611" s="1881">
        <f t="shared" si="529"/>
        <v>180</v>
      </c>
      <c r="BJ611" s="1881">
        <f t="shared" si="529"/>
        <v>180</v>
      </c>
      <c r="BK611" s="1881">
        <f t="shared" si="529"/>
        <v>180</v>
      </c>
      <c r="BL611" s="1881">
        <f t="shared" si="529"/>
        <v>180</v>
      </c>
      <c r="BM611" s="1881">
        <f t="shared" si="529"/>
        <v>180</v>
      </c>
      <c r="BN611" s="1881">
        <f t="shared" si="529"/>
        <v>180</v>
      </c>
      <c r="BO611" s="1881">
        <f t="shared" si="529"/>
        <v>180</v>
      </c>
      <c r="BP611" s="1881">
        <f t="shared" si="529"/>
        <v>180</v>
      </c>
      <c r="BQ611" s="1881">
        <f t="shared" si="529"/>
        <v>180</v>
      </c>
      <c r="BR611" s="1881">
        <f t="shared" si="529"/>
        <v>180</v>
      </c>
      <c r="BS611" s="1881">
        <f t="shared" si="529"/>
        <v>180</v>
      </c>
      <c r="BT611" s="1881">
        <f t="shared" si="529"/>
        <v>180</v>
      </c>
      <c r="BU611" s="1830"/>
    </row>
    <row r="612" spans="2:73" s="496" customFormat="1" ht="12.75" x14ac:dyDescent="0.25">
      <c r="AK612" s="1828"/>
      <c r="AL612" s="1882" t="s">
        <v>1166</v>
      </c>
      <c r="AM612" s="1871" t="str">
        <f>B32</f>
        <v>OTROS ACTIVOS L.P.</v>
      </c>
      <c r="AN612" s="1872">
        <f>C32-C121</f>
        <v>0</v>
      </c>
      <c r="AO612" s="1873">
        <f t="shared" si="496"/>
        <v>0</v>
      </c>
      <c r="AP612" s="1874">
        <f>E32-E121</f>
        <v>750</v>
      </c>
      <c r="AQ612" s="1875">
        <f t="shared" si="497"/>
        <v>0.19379844961240311</v>
      </c>
      <c r="AR612" s="1876">
        <f t="shared" si="498"/>
        <v>0</v>
      </c>
      <c r="AS612" s="1874">
        <f>H32-H121</f>
        <v>750</v>
      </c>
      <c r="AT612" s="1875">
        <f t="shared" si="499"/>
        <v>0.19379844961240311</v>
      </c>
      <c r="AU612" s="1876">
        <f t="shared" si="500"/>
        <v>0</v>
      </c>
      <c r="AV612" s="1874">
        <f>K32-K121</f>
        <v>750</v>
      </c>
      <c r="AW612" s="1875">
        <f t="shared" si="501"/>
        <v>0.19379844961240311</v>
      </c>
      <c r="AX612" s="1877">
        <f t="shared" si="502"/>
        <v>0</v>
      </c>
      <c r="AY612" s="1874">
        <f>N32-N121</f>
        <v>750</v>
      </c>
      <c r="AZ612" s="1875">
        <f t="shared" si="503"/>
        <v>0.19379844961240311</v>
      </c>
      <c r="BA612" s="1877">
        <f t="shared" si="504"/>
        <v>0</v>
      </c>
      <c r="BB612" s="1874">
        <f>Q32-Q121</f>
        <v>750</v>
      </c>
      <c r="BC612" s="1875">
        <f t="shared" si="505"/>
        <v>0.19379844961240311</v>
      </c>
      <c r="BD612" s="1877">
        <f t="shared" si="506"/>
        <v>0</v>
      </c>
      <c r="BE612" s="1878">
        <f t="shared" ref="BE612:BT612" si="530">T32-T121</f>
        <v>750</v>
      </c>
      <c r="BF612" s="1878">
        <f t="shared" si="530"/>
        <v>750</v>
      </c>
      <c r="BG612" s="1878">
        <f t="shared" si="530"/>
        <v>750</v>
      </c>
      <c r="BH612" s="1878">
        <f t="shared" si="530"/>
        <v>750</v>
      </c>
      <c r="BI612" s="1878">
        <f t="shared" si="530"/>
        <v>750</v>
      </c>
      <c r="BJ612" s="1878">
        <f t="shared" si="530"/>
        <v>750</v>
      </c>
      <c r="BK612" s="1878">
        <f t="shared" si="530"/>
        <v>750</v>
      </c>
      <c r="BL612" s="1878">
        <f t="shared" si="530"/>
        <v>750</v>
      </c>
      <c r="BM612" s="1878">
        <f t="shared" si="530"/>
        <v>750</v>
      </c>
      <c r="BN612" s="1878">
        <f t="shared" si="530"/>
        <v>750</v>
      </c>
      <c r="BO612" s="1878">
        <f t="shared" si="530"/>
        <v>750</v>
      </c>
      <c r="BP612" s="1878">
        <f t="shared" si="530"/>
        <v>750</v>
      </c>
      <c r="BQ612" s="1878">
        <f t="shared" si="530"/>
        <v>750</v>
      </c>
      <c r="BR612" s="1878">
        <f t="shared" si="530"/>
        <v>750</v>
      </c>
      <c r="BS612" s="1878">
        <f t="shared" si="530"/>
        <v>750</v>
      </c>
      <c r="BT612" s="1878">
        <f t="shared" si="530"/>
        <v>750</v>
      </c>
      <c r="BU612" s="1830"/>
    </row>
    <row r="613" spans="2:73" s="496" customFormat="1" ht="12.75" x14ac:dyDescent="0.25">
      <c r="AK613" s="1828"/>
      <c r="AL613" s="1882" t="s">
        <v>1168</v>
      </c>
      <c r="AM613" s="1871" t="str">
        <f>B121</f>
        <v>AJ. POR INF.OTROS ACTIVOS DE LARGO PLAZO (INCLUYE CORR.MON.DIF.)</v>
      </c>
      <c r="AN613" s="1872">
        <f>C121</f>
        <v>0</v>
      </c>
      <c r="AO613" s="1873">
        <f t="shared" si="496"/>
        <v>0</v>
      </c>
      <c r="AP613" s="1874">
        <f>E121</f>
        <v>0</v>
      </c>
      <c r="AQ613" s="1875">
        <f t="shared" si="497"/>
        <v>0</v>
      </c>
      <c r="AR613" s="1876">
        <f t="shared" si="498"/>
        <v>0</v>
      </c>
      <c r="AS613" s="1874">
        <f>H121</f>
        <v>0</v>
      </c>
      <c r="AT613" s="1875">
        <f t="shared" si="499"/>
        <v>0</v>
      </c>
      <c r="AU613" s="1876">
        <f t="shared" si="500"/>
        <v>0</v>
      </c>
      <c r="AV613" s="1874">
        <f>K121</f>
        <v>0</v>
      </c>
      <c r="AW613" s="1875">
        <f t="shared" si="501"/>
        <v>0</v>
      </c>
      <c r="AX613" s="1877">
        <f t="shared" si="502"/>
        <v>0</v>
      </c>
      <c r="AY613" s="1874">
        <f>N121</f>
        <v>0</v>
      </c>
      <c r="AZ613" s="1875">
        <f t="shared" si="503"/>
        <v>0</v>
      </c>
      <c r="BA613" s="1877">
        <f t="shared" si="504"/>
        <v>0</v>
      </c>
      <c r="BB613" s="1874">
        <f>Q121</f>
        <v>0</v>
      </c>
      <c r="BC613" s="1875">
        <f t="shared" si="505"/>
        <v>0</v>
      </c>
      <c r="BD613" s="1877">
        <f t="shared" si="506"/>
        <v>0</v>
      </c>
      <c r="BE613" s="1878">
        <f t="shared" ref="BE613:BT613" si="531">T121</f>
        <v>0</v>
      </c>
      <c r="BF613" s="1878">
        <f t="shared" si="531"/>
        <v>0</v>
      </c>
      <c r="BG613" s="1878">
        <f t="shared" si="531"/>
        <v>0</v>
      </c>
      <c r="BH613" s="1878">
        <f t="shared" si="531"/>
        <v>0</v>
      </c>
      <c r="BI613" s="1878">
        <f t="shared" si="531"/>
        <v>0</v>
      </c>
      <c r="BJ613" s="1878">
        <f t="shared" si="531"/>
        <v>0</v>
      </c>
      <c r="BK613" s="1878">
        <f t="shared" si="531"/>
        <v>0</v>
      </c>
      <c r="BL613" s="1878">
        <f t="shared" si="531"/>
        <v>0</v>
      </c>
      <c r="BM613" s="1878">
        <f t="shared" si="531"/>
        <v>0</v>
      </c>
      <c r="BN613" s="1878">
        <f t="shared" si="531"/>
        <v>0</v>
      </c>
      <c r="BO613" s="1878">
        <f t="shared" si="531"/>
        <v>0</v>
      </c>
      <c r="BP613" s="1878">
        <f t="shared" si="531"/>
        <v>0</v>
      </c>
      <c r="BQ613" s="1878">
        <f t="shared" si="531"/>
        <v>0</v>
      </c>
      <c r="BR613" s="1878">
        <f t="shared" si="531"/>
        <v>0</v>
      </c>
      <c r="BS613" s="1878">
        <f t="shared" si="531"/>
        <v>0</v>
      </c>
      <c r="BT613" s="1878">
        <f t="shared" si="531"/>
        <v>0</v>
      </c>
      <c r="BU613" s="1830"/>
    </row>
    <row r="614" spans="2:73" s="496" customFormat="1" ht="12.75" x14ac:dyDescent="0.25">
      <c r="AK614" s="1828"/>
      <c r="AL614" s="1870">
        <f>A32</f>
        <v>10</v>
      </c>
      <c r="AM614" s="1879" t="s">
        <v>1403</v>
      </c>
      <c r="AN614" s="1880">
        <f>SUM(AN612:AN613)</f>
        <v>0</v>
      </c>
      <c r="AO614" s="1873">
        <f t="shared" si="496"/>
        <v>0</v>
      </c>
      <c r="AP614" s="1881">
        <f>SUM(AP612:AP613)</f>
        <v>750</v>
      </c>
      <c r="AQ614" s="1875">
        <f t="shared" si="497"/>
        <v>0.19379844961240311</v>
      </c>
      <c r="AR614" s="1876">
        <f t="shared" si="498"/>
        <v>0</v>
      </c>
      <c r="AS614" s="1881">
        <f>SUM(AS612:AS613)</f>
        <v>750</v>
      </c>
      <c r="AT614" s="1875">
        <f t="shared" si="499"/>
        <v>0.19379844961240311</v>
      </c>
      <c r="AU614" s="1876">
        <f t="shared" si="500"/>
        <v>0</v>
      </c>
      <c r="AV614" s="1881">
        <f>SUM(AV612:AV613)</f>
        <v>750</v>
      </c>
      <c r="AW614" s="1875">
        <f t="shared" si="501"/>
        <v>0.19379844961240311</v>
      </c>
      <c r="AX614" s="1877">
        <f t="shared" si="502"/>
        <v>0</v>
      </c>
      <c r="AY614" s="1881">
        <f>SUM(AY612:AY613)</f>
        <v>750</v>
      </c>
      <c r="AZ614" s="1875">
        <f t="shared" si="503"/>
        <v>0.19379844961240311</v>
      </c>
      <c r="BA614" s="1877">
        <f t="shared" si="504"/>
        <v>0</v>
      </c>
      <c r="BB614" s="1881">
        <f>SUM(BB612:BB613)</f>
        <v>750</v>
      </c>
      <c r="BC614" s="1875">
        <f t="shared" si="505"/>
        <v>0.19379844961240311</v>
      </c>
      <c r="BD614" s="1877">
        <f t="shared" si="506"/>
        <v>0</v>
      </c>
      <c r="BE614" s="1881">
        <f t="shared" ref="BE614:BT614" si="532">SUM(BE612:BE613)</f>
        <v>750</v>
      </c>
      <c r="BF614" s="1881">
        <f t="shared" si="532"/>
        <v>750</v>
      </c>
      <c r="BG614" s="1881">
        <f t="shared" si="532"/>
        <v>750</v>
      </c>
      <c r="BH614" s="1881">
        <f t="shared" si="532"/>
        <v>750</v>
      </c>
      <c r="BI614" s="1881">
        <f t="shared" si="532"/>
        <v>750</v>
      </c>
      <c r="BJ614" s="1881">
        <f t="shared" si="532"/>
        <v>750</v>
      </c>
      <c r="BK614" s="1881">
        <f t="shared" si="532"/>
        <v>750</v>
      </c>
      <c r="BL614" s="1881">
        <f t="shared" si="532"/>
        <v>750</v>
      </c>
      <c r="BM614" s="1881">
        <f t="shared" si="532"/>
        <v>750</v>
      </c>
      <c r="BN614" s="1881">
        <f t="shared" si="532"/>
        <v>750</v>
      </c>
      <c r="BO614" s="1881">
        <f t="shared" si="532"/>
        <v>750</v>
      </c>
      <c r="BP614" s="1881">
        <f t="shared" si="532"/>
        <v>750</v>
      </c>
      <c r="BQ614" s="1881">
        <f t="shared" si="532"/>
        <v>750</v>
      </c>
      <c r="BR614" s="1881">
        <f t="shared" si="532"/>
        <v>750</v>
      </c>
      <c r="BS614" s="1881">
        <f t="shared" si="532"/>
        <v>750</v>
      </c>
      <c r="BT614" s="1881">
        <f t="shared" si="532"/>
        <v>750</v>
      </c>
      <c r="BU614" s="1830"/>
    </row>
    <row r="615" spans="2:73" s="496" customFormat="1" ht="12.75" x14ac:dyDescent="0.25">
      <c r="AK615" s="1828"/>
      <c r="AL615" s="1887">
        <f>A33</f>
        <v>11</v>
      </c>
      <c r="AM615" s="1883" t="str">
        <f>B33</f>
        <v>VALORIZACIONES</v>
      </c>
      <c r="AN615" s="1884">
        <f>C33</f>
        <v>0</v>
      </c>
      <c r="AO615" s="1873">
        <f t="shared" si="496"/>
        <v>0</v>
      </c>
      <c r="AP615" s="1885">
        <f>E33</f>
        <v>90</v>
      </c>
      <c r="AQ615" s="1875">
        <f t="shared" si="497"/>
        <v>2.3255813953488372E-2</v>
      </c>
      <c r="AR615" s="1876">
        <f t="shared" si="498"/>
        <v>0</v>
      </c>
      <c r="AS615" s="1885">
        <f>H33</f>
        <v>90</v>
      </c>
      <c r="AT615" s="1875">
        <f t="shared" si="499"/>
        <v>2.3255813953488372E-2</v>
      </c>
      <c r="AU615" s="1876">
        <f t="shared" si="500"/>
        <v>0</v>
      </c>
      <c r="AV615" s="1885">
        <f>K33</f>
        <v>90</v>
      </c>
      <c r="AW615" s="1875">
        <f t="shared" si="501"/>
        <v>2.3255813953488372E-2</v>
      </c>
      <c r="AX615" s="1877">
        <f t="shared" si="502"/>
        <v>0</v>
      </c>
      <c r="AY615" s="1885">
        <f>N33</f>
        <v>90</v>
      </c>
      <c r="AZ615" s="1875">
        <f t="shared" si="503"/>
        <v>2.3255813953488372E-2</v>
      </c>
      <c r="BA615" s="1877">
        <f t="shared" si="504"/>
        <v>0</v>
      </c>
      <c r="BB615" s="1885">
        <f>Q33</f>
        <v>90</v>
      </c>
      <c r="BC615" s="1875">
        <f t="shared" si="505"/>
        <v>2.3255813953488372E-2</v>
      </c>
      <c r="BD615" s="1877">
        <f t="shared" si="506"/>
        <v>0</v>
      </c>
      <c r="BE615" s="1886">
        <f t="shared" ref="BE615:BT615" si="533">T33</f>
        <v>90</v>
      </c>
      <c r="BF615" s="1886">
        <f t="shared" si="533"/>
        <v>90</v>
      </c>
      <c r="BG615" s="1886">
        <f t="shared" si="533"/>
        <v>90</v>
      </c>
      <c r="BH615" s="1886">
        <f t="shared" si="533"/>
        <v>90</v>
      </c>
      <c r="BI615" s="1886">
        <f t="shared" si="533"/>
        <v>90</v>
      </c>
      <c r="BJ615" s="1886">
        <f t="shared" si="533"/>
        <v>90</v>
      </c>
      <c r="BK615" s="1886">
        <f t="shared" si="533"/>
        <v>90</v>
      </c>
      <c r="BL615" s="1886">
        <f t="shared" si="533"/>
        <v>90</v>
      </c>
      <c r="BM615" s="1886">
        <f t="shared" si="533"/>
        <v>90</v>
      </c>
      <c r="BN615" s="1886">
        <f t="shared" si="533"/>
        <v>90</v>
      </c>
      <c r="BO615" s="1886">
        <f t="shared" si="533"/>
        <v>90</v>
      </c>
      <c r="BP615" s="1886">
        <f t="shared" si="533"/>
        <v>90</v>
      </c>
      <c r="BQ615" s="1886">
        <f t="shared" si="533"/>
        <v>90</v>
      </c>
      <c r="BR615" s="1886">
        <f t="shared" si="533"/>
        <v>90</v>
      </c>
      <c r="BS615" s="1886">
        <f t="shared" si="533"/>
        <v>90</v>
      </c>
      <c r="BT615" s="1886">
        <f t="shared" si="533"/>
        <v>90</v>
      </c>
      <c r="BU615" s="1830"/>
    </row>
    <row r="616" spans="2:73" s="496" customFormat="1" ht="12.75" x14ac:dyDescent="0.25">
      <c r="AK616" s="1828"/>
      <c r="AL616" s="507"/>
      <c r="AM616" s="1900" t="s">
        <v>1067</v>
      </c>
      <c r="AN616" s="1901">
        <f>SUM(AN598,AN601,AN605,AN608,AN611,AN614)</f>
        <v>0</v>
      </c>
      <c r="AO616" s="1902">
        <f t="shared" si="496"/>
        <v>0</v>
      </c>
      <c r="AP616" s="1903">
        <f>SUM(AP598,AP601,AP605,AP608,AP611,AP614)</f>
        <v>3870</v>
      </c>
      <c r="AQ616" s="1904">
        <f t="shared" si="497"/>
        <v>1</v>
      </c>
      <c r="AR616" s="1905">
        <f t="shared" si="498"/>
        <v>0</v>
      </c>
      <c r="AS616" s="1903">
        <f>SUM(AS598,AS601,AS605,AS608,AS611,AS614)</f>
        <v>3870</v>
      </c>
      <c r="AT616" s="1904">
        <f t="shared" si="499"/>
        <v>1</v>
      </c>
      <c r="AU616" s="1905">
        <f t="shared" si="500"/>
        <v>0</v>
      </c>
      <c r="AV616" s="1903">
        <f>SUM(AV598,AV601,AV605,AV608,AV611,AV614)</f>
        <v>3870</v>
      </c>
      <c r="AW616" s="1904">
        <f t="shared" si="501"/>
        <v>1</v>
      </c>
      <c r="AX616" s="1906">
        <f t="shared" si="502"/>
        <v>0</v>
      </c>
      <c r="AY616" s="1903">
        <f>SUM(AY598,AY601,AY605,AY608,AY611,AY614)</f>
        <v>3870</v>
      </c>
      <c r="AZ616" s="1904">
        <f t="shared" si="503"/>
        <v>1</v>
      </c>
      <c r="BA616" s="1906">
        <f t="shared" si="504"/>
        <v>0</v>
      </c>
      <c r="BB616" s="1903">
        <f>SUM(BB598,BB601,BB605,BB608,BB611,BB614)</f>
        <v>3870</v>
      </c>
      <c r="BC616" s="1904">
        <f t="shared" si="505"/>
        <v>1</v>
      </c>
      <c r="BD616" s="1906">
        <f t="shared" si="506"/>
        <v>0</v>
      </c>
      <c r="BE616" s="1907">
        <f t="shared" ref="BE616:BT616" si="534">SUM(BE598,BE601,BE605,BE608,BE611,BE614)</f>
        <v>4789.6999999999989</v>
      </c>
      <c r="BF616" s="1907">
        <f t="shared" si="534"/>
        <v>5718.1919999999991</v>
      </c>
      <c r="BG616" s="1907">
        <f t="shared" si="534"/>
        <v>6650.4159999999993</v>
      </c>
      <c r="BH616" s="1907">
        <f t="shared" si="534"/>
        <v>7579.9599999999991</v>
      </c>
      <c r="BI616" s="1907">
        <f t="shared" si="534"/>
        <v>8509.503999999999</v>
      </c>
      <c r="BJ616" s="1907">
        <f t="shared" si="534"/>
        <v>9439.0479999999989</v>
      </c>
      <c r="BK616" s="1907">
        <f t="shared" si="534"/>
        <v>10368.591999999999</v>
      </c>
      <c r="BL616" s="1907">
        <f t="shared" si="534"/>
        <v>11298.135999999997</v>
      </c>
      <c r="BM616" s="1907">
        <f t="shared" si="534"/>
        <v>12227.679999999998</v>
      </c>
      <c r="BN616" s="1907">
        <f t="shared" si="534"/>
        <v>13157.223999999995</v>
      </c>
      <c r="BO616" s="1907">
        <f t="shared" si="534"/>
        <v>14086.767999999996</v>
      </c>
      <c r="BP616" s="1907">
        <f t="shared" si="534"/>
        <v>15016.311999999996</v>
      </c>
      <c r="BQ616" s="1907">
        <f t="shared" si="534"/>
        <v>15945.855999999996</v>
      </c>
      <c r="BR616" s="1907">
        <f t="shared" si="534"/>
        <v>16875.399999999994</v>
      </c>
      <c r="BS616" s="1907">
        <f t="shared" si="534"/>
        <v>17804.943999999996</v>
      </c>
      <c r="BT616" s="1907">
        <f t="shared" si="534"/>
        <v>18734.487999999994</v>
      </c>
      <c r="BU616" s="1830"/>
    </row>
    <row r="617" spans="2:73" s="496" customFormat="1" ht="15.75" x14ac:dyDescent="0.25">
      <c r="B617" s="1908" t="s">
        <v>1404</v>
      </c>
      <c r="AK617" s="1828"/>
      <c r="AL617" s="507"/>
      <c r="AM617" s="1909" t="s">
        <v>1068</v>
      </c>
      <c r="AN617" s="1910">
        <f>AN615+AN616</f>
        <v>0</v>
      </c>
      <c r="AO617" s="1911"/>
      <c r="AP617" s="1912">
        <f>AP615+AP616</f>
        <v>3960</v>
      </c>
      <c r="AQ617" s="1913"/>
      <c r="AR617" s="1914">
        <f t="shared" si="498"/>
        <v>0</v>
      </c>
      <c r="AS617" s="1912">
        <f>AS615+AS616</f>
        <v>3960</v>
      </c>
      <c r="AT617" s="1913"/>
      <c r="AU617" s="1914">
        <f t="shared" si="500"/>
        <v>0</v>
      </c>
      <c r="AV617" s="1912">
        <f>AV615+AV616</f>
        <v>3960</v>
      </c>
      <c r="AW617" s="1913"/>
      <c r="AX617" s="1915">
        <f t="shared" si="502"/>
        <v>0</v>
      </c>
      <c r="AY617" s="1912">
        <f>AY615+AY616</f>
        <v>3960</v>
      </c>
      <c r="AZ617" s="1913"/>
      <c r="BA617" s="1915">
        <f t="shared" si="504"/>
        <v>0</v>
      </c>
      <c r="BB617" s="1912">
        <f>BB615+BB616</f>
        <v>3960</v>
      </c>
      <c r="BC617" s="1913"/>
      <c r="BD617" s="1915">
        <f t="shared" si="506"/>
        <v>0</v>
      </c>
      <c r="BE617" s="1916">
        <f t="shared" ref="BE617:BT617" si="535">BE615+BE616</f>
        <v>4879.6999999999989</v>
      </c>
      <c r="BF617" s="1916">
        <f t="shared" si="535"/>
        <v>5808.1919999999991</v>
      </c>
      <c r="BG617" s="1916">
        <f t="shared" si="535"/>
        <v>6740.4159999999993</v>
      </c>
      <c r="BH617" s="1916">
        <f t="shared" si="535"/>
        <v>7669.9599999999991</v>
      </c>
      <c r="BI617" s="1916">
        <f t="shared" si="535"/>
        <v>8599.503999999999</v>
      </c>
      <c r="BJ617" s="1916">
        <f t="shared" si="535"/>
        <v>9529.0479999999989</v>
      </c>
      <c r="BK617" s="1916">
        <f t="shared" si="535"/>
        <v>10458.591999999999</v>
      </c>
      <c r="BL617" s="1916">
        <f t="shared" si="535"/>
        <v>11388.135999999997</v>
      </c>
      <c r="BM617" s="1916">
        <f t="shared" si="535"/>
        <v>12317.679999999998</v>
      </c>
      <c r="BN617" s="1916">
        <f t="shared" si="535"/>
        <v>13247.223999999995</v>
      </c>
      <c r="BO617" s="1916">
        <f t="shared" si="535"/>
        <v>14176.767999999996</v>
      </c>
      <c r="BP617" s="1916">
        <f t="shared" si="535"/>
        <v>15106.311999999996</v>
      </c>
      <c r="BQ617" s="1916">
        <f t="shared" si="535"/>
        <v>16035.855999999996</v>
      </c>
      <c r="BR617" s="1916">
        <f t="shared" si="535"/>
        <v>16965.399999999994</v>
      </c>
      <c r="BS617" s="1916">
        <f t="shared" si="535"/>
        <v>17894.943999999996</v>
      </c>
      <c r="BT617" s="1916">
        <f t="shared" si="535"/>
        <v>18824.487999999994</v>
      </c>
      <c r="BU617" s="1830"/>
    </row>
    <row r="618" spans="2:73" s="496" customFormat="1" ht="12.75" x14ac:dyDescent="0.2">
      <c r="AK618" s="1828"/>
      <c r="AL618" s="507"/>
      <c r="AM618" s="507" t="s">
        <v>678</v>
      </c>
      <c r="AN618" s="502"/>
      <c r="AO618" s="1917"/>
      <c r="AP618" s="502"/>
      <c r="AQ618" s="1917"/>
      <c r="AR618" s="1917"/>
      <c r="AS618" s="502"/>
      <c r="AT618" s="1917"/>
      <c r="AU618" s="1917"/>
      <c r="AV618" s="502"/>
      <c r="AW618" s="1917"/>
      <c r="AX618" s="1917"/>
      <c r="AY618" s="502"/>
      <c r="AZ618" s="1917"/>
      <c r="BA618" s="1917"/>
      <c r="BB618" s="502"/>
      <c r="BC618" s="1917"/>
      <c r="BD618" s="1917"/>
      <c r="BE618" s="1438"/>
      <c r="BF618" s="1438"/>
      <c r="BG618" s="1438"/>
      <c r="BH618" s="1438"/>
      <c r="BI618" s="1438"/>
      <c r="BJ618" s="1438"/>
      <c r="BK618" s="1438"/>
      <c r="BL618" s="1438"/>
      <c r="BM618" s="1438"/>
      <c r="BN618" s="1438"/>
      <c r="BO618" s="1438"/>
      <c r="BP618" s="1918"/>
      <c r="BQ618" s="1860"/>
      <c r="BU618" s="1830"/>
    </row>
    <row r="619" spans="2:73" s="496" customFormat="1" ht="15.75" x14ac:dyDescent="0.25">
      <c r="B619" s="1919" t="s">
        <v>1405</v>
      </c>
      <c r="AK619" s="1828"/>
      <c r="AL619" s="1861">
        <f t="shared" ref="AL619:AL630" si="536">A36</f>
        <v>12</v>
      </c>
      <c r="AM619" s="1862" t="str">
        <f t="shared" ref="AM619:AM630" si="537">B36</f>
        <v>OBLIGACIONES FINANCIERAS CORRIENTES</v>
      </c>
      <c r="AN619" s="1240">
        <f t="shared" ref="AN619:AN630" si="538">C36</f>
        <v>0</v>
      </c>
      <c r="AO619" s="1864">
        <f t="shared" ref="AO619:AO646" si="539">IF(OR(AN619=0,AN$646=0),0,AN619/AN$646)</f>
        <v>0</v>
      </c>
      <c r="AP619" s="1865">
        <f t="shared" ref="AP619:AP630" si="540">E36</f>
        <v>10</v>
      </c>
      <c r="AQ619" s="1866">
        <f t="shared" ref="AQ619:AQ646" si="541">IF(OR(AP619=0,AP$646=0),0,AP619/AP$646)</f>
        <v>1.0752688172043012E-2</v>
      </c>
      <c r="AR619" s="1867">
        <f t="shared" ref="AR619:AR646" si="542">IF(OR(AN619=0,AP619=0),0,IF(ABS((AP619/AN619)-1)&gt;1000000%,0,(AP619/AN619)-1))</f>
        <v>0</v>
      </c>
      <c r="AS619" s="1865">
        <f t="shared" ref="AS619:AS630" si="543">H36</f>
        <v>10</v>
      </c>
      <c r="AT619" s="1866">
        <f t="shared" ref="AT619:AT646" si="544">IF(OR(AS619=0,AS$646=0),0,AS619/AS$646)</f>
        <v>1.0752688172043012E-2</v>
      </c>
      <c r="AU619" s="1867">
        <f t="shared" ref="AU619:AU646" si="545">IF(OR(AP619=0,AS619=0),0,IF(ABS((AS619/AP619)-1)&gt;1000000%,0,(AS619/AP619)-1))</f>
        <v>0</v>
      </c>
      <c r="AV619" s="1865">
        <f t="shared" ref="AV619:AV630" si="546">K36</f>
        <v>10</v>
      </c>
      <c r="AW619" s="1866">
        <f t="shared" ref="AW619:AW646" si="547">IF(OR(AV619=0,AV$646=0),0,AV619/AV$646)</f>
        <v>1.0752688172043012E-2</v>
      </c>
      <c r="AX619" s="1868">
        <f t="shared" ref="AX619:AX646" si="548">IF(OR(AS619=0,AV619=0),0,IF(ABS((AV619/AS619)-1)&gt;1000000%,0,(AV619/AS619)-1))</f>
        <v>0</v>
      </c>
      <c r="AY619" s="1865">
        <f t="shared" ref="AY619:AY630" si="549">N36</f>
        <v>10</v>
      </c>
      <c r="AZ619" s="1866">
        <f t="shared" ref="AZ619:AZ646" si="550">IF(OR(AY619=0,AY$646=0),0,AY619/AY$646)</f>
        <v>1.0752688172043012E-2</v>
      </c>
      <c r="BA619" s="1868">
        <f t="shared" ref="BA619:BA646" si="551">IF(OR(AS619=0,AY619=0),0,IF(ABS((AY619/AS619)-1)&gt;1000000%,0,(AY619/AS619)-1))</f>
        <v>0</v>
      </c>
      <c r="BB619" s="1865">
        <f t="shared" ref="BB619:BB630" si="552">Q36</f>
        <v>10</v>
      </c>
      <c r="BC619" s="1866">
        <f t="shared" ref="BC619:BC646" si="553">IF(OR(BB619=0,BB$646=0),0,BB619/BB$646)</f>
        <v>1.0752688172043012E-2</v>
      </c>
      <c r="BD619" s="1868">
        <f t="shared" ref="BD619:BD646" si="554">IF(OR(AY619=0,BB619=0),0,IF(ABS((BB619/AY619)-1)&gt;1000000%,0,(BB619/AY619)-1))</f>
        <v>0</v>
      </c>
      <c r="BE619" s="1869">
        <f t="shared" ref="BE619:BE630" si="555">T36</f>
        <v>0</v>
      </c>
      <c r="BF619" s="1869">
        <f t="shared" ref="BF619:BF630" si="556">U36</f>
        <v>0</v>
      </c>
      <c r="BG619" s="1869">
        <f t="shared" ref="BG619:BG630" si="557">V36</f>
        <v>0</v>
      </c>
      <c r="BH619" s="1869">
        <f t="shared" ref="BH619:BH630" si="558">W36</f>
        <v>0</v>
      </c>
      <c r="BI619" s="1869">
        <f t="shared" ref="BI619:BI630" si="559">X36</f>
        <v>0</v>
      </c>
      <c r="BJ619" s="1869">
        <f t="shared" ref="BJ619:BJ630" si="560">Y36</f>
        <v>0</v>
      </c>
      <c r="BK619" s="1869">
        <f t="shared" ref="BK619:BK630" si="561">Z36</f>
        <v>0</v>
      </c>
      <c r="BL619" s="1869">
        <f t="shared" ref="BL619:BL630" si="562">AA36</f>
        <v>0</v>
      </c>
      <c r="BM619" s="1869">
        <f t="shared" ref="BM619:BM630" si="563">AB36</f>
        <v>0</v>
      </c>
      <c r="BN619" s="1869">
        <f t="shared" ref="BN619:BN630" si="564">AC36</f>
        <v>0</v>
      </c>
      <c r="BO619" s="1869">
        <f t="shared" ref="BO619:BO630" si="565">AD36</f>
        <v>0</v>
      </c>
      <c r="BP619" s="1869">
        <f t="shared" ref="BP619:BP630" si="566">AE36</f>
        <v>0</v>
      </c>
      <c r="BQ619" s="1869">
        <f t="shared" ref="BQ619:BQ630" si="567">AF36</f>
        <v>0</v>
      </c>
      <c r="BR619" s="1869">
        <f t="shared" ref="BR619:BR630" si="568">AG36</f>
        <v>0</v>
      </c>
      <c r="BS619" s="1869">
        <f t="shared" ref="BS619:BS630" si="569">AH36</f>
        <v>0</v>
      </c>
      <c r="BT619" s="1869">
        <f t="shared" ref="BT619:BT630" si="570">AI36</f>
        <v>0</v>
      </c>
      <c r="BU619" s="1830"/>
    </row>
    <row r="620" spans="2:73" s="496" customFormat="1" ht="15" x14ac:dyDescent="0.2">
      <c r="B620" s="1920" t="s">
        <v>1406</v>
      </c>
      <c r="AK620" s="1828"/>
      <c r="AL620" s="1870" t="str">
        <f t="shared" si="536"/>
        <v>13.1</v>
      </c>
      <c r="AM620" s="1921" t="str">
        <f t="shared" si="537"/>
        <v>OBLIGACIONES FINANCIERAS L.P. - PORCIÓN CORRIENTE</v>
      </c>
      <c r="AN620" s="1922">
        <f t="shared" si="538"/>
        <v>0</v>
      </c>
      <c r="AO620" s="1923">
        <f t="shared" si="539"/>
        <v>0</v>
      </c>
      <c r="AP620" s="1924">
        <f t="shared" si="540"/>
        <v>10</v>
      </c>
      <c r="AQ620" s="1925">
        <f t="shared" si="541"/>
        <v>1.0752688172043012E-2</v>
      </c>
      <c r="AR620" s="1926">
        <f t="shared" si="542"/>
        <v>0</v>
      </c>
      <c r="AS620" s="1924">
        <f t="shared" si="543"/>
        <v>10</v>
      </c>
      <c r="AT620" s="1925">
        <f t="shared" si="544"/>
        <v>1.0752688172043012E-2</v>
      </c>
      <c r="AU620" s="1926">
        <f t="shared" si="545"/>
        <v>0</v>
      </c>
      <c r="AV620" s="1924">
        <f t="shared" si="546"/>
        <v>10</v>
      </c>
      <c r="AW620" s="1925">
        <f t="shared" si="547"/>
        <v>1.0752688172043012E-2</v>
      </c>
      <c r="AX620" s="1927">
        <f t="shared" si="548"/>
        <v>0</v>
      </c>
      <c r="AY620" s="1924">
        <f t="shared" si="549"/>
        <v>10</v>
      </c>
      <c r="AZ620" s="1925">
        <f t="shared" si="550"/>
        <v>1.0752688172043012E-2</v>
      </c>
      <c r="BA620" s="1927">
        <f t="shared" si="551"/>
        <v>0</v>
      </c>
      <c r="BB620" s="1924">
        <f t="shared" si="552"/>
        <v>10</v>
      </c>
      <c r="BC620" s="1925">
        <f t="shared" si="553"/>
        <v>1.0752688172043012E-2</v>
      </c>
      <c r="BD620" s="1927">
        <f t="shared" si="554"/>
        <v>0</v>
      </c>
      <c r="BE620" s="1928">
        <f t="shared" si="555"/>
        <v>0</v>
      </c>
      <c r="BF620" s="1928">
        <f t="shared" si="556"/>
        <v>0</v>
      </c>
      <c r="BG620" s="1928">
        <f t="shared" si="557"/>
        <v>0</v>
      </c>
      <c r="BH620" s="1928">
        <f t="shared" si="558"/>
        <v>0</v>
      </c>
      <c r="BI620" s="1928">
        <f t="shared" si="559"/>
        <v>0</v>
      </c>
      <c r="BJ620" s="1928">
        <f t="shared" si="560"/>
        <v>0</v>
      </c>
      <c r="BK620" s="1928">
        <f t="shared" si="561"/>
        <v>0</v>
      </c>
      <c r="BL620" s="1928">
        <f t="shared" si="562"/>
        <v>0</v>
      </c>
      <c r="BM620" s="1928">
        <f t="shared" si="563"/>
        <v>0</v>
      </c>
      <c r="BN620" s="1928">
        <f t="shared" si="564"/>
        <v>0</v>
      </c>
      <c r="BO620" s="1928">
        <f t="shared" si="565"/>
        <v>0</v>
      </c>
      <c r="BP620" s="1928">
        <f t="shared" si="566"/>
        <v>0</v>
      </c>
      <c r="BQ620" s="1928">
        <f t="shared" si="567"/>
        <v>0</v>
      </c>
      <c r="BR620" s="1928">
        <f t="shared" si="568"/>
        <v>0</v>
      </c>
      <c r="BS620" s="1928">
        <f t="shared" si="569"/>
        <v>0</v>
      </c>
      <c r="BT620" s="1928">
        <f t="shared" si="570"/>
        <v>0</v>
      </c>
      <c r="BU620" s="1830"/>
    </row>
    <row r="621" spans="2:73" s="496" customFormat="1" ht="15" x14ac:dyDescent="0.2">
      <c r="B621" s="1920" t="s">
        <v>1407</v>
      </c>
      <c r="AK621" s="1828"/>
      <c r="AL621" s="1870" t="str">
        <f t="shared" si="536"/>
        <v>13.2</v>
      </c>
      <c r="AM621" s="1883" t="str">
        <f t="shared" si="537"/>
        <v>BONOS - PORCIÓN CORRIENTE</v>
      </c>
      <c r="AN621" s="1884">
        <f t="shared" si="538"/>
        <v>0</v>
      </c>
      <c r="AO621" s="1873">
        <f t="shared" si="539"/>
        <v>0</v>
      </c>
      <c r="AP621" s="1885">
        <f t="shared" si="540"/>
        <v>10</v>
      </c>
      <c r="AQ621" s="1875">
        <f t="shared" si="541"/>
        <v>1.0752688172043012E-2</v>
      </c>
      <c r="AR621" s="1877">
        <f t="shared" si="542"/>
        <v>0</v>
      </c>
      <c r="AS621" s="1885">
        <f t="shared" si="543"/>
        <v>10</v>
      </c>
      <c r="AT621" s="1875">
        <f t="shared" si="544"/>
        <v>1.0752688172043012E-2</v>
      </c>
      <c r="AU621" s="1877">
        <f t="shared" si="545"/>
        <v>0</v>
      </c>
      <c r="AV621" s="1885">
        <f t="shared" si="546"/>
        <v>10</v>
      </c>
      <c r="AW621" s="1875">
        <f t="shared" si="547"/>
        <v>1.0752688172043012E-2</v>
      </c>
      <c r="AX621" s="1877">
        <f t="shared" si="548"/>
        <v>0</v>
      </c>
      <c r="AY621" s="1885">
        <f t="shared" si="549"/>
        <v>10</v>
      </c>
      <c r="AZ621" s="1875">
        <f t="shared" si="550"/>
        <v>1.0752688172043012E-2</v>
      </c>
      <c r="BA621" s="1877">
        <f t="shared" si="551"/>
        <v>0</v>
      </c>
      <c r="BB621" s="1885">
        <f t="shared" si="552"/>
        <v>10</v>
      </c>
      <c r="BC621" s="1875">
        <f t="shared" si="553"/>
        <v>1.0752688172043012E-2</v>
      </c>
      <c r="BD621" s="1877">
        <f t="shared" si="554"/>
        <v>0</v>
      </c>
      <c r="BE621" s="1886">
        <f t="shared" si="555"/>
        <v>0</v>
      </c>
      <c r="BF621" s="1886">
        <f t="shared" si="556"/>
        <v>0</v>
      </c>
      <c r="BG621" s="1886">
        <f t="shared" si="557"/>
        <v>0</v>
      </c>
      <c r="BH621" s="1886">
        <f t="shared" si="558"/>
        <v>0</v>
      </c>
      <c r="BI621" s="1886">
        <f t="shared" si="559"/>
        <v>0</v>
      </c>
      <c r="BJ621" s="1886">
        <f t="shared" si="560"/>
        <v>0</v>
      </c>
      <c r="BK621" s="1886">
        <f t="shared" si="561"/>
        <v>0</v>
      </c>
      <c r="BL621" s="1886">
        <f t="shared" si="562"/>
        <v>0</v>
      </c>
      <c r="BM621" s="1886">
        <f t="shared" si="563"/>
        <v>0</v>
      </c>
      <c r="BN621" s="1886">
        <f t="shared" si="564"/>
        <v>0</v>
      </c>
      <c r="BO621" s="1886">
        <f t="shared" si="565"/>
        <v>0</v>
      </c>
      <c r="BP621" s="1886">
        <f t="shared" si="566"/>
        <v>0</v>
      </c>
      <c r="BQ621" s="1886">
        <f t="shared" si="567"/>
        <v>0</v>
      </c>
      <c r="BR621" s="1886">
        <f t="shared" si="568"/>
        <v>0</v>
      </c>
      <c r="BS621" s="1886">
        <f t="shared" si="569"/>
        <v>0</v>
      </c>
      <c r="BT621" s="1886">
        <f t="shared" si="570"/>
        <v>0</v>
      </c>
      <c r="BU621" s="1830"/>
    </row>
    <row r="622" spans="2:73" s="496" customFormat="1" ht="15" x14ac:dyDescent="0.25">
      <c r="B622" s="1929" t="s">
        <v>1408</v>
      </c>
      <c r="AK622" s="1828"/>
      <c r="AL622" s="1870" t="str">
        <f t="shared" si="536"/>
        <v>13.3</v>
      </c>
      <c r="AM622" s="1883" t="str">
        <f t="shared" si="537"/>
        <v>OBLIGACIONES DE LARGO PLAZO DAVIVIENDA - PORCIÓN CORRIENTE</v>
      </c>
      <c r="AN622" s="1884">
        <f t="shared" si="538"/>
        <v>0</v>
      </c>
      <c r="AO622" s="1873">
        <f t="shared" si="539"/>
        <v>0</v>
      </c>
      <c r="AP622" s="1885">
        <f t="shared" si="540"/>
        <v>0</v>
      </c>
      <c r="AQ622" s="1875">
        <f t="shared" si="541"/>
        <v>0</v>
      </c>
      <c r="AR622" s="1876">
        <f t="shared" si="542"/>
        <v>0</v>
      </c>
      <c r="AS622" s="1885">
        <f t="shared" si="543"/>
        <v>0</v>
      </c>
      <c r="AT622" s="1875">
        <f t="shared" si="544"/>
        <v>0</v>
      </c>
      <c r="AU622" s="1876">
        <f t="shared" si="545"/>
        <v>0</v>
      </c>
      <c r="AV622" s="1885">
        <f t="shared" si="546"/>
        <v>0</v>
      </c>
      <c r="AW622" s="1875">
        <f t="shared" si="547"/>
        <v>0</v>
      </c>
      <c r="AX622" s="1877">
        <f t="shared" si="548"/>
        <v>0</v>
      </c>
      <c r="AY622" s="1885">
        <f t="shared" si="549"/>
        <v>0</v>
      </c>
      <c r="AZ622" s="1875">
        <f t="shared" si="550"/>
        <v>0</v>
      </c>
      <c r="BA622" s="1877">
        <f t="shared" si="551"/>
        <v>0</v>
      </c>
      <c r="BB622" s="1885">
        <f t="shared" si="552"/>
        <v>0</v>
      </c>
      <c r="BC622" s="1875">
        <f t="shared" si="553"/>
        <v>0</v>
      </c>
      <c r="BD622" s="1877">
        <f t="shared" si="554"/>
        <v>0</v>
      </c>
      <c r="BE622" s="1886">
        <f t="shared" si="555"/>
        <v>0</v>
      </c>
      <c r="BF622" s="1886">
        <f t="shared" si="556"/>
        <v>0</v>
      </c>
      <c r="BG622" s="1886">
        <f t="shared" si="557"/>
        <v>0</v>
      </c>
      <c r="BH622" s="1886">
        <f t="shared" si="558"/>
        <v>0</v>
      </c>
      <c r="BI622" s="1886">
        <f t="shared" si="559"/>
        <v>0</v>
      </c>
      <c r="BJ622" s="1886">
        <f t="shared" si="560"/>
        <v>0</v>
      </c>
      <c r="BK622" s="1886">
        <f t="shared" si="561"/>
        <v>0</v>
      </c>
      <c r="BL622" s="1886">
        <f t="shared" si="562"/>
        <v>0</v>
      </c>
      <c r="BM622" s="1886">
        <f t="shared" si="563"/>
        <v>0</v>
      </c>
      <c r="BN622" s="1886">
        <f t="shared" si="564"/>
        <v>0</v>
      </c>
      <c r="BO622" s="1886">
        <f t="shared" si="565"/>
        <v>0</v>
      </c>
      <c r="BP622" s="1886">
        <f t="shared" si="566"/>
        <v>0</v>
      </c>
      <c r="BQ622" s="1886">
        <f t="shared" si="567"/>
        <v>0</v>
      </c>
      <c r="BR622" s="1886">
        <f t="shared" si="568"/>
        <v>0</v>
      </c>
      <c r="BS622" s="1886">
        <f t="shared" si="569"/>
        <v>0</v>
      </c>
      <c r="BT622" s="1886">
        <f t="shared" si="570"/>
        <v>0</v>
      </c>
      <c r="BU622" s="1830"/>
    </row>
    <row r="623" spans="2:73" s="496" customFormat="1" ht="15" x14ac:dyDescent="0.2">
      <c r="B623" s="1920" t="s">
        <v>1409</v>
      </c>
      <c r="AK623" s="1828"/>
      <c r="AL623" s="1870">
        <f t="shared" si="536"/>
        <v>14</v>
      </c>
      <c r="AM623" s="1883" t="str">
        <f t="shared" si="537"/>
        <v>PROVEEDORES</v>
      </c>
      <c r="AN623" s="1884">
        <f t="shared" si="538"/>
        <v>0</v>
      </c>
      <c r="AO623" s="1873">
        <f t="shared" si="539"/>
        <v>0</v>
      </c>
      <c r="AP623" s="1885">
        <f t="shared" si="540"/>
        <v>30</v>
      </c>
      <c r="AQ623" s="1875">
        <f t="shared" si="541"/>
        <v>3.2258064516129031E-2</v>
      </c>
      <c r="AR623" s="1876">
        <f t="shared" si="542"/>
        <v>0</v>
      </c>
      <c r="AS623" s="1885">
        <f t="shared" si="543"/>
        <v>30</v>
      </c>
      <c r="AT623" s="1875">
        <f t="shared" si="544"/>
        <v>3.2258064516129031E-2</v>
      </c>
      <c r="AU623" s="1876">
        <f t="shared" si="545"/>
        <v>0</v>
      </c>
      <c r="AV623" s="1885">
        <f t="shared" si="546"/>
        <v>30</v>
      </c>
      <c r="AW623" s="1875">
        <f t="shared" si="547"/>
        <v>3.2258064516129031E-2</v>
      </c>
      <c r="AX623" s="1877">
        <f t="shared" si="548"/>
        <v>0</v>
      </c>
      <c r="AY623" s="1885">
        <f t="shared" si="549"/>
        <v>30</v>
      </c>
      <c r="AZ623" s="1875">
        <f t="shared" si="550"/>
        <v>3.2258064516129031E-2</v>
      </c>
      <c r="BA623" s="1877">
        <f t="shared" si="551"/>
        <v>0</v>
      </c>
      <c r="BB623" s="1885">
        <f t="shared" si="552"/>
        <v>30</v>
      </c>
      <c r="BC623" s="1875">
        <f t="shared" si="553"/>
        <v>3.2258064516129031E-2</v>
      </c>
      <c r="BD623" s="1877">
        <f t="shared" si="554"/>
        <v>0</v>
      </c>
      <c r="BE623" s="1886">
        <f t="shared" si="555"/>
        <v>30.000000000000004</v>
      </c>
      <c r="BF623" s="1886">
        <f t="shared" si="556"/>
        <v>30.000000000000004</v>
      </c>
      <c r="BG623" s="1886">
        <f t="shared" si="557"/>
        <v>30.000000000000004</v>
      </c>
      <c r="BH623" s="1886">
        <f t="shared" si="558"/>
        <v>30.000000000000004</v>
      </c>
      <c r="BI623" s="1886">
        <f t="shared" si="559"/>
        <v>30.000000000000004</v>
      </c>
      <c r="BJ623" s="1886">
        <f t="shared" si="560"/>
        <v>30.000000000000004</v>
      </c>
      <c r="BK623" s="1886">
        <f t="shared" si="561"/>
        <v>30.000000000000004</v>
      </c>
      <c r="BL623" s="1886">
        <f t="shared" si="562"/>
        <v>30.000000000000004</v>
      </c>
      <c r="BM623" s="1886">
        <f t="shared" si="563"/>
        <v>30.000000000000004</v>
      </c>
      <c r="BN623" s="1886">
        <f t="shared" si="564"/>
        <v>30.000000000000004</v>
      </c>
      <c r="BO623" s="1886">
        <f t="shared" si="565"/>
        <v>30.000000000000004</v>
      </c>
      <c r="BP623" s="1886">
        <f t="shared" si="566"/>
        <v>30.000000000000004</v>
      </c>
      <c r="BQ623" s="1886">
        <f t="shared" si="567"/>
        <v>30.000000000000004</v>
      </c>
      <c r="BR623" s="1886">
        <f t="shared" si="568"/>
        <v>30.000000000000004</v>
      </c>
      <c r="BS623" s="1886">
        <f t="shared" si="569"/>
        <v>30.000000000000004</v>
      </c>
      <c r="BT623" s="1886">
        <f t="shared" si="570"/>
        <v>30.000000000000004</v>
      </c>
      <c r="BU623" s="1830"/>
    </row>
    <row r="624" spans="2:73" s="496" customFormat="1" ht="15" x14ac:dyDescent="0.2">
      <c r="B624" s="1920" t="s">
        <v>1410</v>
      </c>
      <c r="AK624" s="1828"/>
      <c r="AL624" s="1870">
        <f t="shared" si="536"/>
        <v>15</v>
      </c>
      <c r="AM624" s="1883" t="str">
        <f t="shared" si="537"/>
        <v>PASIVOS LABORALES C.P.</v>
      </c>
      <c r="AN624" s="1884">
        <f t="shared" si="538"/>
        <v>0</v>
      </c>
      <c r="AO624" s="1873">
        <f t="shared" si="539"/>
        <v>0</v>
      </c>
      <c r="AP624" s="1885">
        <f t="shared" si="540"/>
        <v>60</v>
      </c>
      <c r="AQ624" s="1875">
        <f t="shared" si="541"/>
        <v>6.4516129032258063E-2</v>
      </c>
      <c r="AR624" s="1876">
        <f t="shared" si="542"/>
        <v>0</v>
      </c>
      <c r="AS624" s="1885">
        <f t="shared" si="543"/>
        <v>60</v>
      </c>
      <c r="AT624" s="1875">
        <f t="shared" si="544"/>
        <v>6.4516129032258063E-2</v>
      </c>
      <c r="AU624" s="1876">
        <f t="shared" si="545"/>
        <v>0</v>
      </c>
      <c r="AV624" s="1885">
        <f t="shared" si="546"/>
        <v>60</v>
      </c>
      <c r="AW624" s="1875">
        <f t="shared" si="547"/>
        <v>6.4516129032258063E-2</v>
      </c>
      <c r="AX624" s="1877">
        <f t="shared" si="548"/>
        <v>0</v>
      </c>
      <c r="AY624" s="1885">
        <f t="shared" si="549"/>
        <v>60</v>
      </c>
      <c r="AZ624" s="1875">
        <f t="shared" si="550"/>
        <v>6.4516129032258063E-2</v>
      </c>
      <c r="BA624" s="1877">
        <f t="shared" si="551"/>
        <v>0</v>
      </c>
      <c r="BB624" s="1885">
        <f t="shared" si="552"/>
        <v>60</v>
      </c>
      <c r="BC624" s="1875">
        <f t="shared" si="553"/>
        <v>6.4516129032258063E-2</v>
      </c>
      <c r="BD624" s="1877">
        <f t="shared" si="554"/>
        <v>0</v>
      </c>
      <c r="BE624" s="1886">
        <f t="shared" si="555"/>
        <v>60</v>
      </c>
      <c r="BF624" s="1886">
        <f t="shared" si="556"/>
        <v>60</v>
      </c>
      <c r="BG624" s="1886">
        <f t="shared" si="557"/>
        <v>60</v>
      </c>
      <c r="BH624" s="1886">
        <f t="shared" si="558"/>
        <v>60</v>
      </c>
      <c r="BI624" s="1886">
        <f t="shared" si="559"/>
        <v>60</v>
      </c>
      <c r="BJ624" s="1886">
        <f t="shared" si="560"/>
        <v>60</v>
      </c>
      <c r="BK624" s="1886">
        <f t="shared" si="561"/>
        <v>60</v>
      </c>
      <c r="BL624" s="1886">
        <f t="shared" si="562"/>
        <v>60</v>
      </c>
      <c r="BM624" s="1886">
        <f t="shared" si="563"/>
        <v>60</v>
      </c>
      <c r="BN624" s="1886">
        <f t="shared" si="564"/>
        <v>60</v>
      </c>
      <c r="BO624" s="1886">
        <f t="shared" si="565"/>
        <v>60</v>
      </c>
      <c r="BP624" s="1886">
        <f t="shared" si="566"/>
        <v>60</v>
      </c>
      <c r="BQ624" s="1886">
        <f t="shared" si="567"/>
        <v>60</v>
      </c>
      <c r="BR624" s="1886">
        <f t="shared" si="568"/>
        <v>60</v>
      </c>
      <c r="BS624" s="1886">
        <f t="shared" si="569"/>
        <v>60</v>
      </c>
      <c r="BT624" s="1886">
        <f t="shared" si="570"/>
        <v>60</v>
      </c>
      <c r="BU624" s="1830"/>
    </row>
    <row r="625" spans="2:73" s="496" customFormat="1" ht="15" x14ac:dyDescent="0.25">
      <c r="B625" s="1929" t="s">
        <v>1411</v>
      </c>
      <c r="AK625" s="1828"/>
      <c r="AL625" s="1870">
        <f t="shared" si="536"/>
        <v>16</v>
      </c>
      <c r="AM625" s="1883" t="str">
        <f t="shared" si="537"/>
        <v xml:space="preserve">IMPUESTOS POR PAGAR </v>
      </c>
      <c r="AN625" s="1884">
        <f t="shared" si="538"/>
        <v>0</v>
      </c>
      <c r="AO625" s="1873">
        <f t="shared" si="539"/>
        <v>0</v>
      </c>
      <c r="AP625" s="1885">
        <f t="shared" si="540"/>
        <v>40</v>
      </c>
      <c r="AQ625" s="1875">
        <f t="shared" si="541"/>
        <v>4.3010752688172046E-2</v>
      </c>
      <c r="AR625" s="1876">
        <f t="shared" si="542"/>
        <v>0</v>
      </c>
      <c r="AS625" s="1885">
        <f t="shared" si="543"/>
        <v>40</v>
      </c>
      <c r="AT625" s="1875">
        <f t="shared" si="544"/>
        <v>4.3010752688172046E-2</v>
      </c>
      <c r="AU625" s="1876">
        <f t="shared" si="545"/>
        <v>0</v>
      </c>
      <c r="AV625" s="1885">
        <f t="shared" si="546"/>
        <v>40</v>
      </c>
      <c r="AW625" s="1875">
        <f t="shared" si="547"/>
        <v>4.3010752688172046E-2</v>
      </c>
      <c r="AX625" s="1877">
        <f t="shared" si="548"/>
        <v>0</v>
      </c>
      <c r="AY625" s="1885">
        <f t="shared" si="549"/>
        <v>40</v>
      </c>
      <c r="AZ625" s="1875">
        <f t="shared" si="550"/>
        <v>4.3010752688172046E-2</v>
      </c>
      <c r="BA625" s="1877">
        <f t="shared" si="551"/>
        <v>0</v>
      </c>
      <c r="BB625" s="1885">
        <f t="shared" si="552"/>
        <v>40</v>
      </c>
      <c r="BC625" s="1875">
        <f t="shared" si="553"/>
        <v>4.3010752688172046E-2</v>
      </c>
      <c r="BD625" s="1877">
        <f t="shared" si="554"/>
        <v>0</v>
      </c>
      <c r="BE625" s="1886">
        <f t="shared" si="555"/>
        <v>40</v>
      </c>
      <c r="BF625" s="1886">
        <f t="shared" si="556"/>
        <v>40</v>
      </c>
      <c r="BG625" s="1886">
        <f t="shared" si="557"/>
        <v>40</v>
      </c>
      <c r="BH625" s="1886">
        <f t="shared" si="558"/>
        <v>40</v>
      </c>
      <c r="BI625" s="1886">
        <f t="shared" si="559"/>
        <v>40</v>
      </c>
      <c r="BJ625" s="1886">
        <f t="shared" si="560"/>
        <v>40</v>
      </c>
      <c r="BK625" s="1886">
        <f t="shared" si="561"/>
        <v>40</v>
      </c>
      <c r="BL625" s="1886">
        <f t="shared" si="562"/>
        <v>40</v>
      </c>
      <c r="BM625" s="1886">
        <f t="shared" si="563"/>
        <v>40</v>
      </c>
      <c r="BN625" s="1886">
        <f t="shared" si="564"/>
        <v>40</v>
      </c>
      <c r="BO625" s="1886">
        <f t="shared" si="565"/>
        <v>40</v>
      </c>
      <c r="BP625" s="1886">
        <f t="shared" si="566"/>
        <v>40</v>
      </c>
      <c r="BQ625" s="1886">
        <f t="shared" si="567"/>
        <v>40</v>
      </c>
      <c r="BR625" s="1886">
        <f t="shared" si="568"/>
        <v>40</v>
      </c>
      <c r="BS625" s="1886">
        <f t="shared" si="569"/>
        <v>40</v>
      </c>
      <c r="BT625" s="1886">
        <f t="shared" si="570"/>
        <v>40</v>
      </c>
      <c r="BU625" s="1830"/>
    </row>
    <row r="626" spans="2:73" s="496" customFormat="1" ht="12.75" x14ac:dyDescent="0.25">
      <c r="AK626" s="1828"/>
      <c r="AL626" s="1870">
        <f t="shared" si="536"/>
        <v>17</v>
      </c>
      <c r="AM626" s="1883" t="str">
        <f t="shared" si="537"/>
        <v>PASIVOS DIFERIDOS C.P.</v>
      </c>
      <c r="AN626" s="1884">
        <f t="shared" si="538"/>
        <v>0</v>
      </c>
      <c r="AO626" s="1873">
        <f t="shared" si="539"/>
        <v>0</v>
      </c>
      <c r="AP626" s="1885">
        <f t="shared" si="540"/>
        <v>40</v>
      </c>
      <c r="AQ626" s="1875">
        <f t="shared" si="541"/>
        <v>4.3010752688172046E-2</v>
      </c>
      <c r="AR626" s="1876">
        <f t="shared" si="542"/>
        <v>0</v>
      </c>
      <c r="AS626" s="1885">
        <f t="shared" si="543"/>
        <v>40</v>
      </c>
      <c r="AT626" s="1875">
        <f t="shared" si="544"/>
        <v>4.3010752688172046E-2</v>
      </c>
      <c r="AU626" s="1876">
        <f t="shared" si="545"/>
        <v>0</v>
      </c>
      <c r="AV626" s="1885">
        <f t="shared" si="546"/>
        <v>40</v>
      </c>
      <c r="AW626" s="1875">
        <f t="shared" si="547"/>
        <v>4.3010752688172046E-2</v>
      </c>
      <c r="AX626" s="1877">
        <f t="shared" si="548"/>
        <v>0</v>
      </c>
      <c r="AY626" s="1885">
        <f t="shared" si="549"/>
        <v>40</v>
      </c>
      <c r="AZ626" s="1875">
        <f t="shared" si="550"/>
        <v>4.3010752688172046E-2</v>
      </c>
      <c r="BA626" s="1877">
        <f t="shared" si="551"/>
        <v>0</v>
      </c>
      <c r="BB626" s="1885">
        <f t="shared" si="552"/>
        <v>40</v>
      </c>
      <c r="BC626" s="1875">
        <f t="shared" si="553"/>
        <v>4.3010752688172046E-2</v>
      </c>
      <c r="BD626" s="1877">
        <f t="shared" si="554"/>
        <v>0</v>
      </c>
      <c r="BE626" s="1886">
        <f t="shared" si="555"/>
        <v>40</v>
      </c>
      <c r="BF626" s="1886">
        <f t="shared" si="556"/>
        <v>40</v>
      </c>
      <c r="BG626" s="1886">
        <f t="shared" si="557"/>
        <v>40</v>
      </c>
      <c r="BH626" s="1886">
        <f t="shared" si="558"/>
        <v>40</v>
      </c>
      <c r="BI626" s="1886">
        <f t="shared" si="559"/>
        <v>40</v>
      </c>
      <c r="BJ626" s="1886">
        <f t="shared" si="560"/>
        <v>40</v>
      </c>
      <c r="BK626" s="1886">
        <f t="shared" si="561"/>
        <v>40</v>
      </c>
      <c r="BL626" s="1886">
        <f t="shared" si="562"/>
        <v>40</v>
      </c>
      <c r="BM626" s="1886">
        <f t="shared" si="563"/>
        <v>40</v>
      </c>
      <c r="BN626" s="1886">
        <f t="shared" si="564"/>
        <v>40</v>
      </c>
      <c r="BO626" s="1886">
        <f t="shared" si="565"/>
        <v>40</v>
      </c>
      <c r="BP626" s="1886">
        <f t="shared" si="566"/>
        <v>40</v>
      </c>
      <c r="BQ626" s="1886">
        <f t="shared" si="567"/>
        <v>40</v>
      </c>
      <c r="BR626" s="1886">
        <f t="shared" si="568"/>
        <v>40</v>
      </c>
      <c r="BS626" s="1886">
        <f t="shared" si="569"/>
        <v>40</v>
      </c>
      <c r="BT626" s="1886">
        <f t="shared" si="570"/>
        <v>40</v>
      </c>
      <c r="BU626" s="1830"/>
    </row>
    <row r="627" spans="2:73" s="496" customFormat="1" ht="12.75" x14ac:dyDescent="0.25">
      <c r="AK627" s="1828"/>
      <c r="AL627" s="1870">
        <f t="shared" si="536"/>
        <v>18</v>
      </c>
      <c r="AM627" s="1883" t="str">
        <f t="shared" si="537"/>
        <v>CUENTAS POR PAGAR</v>
      </c>
      <c r="AN627" s="1884">
        <f t="shared" si="538"/>
        <v>0</v>
      </c>
      <c r="AO627" s="1873">
        <f t="shared" si="539"/>
        <v>0</v>
      </c>
      <c r="AP627" s="1885">
        <f t="shared" si="540"/>
        <v>120</v>
      </c>
      <c r="AQ627" s="1875">
        <f t="shared" si="541"/>
        <v>0.12903225806451613</v>
      </c>
      <c r="AR627" s="1876">
        <f t="shared" si="542"/>
        <v>0</v>
      </c>
      <c r="AS627" s="1885">
        <f t="shared" si="543"/>
        <v>120</v>
      </c>
      <c r="AT627" s="1875">
        <f t="shared" si="544"/>
        <v>0.12903225806451613</v>
      </c>
      <c r="AU627" s="1876">
        <f t="shared" si="545"/>
        <v>0</v>
      </c>
      <c r="AV627" s="1885">
        <f t="shared" si="546"/>
        <v>120</v>
      </c>
      <c r="AW627" s="1875">
        <f t="shared" si="547"/>
        <v>0.12903225806451613</v>
      </c>
      <c r="AX627" s="1877">
        <f t="shared" si="548"/>
        <v>0</v>
      </c>
      <c r="AY627" s="1885">
        <f t="shared" si="549"/>
        <v>120</v>
      </c>
      <c r="AZ627" s="1875">
        <f t="shared" si="550"/>
        <v>0.12903225806451613</v>
      </c>
      <c r="BA627" s="1877">
        <f t="shared" si="551"/>
        <v>0</v>
      </c>
      <c r="BB627" s="1885">
        <f t="shared" si="552"/>
        <v>120</v>
      </c>
      <c r="BC627" s="1875">
        <f t="shared" si="553"/>
        <v>0.12903225806451613</v>
      </c>
      <c r="BD627" s="1877">
        <f t="shared" si="554"/>
        <v>0</v>
      </c>
      <c r="BE627" s="1886">
        <f t="shared" si="555"/>
        <v>120.00000000000003</v>
      </c>
      <c r="BF627" s="1886">
        <f t="shared" si="556"/>
        <v>120.00000000000003</v>
      </c>
      <c r="BG627" s="1886">
        <f t="shared" si="557"/>
        <v>120.00000000000003</v>
      </c>
      <c r="BH627" s="1886">
        <f t="shared" si="558"/>
        <v>120.00000000000003</v>
      </c>
      <c r="BI627" s="1886">
        <f t="shared" si="559"/>
        <v>120.00000000000003</v>
      </c>
      <c r="BJ627" s="1886">
        <f t="shared" si="560"/>
        <v>120.00000000000003</v>
      </c>
      <c r="BK627" s="1886">
        <f t="shared" si="561"/>
        <v>120.00000000000003</v>
      </c>
      <c r="BL627" s="1886">
        <f t="shared" si="562"/>
        <v>120.00000000000003</v>
      </c>
      <c r="BM627" s="1886">
        <f t="shared" si="563"/>
        <v>120.00000000000003</v>
      </c>
      <c r="BN627" s="1886">
        <f t="shared" si="564"/>
        <v>120.00000000000003</v>
      </c>
      <c r="BO627" s="1886">
        <f t="shared" si="565"/>
        <v>120.00000000000003</v>
      </c>
      <c r="BP627" s="1886">
        <f t="shared" si="566"/>
        <v>120.00000000000003</v>
      </c>
      <c r="BQ627" s="1886">
        <f t="shared" si="567"/>
        <v>120.00000000000003</v>
      </c>
      <c r="BR627" s="1886">
        <f t="shared" si="568"/>
        <v>120.00000000000003</v>
      </c>
      <c r="BS627" s="1886">
        <f t="shared" si="569"/>
        <v>120.00000000000003</v>
      </c>
      <c r="BT627" s="1886">
        <f t="shared" si="570"/>
        <v>120.00000000000003</v>
      </c>
      <c r="BU627" s="1830"/>
    </row>
    <row r="628" spans="2:73" s="496" customFormat="1" ht="12.75" x14ac:dyDescent="0.25">
      <c r="AK628" s="1828"/>
      <c r="AL628" s="1870">
        <f t="shared" si="536"/>
        <v>19</v>
      </c>
      <c r="AM628" s="1883" t="str">
        <f t="shared" si="537"/>
        <v>DEUDAS CON SOCIOS  C.P.</v>
      </c>
      <c r="AN628" s="1884">
        <f t="shared" si="538"/>
        <v>0</v>
      </c>
      <c r="AO628" s="1873">
        <f t="shared" si="539"/>
        <v>0</v>
      </c>
      <c r="AP628" s="1885">
        <f t="shared" si="540"/>
        <v>20</v>
      </c>
      <c r="AQ628" s="1875">
        <f t="shared" si="541"/>
        <v>2.1505376344086023E-2</v>
      </c>
      <c r="AR628" s="1876">
        <f t="shared" si="542"/>
        <v>0</v>
      </c>
      <c r="AS628" s="1885">
        <f t="shared" si="543"/>
        <v>20</v>
      </c>
      <c r="AT628" s="1875">
        <f t="shared" si="544"/>
        <v>2.1505376344086023E-2</v>
      </c>
      <c r="AU628" s="1876">
        <f t="shared" si="545"/>
        <v>0</v>
      </c>
      <c r="AV628" s="1885">
        <f t="shared" si="546"/>
        <v>20</v>
      </c>
      <c r="AW628" s="1875">
        <f t="shared" si="547"/>
        <v>2.1505376344086023E-2</v>
      </c>
      <c r="AX628" s="1877">
        <f t="shared" si="548"/>
        <v>0</v>
      </c>
      <c r="AY628" s="1885">
        <f t="shared" si="549"/>
        <v>20</v>
      </c>
      <c r="AZ628" s="1875">
        <f t="shared" si="550"/>
        <v>2.1505376344086023E-2</v>
      </c>
      <c r="BA628" s="1877">
        <f t="shared" si="551"/>
        <v>0</v>
      </c>
      <c r="BB628" s="1885">
        <f t="shared" si="552"/>
        <v>20</v>
      </c>
      <c r="BC628" s="1875">
        <f t="shared" si="553"/>
        <v>2.1505376344086023E-2</v>
      </c>
      <c r="BD628" s="1877">
        <f t="shared" si="554"/>
        <v>0</v>
      </c>
      <c r="BE628" s="1886">
        <f t="shared" si="555"/>
        <v>20</v>
      </c>
      <c r="BF628" s="1886">
        <f t="shared" si="556"/>
        <v>20</v>
      </c>
      <c r="BG628" s="1886">
        <f t="shared" si="557"/>
        <v>20</v>
      </c>
      <c r="BH628" s="1886">
        <f t="shared" si="558"/>
        <v>20</v>
      </c>
      <c r="BI628" s="1886">
        <f t="shared" si="559"/>
        <v>20</v>
      </c>
      <c r="BJ628" s="1886">
        <f t="shared" si="560"/>
        <v>20</v>
      </c>
      <c r="BK628" s="1886">
        <f t="shared" si="561"/>
        <v>20</v>
      </c>
      <c r="BL628" s="1886">
        <f t="shared" si="562"/>
        <v>20</v>
      </c>
      <c r="BM628" s="1886">
        <f t="shared" si="563"/>
        <v>20</v>
      </c>
      <c r="BN628" s="1886">
        <f t="shared" si="564"/>
        <v>20</v>
      </c>
      <c r="BO628" s="1886">
        <f t="shared" si="565"/>
        <v>20</v>
      </c>
      <c r="BP628" s="1886">
        <f t="shared" si="566"/>
        <v>20</v>
      </c>
      <c r="BQ628" s="1886">
        <f t="shared" si="567"/>
        <v>20</v>
      </c>
      <c r="BR628" s="1886">
        <f t="shared" si="568"/>
        <v>20</v>
      </c>
      <c r="BS628" s="1886">
        <f t="shared" si="569"/>
        <v>20</v>
      </c>
      <c r="BT628" s="1886">
        <f t="shared" si="570"/>
        <v>20</v>
      </c>
      <c r="BU628" s="1830"/>
    </row>
    <row r="629" spans="2:73" s="496" customFormat="1" ht="12.75" x14ac:dyDescent="0.25">
      <c r="AK629" s="1828"/>
      <c r="AL629" s="1870" t="str">
        <f t="shared" si="536"/>
        <v>20.1</v>
      </c>
      <c r="AM629" s="1871" t="str">
        <f t="shared" si="537"/>
        <v>PASIVOS ESTIMADOS Y PROVISIONES</v>
      </c>
      <c r="AN629" s="1872">
        <f t="shared" si="538"/>
        <v>0</v>
      </c>
      <c r="AO629" s="1873">
        <f t="shared" si="539"/>
        <v>0</v>
      </c>
      <c r="AP629" s="1874">
        <f t="shared" si="540"/>
        <v>90</v>
      </c>
      <c r="AQ629" s="1875">
        <f t="shared" si="541"/>
        <v>9.6774193548387094E-2</v>
      </c>
      <c r="AR629" s="1876">
        <f t="shared" si="542"/>
        <v>0</v>
      </c>
      <c r="AS629" s="1874">
        <f t="shared" si="543"/>
        <v>90</v>
      </c>
      <c r="AT629" s="1875">
        <f t="shared" si="544"/>
        <v>9.6774193548387094E-2</v>
      </c>
      <c r="AU629" s="1876">
        <f t="shared" si="545"/>
        <v>0</v>
      </c>
      <c r="AV629" s="1874">
        <f t="shared" si="546"/>
        <v>90</v>
      </c>
      <c r="AW629" s="1875">
        <f t="shared" si="547"/>
        <v>9.6774193548387094E-2</v>
      </c>
      <c r="AX629" s="1877">
        <f t="shared" si="548"/>
        <v>0</v>
      </c>
      <c r="AY629" s="1874">
        <f t="shared" si="549"/>
        <v>90</v>
      </c>
      <c r="AZ629" s="1875">
        <f t="shared" si="550"/>
        <v>9.6774193548387094E-2</v>
      </c>
      <c r="BA629" s="1877">
        <f t="shared" si="551"/>
        <v>0</v>
      </c>
      <c r="BB629" s="1874">
        <f t="shared" si="552"/>
        <v>90</v>
      </c>
      <c r="BC629" s="1875">
        <f t="shared" si="553"/>
        <v>9.6774193548387094E-2</v>
      </c>
      <c r="BD629" s="1877">
        <f t="shared" si="554"/>
        <v>0</v>
      </c>
      <c r="BE629" s="1878">
        <f t="shared" si="555"/>
        <v>90.000000000000014</v>
      </c>
      <c r="BF629" s="1878">
        <f t="shared" si="556"/>
        <v>90.000000000000014</v>
      </c>
      <c r="BG629" s="1878">
        <f t="shared" si="557"/>
        <v>90.000000000000014</v>
      </c>
      <c r="BH629" s="1878">
        <f t="shared" si="558"/>
        <v>90.000000000000014</v>
      </c>
      <c r="BI629" s="1878">
        <f t="shared" si="559"/>
        <v>90.000000000000014</v>
      </c>
      <c r="BJ629" s="1878">
        <f t="shared" si="560"/>
        <v>90.000000000000014</v>
      </c>
      <c r="BK629" s="1878">
        <f t="shared" si="561"/>
        <v>90.000000000000014</v>
      </c>
      <c r="BL629" s="1878">
        <f t="shared" si="562"/>
        <v>90.000000000000014</v>
      </c>
      <c r="BM629" s="1878">
        <f t="shared" si="563"/>
        <v>90.000000000000014</v>
      </c>
      <c r="BN629" s="1878">
        <f t="shared" si="564"/>
        <v>90.000000000000014</v>
      </c>
      <c r="BO629" s="1878">
        <f t="shared" si="565"/>
        <v>90.000000000000014</v>
      </c>
      <c r="BP629" s="1878">
        <f t="shared" si="566"/>
        <v>90.000000000000014</v>
      </c>
      <c r="BQ629" s="1878">
        <f t="shared" si="567"/>
        <v>90.000000000000014</v>
      </c>
      <c r="BR629" s="1878">
        <f t="shared" si="568"/>
        <v>90.000000000000014</v>
      </c>
      <c r="BS629" s="1878">
        <f t="shared" si="569"/>
        <v>90.000000000000014</v>
      </c>
      <c r="BT629" s="1878">
        <f t="shared" si="570"/>
        <v>90.000000000000014</v>
      </c>
      <c r="BU629" s="1830"/>
    </row>
    <row r="630" spans="2:73" s="496" customFormat="1" ht="12.75" x14ac:dyDescent="0.25">
      <c r="AK630" s="1828"/>
      <c r="AL630" s="1870" t="str">
        <f t="shared" si="536"/>
        <v>20.2</v>
      </c>
      <c r="AM630" s="1871" t="str">
        <f t="shared" si="537"/>
        <v>OTROS CORRIENTES</v>
      </c>
      <c r="AN630" s="1872">
        <f t="shared" si="538"/>
        <v>0</v>
      </c>
      <c r="AO630" s="1873">
        <f t="shared" si="539"/>
        <v>0</v>
      </c>
      <c r="AP630" s="1874">
        <f t="shared" si="540"/>
        <v>50</v>
      </c>
      <c r="AQ630" s="1875">
        <f t="shared" si="541"/>
        <v>5.3763440860215055E-2</v>
      </c>
      <c r="AR630" s="1876">
        <f t="shared" si="542"/>
        <v>0</v>
      </c>
      <c r="AS630" s="1874">
        <f t="shared" si="543"/>
        <v>50</v>
      </c>
      <c r="AT630" s="1875">
        <f t="shared" si="544"/>
        <v>5.3763440860215055E-2</v>
      </c>
      <c r="AU630" s="1876">
        <f t="shared" si="545"/>
        <v>0</v>
      </c>
      <c r="AV630" s="1874">
        <f t="shared" si="546"/>
        <v>50</v>
      </c>
      <c r="AW630" s="1875">
        <f t="shared" si="547"/>
        <v>5.3763440860215055E-2</v>
      </c>
      <c r="AX630" s="1877">
        <f t="shared" si="548"/>
        <v>0</v>
      </c>
      <c r="AY630" s="1874">
        <f t="shared" si="549"/>
        <v>50</v>
      </c>
      <c r="AZ630" s="1875">
        <f t="shared" si="550"/>
        <v>5.3763440860215055E-2</v>
      </c>
      <c r="BA630" s="1877">
        <f t="shared" si="551"/>
        <v>0</v>
      </c>
      <c r="BB630" s="1874">
        <f t="shared" si="552"/>
        <v>50</v>
      </c>
      <c r="BC630" s="1875">
        <f t="shared" si="553"/>
        <v>5.3763440860215055E-2</v>
      </c>
      <c r="BD630" s="1877">
        <f t="shared" si="554"/>
        <v>0</v>
      </c>
      <c r="BE630" s="1878">
        <f t="shared" si="555"/>
        <v>50</v>
      </c>
      <c r="BF630" s="1878">
        <f t="shared" si="556"/>
        <v>50</v>
      </c>
      <c r="BG630" s="1878">
        <f t="shared" si="557"/>
        <v>50</v>
      </c>
      <c r="BH630" s="1878">
        <f t="shared" si="558"/>
        <v>50</v>
      </c>
      <c r="BI630" s="1878">
        <f t="shared" si="559"/>
        <v>50</v>
      </c>
      <c r="BJ630" s="1878">
        <f t="shared" si="560"/>
        <v>50</v>
      </c>
      <c r="BK630" s="1878">
        <f t="shared" si="561"/>
        <v>50</v>
      </c>
      <c r="BL630" s="1878">
        <f t="shared" si="562"/>
        <v>50</v>
      </c>
      <c r="BM630" s="1878">
        <f t="shared" si="563"/>
        <v>50</v>
      </c>
      <c r="BN630" s="1878">
        <f t="shared" si="564"/>
        <v>50</v>
      </c>
      <c r="BO630" s="1878">
        <f t="shared" si="565"/>
        <v>50</v>
      </c>
      <c r="BP630" s="1878">
        <f t="shared" si="566"/>
        <v>50</v>
      </c>
      <c r="BQ630" s="1878">
        <f t="shared" si="567"/>
        <v>50</v>
      </c>
      <c r="BR630" s="1878">
        <f t="shared" si="568"/>
        <v>50</v>
      </c>
      <c r="BS630" s="1878">
        <f t="shared" si="569"/>
        <v>50</v>
      </c>
      <c r="BT630" s="1878">
        <f t="shared" si="570"/>
        <v>50</v>
      </c>
      <c r="BU630" s="1830"/>
    </row>
    <row r="631" spans="2:73" s="496" customFormat="1" ht="12.75" x14ac:dyDescent="0.25">
      <c r="AK631" s="1828"/>
      <c r="AL631" s="1887">
        <v>20</v>
      </c>
      <c r="AM631" s="1879" t="s">
        <v>1412</v>
      </c>
      <c r="AN631" s="1880">
        <f>SUM(AN629:AN630)</f>
        <v>0</v>
      </c>
      <c r="AO631" s="1873">
        <f t="shared" si="539"/>
        <v>0</v>
      </c>
      <c r="AP631" s="1881">
        <f>SUM(AP629:AP630)</f>
        <v>140</v>
      </c>
      <c r="AQ631" s="1875">
        <f t="shared" si="541"/>
        <v>0.15053763440860216</v>
      </c>
      <c r="AR631" s="1876">
        <f t="shared" si="542"/>
        <v>0</v>
      </c>
      <c r="AS631" s="1881">
        <f>SUM(AS629:AS630)</f>
        <v>140</v>
      </c>
      <c r="AT631" s="1875">
        <f t="shared" si="544"/>
        <v>0.15053763440860216</v>
      </c>
      <c r="AU631" s="1876">
        <f t="shared" si="545"/>
        <v>0</v>
      </c>
      <c r="AV631" s="1881">
        <f>SUM(AV629:AV630)</f>
        <v>140</v>
      </c>
      <c r="AW631" s="1875">
        <f t="shared" si="547"/>
        <v>0.15053763440860216</v>
      </c>
      <c r="AX631" s="1877">
        <f t="shared" si="548"/>
        <v>0</v>
      </c>
      <c r="AY631" s="1881">
        <f>SUM(AY629:AY630)</f>
        <v>140</v>
      </c>
      <c r="AZ631" s="1875">
        <f t="shared" si="550"/>
        <v>0.15053763440860216</v>
      </c>
      <c r="BA631" s="1877">
        <f t="shared" si="551"/>
        <v>0</v>
      </c>
      <c r="BB631" s="1881">
        <f>SUM(BB629:BB630)</f>
        <v>140</v>
      </c>
      <c r="BC631" s="1875">
        <f t="shared" si="553"/>
        <v>0.15053763440860216</v>
      </c>
      <c r="BD631" s="1877">
        <f t="shared" si="554"/>
        <v>0</v>
      </c>
      <c r="BE631" s="1881">
        <f t="shared" ref="BE631:BT631" si="571">SUM(BE629:BE630)</f>
        <v>140</v>
      </c>
      <c r="BF631" s="1881">
        <f t="shared" si="571"/>
        <v>140</v>
      </c>
      <c r="BG631" s="1881">
        <f t="shared" si="571"/>
        <v>140</v>
      </c>
      <c r="BH631" s="1881">
        <f t="shared" si="571"/>
        <v>140</v>
      </c>
      <c r="BI631" s="1881">
        <f t="shared" si="571"/>
        <v>140</v>
      </c>
      <c r="BJ631" s="1881">
        <f t="shared" si="571"/>
        <v>140</v>
      </c>
      <c r="BK631" s="1881">
        <f t="shared" si="571"/>
        <v>140</v>
      </c>
      <c r="BL631" s="1881">
        <f t="shared" si="571"/>
        <v>140</v>
      </c>
      <c r="BM631" s="1881">
        <f t="shared" si="571"/>
        <v>140</v>
      </c>
      <c r="BN631" s="1881">
        <f t="shared" si="571"/>
        <v>140</v>
      </c>
      <c r="BO631" s="1881">
        <f t="shared" si="571"/>
        <v>140</v>
      </c>
      <c r="BP631" s="1881">
        <f t="shared" si="571"/>
        <v>140</v>
      </c>
      <c r="BQ631" s="1881">
        <f t="shared" si="571"/>
        <v>140</v>
      </c>
      <c r="BR631" s="1881">
        <f t="shared" si="571"/>
        <v>140</v>
      </c>
      <c r="BS631" s="1881">
        <f t="shared" si="571"/>
        <v>140</v>
      </c>
      <c r="BT631" s="1881">
        <f t="shared" si="571"/>
        <v>140</v>
      </c>
      <c r="BU631" s="1830"/>
    </row>
    <row r="632" spans="2:73" s="496" customFormat="1" ht="12.75" x14ac:dyDescent="0.25">
      <c r="AK632" s="1828"/>
      <c r="AL632" s="507"/>
      <c r="AM632" s="1889" t="s">
        <v>679</v>
      </c>
      <c r="AN632" s="1890">
        <f>SUM(AN619:AN628,AN631)</f>
        <v>0</v>
      </c>
      <c r="AO632" s="1891">
        <f t="shared" si="539"/>
        <v>0</v>
      </c>
      <c r="AP632" s="1892">
        <f>SUM(AP619:AP628,AP631)</f>
        <v>480</v>
      </c>
      <c r="AQ632" s="1893">
        <f t="shared" si="541"/>
        <v>0.5161290322580645</v>
      </c>
      <c r="AR632" s="1894">
        <f t="shared" si="542"/>
        <v>0</v>
      </c>
      <c r="AS632" s="1892">
        <f>SUM(AS619:AS628,AS631)</f>
        <v>480</v>
      </c>
      <c r="AT632" s="1893">
        <f t="shared" si="544"/>
        <v>0.5161290322580645</v>
      </c>
      <c r="AU632" s="1894">
        <f t="shared" si="545"/>
        <v>0</v>
      </c>
      <c r="AV632" s="1892">
        <f>SUM(AV619:AV628,AV631)</f>
        <v>480</v>
      </c>
      <c r="AW632" s="1893">
        <f t="shared" si="547"/>
        <v>0.5161290322580645</v>
      </c>
      <c r="AX632" s="1895">
        <f t="shared" si="548"/>
        <v>0</v>
      </c>
      <c r="AY632" s="1892">
        <f>SUM(AY619:AY628,AY631)</f>
        <v>480</v>
      </c>
      <c r="AZ632" s="1893">
        <f t="shared" si="550"/>
        <v>0.5161290322580645</v>
      </c>
      <c r="BA632" s="1895">
        <f t="shared" si="551"/>
        <v>0</v>
      </c>
      <c r="BB632" s="1892">
        <f>SUM(BB619:BB628,BB631)</f>
        <v>480</v>
      </c>
      <c r="BC632" s="1893">
        <f t="shared" si="553"/>
        <v>0.5161290322580645</v>
      </c>
      <c r="BD632" s="1895">
        <f t="shared" si="554"/>
        <v>0</v>
      </c>
      <c r="BE632" s="1896">
        <f t="shared" ref="BE632:BT632" si="572">SUM(BE619:BE628,BE631)</f>
        <v>450</v>
      </c>
      <c r="BF632" s="1896">
        <f t="shared" si="572"/>
        <v>450</v>
      </c>
      <c r="BG632" s="1896">
        <f t="shared" si="572"/>
        <v>450</v>
      </c>
      <c r="BH632" s="1896">
        <f t="shared" si="572"/>
        <v>450</v>
      </c>
      <c r="BI632" s="1896">
        <f t="shared" si="572"/>
        <v>450</v>
      </c>
      <c r="BJ632" s="1896">
        <f t="shared" si="572"/>
        <v>450</v>
      </c>
      <c r="BK632" s="1896">
        <f t="shared" si="572"/>
        <v>450</v>
      </c>
      <c r="BL632" s="1896">
        <f t="shared" si="572"/>
        <v>450</v>
      </c>
      <c r="BM632" s="1896">
        <f t="shared" si="572"/>
        <v>450</v>
      </c>
      <c r="BN632" s="1896">
        <f t="shared" si="572"/>
        <v>450</v>
      </c>
      <c r="BO632" s="1896">
        <f t="shared" si="572"/>
        <v>450</v>
      </c>
      <c r="BP632" s="1896">
        <f t="shared" si="572"/>
        <v>450</v>
      </c>
      <c r="BQ632" s="1896">
        <f t="shared" si="572"/>
        <v>450</v>
      </c>
      <c r="BR632" s="1896">
        <f t="shared" si="572"/>
        <v>450</v>
      </c>
      <c r="BS632" s="1896">
        <f t="shared" si="572"/>
        <v>450</v>
      </c>
      <c r="BT632" s="1896">
        <f t="shared" si="572"/>
        <v>450</v>
      </c>
      <c r="BU632" s="1830"/>
    </row>
    <row r="633" spans="2:73" s="496" customFormat="1" ht="12.75" x14ac:dyDescent="0.25">
      <c r="AK633" s="1828"/>
      <c r="AL633" s="1861" t="str">
        <f t="shared" ref="AL633:AN637" si="573">A49</f>
        <v>21.1</v>
      </c>
      <c r="AM633" s="1883" t="str">
        <f t="shared" si="573"/>
        <v>OBLIGACIONES FINANCIERAS L.P.</v>
      </c>
      <c r="AN633" s="1884">
        <f t="shared" si="573"/>
        <v>0</v>
      </c>
      <c r="AO633" s="1873">
        <f t="shared" si="539"/>
        <v>0</v>
      </c>
      <c r="AP633" s="1885">
        <f>E49</f>
        <v>10</v>
      </c>
      <c r="AQ633" s="1875">
        <f t="shared" si="541"/>
        <v>1.0752688172043012E-2</v>
      </c>
      <c r="AR633" s="1876">
        <f t="shared" si="542"/>
        <v>0</v>
      </c>
      <c r="AS633" s="1885">
        <f>H49</f>
        <v>10</v>
      </c>
      <c r="AT633" s="1875">
        <f t="shared" si="544"/>
        <v>1.0752688172043012E-2</v>
      </c>
      <c r="AU633" s="1876">
        <f t="shared" si="545"/>
        <v>0</v>
      </c>
      <c r="AV633" s="1885">
        <f>K49</f>
        <v>10</v>
      </c>
      <c r="AW633" s="1875">
        <f t="shared" si="547"/>
        <v>1.0752688172043012E-2</v>
      </c>
      <c r="AX633" s="1877">
        <f t="shared" si="548"/>
        <v>0</v>
      </c>
      <c r="AY633" s="1885">
        <f>N49</f>
        <v>10</v>
      </c>
      <c r="AZ633" s="1875">
        <f t="shared" si="550"/>
        <v>1.0752688172043012E-2</v>
      </c>
      <c r="BA633" s="1877">
        <f t="shared" si="551"/>
        <v>0</v>
      </c>
      <c r="BB633" s="1885">
        <f>Q49</f>
        <v>10</v>
      </c>
      <c r="BC633" s="1875">
        <f t="shared" si="553"/>
        <v>1.0752688172043012E-2</v>
      </c>
      <c r="BD633" s="1877">
        <f t="shared" si="554"/>
        <v>0</v>
      </c>
      <c r="BE633" s="1886">
        <f t="shared" ref="BE633:BT637" si="574">T49</f>
        <v>20</v>
      </c>
      <c r="BF633" s="1886">
        <f t="shared" si="574"/>
        <v>20</v>
      </c>
      <c r="BG633" s="1886">
        <f t="shared" si="574"/>
        <v>20</v>
      </c>
      <c r="BH633" s="1886">
        <f t="shared" si="574"/>
        <v>20</v>
      </c>
      <c r="BI633" s="1886">
        <f t="shared" si="574"/>
        <v>20</v>
      </c>
      <c r="BJ633" s="1886">
        <f t="shared" si="574"/>
        <v>20</v>
      </c>
      <c r="BK633" s="1886">
        <f t="shared" si="574"/>
        <v>20</v>
      </c>
      <c r="BL633" s="1886">
        <f t="shared" si="574"/>
        <v>20</v>
      </c>
      <c r="BM633" s="1886">
        <f t="shared" si="574"/>
        <v>20</v>
      </c>
      <c r="BN633" s="1886">
        <f t="shared" si="574"/>
        <v>20</v>
      </c>
      <c r="BO633" s="1886">
        <f t="shared" si="574"/>
        <v>20</v>
      </c>
      <c r="BP633" s="1886">
        <f t="shared" si="574"/>
        <v>20</v>
      </c>
      <c r="BQ633" s="1886">
        <f t="shared" si="574"/>
        <v>20</v>
      </c>
      <c r="BR633" s="1886">
        <f t="shared" si="574"/>
        <v>20</v>
      </c>
      <c r="BS633" s="1886">
        <f t="shared" si="574"/>
        <v>20</v>
      </c>
      <c r="BT633" s="1886">
        <f t="shared" si="574"/>
        <v>20</v>
      </c>
      <c r="BU633" s="1830"/>
    </row>
    <row r="634" spans="2:73" s="496" customFormat="1" ht="12.75" x14ac:dyDescent="0.25">
      <c r="AK634" s="1828"/>
      <c r="AL634" s="1870" t="str">
        <f t="shared" si="573"/>
        <v>21.2</v>
      </c>
      <c r="AM634" s="1883" t="str">
        <f t="shared" si="573"/>
        <v>BONOS</v>
      </c>
      <c r="AN634" s="1884">
        <f t="shared" si="573"/>
        <v>0</v>
      </c>
      <c r="AO634" s="1873">
        <f t="shared" si="539"/>
        <v>0</v>
      </c>
      <c r="AP634" s="1885">
        <f>E50</f>
        <v>10</v>
      </c>
      <c r="AQ634" s="1875">
        <f t="shared" si="541"/>
        <v>1.0752688172043012E-2</v>
      </c>
      <c r="AR634" s="1876">
        <f t="shared" si="542"/>
        <v>0</v>
      </c>
      <c r="AS634" s="1885">
        <f>H50</f>
        <v>10</v>
      </c>
      <c r="AT634" s="1875">
        <f t="shared" si="544"/>
        <v>1.0752688172043012E-2</v>
      </c>
      <c r="AU634" s="1876">
        <f t="shared" si="545"/>
        <v>0</v>
      </c>
      <c r="AV634" s="1885">
        <f>K50</f>
        <v>10</v>
      </c>
      <c r="AW634" s="1875">
        <f t="shared" si="547"/>
        <v>1.0752688172043012E-2</v>
      </c>
      <c r="AX634" s="1877">
        <f t="shared" si="548"/>
        <v>0</v>
      </c>
      <c r="AY634" s="1885">
        <f>N50</f>
        <v>10</v>
      </c>
      <c r="AZ634" s="1875">
        <f t="shared" si="550"/>
        <v>1.0752688172043012E-2</v>
      </c>
      <c r="BA634" s="1877">
        <f t="shared" si="551"/>
        <v>0</v>
      </c>
      <c r="BB634" s="1885">
        <f>Q50</f>
        <v>10</v>
      </c>
      <c r="BC634" s="1875">
        <f t="shared" si="553"/>
        <v>1.0752688172043012E-2</v>
      </c>
      <c r="BD634" s="1877">
        <f t="shared" si="554"/>
        <v>0</v>
      </c>
      <c r="BE634" s="1886">
        <f t="shared" si="574"/>
        <v>20</v>
      </c>
      <c r="BF634" s="1886">
        <f t="shared" si="574"/>
        <v>20</v>
      </c>
      <c r="BG634" s="1886">
        <f t="shared" si="574"/>
        <v>20</v>
      </c>
      <c r="BH634" s="1886">
        <f t="shared" si="574"/>
        <v>20</v>
      </c>
      <c r="BI634" s="1886">
        <f t="shared" si="574"/>
        <v>20</v>
      </c>
      <c r="BJ634" s="1886">
        <f t="shared" si="574"/>
        <v>20</v>
      </c>
      <c r="BK634" s="1886">
        <f t="shared" si="574"/>
        <v>20</v>
      </c>
      <c r="BL634" s="1886">
        <f t="shared" si="574"/>
        <v>20</v>
      </c>
      <c r="BM634" s="1886">
        <f t="shared" si="574"/>
        <v>20</v>
      </c>
      <c r="BN634" s="1886">
        <f t="shared" si="574"/>
        <v>20</v>
      </c>
      <c r="BO634" s="1886">
        <f t="shared" si="574"/>
        <v>20</v>
      </c>
      <c r="BP634" s="1886">
        <f t="shared" si="574"/>
        <v>20</v>
      </c>
      <c r="BQ634" s="1886">
        <f t="shared" si="574"/>
        <v>20</v>
      </c>
      <c r="BR634" s="1886">
        <f t="shared" si="574"/>
        <v>20</v>
      </c>
      <c r="BS634" s="1886">
        <f t="shared" si="574"/>
        <v>20</v>
      </c>
      <c r="BT634" s="1886">
        <f t="shared" si="574"/>
        <v>20</v>
      </c>
      <c r="BU634" s="1830"/>
    </row>
    <row r="635" spans="2:73" s="496" customFormat="1" ht="12.75" x14ac:dyDescent="0.25">
      <c r="AK635" s="1828"/>
      <c r="AL635" s="1870" t="str">
        <f t="shared" si="573"/>
        <v>21.3</v>
      </c>
      <c r="AM635" s="1883" t="str">
        <f t="shared" si="573"/>
        <v>OBLIGACIONES DE LARGO PLAZO DAVIVIENDA</v>
      </c>
      <c r="AN635" s="1884">
        <f t="shared" si="573"/>
        <v>0</v>
      </c>
      <c r="AO635" s="1873">
        <f t="shared" si="539"/>
        <v>0</v>
      </c>
      <c r="AP635" s="1885">
        <f>E51</f>
        <v>0</v>
      </c>
      <c r="AQ635" s="1875">
        <f t="shared" si="541"/>
        <v>0</v>
      </c>
      <c r="AR635" s="1876">
        <f t="shared" si="542"/>
        <v>0</v>
      </c>
      <c r="AS635" s="1885">
        <f>H51</f>
        <v>0</v>
      </c>
      <c r="AT635" s="1875">
        <f t="shared" si="544"/>
        <v>0</v>
      </c>
      <c r="AU635" s="1876">
        <f t="shared" si="545"/>
        <v>0</v>
      </c>
      <c r="AV635" s="1885">
        <f>K51</f>
        <v>0</v>
      </c>
      <c r="AW635" s="1875">
        <f t="shared" si="547"/>
        <v>0</v>
      </c>
      <c r="AX635" s="1877">
        <f t="shared" si="548"/>
        <v>0</v>
      </c>
      <c r="AY635" s="1885">
        <f>N51</f>
        <v>0</v>
      </c>
      <c r="AZ635" s="1875">
        <f t="shared" si="550"/>
        <v>0</v>
      </c>
      <c r="BA635" s="1877">
        <f t="shared" si="551"/>
        <v>0</v>
      </c>
      <c r="BB635" s="1885">
        <f>Q51</f>
        <v>0</v>
      </c>
      <c r="BC635" s="1875">
        <f t="shared" si="553"/>
        <v>0</v>
      </c>
      <c r="BD635" s="1877">
        <f t="shared" si="554"/>
        <v>0</v>
      </c>
      <c r="BE635" s="1886">
        <f t="shared" si="574"/>
        <v>0</v>
      </c>
      <c r="BF635" s="1886">
        <f t="shared" si="574"/>
        <v>0</v>
      </c>
      <c r="BG635" s="1886">
        <f t="shared" si="574"/>
        <v>0</v>
      </c>
      <c r="BH635" s="1886">
        <f t="shared" si="574"/>
        <v>0</v>
      </c>
      <c r="BI635" s="1886">
        <f t="shared" si="574"/>
        <v>0</v>
      </c>
      <c r="BJ635" s="1886">
        <f t="shared" si="574"/>
        <v>0</v>
      </c>
      <c r="BK635" s="1886">
        <f t="shared" si="574"/>
        <v>0</v>
      </c>
      <c r="BL635" s="1886">
        <f t="shared" si="574"/>
        <v>0</v>
      </c>
      <c r="BM635" s="1886">
        <f t="shared" si="574"/>
        <v>0</v>
      </c>
      <c r="BN635" s="1886">
        <f t="shared" si="574"/>
        <v>0</v>
      </c>
      <c r="BO635" s="1886">
        <f t="shared" si="574"/>
        <v>0</v>
      </c>
      <c r="BP635" s="1886">
        <f t="shared" si="574"/>
        <v>0</v>
      </c>
      <c r="BQ635" s="1886">
        <f t="shared" si="574"/>
        <v>0</v>
      </c>
      <c r="BR635" s="1886">
        <f t="shared" si="574"/>
        <v>0</v>
      </c>
      <c r="BS635" s="1886">
        <f t="shared" si="574"/>
        <v>0</v>
      </c>
      <c r="BT635" s="1886">
        <f t="shared" si="574"/>
        <v>0</v>
      </c>
      <c r="BU635" s="1830"/>
    </row>
    <row r="636" spans="2:73" s="496" customFormat="1" ht="12.75" x14ac:dyDescent="0.25">
      <c r="AK636" s="1828"/>
      <c r="AL636" s="1870" t="str">
        <f t="shared" si="573"/>
        <v>22.1</v>
      </c>
      <c r="AM636" s="1871" t="str">
        <f t="shared" si="573"/>
        <v>PRESTACIONES SOCIALES L.P.</v>
      </c>
      <c r="AN636" s="1872">
        <f t="shared" si="573"/>
        <v>0</v>
      </c>
      <c r="AO636" s="1873">
        <f t="shared" si="539"/>
        <v>0</v>
      </c>
      <c r="AP636" s="1874">
        <f>E52</f>
        <v>60</v>
      </c>
      <c r="AQ636" s="1875">
        <f t="shared" si="541"/>
        <v>6.4516129032258063E-2</v>
      </c>
      <c r="AR636" s="1876">
        <f t="shared" si="542"/>
        <v>0</v>
      </c>
      <c r="AS636" s="1874">
        <f>H52</f>
        <v>60</v>
      </c>
      <c r="AT636" s="1875">
        <f t="shared" si="544"/>
        <v>6.4516129032258063E-2</v>
      </c>
      <c r="AU636" s="1876">
        <f t="shared" si="545"/>
        <v>0</v>
      </c>
      <c r="AV636" s="1874">
        <f>K52</f>
        <v>60</v>
      </c>
      <c r="AW636" s="1875">
        <f t="shared" si="547"/>
        <v>6.4516129032258063E-2</v>
      </c>
      <c r="AX636" s="1877">
        <f t="shared" si="548"/>
        <v>0</v>
      </c>
      <c r="AY636" s="1874">
        <f>N52</f>
        <v>60</v>
      </c>
      <c r="AZ636" s="1875">
        <f t="shared" si="550"/>
        <v>6.4516129032258063E-2</v>
      </c>
      <c r="BA636" s="1877">
        <f t="shared" si="551"/>
        <v>0</v>
      </c>
      <c r="BB636" s="1874">
        <f>Q52</f>
        <v>60</v>
      </c>
      <c r="BC636" s="1875">
        <f t="shared" si="553"/>
        <v>6.4516129032258063E-2</v>
      </c>
      <c r="BD636" s="1877">
        <f t="shared" si="554"/>
        <v>0</v>
      </c>
      <c r="BE636" s="1878">
        <f t="shared" si="574"/>
        <v>60</v>
      </c>
      <c r="BF636" s="1878">
        <f t="shared" si="574"/>
        <v>60</v>
      </c>
      <c r="BG636" s="1878">
        <f t="shared" si="574"/>
        <v>60</v>
      </c>
      <c r="BH636" s="1878">
        <f t="shared" si="574"/>
        <v>60</v>
      </c>
      <c r="BI636" s="1878">
        <f t="shared" si="574"/>
        <v>60</v>
      </c>
      <c r="BJ636" s="1878">
        <f t="shared" si="574"/>
        <v>60</v>
      </c>
      <c r="BK636" s="1878">
        <f t="shared" si="574"/>
        <v>60</v>
      </c>
      <c r="BL636" s="1878">
        <f t="shared" si="574"/>
        <v>60</v>
      </c>
      <c r="BM636" s="1878">
        <f t="shared" si="574"/>
        <v>60</v>
      </c>
      <c r="BN636" s="1878">
        <f t="shared" si="574"/>
        <v>60</v>
      </c>
      <c r="BO636" s="1878">
        <f t="shared" si="574"/>
        <v>60</v>
      </c>
      <c r="BP636" s="1878">
        <f t="shared" si="574"/>
        <v>60</v>
      </c>
      <c r="BQ636" s="1878">
        <f t="shared" si="574"/>
        <v>60</v>
      </c>
      <c r="BR636" s="1878">
        <f t="shared" si="574"/>
        <v>60</v>
      </c>
      <c r="BS636" s="1878">
        <f t="shared" si="574"/>
        <v>60</v>
      </c>
      <c r="BT636" s="1878">
        <f t="shared" si="574"/>
        <v>60</v>
      </c>
      <c r="BU636" s="1830"/>
    </row>
    <row r="637" spans="2:73" s="496" customFormat="1" ht="12.75" x14ac:dyDescent="0.25">
      <c r="AK637" s="1828"/>
      <c r="AL637" s="1870" t="str">
        <f t="shared" si="573"/>
        <v>22.2</v>
      </c>
      <c r="AM637" s="1871" t="str">
        <f t="shared" si="573"/>
        <v>PENSIONES DE JUBILACIÓN</v>
      </c>
      <c r="AN637" s="1872">
        <f t="shared" si="573"/>
        <v>0</v>
      </c>
      <c r="AO637" s="1873">
        <f t="shared" si="539"/>
        <v>0</v>
      </c>
      <c r="AP637" s="1874">
        <f>E53</f>
        <v>10</v>
      </c>
      <c r="AQ637" s="1875">
        <f t="shared" si="541"/>
        <v>1.0752688172043012E-2</v>
      </c>
      <c r="AR637" s="1876">
        <f t="shared" si="542"/>
        <v>0</v>
      </c>
      <c r="AS637" s="1874">
        <f>H53</f>
        <v>10</v>
      </c>
      <c r="AT637" s="1875">
        <f t="shared" si="544"/>
        <v>1.0752688172043012E-2</v>
      </c>
      <c r="AU637" s="1876">
        <f t="shared" si="545"/>
        <v>0</v>
      </c>
      <c r="AV637" s="1874">
        <f>K53</f>
        <v>10</v>
      </c>
      <c r="AW637" s="1875">
        <f t="shared" si="547"/>
        <v>1.0752688172043012E-2</v>
      </c>
      <c r="AX637" s="1877">
        <f t="shared" si="548"/>
        <v>0</v>
      </c>
      <c r="AY637" s="1874">
        <f>N53</f>
        <v>10</v>
      </c>
      <c r="AZ637" s="1875">
        <f t="shared" si="550"/>
        <v>1.0752688172043012E-2</v>
      </c>
      <c r="BA637" s="1877">
        <f t="shared" si="551"/>
        <v>0</v>
      </c>
      <c r="BB637" s="1874">
        <f>Q53</f>
        <v>10</v>
      </c>
      <c r="BC637" s="1875">
        <f t="shared" si="553"/>
        <v>1.0752688172043012E-2</v>
      </c>
      <c r="BD637" s="1877">
        <f t="shared" si="554"/>
        <v>0</v>
      </c>
      <c r="BE637" s="1878">
        <f t="shared" si="574"/>
        <v>10</v>
      </c>
      <c r="BF637" s="1878">
        <f t="shared" si="574"/>
        <v>10</v>
      </c>
      <c r="BG637" s="1878">
        <f t="shared" si="574"/>
        <v>10</v>
      </c>
      <c r="BH637" s="1878">
        <f t="shared" si="574"/>
        <v>10</v>
      </c>
      <c r="BI637" s="1878">
        <f t="shared" si="574"/>
        <v>10</v>
      </c>
      <c r="BJ637" s="1878">
        <f t="shared" si="574"/>
        <v>10</v>
      </c>
      <c r="BK637" s="1878">
        <f t="shared" si="574"/>
        <v>10</v>
      </c>
      <c r="BL637" s="1878">
        <f t="shared" si="574"/>
        <v>10</v>
      </c>
      <c r="BM637" s="1878">
        <f t="shared" si="574"/>
        <v>10</v>
      </c>
      <c r="BN637" s="1878">
        <f t="shared" si="574"/>
        <v>10</v>
      </c>
      <c r="BO637" s="1878">
        <f t="shared" si="574"/>
        <v>10</v>
      </c>
      <c r="BP637" s="1878">
        <f t="shared" si="574"/>
        <v>10</v>
      </c>
      <c r="BQ637" s="1878">
        <f t="shared" si="574"/>
        <v>10</v>
      </c>
      <c r="BR637" s="1878">
        <f t="shared" si="574"/>
        <v>10</v>
      </c>
      <c r="BS637" s="1878">
        <f t="shared" si="574"/>
        <v>10</v>
      </c>
      <c r="BT637" s="1878">
        <f t="shared" si="574"/>
        <v>10</v>
      </c>
      <c r="BU637" s="1830"/>
    </row>
    <row r="638" spans="2:73" s="496" customFormat="1" ht="12.75" x14ac:dyDescent="0.25">
      <c r="AK638" s="1828"/>
      <c r="AL638" s="1870">
        <v>22</v>
      </c>
      <c r="AM638" s="1879" t="s">
        <v>1413</v>
      </c>
      <c r="AN638" s="1880">
        <f>SUM(AN636:AN637)</f>
        <v>0</v>
      </c>
      <c r="AO638" s="1873">
        <f t="shared" si="539"/>
        <v>0</v>
      </c>
      <c r="AP638" s="1881">
        <f>SUM(AP636:AP637)</f>
        <v>70</v>
      </c>
      <c r="AQ638" s="1875">
        <f t="shared" si="541"/>
        <v>7.5268817204301078E-2</v>
      </c>
      <c r="AR638" s="1876">
        <f t="shared" si="542"/>
        <v>0</v>
      </c>
      <c r="AS638" s="1881">
        <f>SUM(AS636:AS637)</f>
        <v>70</v>
      </c>
      <c r="AT638" s="1875">
        <f t="shared" si="544"/>
        <v>7.5268817204301078E-2</v>
      </c>
      <c r="AU638" s="1876">
        <f t="shared" si="545"/>
        <v>0</v>
      </c>
      <c r="AV638" s="1881">
        <f>SUM(AV636:AV637)</f>
        <v>70</v>
      </c>
      <c r="AW638" s="1875">
        <f t="shared" si="547"/>
        <v>7.5268817204301078E-2</v>
      </c>
      <c r="AX638" s="1877">
        <f t="shared" si="548"/>
        <v>0</v>
      </c>
      <c r="AY638" s="1881">
        <f>SUM(AY636:AY637)</f>
        <v>70</v>
      </c>
      <c r="AZ638" s="1875">
        <f t="shared" si="550"/>
        <v>7.5268817204301078E-2</v>
      </c>
      <c r="BA638" s="1877">
        <f t="shared" si="551"/>
        <v>0</v>
      </c>
      <c r="BB638" s="1881">
        <f>SUM(BB636:BB637)</f>
        <v>70</v>
      </c>
      <c r="BC638" s="1875">
        <f t="shared" si="553"/>
        <v>7.5268817204301078E-2</v>
      </c>
      <c r="BD638" s="1877">
        <f t="shared" si="554"/>
        <v>0</v>
      </c>
      <c r="BE638" s="1881">
        <f t="shared" ref="BE638:BT638" si="575">SUM(BE636:BE637)</f>
        <v>70</v>
      </c>
      <c r="BF638" s="1881">
        <f t="shared" si="575"/>
        <v>70</v>
      </c>
      <c r="BG638" s="1881">
        <f t="shared" si="575"/>
        <v>70</v>
      </c>
      <c r="BH638" s="1881">
        <f t="shared" si="575"/>
        <v>70</v>
      </c>
      <c r="BI638" s="1881">
        <f t="shared" si="575"/>
        <v>70</v>
      </c>
      <c r="BJ638" s="1881">
        <f t="shared" si="575"/>
        <v>70</v>
      </c>
      <c r="BK638" s="1881">
        <f t="shared" si="575"/>
        <v>70</v>
      </c>
      <c r="BL638" s="1881">
        <f t="shared" si="575"/>
        <v>70</v>
      </c>
      <c r="BM638" s="1881">
        <f t="shared" si="575"/>
        <v>70</v>
      </c>
      <c r="BN638" s="1881">
        <f t="shared" si="575"/>
        <v>70</v>
      </c>
      <c r="BO638" s="1881">
        <f t="shared" si="575"/>
        <v>70</v>
      </c>
      <c r="BP638" s="1881">
        <f t="shared" si="575"/>
        <v>70</v>
      </c>
      <c r="BQ638" s="1881">
        <f t="shared" si="575"/>
        <v>70</v>
      </c>
      <c r="BR638" s="1881">
        <f t="shared" si="575"/>
        <v>70</v>
      </c>
      <c r="BS638" s="1881">
        <f t="shared" si="575"/>
        <v>70</v>
      </c>
      <c r="BT638" s="1881">
        <f t="shared" si="575"/>
        <v>70</v>
      </c>
      <c r="BU638" s="1830"/>
    </row>
    <row r="639" spans="2:73" s="496" customFormat="1" ht="12.75" x14ac:dyDescent="0.25">
      <c r="AK639" s="1828"/>
      <c r="AL639" s="1870">
        <f t="shared" ref="AL639:AN641" si="576">A54</f>
        <v>23</v>
      </c>
      <c r="AM639" s="1883" t="str">
        <f t="shared" si="576"/>
        <v>DEUDAS CON SOCIOS L.P.</v>
      </c>
      <c r="AN639" s="1884">
        <f t="shared" si="576"/>
        <v>0</v>
      </c>
      <c r="AO639" s="1873">
        <f t="shared" si="539"/>
        <v>0</v>
      </c>
      <c r="AP639" s="1885">
        <f>E54</f>
        <v>20</v>
      </c>
      <c r="AQ639" s="1875">
        <f t="shared" si="541"/>
        <v>2.1505376344086023E-2</v>
      </c>
      <c r="AR639" s="1876">
        <f t="shared" si="542"/>
        <v>0</v>
      </c>
      <c r="AS639" s="1885">
        <f>H54</f>
        <v>20</v>
      </c>
      <c r="AT639" s="1875">
        <f t="shared" si="544"/>
        <v>2.1505376344086023E-2</v>
      </c>
      <c r="AU639" s="1876">
        <f t="shared" si="545"/>
        <v>0</v>
      </c>
      <c r="AV639" s="1885">
        <f>K54</f>
        <v>20</v>
      </c>
      <c r="AW639" s="1875">
        <f t="shared" si="547"/>
        <v>2.1505376344086023E-2</v>
      </c>
      <c r="AX639" s="1877">
        <f t="shared" si="548"/>
        <v>0</v>
      </c>
      <c r="AY639" s="1885">
        <f>N54</f>
        <v>20</v>
      </c>
      <c r="AZ639" s="1875">
        <f t="shared" si="550"/>
        <v>2.1505376344086023E-2</v>
      </c>
      <c r="BA639" s="1877">
        <f t="shared" si="551"/>
        <v>0</v>
      </c>
      <c r="BB639" s="1885">
        <f>Q54</f>
        <v>20</v>
      </c>
      <c r="BC639" s="1875">
        <f t="shared" si="553"/>
        <v>2.1505376344086023E-2</v>
      </c>
      <c r="BD639" s="1877">
        <f t="shared" si="554"/>
        <v>0</v>
      </c>
      <c r="BE639" s="1886">
        <f t="shared" ref="BE639:BT641" si="577">T54</f>
        <v>20</v>
      </c>
      <c r="BF639" s="1886">
        <f t="shared" si="577"/>
        <v>20</v>
      </c>
      <c r="BG639" s="1886">
        <f t="shared" si="577"/>
        <v>20</v>
      </c>
      <c r="BH639" s="1886">
        <f t="shared" si="577"/>
        <v>20</v>
      </c>
      <c r="BI639" s="1886">
        <f t="shared" si="577"/>
        <v>20</v>
      </c>
      <c r="BJ639" s="1886">
        <f t="shared" si="577"/>
        <v>20</v>
      </c>
      <c r="BK639" s="1886">
        <f t="shared" si="577"/>
        <v>20</v>
      </c>
      <c r="BL639" s="1886">
        <f t="shared" si="577"/>
        <v>20</v>
      </c>
      <c r="BM639" s="1886">
        <f t="shared" si="577"/>
        <v>20</v>
      </c>
      <c r="BN639" s="1886">
        <f t="shared" si="577"/>
        <v>20</v>
      </c>
      <c r="BO639" s="1886">
        <f t="shared" si="577"/>
        <v>20</v>
      </c>
      <c r="BP639" s="1886">
        <f t="shared" si="577"/>
        <v>20</v>
      </c>
      <c r="BQ639" s="1886">
        <f t="shared" si="577"/>
        <v>20</v>
      </c>
      <c r="BR639" s="1886">
        <f t="shared" si="577"/>
        <v>20</v>
      </c>
      <c r="BS639" s="1886">
        <f t="shared" si="577"/>
        <v>20</v>
      </c>
      <c r="BT639" s="1886">
        <f t="shared" si="577"/>
        <v>20</v>
      </c>
      <c r="BU639" s="1830"/>
    </row>
    <row r="640" spans="2:73" s="496" customFormat="1" ht="12.75" x14ac:dyDescent="0.25">
      <c r="AK640" s="1828"/>
      <c r="AL640" s="1870">
        <f t="shared" si="576"/>
        <v>24</v>
      </c>
      <c r="AM640" s="1883" t="str">
        <f t="shared" si="576"/>
        <v>IMPUESTOS DE L.P. (DIFERIDOS)</v>
      </c>
      <c r="AN640" s="1884">
        <f t="shared" si="576"/>
        <v>0</v>
      </c>
      <c r="AO640" s="1873">
        <f t="shared" si="539"/>
        <v>0</v>
      </c>
      <c r="AP640" s="1885">
        <f>E55</f>
        <v>40</v>
      </c>
      <c r="AQ640" s="1875">
        <f t="shared" si="541"/>
        <v>4.3010752688172046E-2</v>
      </c>
      <c r="AR640" s="1876">
        <f t="shared" si="542"/>
        <v>0</v>
      </c>
      <c r="AS640" s="1885">
        <f>H55</f>
        <v>40</v>
      </c>
      <c r="AT640" s="1875">
        <f t="shared" si="544"/>
        <v>4.3010752688172046E-2</v>
      </c>
      <c r="AU640" s="1876">
        <f t="shared" si="545"/>
        <v>0</v>
      </c>
      <c r="AV640" s="1885">
        <f>K55</f>
        <v>40</v>
      </c>
      <c r="AW640" s="1875">
        <f t="shared" si="547"/>
        <v>4.3010752688172046E-2</v>
      </c>
      <c r="AX640" s="1877">
        <f t="shared" si="548"/>
        <v>0</v>
      </c>
      <c r="AY640" s="1885">
        <f>N55</f>
        <v>40</v>
      </c>
      <c r="AZ640" s="1875">
        <f t="shared" si="550"/>
        <v>4.3010752688172046E-2</v>
      </c>
      <c r="BA640" s="1877">
        <f t="shared" si="551"/>
        <v>0</v>
      </c>
      <c r="BB640" s="1885">
        <f>Q55</f>
        <v>40</v>
      </c>
      <c r="BC640" s="1875">
        <f t="shared" si="553"/>
        <v>4.3010752688172046E-2</v>
      </c>
      <c r="BD640" s="1877">
        <f t="shared" si="554"/>
        <v>0</v>
      </c>
      <c r="BE640" s="1886">
        <f t="shared" si="577"/>
        <v>40</v>
      </c>
      <c r="BF640" s="1886">
        <f t="shared" si="577"/>
        <v>40</v>
      </c>
      <c r="BG640" s="1886">
        <f t="shared" si="577"/>
        <v>40</v>
      </c>
      <c r="BH640" s="1886">
        <f t="shared" si="577"/>
        <v>40</v>
      </c>
      <c r="BI640" s="1886">
        <f t="shared" si="577"/>
        <v>40</v>
      </c>
      <c r="BJ640" s="1886">
        <f t="shared" si="577"/>
        <v>40</v>
      </c>
      <c r="BK640" s="1886">
        <f t="shared" si="577"/>
        <v>40</v>
      </c>
      <c r="BL640" s="1886">
        <f t="shared" si="577"/>
        <v>40</v>
      </c>
      <c r="BM640" s="1886">
        <f t="shared" si="577"/>
        <v>40</v>
      </c>
      <c r="BN640" s="1886">
        <f t="shared" si="577"/>
        <v>40</v>
      </c>
      <c r="BO640" s="1886">
        <f t="shared" si="577"/>
        <v>40</v>
      </c>
      <c r="BP640" s="1886">
        <f t="shared" si="577"/>
        <v>40</v>
      </c>
      <c r="BQ640" s="1886">
        <f t="shared" si="577"/>
        <v>40</v>
      </c>
      <c r="BR640" s="1886">
        <f t="shared" si="577"/>
        <v>40</v>
      </c>
      <c r="BS640" s="1886">
        <f t="shared" si="577"/>
        <v>40</v>
      </c>
      <c r="BT640" s="1886">
        <f t="shared" si="577"/>
        <v>40</v>
      </c>
      <c r="BU640" s="1830"/>
    </row>
    <row r="641" spans="37:73" s="496" customFormat="1" ht="12.75" x14ac:dyDescent="0.25">
      <c r="AK641" s="1828"/>
      <c r="AL641" s="1870" t="str">
        <f t="shared" si="576"/>
        <v>25.1</v>
      </c>
      <c r="AM641" s="1871" t="str">
        <f t="shared" si="576"/>
        <v>PASIVOS ESTIMADOS Y PROVISIONES (DIFERIDOS)</v>
      </c>
      <c r="AN641" s="1872">
        <f t="shared" si="576"/>
        <v>0</v>
      </c>
      <c r="AO641" s="1873">
        <f t="shared" si="539"/>
        <v>0</v>
      </c>
      <c r="AP641" s="1874">
        <f>E56</f>
        <v>80</v>
      </c>
      <c r="AQ641" s="1875">
        <f t="shared" si="541"/>
        <v>8.6021505376344093E-2</v>
      </c>
      <c r="AR641" s="1876">
        <f t="shared" si="542"/>
        <v>0</v>
      </c>
      <c r="AS641" s="1874">
        <f>H56</f>
        <v>80</v>
      </c>
      <c r="AT641" s="1875">
        <f t="shared" si="544"/>
        <v>8.6021505376344093E-2</v>
      </c>
      <c r="AU641" s="1876">
        <f t="shared" si="545"/>
        <v>0</v>
      </c>
      <c r="AV641" s="1874">
        <f>K56</f>
        <v>80</v>
      </c>
      <c r="AW641" s="1875">
        <f t="shared" si="547"/>
        <v>8.6021505376344093E-2</v>
      </c>
      <c r="AX641" s="1877">
        <f t="shared" si="548"/>
        <v>0</v>
      </c>
      <c r="AY641" s="1874">
        <f>N56</f>
        <v>80</v>
      </c>
      <c r="AZ641" s="1875">
        <f t="shared" si="550"/>
        <v>8.6021505376344093E-2</v>
      </c>
      <c r="BA641" s="1877">
        <f t="shared" si="551"/>
        <v>0</v>
      </c>
      <c r="BB641" s="1874">
        <f>Q56</f>
        <v>80</v>
      </c>
      <c r="BC641" s="1875">
        <f t="shared" si="553"/>
        <v>8.6021505376344093E-2</v>
      </c>
      <c r="BD641" s="1877">
        <f t="shared" si="554"/>
        <v>0</v>
      </c>
      <c r="BE641" s="1878">
        <f t="shared" si="577"/>
        <v>80</v>
      </c>
      <c r="BF641" s="1878">
        <f t="shared" si="577"/>
        <v>80</v>
      </c>
      <c r="BG641" s="1878">
        <f t="shared" si="577"/>
        <v>80</v>
      </c>
      <c r="BH641" s="1878">
        <f t="shared" si="577"/>
        <v>80</v>
      </c>
      <c r="BI641" s="1878">
        <f t="shared" si="577"/>
        <v>80</v>
      </c>
      <c r="BJ641" s="1878">
        <f t="shared" si="577"/>
        <v>80</v>
      </c>
      <c r="BK641" s="1878">
        <f t="shared" si="577"/>
        <v>80</v>
      </c>
      <c r="BL641" s="1878">
        <f t="shared" si="577"/>
        <v>80</v>
      </c>
      <c r="BM641" s="1878">
        <f t="shared" si="577"/>
        <v>80</v>
      </c>
      <c r="BN641" s="1878">
        <f t="shared" si="577"/>
        <v>80</v>
      </c>
      <c r="BO641" s="1878">
        <f t="shared" si="577"/>
        <v>80</v>
      </c>
      <c r="BP641" s="1878">
        <f t="shared" si="577"/>
        <v>80</v>
      </c>
      <c r="BQ641" s="1878">
        <f t="shared" si="577"/>
        <v>80</v>
      </c>
      <c r="BR641" s="1878">
        <f t="shared" si="577"/>
        <v>80</v>
      </c>
      <c r="BS641" s="1878">
        <f t="shared" si="577"/>
        <v>80</v>
      </c>
      <c r="BT641" s="1878">
        <f t="shared" si="577"/>
        <v>80</v>
      </c>
      <c r="BU641" s="1830"/>
    </row>
    <row r="642" spans="37:73" s="496" customFormat="1" ht="12.75" x14ac:dyDescent="0.25">
      <c r="AK642" s="1828"/>
      <c r="AL642" s="1870" t="str">
        <f>A57</f>
        <v>25.2</v>
      </c>
      <c r="AM642" s="1871" t="str">
        <f>B57</f>
        <v xml:space="preserve">OTROS PASIVOS DE LARGO PLAZO </v>
      </c>
      <c r="AN642" s="1872">
        <f>C57-AN643</f>
        <v>0</v>
      </c>
      <c r="AO642" s="1873">
        <f t="shared" si="539"/>
        <v>0</v>
      </c>
      <c r="AP642" s="1874">
        <f>E57-AP643</f>
        <v>220</v>
      </c>
      <c r="AQ642" s="1875">
        <f t="shared" si="541"/>
        <v>0.23655913978494625</v>
      </c>
      <c r="AR642" s="1876">
        <f t="shared" si="542"/>
        <v>0</v>
      </c>
      <c r="AS642" s="1874">
        <f>H57-AS643</f>
        <v>220</v>
      </c>
      <c r="AT642" s="1875">
        <f t="shared" si="544"/>
        <v>0.23655913978494625</v>
      </c>
      <c r="AU642" s="1876">
        <f t="shared" si="545"/>
        <v>0</v>
      </c>
      <c r="AV642" s="1874">
        <f>K57-AV643</f>
        <v>220</v>
      </c>
      <c r="AW642" s="1875">
        <f t="shared" si="547"/>
        <v>0.23655913978494625</v>
      </c>
      <c r="AX642" s="1877">
        <f t="shared" si="548"/>
        <v>0</v>
      </c>
      <c r="AY642" s="1874">
        <f>N57-AY643</f>
        <v>220</v>
      </c>
      <c r="AZ642" s="1875">
        <f t="shared" si="550"/>
        <v>0.23655913978494625</v>
      </c>
      <c r="BA642" s="1877">
        <f t="shared" si="551"/>
        <v>0</v>
      </c>
      <c r="BB642" s="1874">
        <f>Q57-BB643</f>
        <v>220</v>
      </c>
      <c r="BC642" s="1875">
        <f t="shared" si="553"/>
        <v>0.23655913978494625</v>
      </c>
      <c r="BD642" s="1877">
        <f t="shared" si="554"/>
        <v>0</v>
      </c>
      <c r="BE642" s="1878">
        <f t="shared" ref="BE642:BT642" si="578">T57-BE643</f>
        <v>220.00000000000003</v>
      </c>
      <c r="BF642" s="1878">
        <f t="shared" si="578"/>
        <v>220.00000000000003</v>
      </c>
      <c r="BG642" s="1878">
        <f t="shared" si="578"/>
        <v>220.00000000000003</v>
      </c>
      <c r="BH642" s="1878">
        <f t="shared" si="578"/>
        <v>220.00000000000003</v>
      </c>
      <c r="BI642" s="1878">
        <f t="shared" si="578"/>
        <v>220.00000000000003</v>
      </c>
      <c r="BJ642" s="1878">
        <f t="shared" si="578"/>
        <v>220.00000000000003</v>
      </c>
      <c r="BK642" s="1878">
        <f t="shared" si="578"/>
        <v>220.00000000000003</v>
      </c>
      <c r="BL642" s="1878">
        <f t="shared" si="578"/>
        <v>220.00000000000003</v>
      </c>
      <c r="BM642" s="1878">
        <f t="shared" si="578"/>
        <v>220.00000000000003</v>
      </c>
      <c r="BN642" s="1878">
        <f t="shared" si="578"/>
        <v>220.00000000000003</v>
      </c>
      <c r="BO642" s="1878">
        <f t="shared" si="578"/>
        <v>220.00000000000003</v>
      </c>
      <c r="BP642" s="1878">
        <f t="shared" si="578"/>
        <v>220.00000000000003</v>
      </c>
      <c r="BQ642" s="1878">
        <f t="shared" si="578"/>
        <v>220.00000000000003</v>
      </c>
      <c r="BR642" s="1878">
        <f t="shared" si="578"/>
        <v>220.00000000000003</v>
      </c>
      <c r="BS642" s="1878">
        <f t="shared" si="578"/>
        <v>220.00000000000003</v>
      </c>
      <c r="BT642" s="1878">
        <f t="shared" si="578"/>
        <v>220.00000000000003</v>
      </c>
      <c r="BU642" s="1830"/>
    </row>
    <row r="643" spans="37:73" s="496" customFormat="1" ht="12.75" x14ac:dyDescent="0.25">
      <c r="AK643" s="1828"/>
      <c r="AL643" s="1882" t="s">
        <v>1414</v>
      </c>
      <c r="AM643" s="1871" t="str">
        <f>B122</f>
        <v>AJUSTE POR INFLACIÓN PASIVOS</v>
      </c>
      <c r="AN643" s="1872">
        <f>C122</f>
        <v>0</v>
      </c>
      <c r="AO643" s="1873">
        <f t="shared" si="539"/>
        <v>0</v>
      </c>
      <c r="AP643" s="1874">
        <f>E122</f>
        <v>0</v>
      </c>
      <c r="AQ643" s="1875">
        <f t="shared" si="541"/>
        <v>0</v>
      </c>
      <c r="AR643" s="1876">
        <f t="shared" si="542"/>
        <v>0</v>
      </c>
      <c r="AS643" s="1874">
        <f>H122</f>
        <v>0</v>
      </c>
      <c r="AT643" s="1875">
        <f t="shared" si="544"/>
        <v>0</v>
      </c>
      <c r="AU643" s="1876">
        <f t="shared" si="545"/>
        <v>0</v>
      </c>
      <c r="AV643" s="1874">
        <f>K122</f>
        <v>0</v>
      </c>
      <c r="AW643" s="1875">
        <f t="shared" si="547"/>
        <v>0</v>
      </c>
      <c r="AX643" s="1877">
        <f t="shared" si="548"/>
        <v>0</v>
      </c>
      <c r="AY643" s="1874">
        <f>N122</f>
        <v>0</v>
      </c>
      <c r="AZ643" s="1875">
        <f t="shared" si="550"/>
        <v>0</v>
      </c>
      <c r="BA643" s="1877">
        <f t="shared" si="551"/>
        <v>0</v>
      </c>
      <c r="BB643" s="1874">
        <f>Q122</f>
        <v>0</v>
      </c>
      <c r="BC643" s="1875">
        <f t="shared" si="553"/>
        <v>0</v>
      </c>
      <c r="BD643" s="1877">
        <f t="shared" si="554"/>
        <v>0</v>
      </c>
      <c r="BE643" s="1878">
        <f t="shared" ref="BE643:BT643" si="579">T122</f>
        <v>0</v>
      </c>
      <c r="BF643" s="1878">
        <f t="shared" si="579"/>
        <v>0</v>
      </c>
      <c r="BG643" s="1878">
        <f t="shared" si="579"/>
        <v>0</v>
      </c>
      <c r="BH643" s="1878">
        <f t="shared" si="579"/>
        <v>0</v>
      </c>
      <c r="BI643" s="1878">
        <f t="shared" si="579"/>
        <v>0</v>
      </c>
      <c r="BJ643" s="1878">
        <f t="shared" si="579"/>
        <v>0</v>
      </c>
      <c r="BK643" s="1878">
        <f t="shared" si="579"/>
        <v>0</v>
      </c>
      <c r="BL643" s="1878">
        <f t="shared" si="579"/>
        <v>0</v>
      </c>
      <c r="BM643" s="1878">
        <f t="shared" si="579"/>
        <v>0</v>
      </c>
      <c r="BN643" s="1878">
        <f t="shared" si="579"/>
        <v>0</v>
      </c>
      <c r="BO643" s="1878">
        <f t="shared" si="579"/>
        <v>0</v>
      </c>
      <c r="BP643" s="1878">
        <f t="shared" si="579"/>
        <v>0</v>
      </c>
      <c r="BQ643" s="1878">
        <f t="shared" si="579"/>
        <v>0</v>
      </c>
      <c r="BR643" s="1878">
        <f t="shared" si="579"/>
        <v>0</v>
      </c>
      <c r="BS643" s="1878">
        <f t="shared" si="579"/>
        <v>0</v>
      </c>
      <c r="BT643" s="1878">
        <f t="shared" si="579"/>
        <v>0</v>
      </c>
      <c r="BU643" s="1830"/>
    </row>
    <row r="644" spans="37:73" s="496" customFormat="1" ht="12.75" x14ac:dyDescent="0.25">
      <c r="AK644" s="1828"/>
      <c r="AL644" s="1887">
        <v>25</v>
      </c>
      <c r="AM644" s="1879" t="s">
        <v>1415</v>
      </c>
      <c r="AN644" s="1880">
        <f>SUM(AN641:AN643)</f>
        <v>0</v>
      </c>
      <c r="AO644" s="1873">
        <f t="shared" si="539"/>
        <v>0</v>
      </c>
      <c r="AP644" s="1881">
        <f>SUM(AP641:AP643)</f>
        <v>300</v>
      </c>
      <c r="AQ644" s="1875">
        <f t="shared" si="541"/>
        <v>0.32258064516129031</v>
      </c>
      <c r="AR644" s="1876">
        <f t="shared" si="542"/>
        <v>0</v>
      </c>
      <c r="AS644" s="1881">
        <f>SUM(AS641:AS643)</f>
        <v>300</v>
      </c>
      <c r="AT644" s="1875">
        <f t="shared" si="544"/>
        <v>0.32258064516129031</v>
      </c>
      <c r="AU644" s="1876">
        <f t="shared" si="545"/>
        <v>0</v>
      </c>
      <c r="AV644" s="1881">
        <f>SUM(AV641:AV643)</f>
        <v>300</v>
      </c>
      <c r="AW644" s="1875">
        <f t="shared" si="547"/>
        <v>0.32258064516129031</v>
      </c>
      <c r="AX644" s="1877">
        <f t="shared" si="548"/>
        <v>0</v>
      </c>
      <c r="AY644" s="1881">
        <f>SUM(AY641:AY643)</f>
        <v>300</v>
      </c>
      <c r="AZ644" s="1875">
        <f t="shared" si="550"/>
        <v>0.32258064516129031</v>
      </c>
      <c r="BA644" s="1877">
        <f t="shared" si="551"/>
        <v>0</v>
      </c>
      <c r="BB644" s="1881">
        <f>SUM(BB641:BB643)</f>
        <v>300</v>
      </c>
      <c r="BC644" s="1875">
        <f t="shared" si="553"/>
        <v>0.32258064516129031</v>
      </c>
      <c r="BD644" s="1877">
        <f t="shared" si="554"/>
        <v>0</v>
      </c>
      <c r="BE644" s="1881">
        <f t="shared" ref="BE644:BT644" si="580">SUM(BE641:BE643)</f>
        <v>300</v>
      </c>
      <c r="BF644" s="1881">
        <f t="shared" si="580"/>
        <v>300</v>
      </c>
      <c r="BG644" s="1881">
        <f t="shared" si="580"/>
        <v>300</v>
      </c>
      <c r="BH644" s="1881">
        <f t="shared" si="580"/>
        <v>300</v>
      </c>
      <c r="BI644" s="1881">
        <f t="shared" si="580"/>
        <v>300</v>
      </c>
      <c r="BJ644" s="1881">
        <f t="shared" si="580"/>
        <v>300</v>
      </c>
      <c r="BK644" s="1881">
        <f t="shared" si="580"/>
        <v>300</v>
      </c>
      <c r="BL644" s="1881">
        <f t="shared" si="580"/>
        <v>300</v>
      </c>
      <c r="BM644" s="1881">
        <f t="shared" si="580"/>
        <v>300</v>
      </c>
      <c r="BN644" s="1881">
        <f t="shared" si="580"/>
        <v>300</v>
      </c>
      <c r="BO644" s="1881">
        <f t="shared" si="580"/>
        <v>300</v>
      </c>
      <c r="BP644" s="1881">
        <f t="shared" si="580"/>
        <v>300</v>
      </c>
      <c r="BQ644" s="1881">
        <f t="shared" si="580"/>
        <v>300</v>
      </c>
      <c r="BR644" s="1881">
        <f t="shared" si="580"/>
        <v>300</v>
      </c>
      <c r="BS644" s="1881">
        <f t="shared" si="580"/>
        <v>300</v>
      </c>
      <c r="BT644" s="1881">
        <f t="shared" si="580"/>
        <v>300</v>
      </c>
      <c r="BU644" s="1830"/>
    </row>
    <row r="645" spans="37:73" s="496" customFormat="1" ht="12.75" x14ac:dyDescent="0.25">
      <c r="AK645" s="1828"/>
      <c r="AL645" s="507"/>
      <c r="AM645" s="1889" t="s">
        <v>1097</v>
      </c>
      <c r="AN645" s="1890">
        <f>SUM(AN633:AN635,AN638:AN640,AN644)</f>
        <v>0</v>
      </c>
      <c r="AO645" s="1891">
        <f t="shared" si="539"/>
        <v>0</v>
      </c>
      <c r="AP645" s="1892">
        <f>SUM(AP633:AP635,AP638:AP640,AP644)</f>
        <v>450</v>
      </c>
      <c r="AQ645" s="1893">
        <f t="shared" si="541"/>
        <v>0.4838709677419355</v>
      </c>
      <c r="AR645" s="1894">
        <f t="shared" si="542"/>
        <v>0</v>
      </c>
      <c r="AS645" s="1892">
        <f>SUM(AS633:AS635,AS638:AS640,AS644)</f>
        <v>450</v>
      </c>
      <c r="AT645" s="1893">
        <f t="shared" si="544"/>
        <v>0.4838709677419355</v>
      </c>
      <c r="AU645" s="1894">
        <f t="shared" si="545"/>
        <v>0</v>
      </c>
      <c r="AV645" s="1892">
        <f>SUM(AV633:AV635,AV638:AV640,AV644)</f>
        <v>450</v>
      </c>
      <c r="AW645" s="1893">
        <f t="shared" si="547"/>
        <v>0.4838709677419355</v>
      </c>
      <c r="AX645" s="1895">
        <f t="shared" si="548"/>
        <v>0</v>
      </c>
      <c r="AY645" s="1892">
        <f>SUM(AY633:AY635,AY638:AY640,AY644)</f>
        <v>450</v>
      </c>
      <c r="AZ645" s="1893">
        <f t="shared" si="550"/>
        <v>0.4838709677419355</v>
      </c>
      <c r="BA645" s="1895">
        <f t="shared" si="551"/>
        <v>0</v>
      </c>
      <c r="BB645" s="1892">
        <f>SUM(BB633:BB635,BB638:BB640,BB644)</f>
        <v>450</v>
      </c>
      <c r="BC645" s="1893">
        <f t="shared" si="553"/>
        <v>0.4838709677419355</v>
      </c>
      <c r="BD645" s="1895">
        <f t="shared" si="554"/>
        <v>0</v>
      </c>
      <c r="BE645" s="1896">
        <f t="shared" ref="BE645:BT645" si="581">SUM(BE633:BE635,BE638:BE640,BE644)</f>
        <v>470</v>
      </c>
      <c r="BF645" s="1896">
        <f t="shared" si="581"/>
        <v>470</v>
      </c>
      <c r="BG645" s="1896">
        <f t="shared" si="581"/>
        <v>470</v>
      </c>
      <c r="BH645" s="1896">
        <f t="shared" si="581"/>
        <v>470</v>
      </c>
      <c r="BI645" s="1896">
        <f t="shared" si="581"/>
        <v>470</v>
      </c>
      <c r="BJ645" s="1896">
        <f t="shared" si="581"/>
        <v>470</v>
      </c>
      <c r="BK645" s="1896">
        <f t="shared" si="581"/>
        <v>470</v>
      </c>
      <c r="BL645" s="1896">
        <f t="shared" si="581"/>
        <v>470</v>
      </c>
      <c r="BM645" s="1896">
        <f t="shared" si="581"/>
        <v>470</v>
      </c>
      <c r="BN645" s="1896">
        <f t="shared" si="581"/>
        <v>470</v>
      </c>
      <c r="BO645" s="1896">
        <f t="shared" si="581"/>
        <v>470</v>
      </c>
      <c r="BP645" s="1896">
        <f t="shared" si="581"/>
        <v>470</v>
      </c>
      <c r="BQ645" s="1896">
        <f t="shared" si="581"/>
        <v>470</v>
      </c>
      <c r="BR645" s="1896">
        <f t="shared" si="581"/>
        <v>470</v>
      </c>
      <c r="BS645" s="1896">
        <f t="shared" si="581"/>
        <v>470</v>
      </c>
      <c r="BT645" s="1896">
        <f t="shared" si="581"/>
        <v>470</v>
      </c>
      <c r="BU645" s="1830"/>
    </row>
    <row r="646" spans="37:73" s="496" customFormat="1" ht="12.75" x14ac:dyDescent="0.25">
      <c r="AK646" s="1828"/>
      <c r="AL646" s="507"/>
      <c r="AM646" s="1909" t="s">
        <v>1098</v>
      </c>
      <c r="AN646" s="1910">
        <f>AN645+AN632</f>
        <v>0</v>
      </c>
      <c r="AO646" s="1911">
        <f t="shared" si="539"/>
        <v>0</v>
      </c>
      <c r="AP646" s="1912">
        <f>AP645+AP632</f>
        <v>930</v>
      </c>
      <c r="AQ646" s="1913">
        <f t="shared" si="541"/>
        <v>1</v>
      </c>
      <c r="AR646" s="1914">
        <f t="shared" si="542"/>
        <v>0</v>
      </c>
      <c r="AS646" s="1912">
        <f>AS645+AS632</f>
        <v>930</v>
      </c>
      <c r="AT646" s="1913">
        <f t="shared" si="544"/>
        <v>1</v>
      </c>
      <c r="AU646" s="1914">
        <f t="shared" si="545"/>
        <v>0</v>
      </c>
      <c r="AV646" s="1912">
        <f>AV645+AV632</f>
        <v>930</v>
      </c>
      <c r="AW646" s="1913">
        <f t="shared" si="547"/>
        <v>1</v>
      </c>
      <c r="AX646" s="1915">
        <f t="shared" si="548"/>
        <v>0</v>
      </c>
      <c r="AY646" s="1912">
        <f>AY645+AY632</f>
        <v>930</v>
      </c>
      <c r="AZ646" s="1913">
        <f t="shared" si="550"/>
        <v>1</v>
      </c>
      <c r="BA646" s="1915">
        <f t="shared" si="551"/>
        <v>0</v>
      </c>
      <c r="BB646" s="1912">
        <f>BB645+BB632</f>
        <v>930</v>
      </c>
      <c r="BC646" s="1913">
        <f t="shared" si="553"/>
        <v>1</v>
      </c>
      <c r="BD646" s="1915">
        <f t="shared" si="554"/>
        <v>0</v>
      </c>
      <c r="BE646" s="1916">
        <f t="shared" ref="BE646:BT646" si="582">BE645+BE632</f>
        <v>920</v>
      </c>
      <c r="BF646" s="1916">
        <f t="shared" si="582"/>
        <v>920</v>
      </c>
      <c r="BG646" s="1916">
        <f t="shared" si="582"/>
        <v>920</v>
      </c>
      <c r="BH646" s="1916">
        <f t="shared" si="582"/>
        <v>920</v>
      </c>
      <c r="BI646" s="1916">
        <f t="shared" si="582"/>
        <v>920</v>
      </c>
      <c r="BJ646" s="1916">
        <f t="shared" si="582"/>
        <v>920</v>
      </c>
      <c r="BK646" s="1916">
        <f t="shared" si="582"/>
        <v>920</v>
      </c>
      <c r="BL646" s="1916">
        <f t="shared" si="582"/>
        <v>920</v>
      </c>
      <c r="BM646" s="1916">
        <f t="shared" si="582"/>
        <v>920</v>
      </c>
      <c r="BN646" s="1916">
        <f t="shared" si="582"/>
        <v>920</v>
      </c>
      <c r="BO646" s="1916">
        <f t="shared" si="582"/>
        <v>920</v>
      </c>
      <c r="BP646" s="1916">
        <f t="shared" si="582"/>
        <v>920</v>
      </c>
      <c r="BQ646" s="1916">
        <f t="shared" si="582"/>
        <v>920</v>
      </c>
      <c r="BR646" s="1916">
        <f t="shared" si="582"/>
        <v>920</v>
      </c>
      <c r="BS646" s="1916">
        <f t="shared" si="582"/>
        <v>920</v>
      </c>
      <c r="BT646" s="1916">
        <f t="shared" si="582"/>
        <v>920</v>
      </c>
      <c r="BU646" s="1830"/>
    </row>
    <row r="647" spans="37:73" s="496" customFormat="1" ht="12.75" x14ac:dyDescent="0.2">
      <c r="AK647" s="1828"/>
      <c r="AL647" s="507"/>
      <c r="AM647" s="507" t="s">
        <v>764</v>
      </c>
      <c r="AN647" s="502"/>
      <c r="AO647" s="1917"/>
      <c r="AP647" s="502"/>
      <c r="AQ647" s="1917"/>
      <c r="AR647" s="1917"/>
      <c r="AS647" s="502"/>
      <c r="AT647" s="1917"/>
      <c r="AU647" s="1917"/>
      <c r="AV647" s="502"/>
      <c r="AW647" s="1917"/>
      <c r="AX647" s="1917"/>
      <c r="AY647" s="502"/>
      <c r="AZ647" s="1917"/>
      <c r="BA647" s="1917"/>
      <c r="BB647" s="502"/>
      <c r="BC647" s="1917"/>
      <c r="BD647" s="1917"/>
      <c r="BE647" s="1438"/>
      <c r="BF647" s="1438"/>
      <c r="BG647" s="1438"/>
      <c r="BH647" s="1438"/>
      <c r="BI647" s="1438"/>
      <c r="BJ647" s="1438"/>
      <c r="BK647" s="1438"/>
      <c r="BL647" s="1438"/>
      <c r="BM647" s="1438"/>
      <c r="BN647" s="1438"/>
      <c r="BO647" s="1438"/>
      <c r="BP647" s="1833"/>
      <c r="BQ647" s="1860"/>
      <c r="BU647" s="1830"/>
    </row>
    <row r="648" spans="37:73" s="496" customFormat="1" ht="12.75" x14ac:dyDescent="0.25">
      <c r="AK648" s="1828"/>
      <c r="AL648" s="1861">
        <f t="shared" ref="AL648:AN654" si="583">A60</f>
        <v>26</v>
      </c>
      <c r="AM648" s="1862" t="str">
        <f t="shared" si="583"/>
        <v>CAPITAL PAGADO</v>
      </c>
      <c r="AN648" s="1240">
        <f t="shared" si="583"/>
        <v>0</v>
      </c>
      <c r="AO648" s="1864">
        <f t="shared" ref="AO648:AO655" si="584">IF(OR(AN648=0,AN$655=0),0,AN648/AN$655)</f>
        <v>0</v>
      </c>
      <c r="AP648" s="1865">
        <f t="shared" ref="AP648:AP654" si="585">E60</f>
        <v>70</v>
      </c>
      <c r="AQ648" s="1866">
        <f t="shared" ref="AQ648:AQ655" si="586">IF(OR(AP648=0,AP$655=0),0,AP648/AP$655)</f>
        <v>2.3102310231023101E-2</v>
      </c>
      <c r="AR648" s="1867">
        <f t="shared" ref="AR648:AR657" si="587">IF(OR(AN648=0,AP648=0),0,IF(ABS((AP648/AN648)-1)&gt;1000000%,0,(AP648/AN648)-1))</f>
        <v>0</v>
      </c>
      <c r="AS648" s="1865">
        <f t="shared" ref="AS648:AS654" si="588">H60</f>
        <v>70</v>
      </c>
      <c r="AT648" s="1866">
        <f t="shared" ref="AT648:AT655" si="589">IF(OR(AS648=0,AS$655=0),0,AS648/AS$655)</f>
        <v>2.3102310231023101E-2</v>
      </c>
      <c r="AU648" s="1867">
        <f t="shared" ref="AU648:AU657" si="590">IF(OR(AP648=0,AS648=0),0,IF(ABS((AS648/AP648)-1)&gt;1000000%,0,(AS648/AP648)-1))</f>
        <v>0</v>
      </c>
      <c r="AV648" s="1865">
        <f t="shared" ref="AV648:AV654" si="591">K60</f>
        <v>70</v>
      </c>
      <c r="AW648" s="1866">
        <f t="shared" ref="AW648:AW655" si="592">IF(OR(AV648=0,AV$655=0),0,AV648/AV$655)</f>
        <v>2.3102310231023101E-2</v>
      </c>
      <c r="AX648" s="1868">
        <f t="shared" ref="AX648:AX657" si="593">IF(OR(AS648=0,AV648=0),0,IF(ABS((AV648/AS648)-1)&gt;1000000%,0,(AV648/AS648)-1))</f>
        <v>0</v>
      </c>
      <c r="AY648" s="1865">
        <f t="shared" ref="AY648:AY654" si="594">N60</f>
        <v>70</v>
      </c>
      <c r="AZ648" s="1866">
        <f t="shared" ref="AZ648:AZ655" si="595">IF(OR(AY648=0,AY$655=0),0,AY648/AY$655)</f>
        <v>2.3102310231023101E-2</v>
      </c>
      <c r="BA648" s="1868">
        <f t="shared" ref="BA648:BA657" si="596">IF(OR(AS648=0,AY648=0),0,IF(ABS((AY648/AS648)-1)&gt;1000000%,0,(AY648/AS648)-1))</f>
        <v>0</v>
      </c>
      <c r="BB648" s="1865">
        <f t="shared" ref="BB648:BB654" si="597">Q60</f>
        <v>70</v>
      </c>
      <c r="BC648" s="1866">
        <f t="shared" ref="BC648:BC655" si="598">IF(OR(BB648=0,BB$655=0),0,BB648/BB$655)</f>
        <v>2.3102310231023101E-2</v>
      </c>
      <c r="BD648" s="1868">
        <f t="shared" ref="BD648:BD657" si="599">IF(OR(AY648=0,BB648=0),0,IF(ABS((BB648/AY648)-1)&gt;1000000%,0,(BB648/AY648)-1))</f>
        <v>0</v>
      </c>
      <c r="BE648" s="1869">
        <f t="shared" ref="BE648:BT654" si="600">T60</f>
        <v>70</v>
      </c>
      <c r="BF648" s="1869">
        <f t="shared" si="600"/>
        <v>70</v>
      </c>
      <c r="BG648" s="1869">
        <f t="shared" si="600"/>
        <v>70</v>
      </c>
      <c r="BH648" s="1869">
        <f t="shared" si="600"/>
        <v>70</v>
      </c>
      <c r="BI648" s="1869">
        <f t="shared" si="600"/>
        <v>70</v>
      </c>
      <c r="BJ648" s="1869">
        <f t="shared" si="600"/>
        <v>70</v>
      </c>
      <c r="BK648" s="1869">
        <f t="shared" si="600"/>
        <v>70</v>
      </c>
      <c r="BL648" s="1869">
        <f t="shared" si="600"/>
        <v>70</v>
      </c>
      <c r="BM648" s="1869">
        <f t="shared" si="600"/>
        <v>70</v>
      </c>
      <c r="BN648" s="1869">
        <f t="shared" si="600"/>
        <v>70</v>
      </c>
      <c r="BO648" s="1869">
        <f t="shared" si="600"/>
        <v>70</v>
      </c>
      <c r="BP648" s="1869">
        <f t="shared" si="600"/>
        <v>70</v>
      </c>
      <c r="BQ648" s="1869">
        <f t="shared" si="600"/>
        <v>70</v>
      </c>
      <c r="BR648" s="1869">
        <f t="shared" si="600"/>
        <v>70</v>
      </c>
      <c r="BS648" s="1869">
        <f t="shared" si="600"/>
        <v>70</v>
      </c>
      <c r="BT648" s="1869">
        <f t="shared" si="600"/>
        <v>70</v>
      </c>
      <c r="BU648" s="1830"/>
    </row>
    <row r="649" spans="37:73" s="496" customFormat="1" ht="12.75" x14ac:dyDescent="0.25">
      <c r="AK649" s="1828"/>
      <c r="AL649" s="1870">
        <f t="shared" si="583"/>
        <v>27</v>
      </c>
      <c r="AM649" s="1883" t="str">
        <f t="shared" si="583"/>
        <v>PRIMA EN COLOCACIÓN DE ACCIONES (SUPERÁVIT DE CAPITAL)</v>
      </c>
      <c r="AN649" s="1884">
        <f t="shared" si="583"/>
        <v>0</v>
      </c>
      <c r="AO649" s="1873">
        <f t="shared" si="584"/>
        <v>0</v>
      </c>
      <c r="AP649" s="1885">
        <f t="shared" si="585"/>
        <v>50</v>
      </c>
      <c r="AQ649" s="1875">
        <f t="shared" si="586"/>
        <v>1.65016501650165E-2</v>
      </c>
      <c r="AR649" s="1876">
        <f t="shared" si="587"/>
        <v>0</v>
      </c>
      <c r="AS649" s="1885">
        <f t="shared" si="588"/>
        <v>50</v>
      </c>
      <c r="AT649" s="1875">
        <f t="shared" si="589"/>
        <v>1.65016501650165E-2</v>
      </c>
      <c r="AU649" s="1876">
        <f t="shared" si="590"/>
        <v>0</v>
      </c>
      <c r="AV649" s="1885">
        <f t="shared" si="591"/>
        <v>50</v>
      </c>
      <c r="AW649" s="1875">
        <f t="shared" si="592"/>
        <v>1.65016501650165E-2</v>
      </c>
      <c r="AX649" s="1877">
        <f t="shared" si="593"/>
        <v>0</v>
      </c>
      <c r="AY649" s="1885">
        <f t="shared" si="594"/>
        <v>50</v>
      </c>
      <c r="AZ649" s="1875">
        <f t="shared" si="595"/>
        <v>1.65016501650165E-2</v>
      </c>
      <c r="BA649" s="1877">
        <f t="shared" si="596"/>
        <v>0</v>
      </c>
      <c r="BB649" s="1885">
        <f t="shared" si="597"/>
        <v>50</v>
      </c>
      <c r="BC649" s="1875">
        <f t="shared" si="598"/>
        <v>1.65016501650165E-2</v>
      </c>
      <c r="BD649" s="1877">
        <f t="shared" si="599"/>
        <v>0</v>
      </c>
      <c r="BE649" s="1886">
        <f t="shared" si="600"/>
        <v>50</v>
      </c>
      <c r="BF649" s="1886">
        <f t="shared" si="600"/>
        <v>50</v>
      </c>
      <c r="BG649" s="1886">
        <f t="shared" si="600"/>
        <v>50</v>
      </c>
      <c r="BH649" s="1886">
        <f t="shared" si="600"/>
        <v>50</v>
      </c>
      <c r="BI649" s="1886">
        <f t="shared" si="600"/>
        <v>50</v>
      </c>
      <c r="BJ649" s="1886">
        <f t="shared" si="600"/>
        <v>50</v>
      </c>
      <c r="BK649" s="1886">
        <f t="shared" si="600"/>
        <v>50</v>
      </c>
      <c r="BL649" s="1886">
        <f t="shared" si="600"/>
        <v>50</v>
      </c>
      <c r="BM649" s="1886">
        <f t="shared" si="600"/>
        <v>50</v>
      </c>
      <c r="BN649" s="1886">
        <f t="shared" si="600"/>
        <v>50</v>
      </c>
      <c r="BO649" s="1886">
        <f t="shared" si="600"/>
        <v>50</v>
      </c>
      <c r="BP649" s="1886">
        <f t="shared" si="600"/>
        <v>50</v>
      </c>
      <c r="BQ649" s="1886">
        <f t="shared" si="600"/>
        <v>50</v>
      </c>
      <c r="BR649" s="1886">
        <f t="shared" si="600"/>
        <v>50</v>
      </c>
      <c r="BS649" s="1886">
        <f t="shared" si="600"/>
        <v>50</v>
      </c>
      <c r="BT649" s="1886">
        <f t="shared" si="600"/>
        <v>50</v>
      </c>
      <c r="BU649" s="1830"/>
    </row>
    <row r="650" spans="37:73" s="496" customFormat="1" ht="12.75" x14ac:dyDescent="0.25">
      <c r="AK650" s="1828"/>
      <c r="AL650" s="1870">
        <f t="shared" si="583"/>
        <v>28</v>
      </c>
      <c r="AM650" s="1883" t="str">
        <f t="shared" si="583"/>
        <v>RESERVA LEGAL</v>
      </c>
      <c r="AN650" s="1884">
        <f t="shared" si="583"/>
        <v>0</v>
      </c>
      <c r="AO650" s="1873">
        <f t="shared" si="584"/>
        <v>0</v>
      </c>
      <c r="AP650" s="1885">
        <f t="shared" si="585"/>
        <v>10</v>
      </c>
      <c r="AQ650" s="1875">
        <f t="shared" si="586"/>
        <v>3.3003300330033004E-3</v>
      </c>
      <c r="AR650" s="1876">
        <f t="shared" si="587"/>
        <v>0</v>
      </c>
      <c r="AS650" s="1885">
        <f t="shared" si="588"/>
        <v>10</v>
      </c>
      <c r="AT650" s="1875">
        <f t="shared" si="589"/>
        <v>3.3003300330033004E-3</v>
      </c>
      <c r="AU650" s="1876">
        <f t="shared" si="590"/>
        <v>0</v>
      </c>
      <c r="AV650" s="1885">
        <f t="shared" si="591"/>
        <v>10</v>
      </c>
      <c r="AW650" s="1875">
        <f t="shared" si="592"/>
        <v>3.3003300330033004E-3</v>
      </c>
      <c r="AX650" s="1877">
        <f t="shared" si="593"/>
        <v>0</v>
      </c>
      <c r="AY650" s="1885">
        <f t="shared" si="594"/>
        <v>10</v>
      </c>
      <c r="AZ650" s="1875">
        <f t="shared" si="595"/>
        <v>3.3003300330033004E-3</v>
      </c>
      <c r="BA650" s="1877">
        <f t="shared" si="596"/>
        <v>0</v>
      </c>
      <c r="BB650" s="1885">
        <f t="shared" si="597"/>
        <v>10</v>
      </c>
      <c r="BC650" s="1875">
        <f t="shared" si="598"/>
        <v>3.3003300330033004E-3</v>
      </c>
      <c r="BD650" s="1877">
        <f t="shared" si="599"/>
        <v>0</v>
      </c>
      <c r="BE650" s="1886">
        <f t="shared" si="600"/>
        <v>35</v>
      </c>
      <c r="BF650" s="1886">
        <f t="shared" si="600"/>
        <v>35</v>
      </c>
      <c r="BG650" s="1886">
        <f t="shared" si="600"/>
        <v>35</v>
      </c>
      <c r="BH650" s="1886">
        <f t="shared" si="600"/>
        <v>35</v>
      </c>
      <c r="BI650" s="1886">
        <f t="shared" si="600"/>
        <v>35</v>
      </c>
      <c r="BJ650" s="1886">
        <f t="shared" si="600"/>
        <v>35</v>
      </c>
      <c r="BK650" s="1886">
        <f t="shared" si="600"/>
        <v>35</v>
      </c>
      <c r="BL650" s="1886">
        <f t="shared" si="600"/>
        <v>35</v>
      </c>
      <c r="BM650" s="1886">
        <f t="shared" si="600"/>
        <v>35</v>
      </c>
      <c r="BN650" s="1886">
        <f t="shared" si="600"/>
        <v>35</v>
      </c>
      <c r="BO650" s="1886">
        <f t="shared" si="600"/>
        <v>35</v>
      </c>
      <c r="BP650" s="1886">
        <f t="shared" si="600"/>
        <v>35</v>
      </c>
      <c r="BQ650" s="1886">
        <f t="shared" si="600"/>
        <v>35</v>
      </c>
      <c r="BR650" s="1886">
        <f t="shared" si="600"/>
        <v>35</v>
      </c>
      <c r="BS650" s="1886">
        <f t="shared" si="600"/>
        <v>35</v>
      </c>
      <c r="BT650" s="1886">
        <f t="shared" si="600"/>
        <v>35</v>
      </c>
      <c r="BU650" s="1830"/>
    </row>
    <row r="651" spans="37:73" s="496" customFormat="1" ht="12.75" x14ac:dyDescent="0.25">
      <c r="AK651" s="1828"/>
      <c r="AL651" s="1870">
        <f t="shared" si="583"/>
        <v>29</v>
      </c>
      <c r="AM651" s="1883" t="str">
        <f t="shared" si="583"/>
        <v>UTILIDADES ACUMULADAS DE EJERCICIOS ANTERIORES</v>
      </c>
      <c r="AN651" s="1884">
        <f t="shared" si="583"/>
        <v>0</v>
      </c>
      <c r="AO651" s="1873">
        <f t="shared" si="584"/>
        <v>0</v>
      </c>
      <c r="AP651" s="1885">
        <f t="shared" si="585"/>
        <v>10</v>
      </c>
      <c r="AQ651" s="1875">
        <f t="shared" si="586"/>
        <v>3.3003300330033004E-3</v>
      </c>
      <c r="AR651" s="1876">
        <f t="shared" si="587"/>
        <v>0</v>
      </c>
      <c r="AS651" s="1885">
        <f t="shared" si="588"/>
        <v>10</v>
      </c>
      <c r="AT651" s="1875">
        <f t="shared" si="589"/>
        <v>3.3003300330033004E-3</v>
      </c>
      <c r="AU651" s="1876">
        <f t="shared" si="590"/>
        <v>0</v>
      </c>
      <c r="AV651" s="1885">
        <f t="shared" si="591"/>
        <v>10</v>
      </c>
      <c r="AW651" s="1875">
        <f t="shared" si="592"/>
        <v>3.3003300330033004E-3</v>
      </c>
      <c r="AX651" s="1877">
        <f t="shared" si="593"/>
        <v>0</v>
      </c>
      <c r="AY651" s="1885">
        <f t="shared" si="594"/>
        <v>10</v>
      </c>
      <c r="AZ651" s="1875">
        <f t="shared" si="595"/>
        <v>3.3003300330033004E-3</v>
      </c>
      <c r="BA651" s="1877">
        <f t="shared" si="596"/>
        <v>0</v>
      </c>
      <c r="BB651" s="1885">
        <f t="shared" si="597"/>
        <v>10</v>
      </c>
      <c r="BC651" s="1875">
        <f t="shared" si="598"/>
        <v>3.3003300330033004E-3</v>
      </c>
      <c r="BD651" s="1877">
        <f t="shared" si="599"/>
        <v>0</v>
      </c>
      <c r="BE651" s="1886">
        <f t="shared" si="600"/>
        <v>912.29999999999984</v>
      </c>
      <c r="BF651" s="1886">
        <f t="shared" si="600"/>
        <v>1840.3919999999998</v>
      </c>
      <c r="BG651" s="1886">
        <f t="shared" si="600"/>
        <v>2768.616</v>
      </c>
      <c r="BH651" s="1886">
        <f t="shared" si="600"/>
        <v>3698.16</v>
      </c>
      <c r="BI651" s="1886">
        <f t="shared" si="600"/>
        <v>4627.7039999999997</v>
      </c>
      <c r="BJ651" s="1886">
        <f t="shared" si="600"/>
        <v>5557.2479999999996</v>
      </c>
      <c r="BK651" s="1886">
        <f t="shared" si="600"/>
        <v>6486.7919999999995</v>
      </c>
      <c r="BL651" s="1886">
        <f t="shared" si="600"/>
        <v>7416.3359999999993</v>
      </c>
      <c r="BM651" s="1886">
        <f t="shared" si="600"/>
        <v>8345.8799999999992</v>
      </c>
      <c r="BN651" s="1886">
        <f t="shared" si="600"/>
        <v>9275.4239999999991</v>
      </c>
      <c r="BO651" s="1886">
        <f t="shared" si="600"/>
        <v>10204.967999999999</v>
      </c>
      <c r="BP651" s="1886">
        <f t="shared" si="600"/>
        <v>11134.511999999999</v>
      </c>
      <c r="BQ651" s="1886">
        <f t="shared" si="600"/>
        <v>12064.055999999999</v>
      </c>
      <c r="BR651" s="1886">
        <f t="shared" si="600"/>
        <v>12993.599999999999</v>
      </c>
      <c r="BS651" s="1886">
        <f t="shared" si="600"/>
        <v>13923.143999999998</v>
      </c>
      <c r="BT651" s="1886">
        <f t="shared" si="600"/>
        <v>14852.687999999998</v>
      </c>
      <c r="BU651" s="1830"/>
    </row>
    <row r="652" spans="37:73" s="496" customFormat="1" ht="12.75" x14ac:dyDescent="0.25">
      <c r="AK652" s="1828"/>
      <c r="AL652" s="1870">
        <f t="shared" si="583"/>
        <v>30</v>
      </c>
      <c r="AM652" s="1883" t="str">
        <f t="shared" si="583"/>
        <v>UTILIDAD DEL EJERCICIO</v>
      </c>
      <c r="AN652" s="1884">
        <f t="shared" si="583"/>
        <v>0</v>
      </c>
      <c r="AO652" s="1873">
        <f t="shared" si="584"/>
        <v>0</v>
      </c>
      <c r="AP652" s="1885">
        <f t="shared" si="585"/>
        <v>2810</v>
      </c>
      <c r="AQ652" s="1875">
        <f t="shared" si="586"/>
        <v>0.9273927392739274</v>
      </c>
      <c r="AR652" s="1876">
        <f t="shared" si="587"/>
        <v>0</v>
      </c>
      <c r="AS652" s="1885">
        <f t="shared" si="588"/>
        <v>2810</v>
      </c>
      <c r="AT652" s="1875">
        <f t="shared" si="589"/>
        <v>0.9273927392739274</v>
      </c>
      <c r="AU652" s="1876">
        <f t="shared" si="590"/>
        <v>0</v>
      </c>
      <c r="AV652" s="1885">
        <f t="shared" si="591"/>
        <v>2810</v>
      </c>
      <c r="AW652" s="1875">
        <f t="shared" si="592"/>
        <v>0.9273927392739274</v>
      </c>
      <c r="AX652" s="1877">
        <f t="shared" si="593"/>
        <v>0</v>
      </c>
      <c r="AY652" s="1885">
        <f t="shared" si="594"/>
        <v>2810</v>
      </c>
      <c r="AZ652" s="1875">
        <f t="shared" si="595"/>
        <v>0.9273927392739274</v>
      </c>
      <c r="BA652" s="1877">
        <f t="shared" si="596"/>
        <v>0</v>
      </c>
      <c r="BB652" s="1885">
        <f t="shared" si="597"/>
        <v>2810</v>
      </c>
      <c r="BC652" s="1875">
        <f t="shared" si="598"/>
        <v>0.9273927392739274</v>
      </c>
      <c r="BD652" s="1877">
        <f t="shared" si="599"/>
        <v>0</v>
      </c>
      <c r="BE652" s="1886">
        <f t="shared" si="600"/>
        <v>2812.4</v>
      </c>
      <c r="BF652" s="1886">
        <f t="shared" si="600"/>
        <v>2812.8</v>
      </c>
      <c r="BG652" s="1886">
        <f t="shared" si="600"/>
        <v>2816.8</v>
      </c>
      <c r="BH652" s="1886">
        <f t="shared" si="600"/>
        <v>2816.8</v>
      </c>
      <c r="BI652" s="1886">
        <f t="shared" si="600"/>
        <v>2816.8</v>
      </c>
      <c r="BJ652" s="1886">
        <f t="shared" si="600"/>
        <v>2816.8</v>
      </c>
      <c r="BK652" s="1886">
        <f t="shared" si="600"/>
        <v>2816.8</v>
      </c>
      <c r="BL652" s="1886">
        <f t="shared" si="600"/>
        <v>2816.8</v>
      </c>
      <c r="BM652" s="1886">
        <f t="shared" si="600"/>
        <v>2816.8</v>
      </c>
      <c r="BN652" s="1886">
        <f t="shared" si="600"/>
        <v>2816.8</v>
      </c>
      <c r="BO652" s="1886">
        <f t="shared" si="600"/>
        <v>2816.8</v>
      </c>
      <c r="BP652" s="1886">
        <f t="shared" si="600"/>
        <v>2816.8</v>
      </c>
      <c r="BQ652" s="1886">
        <f t="shared" si="600"/>
        <v>2816.8</v>
      </c>
      <c r="BR652" s="1886">
        <f t="shared" si="600"/>
        <v>2816.8</v>
      </c>
      <c r="BS652" s="1886">
        <f t="shared" si="600"/>
        <v>2816.8</v>
      </c>
      <c r="BT652" s="1886">
        <f t="shared" si="600"/>
        <v>2816.8</v>
      </c>
      <c r="BU652" s="1830"/>
    </row>
    <row r="653" spans="37:73" s="496" customFormat="1" ht="12.75" x14ac:dyDescent="0.25">
      <c r="AK653" s="1828"/>
      <c r="AL653" s="1870">
        <f t="shared" si="583"/>
        <v>31</v>
      </c>
      <c r="AM653" s="1883" t="str">
        <f t="shared" si="583"/>
        <v>REVALORIZACIÓN PATRIMONIAL</v>
      </c>
      <c r="AN653" s="1884">
        <f t="shared" si="583"/>
        <v>0</v>
      </c>
      <c r="AO653" s="1873">
        <f t="shared" si="584"/>
        <v>0</v>
      </c>
      <c r="AP653" s="1885">
        <f t="shared" si="585"/>
        <v>40</v>
      </c>
      <c r="AQ653" s="1875">
        <f t="shared" si="586"/>
        <v>1.3201320132013201E-2</v>
      </c>
      <c r="AR653" s="1876">
        <f t="shared" si="587"/>
        <v>0</v>
      </c>
      <c r="AS653" s="1885">
        <f t="shared" si="588"/>
        <v>40</v>
      </c>
      <c r="AT653" s="1875">
        <f t="shared" si="589"/>
        <v>1.3201320132013201E-2</v>
      </c>
      <c r="AU653" s="1876">
        <f t="shared" si="590"/>
        <v>0</v>
      </c>
      <c r="AV653" s="1885">
        <f t="shared" si="591"/>
        <v>40</v>
      </c>
      <c r="AW653" s="1875">
        <f t="shared" si="592"/>
        <v>1.3201320132013201E-2</v>
      </c>
      <c r="AX653" s="1877">
        <f t="shared" si="593"/>
        <v>0</v>
      </c>
      <c r="AY653" s="1885">
        <f t="shared" si="594"/>
        <v>40</v>
      </c>
      <c r="AZ653" s="1875">
        <f t="shared" si="595"/>
        <v>1.3201320132013201E-2</v>
      </c>
      <c r="BA653" s="1877">
        <f t="shared" si="596"/>
        <v>0</v>
      </c>
      <c r="BB653" s="1885">
        <f t="shared" si="597"/>
        <v>40</v>
      </c>
      <c r="BC653" s="1875">
        <f t="shared" si="598"/>
        <v>1.3201320132013201E-2</v>
      </c>
      <c r="BD653" s="1877">
        <f t="shared" si="599"/>
        <v>0</v>
      </c>
      <c r="BE653" s="1886">
        <f t="shared" si="600"/>
        <v>40</v>
      </c>
      <c r="BF653" s="1886">
        <f t="shared" si="600"/>
        <v>40</v>
      </c>
      <c r="BG653" s="1886">
        <f t="shared" si="600"/>
        <v>40</v>
      </c>
      <c r="BH653" s="1886">
        <f t="shared" si="600"/>
        <v>40</v>
      </c>
      <c r="BI653" s="1886">
        <f t="shared" si="600"/>
        <v>40</v>
      </c>
      <c r="BJ653" s="1886">
        <f t="shared" si="600"/>
        <v>40</v>
      </c>
      <c r="BK653" s="1886">
        <f t="shared" si="600"/>
        <v>40</v>
      </c>
      <c r="BL653" s="1886">
        <f t="shared" si="600"/>
        <v>40</v>
      </c>
      <c r="BM653" s="1886">
        <f t="shared" si="600"/>
        <v>40</v>
      </c>
      <c r="BN653" s="1886">
        <f t="shared" si="600"/>
        <v>40</v>
      </c>
      <c r="BO653" s="1886">
        <f t="shared" si="600"/>
        <v>40</v>
      </c>
      <c r="BP653" s="1886">
        <f t="shared" si="600"/>
        <v>40</v>
      </c>
      <c r="BQ653" s="1886">
        <f t="shared" si="600"/>
        <v>40</v>
      </c>
      <c r="BR653" s="1886">
        <f t="shared" si="600"/>
        <v>40</v>
      </c>
      <c r="BS653" s="1886">
        <f t="shared" si="600"/>
        <v>40</v>
      </c>
      <c r="BT653" s="1886">
        <f t="shared" si="600"/>
        <v>40</v>
      </c>
      <c r="BU653" s="1830"/>
    </row>
    <row r="654" spans="37:73" s="496" customFormat="1" ht="12.75" x14ac:dyDescent="0.25">
      <c r="AK654" s="1828"/>
      <c r="AL654" s="1887">
        <f t="shared" si="583"/>
        <v>32</v>
      </c>
      <c r="AM654" s="1883" t="str">
        <f t="shared" si="583"/>
        <v>OTROS PATRIMONIO</v>
      </c>
      <c r="AN654" s="1884">
        <f t="shared" si="583"/>
        <v>0</v>
      </c>
      <c r="AO654" s="1873">
        <f t="shared" si="584"/>
        <v>0</v>
      </c>
      <c r="AP654" s="1885">
        <f t="shared" si="585"/>
        <v>40</v>
      </c>
      <c r="AQ654" s="1875">
        <f t="shared" si="586"/>
        <v>1.3201320132013201E-2</v>
      </c>
      <c r="AR654" s="1876">
        <f t="shared" si="587"/>
        <v>0</v>
      </c>
      <c r="AS654" s="1885">
        <f t="shared" si="588"/>
        <v>40</v>
      </c>
      <c r="AT654" s="1875">
        <f t="shared" si="589"/>
        <v>1.3201320132013201E-2</v>
      </c>
      <c r="AU654" s="1876">
        <f t="shared" si="590"/>
        <v>0</v>
      </c>
      <c r="AV654" s="1885">
        <f t="shared" si="591"/>
        <v>40</v>
      </c>
      <c r="AW654" s="1875">
        <f t="shared" si="592"/>
        <v>1.3201320132013201E-2</v>
      </c>
      <c r="AX654" s="1877">
        <f t="shared" si="593"/>
        <v>0</v>
      </c>
      <c r="AY654" s="1885">
        <f t="shared" si="594"/>
        <v>40</v>
      </c>
      <c r="AZ654" s="1875">
        <f t="shared" si="595"/>
        <v>1.3201320132013201E-2</v>
      </c>
      <c r="BA654" s="1877">
        <f t="shared" si="596"/>
        <v>0</v>
      </c>
      <c r="BB654" s="1885">
        <f t="shared" si="597"/>
        <v>40</v>
      </c>
      <c r="BC654" s="1875">
        <f t="shared" si="598"/>
        <v>1.3201320132013201E-2</v>
      </c>
      <c r="BD654" s="1877">
        <f t="shared" si="599"/>
        <v>0</v>
      </c>
      <c r="BE654" s="1886">
        <f t="shared" si="600"/>
        <v>40</v>
      </c>
      <c r="BF654" s="1886">
        <f t="shared" si="600"/>
        <v>40</v>
      </c>
      <c r="BG654" s="1886">
        <f t="shared" si="600"/>
        <v>40</v>
      </c>
      <c r="BH654" s="1886">
        <f t="shared" si="600"/>
        <v>40</v>
      </c>
      <c r="BI654" s="1886">
        <f t="shared" si="600"/>
        <v>40</v>
      </c>
      <c r="BJ654" s="1886">
        <f t="shared" si="600"/>
        <v>40</v>
      </c>
      <c r="BK654" s="1886">
        <f t="shared" si="600"/>
        <v>40</v>
      </c>
      <c r="BL654" s="1886">
        <f t="shared" si="600"/>
        <v>40</v>
      </c>
      <c r="BM654" s="1886">
        <f t="shared" si="600"/>
        <v>40</v>
      </c>
      <c r="BN654" s="1886">
        <f t="shared" si="600"/>
        <v>40</v>
      </c>
      <c r="BO654" s="1886">
        <f t="shared" si="600"/>
        <v>40</v>
      </c>
      <c r="BP654" s="1886">
        <f t="shared" si="600"/>
        <v>40</v>
      </c>
      <c r="BQ654" s="1886">
        <f t="shared" si="600"/>
        <v>40</v>
      </c>
      <c r="BR654" s="1886">
        <f t="shared" si="600"/>
        <v>40</v>
      </c>
      <c r="BS654" s="1886">
        <f t="shared" si="600"/>
        <v>40</v>
      </c>
      <c r="BT654" s="1886">
        <f t="shared" si="600"/>
        <v>40</v>
      </c>
      <c r="BU654" s="1830"/>
    </row>
    <row r="655" spans="37:73" s="496" customFormat="1" ht="12.75" x14ac:dyDescent="0.25">
      <c r="AK655" s="1828"/>
      <c r="AL655" s="1930"/>
      <c r="AM655" s="1900" t="s">
        <v>764</v>
      </c>
      <c r="AN655" s="1901">
        <f>SUM(AN648:AN654)</f>
        <v>0</v>
      </c>
      <c r="AO655" s="1902">
        <f t="shared" si="584"/>
        <v>0</v>
      </c>
      <c r="AP655" s="1903">
        <f>SUM(AP648:AP654)</f>
        <v>3030</v>
      </c>
      <c r="AQ655" s="1904">
        <f t="shared" si="586"/>
        <v>1</v>
      </c>
      <c r="AR655" s="1905">
        <f t="shared" si="587"/>
        <v>0</v>
      </c>
      <c r="AS655" s="1903">
        <f>SUM(AS648:AS654)</f>
        <v>3030</v>
      </c>
      <c r="AT655" s="1904">
        <f t="shared" si="589"/>
        <v>1</v>
      </c>
      <c r="AU655" s="1905">
        <f t="shared" si="590"/>
        <v>0</v>
      </c>
      <c r="AV655" s="1903">
        <f>SUM(AV648:AV654)</f>
        <v>3030</v>
      </c>
      <c r="AW655" s="1904">
        <f t="shared" si="592"/>
        <v>1</v>
      </c>
      <c r="AX655" s="1906">
        <f t="shared" si="593"/>
        <v>0</v>
      </c>
      <c r="AY655" s="1903">
        <f>SUM(AY648:AY654)</f>
        <v>3030</v>
      </c>
      <c r="AZ655" s="1904">
        <f t="shared" si="595"/>
        <v>1</v>
      </c>
      <c r="BA655" s="1906">
        <f t="shared" si="596"/>
        <v>0</v>
      </c>
      <c r="BB655" s="1903">
        <f>SUM(BB648:BB654)</f>
        <v>3030</v>
      </c>
      <c r="BC655" s="1904">
        <f t="shared" si="598"/>
        <v>1</v>
      </c>
      <c r="BD655" s="1906">
        <f t="shared" si="599"/>
        <v>0</v>
      </c>
      <c r="BE655" s="1907">
        <f t="shared" ref="BE655:BT655" si="601">SUM(BE648:BE654)</f>
        <v>3959.7</v>
      </c>
      <c r="BF655" s="1907">
        <f t="shared" si="601"/>
        <v>4888.192</v>
      </c>
      <c r="BG655" s="1907">
        <f t="shared" si="601"/>
        <v>5820.4160000000002</v>
      </c>
      <c r="BH655" s="1907">
        <f t="shared" si="601"/>
        <v>6749.96</v>
      </c>
      <c r="BI655" s="1907">
        <f t="shared" si="601"/>
        <v>7679.5039999999999</v>
      </c>
      <c r="BJ655" s="1907">
        <f t="shared" si="601"/>
        <v>8609.0479999999989</v>
      </c>
      <c r="BK655" s="1907">
        <f t="shared" si="601"/>
        <v>9538.5920000000006</v>
      </c>
      <c r="BL655" s="1907">
        <f t="shared" si="601"/>
        <v>10468.135999999999</v>
      </c>
      <c r="BM655" s="1907">
        <f t="shared" si="601"/>
        <v>11397.68</v>
      </c>
      <c r="BN655" s="1907">
        <f t="shared" si="601"/>
        <v>12327.223999999998</v>
      </c>
      <c r="BO655" s="1907">
        <f t="shared" si="601"/>
        <v>13256.768</v>
      </c>
      <c r="BP655" s="1907">
        <f t="shared" si="601"/>
        <v>14186.311999999998</v>
      </c>
      <c r="BQ655" s="1907">
        <f t="shared" si="601"/>
        <v>15115.856</v>
      </c>
      <c r="BR655" s="1907">
        <f t="shared" si="601"/>
        <v>16045.399999999998</v>
      </c>
      <c r="BS655" s="1907">
        <f t="shared" si="601"/>
        <v>16974.944</v>
      </c>
      <c r="BT655" s="1907">
        <f t="shared" si="601"/>
        <v>17904.487999999998</v>
      </c>
      <c r="BU655" s="1830"/>
    </row>
    <row r="656" spans="37:73" s="496" customFormat="1" ht="12.75" x14ac:dyDescent="0.25">
      <c r="AK656" s="1828"/>
      <c r="AL656" s="1861">
        <f t="shared" ref="AL656:AN657" si="602">A68</f>
        <v>33</v>
      </c>
      <c r="AM656" s="1892" t="str">
        <f t="shared" si="602"/>
        <v>CUENTAS DE ORDEN</v>
      </c>
      <c r="AN656" s="1890">
        <f t="shared" si="602"/>
        <v>0</v>
      </c>
      <c r="AO656" s="1891"/>
      <c r="AP656" s="1892">
        <f>E68</f>
        <v>0</v>
      </c>
      <c r="AQ656" s="1893"/>
      <c r="AR656" s="1894">
        <f t="shared" si="587"/>
        <v>0</v>
      </c>
      <c r="AS656" s="1892">
        <f>H68</f>
        <v>0</v>
      </c>
      <c r="AT656" s="1893"/>
      <c r="AU656" s="1894">
        <f t="shared" si="590"/>
        <v>0</v>
      </c>
      <c r="AV656" s="1892">
        <f>K68</f>
        <v>0</v>
      </c>
      <c r="AW656" s="1893"/>
      <c r="AX656" s="1895">
        <f t="shared" si="593"/>
        <v>0</v>
      </c>
      <c r="AY656" s="1892">
        <f>N68</f>
        <v>0</v>
      </c>
      <c r="AZ656" s="1893"/>
      <c r="BA656" s="1895">
        <f t="shared" si="596"/>
        <v>0</v>
      </c>
      <c r="BB656" s="1892">
        <f>Q68</f>
        <v>0</v>
      </c>
      <c r="BC656" s="1893"/>
      <c r="BD656" s="1895">
        <f t="shared" si="599"/>
        <v>0</v>
      </c>
      <c r="BE656" s="1896">
        <f t="shared" ref="BE656:BT657" si="603">T68</f>
        <v>0</v>
      </c>
      <c r="BF656" s="1896">
        <f t="shared" si="603"/>
        <v>0</v>
      </c>
      <c r="BG656" s="1896">
        <f t="shared" si="603"/>
        <v>0</v>
      </c>
      <c r="BH656" s="1896">
        <f t="shared" si="603"/>
        <v>0</v>
      </c>
      <c r="BI656" s="1896">
        <f t="shared" si="603"/>
        <v>0</v>
      </c>
      <c r="BJ656" s="1896">
        <f t="shared" si="603"/>
        <v>0</v>
      </c>
      <c r="BK656" s="1896">
        <f t="shared" si="603"/>
        <v>0</v>
      </c>
      <c r="BL656" s="1896">
        <f t="shared" si="603"/>
        <v>0</v>
      </c>
      <c r="BM656" s="1896">
        <f t="shared" si="603"/>
        <v>0</v>
      </c>
      <c r="BN656" s="1896">
        <f t="shared" si="603"/>
        <v>0</v>
      </c>
      <c r="BO656" s="1896">
        <f t="shared" si="603"/>
        <v>0</v>
      </c>
      <c r="BP656" s="1896">
        <f t="shared" si="603"/>
        <v>0</v>
      </c>
      <c r="BQ656" s="1896">
        <f t="shared" si="603"/>
        <v>0</v>
      </c>
      <c r="BR656" s="1896">
        <f t="shared" si="603"/>
        <v>0</v>
      </c>
      <c r="BS656" s="1896">
        <f t="shared" si="603"/>
        <v>0</v>
      </c>
      <c r="BT656" s="1896">
        <f t="shared" si="603"/>
        <v>0</v>
      </c>
      <c r="BU656" s="1830"/>
    </row>
    <row r="657" spans="37:73" s="496" customFormat="1" ht="12.75" x14ac:dyDescent="0.25">
      <c r="AK657" s="1828"/>
      <c r="AL657" s="1887">
        <f t="shared" si="602"/>
        <v>34</v>
      </c>
      <c r="AM657" s="1892" t="str">
        <f t="shared" si="602"/>
        <v>CONTINGENTES FINANCIEROS (LEASING - CARTAS DE CRÉDITO ABIERTAS)</v>
      </c>
      <c r="AN657" s="1890">
        <f t="shared" si="602"/>
        <v>0</v>
      </c>
      <c r="AO657" s="1891"/>
      <c r="AP657" s="1892">
        <f>E69</f>
        <v>0</v>
      </c>
      <c r="AQ657" s="1893"/>
      <c r="AR657" s="1894">
        <f t="shared" si="587"/>
        <v>0</v>
      </c>
      <c r="AS657" s="1892">
        <f>H69</f>
        <v>0</v>
      </c>
      <c r="AT657" s="1893"/>
      <c r="AU657" s="1894">
        <f t="shared" si="590"/>
        <v>0</v>
      </c>
      <c r="AV657" s="1892">
        <f>K69</f>
        <v>0</v>
      </c>
      <c r="AW657" s="1893"/>
      <c r="AX657" s="1895">
        <f t="shared" si="593"/>
        <v>0</v>
      </c>
      <c r="AY657" s="1892">
        <f>N69</f>
        <v>0</v>
      </c>
      <c r="AZ657" s="1893"/>
      <c r="BA657" s="1895">
        <f t="shared" si="596"/>
        <v>0</v>
      </c>
      <c r="BB657" s="1892">
        <f>Q69</f>
        <v>0</v>
      </c>
      <c r="BC657" s="1893"/>
      <c r="BD657" s="1895">
        <f t="shared" si="599"/>
        <v>0</v>
      </c>
      <c r="BE657" s="1896">
        <f t="shared" si="603"/>
        <v>0</v>
      </c>
      <c r="BF657" s="1896">
        <f t="shared" si="603"/>
        <v>0</v>
      </c>
      <c r="BG657" s="1896">
        <f t="shared" si="603"/>
        <v>0</v>
      </c>
      <c r="BH657" s="1896">
        <f t="shared" si="603"/>
        <v>0</v>
      </c>
      <c r="BI657" s="1896">
        <f t="shared" si="603"/>
        <v>0</v>
      </c>
      <c r="BJ657" s="1896">
        <f t="shared" si="603"/>
        <v>0</v>
      </c>
      <c r="BK657" s="1896">
        <f t="shared" si="603"/>
        <v>0</v>
      </c>
      <c r="BL657" s="1896">
        <f t="shared" si="603"/>
        <v>0</v>
      </c>
      <c r="BM657" s="1896">
        <f t="shared" si="603"/>
        <v>0</v>
      </c>
      <c r="BN657" s="1896">
        <f t="shared" si="603"/>
        <v>0</v>
      </c>
      <c r="BO657" s="1896">
        <f t="shared" si="603"/>
        <v>0</v>
      </c>
      <c r="BP657" s="1896">
        <f t="shared" si="603"/>
        <v>0</v>
      </c>
      <c r="BQ657" s="1896">
        <f t="shared" si="603"/>
        <v>0</v>
      </c>
      <c r="BR657" s="1896">
        <f t="shared" si="603"/>
        <v>0</v>
      </c>
      <c r="BS657" s="1896">
        <f t="shared" si="603"/>
        <v>0</v>
      </c>
      <c r="BT657" s="1896">
        <f t="shared" si="603"/>
        <v>0</v>
      </c>
      <c r="BU657" s="1830"/>
    </row>
    <row r="658" spans="37:73" s="496" customFormat="1" ht="12.75" x14ac:dyDescent="0.25">
      <c r="AK658" s="1828"/>
      <c r="AL658" s="507"/>
      <c r="AM658" s="1931" t="s">
        <v>1102</v>
      </c>
      <c r="AN658" s="1932">
        <f>AN655+AN646-AN616</f>
        <v>0</v>
      </c>
      <c r="AO658" s="1933"/>
      <c r="AP658" s="647">
        <f>AP655+AP646-AP616</f>
        <v>90</v>
      </c>
      <c r="AQ658" s="1934"/>
      <c r="AR658" s="1935"/>
      <c r="AS658" s="647">
        <f>AS655+AS646-AS616</f>
        <v>90</v>
      </c>
      <c r="AT658" s="1934"/>
      <c r="AU658" s="1935"/>
      <c r="AV658" s="647">
        <f>AV655+AV646-AV616</f>
        <v>90</v>
      </c>
      <c r="AW658" s="1934"/>
      <c r="AX658" s="1936"/>
      <c r="AY658" s="647">
        <f>AY655+AY646-AY616</f>
        <v>90</v>
      </c>
      <c r="AZ658" s="1934"/>
      <c r="BA658" s="1936"/>
      <c r="BB658" s="647">
        <f>BB655+BB646-BB616</f>
        <v>90</v>
      </c>
      <c r="BC658" s="1934"/>
      <c r="BD658" s="1936"/>
      <c r="BE658" s="648">
        <f t="shared" ref="BE658:BT658" si="604">BE655+BE646-BE616</f>
        <v>90.000000000000909</v>
      </c>
      <c r="BF658" s="648">
        <f t="shared" si="604"/>
        <v>90.000000000000909</v>
      </c>
      <c r="BG658" s="648">
        <f t="shared" si="604"/>
        <v>90.000000000000909</v>
      </c>
      <c r="BH658" s="648">
        <f t="shared" si="604"/>
        <v>90.000000000000909</v>
      </c>
      <c r="BI658" s="648">
        <f t="shared" si="604"/>
        <v>90.000000000001819</v>
      </c>
      <c r="BJ658" s="648">
        <f t="shared" si="604"/>
        <v>90</v>
      </c>
      <c r="BK658" s="648">
        <f t="shared" si="604"/>
        <v>90.000000000001819</v>
      </c>
      <c r="BL658" s="648">
        <f t="shared" si="604"/>
        <v>90.000000000001819</v>
      </c>
      <c r="BM658" s="648">
        <f t="shared" si="604"/>
        <v>90.000000000001819</v>
      </c>
      <c r="BN658" s="648">
        <f t="shared" si="604"/>
        <v>90.000000000003638</v>
      </c>
      <c r="BO658" s="648">
        <f t="shared" si="604"/>
        <v>90.000000000003638</v>
      </c>
      <c r="BP658" s="648">
        <f t="shared" si="604"/>
        <v>90.000000000001819</v>
      </c>
      <c r="BQ658" s="648">
        <f t="shared" si="604"/>
        <v>90.000000000003638</v>
      </c>
      <c r="BR658" s="648">
        <f t="shared" si="604"/>
        <v>90.000000000003638</v>
      </c>
      <c r="BS658" s="648">
        <f t="shared" si="604"/>
        <v>90.000000000003638</v>
      </c>
      <c r="BT658" s="648">
        <f t="shared" si="604"/>
        <v>90.000000000003638</v>
      </c>
      <c r="BU658" s="1830"/>
    </row>
    <row r="659" spans="37:73" s="496" customFormat="1" ht="12.75" x14ac:dyDescent="0.2">
      <c r="AK659" s="1828"/>
      <c r="AL659" s="507"/>
      <c r="AM659" s="507" t="s">
        <v>801</v>
      </c>
      <c r="AN659" s="989"/>
      <c r="AO659" s="1917"/>
      <c r="AP659" s="989"/>
      <c r="AQ659" s="1917"/>
      <c r="AR659" s="1917"/>
      <c r="AS659" s="989"/>
      <c r="AT659" s="1917"/>
      <c r="AU659" s="1917"/>
      <c r="AV659" s="989"/>
      <c r="AW659" s="1917"/>
      <c r="AX659" s="1917"/>
      <c r="AY659" s="989"/>
      <c r="AZ659" s="1917"/>
      <c r="BA659" s="1917"/>
      <c r="BB659" s="989"/>
      <c r="BC659" s="1917"/>
      <c r="BD659" s="1917"/>
      <c r="BE659" s="1937"/>
      <c r="BF659" s="1937"/>
      <c r="BG659" s="1937"/>
      <c r="BH659" s="1937"/>
      <c r="BI659" s="1937"/>
      <c r="BJ659" s="1937"/>
      <c r="BK659" s="1937"/>
      <c r="BL659" s="1937"/>
      <c r="BM659" s="1937"/>
      <c r="BN659" s="1937"/>
      <c r="BO659" s="1937"/>
      <c r="BP659" s="1918"/>
      <c r="BQ659" s="1860"/>
      <c r="BU659" s="1830"/>
    </row>
    <row r="660" spans="37:73" s="496" customFormat="1" ht="12.75" x14ac:dyDescent="0.25">
      <c r="AK660" s="1828"/>
      <c r="AL660" s="1861">
        <f t="shared" ref="AL660:AN661" si="605">A71</f>
        <v>35</v>
      </c>
      <c r="AM660" s="1862" t="str">
        <f t="shared" si="605"/>
        <v>VENTAS</v>
      </c>
      <c r="AN660" s="1240">
        <f t="shared" si="605"/>
        <v>0</v>
      </c>
      <c r="AO660" s="1864">
        <f t="shared" ref="AO660:AO683" si="606">IF(OR(AN660=0,AN$660=0),0,AN660/AN$660)</f>
        <v>0</v>
      </c>
      <c r="AP660" s="1865">
        <f>E71</f>
        <v>3610</v>
      </c>
      <c r="AQ660" s="1866">
        <f t="shared" ref="AQ660:AQ683" si="607">IF(OR(AP660=0,AP$660=0),0,AP660/AP$660)</f>
        <v>1</v>
      </c>
      <c r="AR660" s="1867">
        <f t="shared" ref="AR660:AR683" si="608">IF(OR(AN660=0,AP660=0),0,IF(ABS(((AP660*360/AP$584)/(AN660*360/AN$584))-1)&gt;1000000%,0,((AP660*360/AP$584)/(AN660*360/AN$584))-1))</f>
        <v>0</v>
      </c>
      <c r="AS660" s="1865">
        <f>H71</f>
        <v>3610</v>
      </c>
      <c r="AT660" s="1866">
        <f t="shared" ref="AT660:AT683" si="609">IF(OR(AS660=0,AS$660=0),0,AS660/AS$660)</f>
        <v>1</v>
      </c>
      <c r="AU660" s="1867">
        <f t="shared" ref="AU660:AU683" si="610">IF(OR(AP660=0,AS660=0),0,IF(ABS(((AS660*360/AS$584)/(AP660*360/AP$584))-1)&gt;1000000%,0,((AS660*360/AS$584)/(AP660*360/AP$584))-1))</f>
        <v>0</v>
      </c>
      <c r="AV660" s="1865">
        <f>K71</f>
        <v>3610</v>
      </c>
      <c r="AW660" s="1866">
        <f t="shared" ref="AW660:AW683" si="611">IF(OR(AV660=0,AV$660=0),0,AV660/AV$660)</f>
        <v>1</v>
      </c>
      <c r="AX660" s="1868">
        <f t="shared" ref="AX660:AX683" si="612">IF(OR(AS660=0,AV660=0),0,IF(ABS(((AV660*360/AV$584)/(AS660*360/AS$584))-1)&gt;1000000%,0,((AV660*360/AV$584)/(AS660*360/AS$584))-1))</f>
        <v>1</v>
      </c>
      <c r="AY660" s="1865">
        <f>N71</f>
        <v>3610</v>
      </c>
      <c r="AZ660" s="1866">
        <f t="shared" ref="AZ660:AZ683" si="613">IF(OR(AY660=0,AY$660=0),0,AY660/AY$660)</f>
        <v>1</v>
      </c>
      <c r="BA660" s="1868">
        <f t="shared" ref="BA660:BA683" si="614">IF(OR(AS660=0,AY660=0),0,IF(ABS(((AY660*360/AY$584)/(AS660*360/AS$584))-1)&gt;1000000%,0,((AY660*360/AY$584)/(AS660*360/AS$584))-1))</f>
        <v>0</v>
      </c>
      <c r="BB660" s="1865">
        <f>Q71</f>
        <v>3610</v>
      </c>
      <c r="BC660" s="1866">
        <f t="shared" ref="BC660:BC683" si="615">IF(OR(BB660=0,BB$660=0),0,BB660/BB$660)</f>
        <v>1</v>
      </c>
      <c r="BD660" s="1868">
        <f t="shared" ref="BD660:BD683" si="616">IF(OR(AY660=0,BB660=0),0,IF(ABS(((BB660*360/BB$584)/(AY660*360/AY$584))-1)&gt;1000000%,0,((BB660*360/BB$584)/(AY660*360/AY$584))-1))</f>
        <v>1</v>
      </c>
      <c r="BE660" s="1869">
        <f t="shared" ref="BE660:BT661" si="617">T71</f>
        <v>3610</v>
      </c>
      <c r="BF660" s="1869">
        <f t="shared" si="617"/>
        <v>3610</v>
      </c>
      <c r="BG660" s="1869">
        <f t="shared" si="617"/>
        <v>3610</v>
      </c>
      <c r="BH660" s="1869">
        <f t="shared" si="617"/>
        <v>3610</v>
      </c>
      <c r="BI660" s="1869">
        <f t="shared" si="617"/>
        <v>3610</v>
      </c>
      <c r="BJ660" s="1869">
        <f t="shared" si="617"/>
        <v>3610</v>
      </c>
      <c r="BK660" s="1869">
        <f t="shared" si="617"/>
        <v>3610</v>
      </c>
      <c r="BL660" s="1869">
        <f t="shared" si="617"/>
        <v>3610</v>
      </c>
      <c r="BM660" s="1869">
        <f t="shared" si="617"/>
        <v>3610</v>
      </c>
      <c r="BN660" s="1869">
        <f t="shared" si="617"/>
        <v>3610</v>
      </c>
      <c r="BO660" s="1869">
        <f t="shared" si="617"/>
        <v>3610</v>
      </c>
      <c r="BP660" s="1869">
        <f t="shared" si="617"/>
        <v>3610</v>
      </c>
      <c r="BQ660" s="1869">
        <f t="shared" si="617"/>
        <v>3610</v>
      </c>
      <c r="BR660" s="1869">
        <f t="shared" si="617"/>
        <v>3610</v>
      </c>
      <c r="BS660" s="1869">
        <f t="shared" si="617"/>
        <v>3610</v>
      </c>
      <c r="BT660" s="1869">
        <f t="shared" si="617"/>
        <v>3610</v>
      </c>
      <c r="BU660" s="1830"/>
    </row>
    <row r="661" spans="37:73" s="496" customFormat="1" ht="12.75" x14ac:dyDescent="0.25">
      <c r="AK661" s="1828"/>
      <c r="AL661" s="1887">
        <f t="shared" si="605"/>
        <v>36</v>
      </c>
      <c r="AM661" s="1883" t="str">
        <f t="shared" si="605"/>
        <v>COSTO DE VENTAS</v>
      </c>
      <c r="AN661" s="1884">
        <f t="shared" si="605"/>
        <v>0</v>
      </c>
      <c r="AO661" s="1873">
        <f t="shared" si="606"/>
        <v>0</v>
      </c>
      <c r="AP661" s="1885">
        <f>E72</f>
        <v>500</v>
      </c>
      <c r="AQ661" s="1875">
        <f t="shared" si="607"/>
        <v>0.13850415512465375</v>
      </c>
      <c r="AR661" s="1876">
        <f t="shared" si="608"/>
        <v>0</v>
      </c>
      <c r="AS661" s="1885">
        <f>H72</f>
        <v>500</v>
      </c>
      <c r="AT661" s="1875">
        <f t="shared" si="609"/>
        <v>0.13850415512465375</v>
      </c>
      <c r="AU661" s="1876">
        <f t="shared" si="610"/>
        <v>0</v>
      </c>
      <c r="AV661" s="1885">
        <f>K72</f>
        <v>500</v>
      </c>
      <c r="AW661" s="1875">
        <f t="shared" si="611"/>
        <v>0.13850415512465375</v>
      </c>
      <c r="AX661" s="1877">
        <f t="shared" si="612"/>
        <v>1</v>
      </c>
      <c r="AY661" s="1885">
        <f>N72</f>
        <v>500</v>
      </c>
      <c r="AZ661" s="1875">
        <f t="shared" si="613"/>
        <v>0.13850415512465375</v>
      </c>
      <c r="BA661" s="1877">
        <f t="shared" si="614"/>
        <v>0</v>
      </c>
      <c r="BB661" s="1885">
        <f>Q72</f>
        <v>500</v>
      </c>
      <c r="BC661" s="1875">
        <f t="shared" si="615"/>
        <v>0.13850415512465375</v>
      </c>
      <c r="BD661" s="1877">
        <f t="shared" si="616"/>
        <v>1</v>
      </c>
      <c r="BE661" s="1886">
        <f t="shared" si="617"/>
        <v>500.00000000000006</v>
      </c>
      <c r="BF661" s="1886">
        <f t="shared" si="617"/>
        <v>500.00000000000006</v>
      </c>
      <c r="BG661" s="1886">
        <f t="shared" si="617"/>
        <v>500.00000000000006</v>
      </c>
      <c r="BH661" s="1886">
        <f t="shared" si="617"/>
        <v>500.00000000000006</v>
      </c>
      <c r="BI661" s="1886">
        <f t="shared" si="617"/>
        <v>500.00000000000006</v>
      </c>
      <c r="BJ661" s="1886">
        <f t="shared" si="617"/>
        <v>500.00000000000006</v>
      </c>
      <c r="BK661" s="1886">
        <f t="shared" si="617"/>
        <v>500.00000000000006</v>
      </c>
      <c r="BL661" s="1886">
        <f t="shared" si="617"/>
        <v>500.00000000000006</v>
      </c>
      <c r="BM661" s="1886">
        <f t="shared" si="617"/>
        <v>500.00000000000006</v>
      </c>
      <c r="BN661" s="1886">
        <f t="shared" si="617"/>
        <v>500.00000000000006</v>
      </c>
      <c r="BO661" s="1886">
        <f t="shared" si="617"/>
        <v>500.00000000000006</v>
      </c>
      <c r="BP661" s="1886">
        <f t="shared" si="617"/>
        <v>500.00000000000006</v>
      </c>
      <c r="BQ661" s="1886">
        <f t="shared" si="617"/>
        <v>500.00000000000006</v>
      </c>
      <c r="BR661" s="1886">
        <f t="shared" si="617"/>
        <v>500.00000000000006</v>
      </c>
      <c r="BS661" s="1886">
        <f t="shared" si="617"/>
        <v>500.00000000000006</v>
      </c>
      <c r="BT661" s="1886">
        <f t="shared" si="617"/>
        <v>500.00000000000006</v>
      </c>
      <c r="BU661" s="1830"/>
    </row>
    <row r="662" spans="37:73" s="496" customFormat="1" ht="12.75" x14ac:dyDescent="0.25">
      <c r="AK662" s="1828"/>
      <c r="AL662" s="1930"/>
      <c r="AM662" s="1900" t="s">
        <v>807</v>
      </c>
      <c r="AN662" s="1901">
        <f>AN660-AN661</f>
        <v>0</v>
      </c>
      <c r="AO662" s="1902">
        <f t="shared" si="606"/>
        <v>0</v>
      </c>
      <c r="AP662" s="1903">
        <f>AP660-AP661</f>
        <v>3110</v>
      </c>
      <c r="AQ662" s="1904">
        <f t="shared" si="607"/>
        <v>0.86149584487534625</v>
      </c>
      <c r="AR662" s="1905">
        <f t="shared" si="608"/>
        <v>0</v>
      </c>
      <c r="AS662" s="1903">
        <f>AS660-AS661</f>
        <v>3110</v>
      </c>
      <c r="AT662" s="1904">
        <f t="shared" si="609"/>
        <v>0.86149584487534625</v>
      </c>
      <c r="AU662" s="1905">
        <f t="shared" si="610"/>
        <v>0</v>
      </c>
      <c r="AV662" s="1903">
        <f>AV660-AV661</f>
        <v>3110</v>
      </c>
      <c r="AW662" s="1904">
        <f t="shared" si="611"/>
        <v>0.86149584487534625</v>
      </c>
      <c r="AX662" s="1906">
        <f t="shared" si="612"/>
        <v>1</v>
      </c>
      <c r="AY662" s="1903">
        <f>AY660-AY661</f>
        <v>3110</v>
      </c>
      <c r="AZ662" s="1904">
        <f t="shared" si="613"/>
        <v>0.86149584487534625</v>
      </c>
      <c r="BA662" s="1906">
        <f t="shared" si="614"/>
        <v>0</v>
      </c>
      <c r="BB662" s="1903">
        <f>BB660-BB661</f>
        <v>3110</v>
      </c>
      <c r="BC662" s="1904">
        <f t="shared" si="615"/>
        <v>0.86149584487534625</v>
      </c>
      <c r="BD662" s="1906">
        <f t="shared" si="616"/>
        <v>1</v>
      </c>
      <c r="BE662" s="1907">
        <f t="shared" ref="BE662:BT662" si="618">BE660-BE661</f>
        <v>3110</v>
      </c>
      <c r="BF662" s="1907">
        <f t="shared" si="618"/>
        <v>3110</v>
      </c>
      <c r="BG662" s="1907">
        <f t="shared" si="618"/>
        <v>3110</v>
      </c>
      <c r="BH662" s="1907">
        <f t="shared" si="618"/>
        <v>3110</v>
      </c>
      <c r="BI662" s="1907">
        <f t="shared" si="618"/>
        <v>3110</v>
      </c>
      <c r="BJ662" s="1907">
        <f t="shared" si="618"/>
        <v>3110</v>
      </c>
      <c r="BK662" s="1907">
        <f t="shared" si="618"/>
        <v>3110</v>
      </c>
      <c r="BL662" s="1907">
        <f t="shared" si="618"/>
        <v>3110</v>
      </c>
      <c r="BM662" s="1907">
        <f t="shared" si="618"/>
        <v>3110</v>
      </c>
      <c r="BN662" s="1907">
        <f t="shared" si="618"/>
        <v>3110</v>
      </c>
      <c r="BO662" s="1907">
        <f t="shared" si="618"/>
        <v>3110</v>
      </c>
      <c r="BP662" s="1907">
        <f t="shared" si="618"/>
        <v>3110</v>
      </c>
      <c r="BQ662" s="1907">
        <f t="shared" si="618"/>
        <v>3110</v>
      </c>
      <c r="BR662" s="1907">
        <f t="shared" si="618"/>
        <v>3110</v>
      </c>
      <c r="BS662" s="1907">
        <f t="shared" si="618"/>
        <v>3110</v>
      </c>
      <c r="BT662" s="1907">
        <f t="shared" si="618"/>
        <v>3110</v>
      </c>
      <c r="BU662" s="1830"/>
    </row>
    <row r="663" spans="37:73" s="496" customFormat="1" ht="12.75" x14ac:dyDescent="0.25">
      <c r="AK663" s="1828"/>
      <c r="AL663" s="1938">
        <f>A74</f>
        <v>37</v>
      </c>
      <c r="AM663" s="1883" t="str">
        <f>B74</f>
        <v>GASTOS DE ADMINISTRACIÓN Y VENTAS</v>
      </c>
      <c r="AN663" s="1884">
        <f>C74</f>
        <v>0</v>
      </c>
      <c r="AO663" s="1873">
        <f t="shared" si="606"/>
        <v>0</v>
      </c>
      <c r="AP663" s="1885">
        <f>E74</f>
        <v>300</v>
      </c>
      <c r="AQ663" s="1875">
        <f t="shared" si="607"/>
        <v>8.3102493074792241E-2</v>
      </c>
      <c r="AR663" s="1876">
        <f t="shared" si="608"/>
        <v>0</v>
      </c>
      <c r="AS663" s="1885">
        <f>H74</f>
        <v>300</v>
      </c>
      <c r="AT663" s="1875">
        <f t="shared" si="609"/>
        <v>8.3102493074792241E-2</v>
      </c>
      <c r="AU663" s="1876">
        <f t="shared" si="610"/>
        <v>0</v>
      </c>
      <c r="AV663" s="1885">
        <f>K74</f>
        <v>300</v>
      </c>
      <c r="AW663" s="1875">
        <f t="shared" si="611"/>
        <v>8.3102493074792241E-2</v>
      </c>
      <c r="AX663" s="1877">
        <f t="shared" si="612"/>
        <v>1</v>
      </c>
      <c r="AY663" s="1885">
        <f>N74</f>
        <v>300</v>
      </c>
      <c r="AZ663" s="1875">
        <f t="shared" si="613"/>
        <v>8.3102493074792241E-2</v>
      </c>
      <c r="BA663" s="1877">
        <f t="shared" si="614"/>
        <v>0</v>
      </c>
      <c r="BB663" s="1885">
        <f>Q74</f>
        <v>300</v>
      </c>
      <c r="BC663" s="1875">
        <f t="shared" si="615"/>
        <v>8.3102493074792241E-2</v>
      </c>
      <c r="BD663" s="1877">
        <f t="shared" si="616"/>
        <v>1</v>
      </c>
      <c r="BE663" s="1886">
        <f t="shared" ref="BE663:BT663" si="619">T74</f>
        <v>300</v>
      </c>
      <c r="BF663" s="1886">
        <f t="shared" si="619"/>
        <v>300</v>
      </c>
      <c r="BG663" s="1886">
        <f t="shared" si="619"/>
        <v>300</v>
      </c>
      <c r="BH663" s="1886">
        <f t="shared" si="619"/>
        <v>300</v>
      </c>
      <c r="BI663" s="1886">
        <f t="shared" si="619"/>
        <v>300</v>
      </c>
      <c r="BJ663" s="1886">
        <f t="shared" si="619"/>
        <v>300</v>
      </c>
      <c r="BK663" s="1886">
        <f t="shared" si="619"/>
        <v>300</v>
      </c>
      <c r="BL663" s="1886">
        <f t="shared" si="619"/>
        <v>300</v>
      </c>
      <c r="BM663" s="1886">
        <f t="shared" si="619"/>
        <v>300</v>
      </c>
      <c r="BN663" s="1886">
        <f t="shared" si="619"/>
        <v>300</v>
      </c>
      <c r="BO663" s="1886">
        <f t="shared" si="619"/>
        <v>300</v>
      </c>
      <c r="BP663" s="1886">
        <f t="shared" si="619"/>
        <v>300</v>
      </c>
      <c r="BQ663" s="1886">
        <f t="shared" si="619"/>
        <v>300</v>
      </c>
      <c r="BR663" s="1886">
        <f t="shared" si="619"/>
        <v>300</v>
      </c>
      <c r="BS663" s="1886">
        <f t="shared" si="619"/>
        <v>300</v>
      </c>
      <c r="BT663" s="1886">
        <f t="shared" si="619"/>
        <v>300</v>
      </c>
      <c r="BU663" s="1830"/>
    </row>
    <row r="664" spans="37:73" s="496" customFormat="1" ht="12.75" x14ac:dyDescent="0.25">
      <c r="AK664" s="1828"/>
      <c r="AL664" s="1930"/>
      <c r="AM664" s="1900" t="s">
        <v>1105</v>
      </c>
      <c r="AN664" s="1901">
        <f>AN662-AN663</f>
        <v>0</v>
      </c>
      <c r="AO664" s="1902">
        <f t="shared" si="606"/>
        <v>0</v>
      </c>
      <c r="AP664" s="1903">
        <f>AP662-AP663</f>
        <v>2810</v>
      </c>
      <c r="AQ664" s="1904">
        <f t="shared" si="607"/>
        <v>0.77839335180055402</v>
      </c>
      <c r="AR664" s="1905">
        <f t="shared" si="608"/>
        <v>0</v>
      </c>
      <c r="AS664" s="1903">
        <f>AS662-AS663</f>
        <v>2810</v>
      </c>
      <c r="AT664" s="1904">
        <f t="shared" si="609"/>
        <v>0.77839335180055402</v>
      </c>
      <c r="AU664" s="1905">
        <f t="shared" si="610"/>
        <v>0</v>
      </c>
      <c r="AV664" s="1903">
        <f>AV662-AV663</f>
        <v>2810</v>
      </c>
      <c r="AW664" s="1904">
        <f t="shared" si="611"/>
        <v>0.77839335180055402</v>
      </c>
      <c r="AX664" s="1906">
        <f t="shared" si="612"/>
        <v>1</v>
      </c>
      <c r="AY664" s="1903">
        <f>AY662-AY663</f>
        <v>2810</v>
      </c>
      <c r="AZ664" s="1904">
        <f t="shared" si="613"/>
        <v>0.77839335180055402</v>
      </c>
      <c r="BA664" s="1906">
        <f t="shared" si="614"/>
        <v>0</v>
      </c>
      <c r="BB664" s="1903">
        <f>BB662-BB663</f>
        <v>2810</v>
      </c>
      <c r="BC664" s="1904">
        <f t="shared" si="615"/>
        <v>0.77839335180055402</v>
      </c>
      <c r="BD664" s="1906">
        <f t="shared" si="616"/>
        <v>1</v>
      </c>
      <c r="BE664" s="1907">
        <f t="shared" ref="BE664:BT664" si="620">BE662-BE663</f>
        <v>2810</v>
      </c>
      <c r="BF664" s="1907">
        <f t="shared" si="620"/>
        <v>2810</v>
      </c>
      <c r="BG664" s="1907">
        <f t="shared" si="620"/>
        <v>2810</v>
      </c>
      <c r="BH664" s="1907">
        <f t="shared" si="620"/>
        <v>2810</v>
      </c>
      <c r="BI664" s="1907">
        <f t="shared" si="620"/>
        <v>2810</v>
      </c>
      <c r="BJ664" s="1907">
        <f t="shared" si="620"/>
        <v>2810</v>
      </c>
      <c r="BK664" s="1907">
        <f t="shared" si="620"/>
        <v>2810</v>
      </c>
      <c r="BL664" s="1907">
        <f t="shared" si="620"/>
        <v>2810</v>
      </c>
      <c r="BM664" s="1907">
        <f t="shared" si="620"/>
        <v>2810</v>
      </c>
      <c r="BN664" s="1907">
        <f t="shared" si="620"/>
        <v>2810</v>
      </c>
      <c r="BO664" s="1907">
        <f t="shared" si="620"/>
        <v>2810</v>
      </c>
      <c r="BP664" s="1907">
        <f t="shared" si="620"/>
        <v>2810</v>
      </c>
      <c r="BQ664" s="1907">
        <f t="shared" si="620"/>
        <v>2810</v>
      </c>
      <c r="BR664" s="1907">
        <f t="shared" si="620"/>
        <v>2810</v>
      </c>
      <c r="BS664" s="1907">
        <f t="shared" si="620"/>
        <v>2810</v>
      </c>
      <c r="BT664" s="1907">
        <f t="shared" si="620"/>
        <v>2810</v>
      </c>
      <c r="BU664" s="1830"/>
    </row>
    <row r="665" spans="37:73" s="496" customFormat="1" ht="12.75" x14ac:dyDescent="0.25">
      <c r="AK665" s="1828"/>
      <c r="AL665" s="1861">
        <f t="shared" ref="AL665:AN667" si="621">A76</f>
        <v>38</v>
      </c>
      <c r="AM665" s="1883" t="str">
        <f t="shared" si="621"/>
        <v>GASTOS FINANCIEROS</v>
      </c>
      <c r="AN665" s="1884">
        <f t="shared" si="621"/>
        <v>0</v>
      </c>
      <c r="AO665" s="1873">
        <f t="shared" si="606"/>
        <v>0</v>
      </c>
      <c r="AP665" s="1885">
        <f t="shared" ref="AP665:AP675" si="622">E76</f>
        <v>10</v>
      </c>
      <c r="AQ665" s="1875">
        <f t="shared" si="607"/>
        <v>2.7700831024930748E-3</v>
      </c>
      <c r="AR665" s="1876">
        <f t="shared" si="608"/>
        <v>0</v>
      </c>
      <c r="AS665" s="1885">
        <f t="shared" ref="AS665:AS675" si="623">H76</f>
        <v>10</v>
      </c>
      <c r="AT665" s="1875">
        <f t="shared" si="609"/>
        <v>2.7700831024930748E-3</v>
      </c>
      <c r="AU665" s="1876">
        <f t="shared" si="610"/>
        <v>0</v>
      </c>
      <c r="AV665" s="1885">
        <f t="shared" ref="AV665:AV675" si="624">K76</f>
        <v>10</v>
      </c>
      <c r="AW665" s="1875">
        <f t="shared" si="611"/>
        <v>2.7700831024930748E-3</v>
      </c>
      <c r="AX665" s="1877">
        <f t="shared" si="612"/>
        <v>1</v>
      </c>
      <c r="AY665" s="1885">
        <f t="shared" ref="AY665:AY675" si="625">N76</f>
        <v>10</v>
      </c>
      <c r="AZ665" s="1875">
        <f t="shared" si="613"/>
        <v>2.7700831024930748E-3</v>
      </c>
      <c r="BA665" s="1877">
        <f t="shared" si="614"/>
        <v>0</v>
      </c>
      <c r="BB665" s="1885">
        <f t="shared" ref="BB665:BB675" si="626">Q76</f>
        <v>10</v>
      </c>
      <c r="BC665" s="1875">
        <f t="shared" si="615"/>
        <v>2.7700831024930748E-3</v>
      </c>
      <c r="BD665" s="1877">
        <f t="shared" si="616"/>
        <v>1</v>
      </c>
      <c r="BE665" s="1886">
        <f t="shared" ref="BE665:BE675" si="627">T76</f>
        <v>7.6000000000000014</v>
      </c>
      <c r="BF665" s="1886">
        <f t="shared" ref="BF665:BF675" si="628">U76</f>
        <v>7.2000000000000011</v>
      </c>
      <c r="BG665" s="1886">
        <f t="shared" ref="BG665:BG675" si="629">V76</f>
        <v>3.2000000000000006</v>
      </c>
      <c r="BH665" s="1886">
        <f t="shared" ref="BH665:BH675" si="630">W76</f>
        <v>3.2000000000000006</v>
      </c>
      <c r="BI665" s="1886">
        <f t="shared" ref="BI665:BI675" si="631">X76</f>
        <v>3.2000000000000006</v>
      </c>
      <c r="BJ665" s="1886">
        <f t="shared" ref="BJ665:BJ675" si="632">Y76</f>
        <v>3.2000000000000006</v>
      </c>
      <c r="BK665" s="1886">
        <f t="shared" ref="BK665:BK675" si="633">Z76</f>
        <v>3.2000000000000006</v>
      </c>
      <c r="BL665" s="1886">
        <f t="shared" ref="BL665:BL675" si="634">AA76</f>
        <v>3.2000000000000006</v>
      </c>
      <c r="BM665" s="1886">
        <f t="shared" ref="BM665:BM675" si="635">AB76</f>
        <v>3.2000000000000006</v>
      </c>
      <c r="BN665" s="1886">
        <f t="shared" ref="BN665:BN675" si="636">AC76</f>
        <v>3.2000000000000006</v>
      </c>
      <c r="BO665" s="1886">
        <f t="shared" ref="BO665:BO675" si="637">AD76</f>
        <v>3.2000000000000006</v>
      </c>
      <c r="BP665" s="1886">
        <f t="shared" ref="BP665:BP675" si="638">AE76</f>
        <v>3.2000000000000006</v>
      </c>
      <c r="BQ665" s="1886">
        <f t="shared" ref="BQ665:BQ675" si="639">AF76</f>
        <v>3.2000000000000006</v>
      </c>
      <c r="BR665" s="1886">
        <f t="shared" ref="BR665:BR675" si="640">AG76</f>
        <v>3.2000000000000006</v>
      </c>
      <c r="BS665" s="1886">
        <f t="shared" ref="BS665:BS675" si="641">AH76</f>
        <v>3.2000000000000006</v>
      </c>
      <c r="BT665" s="1886">
        <f t="shared" ref="BT665:BT675" si="642">AI76</f>
        <v>3.2000000000000006</v>
      </c>
      <c r="BU665" s="1830"/>
    </row>
    <row r="666" spans="37:73" s="496" customFormat="1" ht="12.75" x14ac:dyDescent="0.25">
      <c r="AK666" s="1828"/>
      <c r="AL666" s="1870">
        <f t="shared" si="621"/>
        <v>39</v>
      </c>
      <c r="AM666" s="1883" t="str">
        <f t="shared" si="621"/>
        <v>CORRECCIÓN MONETARIA</v>
      </c>
      <c r="AN666" s="1884">
        <f t="shared" si="621"/>
        <v>0</v>
      </c>
      <c r="AO666" s="1873">
        <f t="shared" si="606"/>
        <v>0</v>
      </c>
      <c r="AP666" s="1885">
        <f t="shared" si="622"/>
        <v>0</v>
      </c>
      <c r="AQ666" s="1875">
        <f t="shared" si="607"/>
        <v>0</v>
      </c>
      <c r="AR666" s="1876">
        <f t="shared" si="608"/>
        <v>0</v>
      </c>
      <c r="AS666" s="1885">
        <f t="shared" si="623"/>
        <v>0</v>
      </c>
      <c r="AT666" s="1875">
        <f t="shared" si="609"/>
        <v>0</v>
      </c>
      <c r="AU666" s="1876">
        <f t="shared" si="610"/>
        <v>0</v>
      </c>
      <c r="AV666" s="1885">
        <f t="shared" si="624"/>
        <v>0</v>
      </c>
      <c r="AW666" s="1875">
        <f t="shared" si="611"/>
        <v>0</v>
      </c>
      <c r="AX666" s="1877">
        <f t="shared" si="612"/>
        <v>0</v>
      </c>
      <c r="AY666" s="1885">
        <f t="shared" si="625"/>
        <v>0</v>
      </c>
      <c r="AZ666" s="1875">
        <f t="shared" si="613"/>
        <v>0</v>
      </c>
      <c r="BA666" s="1877">
        <f t="shared" si="614"/>
        <v>0</v>
      </c>
      <c r="BB666" s="1885">
        <f t="shared" si="626"/>
        <v>0</v>
      </c>
      <c r="BC666" s="1875">
        <f t="shared" si="615"/>
        <v>0</v>
      </c>
      <c r="BD666" s="1877">
        <f t="shared" si="616"/>
        <v>0</v>
      </c>
      <c r="BE666" s="1886">
        <f t="shared" si="627"/>
        <v>0</v>
      </c>
      <c r="BF666" s="1886">
        <f t="shared" si="628"/>
        <v>0</v>
      </c>
      <c r="BG666" s="1886">
        <f t="shared" si="629"/>
        <v>0</v>
      </c>
      <c r="BH666" s="1886">
        <f t="shared" si="630"/>
        <v>0</v>
      </c>
      <c r="BI666" s="1886">
        <f t="shared" si="631"/>
        <v>0</v>
      </c>
      <c r="BJ666" s="1886">
        <f t="shared" si="632"/>
        <v>0</v>
      </c>
      <c r="BK666" s="1886">
        <f t="shared" si="633"/>
        <v>0</v>
      </c>
      <c r="BL666" s="1886">
        <f t="shared" si="634"/>
        <v>0</v>
      </c>
      <c r="BM666" s="1886">
        <f t="shared" si="635"/>
        <v>0</v>
      </c>
      <c r="BN666" s="1886">
        <f t="shared" si="636"/>
        <v>0</v>
      </c>
      <c r="BO666" s="1886">
        <f t="shared" si="637"/>
        <v>0</v>
      </c>
      <c r="BP666" s="1886">
        <f t="shared" si="638"/>
        <v>0</v>
      </c>
      <c r="BQ666" s="1886">
        <f t="shared" si="639"/>
        <v>0</v>
      </c>
      <c r="BR666" s="1886">
        <f t="shared" si="640"/>
        <v>0</v>
      </c>
      <c r="BS666" s="1886">
        <f t="shared" si="641"/>
        <v>0</v>
      </c>
      <c r="BT666" s="1886">
        <f t="shared" si="642"/>
        <v>0</v>
      </c>
      <c r="BU666" s="1830"/>
    </row>
    <row r="667" spans="37:73" s="496" customFormat="1" ht="12.75" x14ac:dyDescent="0.25">
      <c r="AK667" s="1828"/>
      <c r="AL667" s="1870">
        <f t="shared" si="621"/>
        <v>40</v>
      </c>
      <c r="AM667" s="1883" t="str">
        <f t="shared" si="621"/>
        <v>DIFERENCIA EN CAMBIO (NETA)</v>
      </c>
      <c r="AN667" s="1884">
        <f t="shared" si="621"/>
        <v>0</v>
      </c>
      <c r="AO667" s="1873">
        <f t="shared" si="606"/>
        <v>0</v>
      </c>
      <c r="AP667" s="1885">
        <f t="shared" si="622"/>
        <v>0</v>
      </c>
      <c r="AQ667" s="1875">
        <f t="shared" si="607"/>
        <v>0</v>
      </c>
      <c r="AR667" s="1876">
        <f t="shared" si="608"/>
        <v>0</v>
      </c>
      <c r="AS667" s="1885">
        <f t="shared" si="623"/>
        <v>0</v>
      </c>
      <c r="AT667" s="1875">
        <f t="shared" si="609"/>
        <v>0</v>
      </c>
      <c r="AU667" s="1876">
        <f t="shared" si="610"/>
        <v>0</v>
      </c>
      <c r="AV667" s="1885">
        <f t="shared" si="624"/>
        <v>0</v>
      </c>
      <c r="AW667" s="1875">
        <f t="shared" si="611"/>
        <v>0</v>
      </c>
      <c r="AX667" s="1877">
        <f t="shared" si="612"/>
        <v>0</v>
      </c>
      <c r="AY667" s="1885">
        <f t="shared" si="625"/>
        <v>0</v>
      </c>
      <c r="AZ667" s="1875">
        <f t="shared" si="613"/>
        <v>0</v>
      </c>
      <c r="BA667" s="1877">
        <f t="shared" si="614"/>
        <v>0</v>
      </c>
      <c r="BB667" s="1885">
        <f t="shared" si="626"/>
        <v>0</v>
      </c>
      <c r="BC667" s="1875">
        <f t="shared" si="615"/>
        <v>0</v>
      </c>
      <c r="BD667" s="1877">
        <f t="shared" si="616"/>
        <v>0</v>
      </c>
      <c r="BE667" s="1886">
        <f t="shared" si="627"/>
        <v>0</v>
      </c>
      <c r="BF667" s="1886">
        <f t="shared" si="628"/>
        <v>0</v>
      </c>
      <c r="BG667" s="1886">
        <f t="shared" si="629"/>
        <v>0</v>
      </c>
      <c r="BH667" s="1886">
        <f t="shared" si="630"/>
        <v>0</v>
      </c>
      <c r="BI667" s="1886">
        <f t="shared" si="631"/>
        <v>0</v>
      </c>
      <c r="BJ667" s="1886">
        <f t="shared" si="632"/>
        <v>0</v>
      </c>
      <c r="BK667" s="1886">
        <f t="shared" si="633"/>
        <v>0</v>
      </c>
      <c r="BL667" s="1886">
        <f t="shared" si="634"/>
        <v>0</v>
      </c>
      <c r="BM667" s="1886">
        <f t="shared" si="635"/>
        <v>0</v>
      </c>
      <c r="BN667" s="1886">
        <f t="shared" si="636"/>
        <v>0</v>
      </c>
      <c r="BO667" s="1886">
        <f t="shared" si="637"/>
        <v>0</v>
      </c>
      <c r="BP667" s="1886">
        <f t="shared" si="638"/>
        <v>0</v>
      </c>
      <c r="BQ667" s="1886">
        <f t="shared" si="639"/>
        <v>0</v>
      </c>
      <c r="BR667" s="1886">
        <f t="shared" si="640"/>
        <v>0</v>
      </c>
      <c r="BS667" s="1886">
        <f t="shared" si="641"/>
        <v>0</v>
      </c>
      <c r="BT667" s="1886">
        <f t="shared" si="642"/>
        <v>0</v>
      </c>
      <c r="BU667" s="1830"/>
    </row>
    <row r="668" spans="37:73" s="496" customFormat="1" ht="12.75" x14ac:dyDescent="0.25">
      <c r="AK668" s="1828"/>
      <c r="AL668" s="1870" t="str">
        <f t="shared" ref="AL668:AL675" si="643">A79</f>
        <v>41.1</v>
      </c>
      <c r="AM668" s="1939" t="s">
        <v>1110</v>
      </c>
      <c r="AN668" s="1872">
        <f t="shared" ref="AN668:AN675" si="644">C79</f>
        <v>0</v>
      </c>
      <c r="AO668" s="1873">
        <f t="shared" si="606"/>
        <v>0</v>
      </c>
      <c r="AP668" s="1874">
        <f t="shared" si="622"/>
        <v>0</v>
      </c>
      <c r="AQ668" s="1875">
        <f t="shared" si="607"/>
        <v>0</v>
      </c>
      <c r="AR668" s="1876">
        <f t="shared" si="608"/>
        <v>0</v>
      </c>
      <c r="AS668" s="1874">
        <f t="shared" si="623"/>
        <v>0</v>
      </c>
      <c r="AT668" s="1875">
        <f t="shared" si="609"/>
        <v>0</v>
      </c>
      <c r="AU668" s="1876">
        <f t="shared" si="610"/>
        <v>0</v>
      </c>
      <c r="AV668" s="1874">
        <f t="shared" si="624"/>
        <v>0</v>
      </c>
      <c r="AW668" s="1875">
        <f t="shared" si="611"/>
        <v>0</v>
      </c>
      <c r="AX668" s="1877">
        <f t="shared" si="612"/>
        <v>0</v>
      </c>
      <c r="AY668" s="1874">
        <f t="shared" si="625"/>
        <v>0</v>
      </c>
      <c r="AZ668" s="1875">
        <f t="shared" si="613"/>
        <v>0</v>
      </c>
      <c r="BA668" s="1877">
        <f t="shared" si="614"/>
        <v>0</v>
      </c>
      <c r="BB668" s="1874">
        <f t="shared" si="626"/>
        <v>0</v>
      </c>
      <c r="BC668" s="1875">
        <f t="shared" si="615"/>
        <v>0</v>
      </c>
      <c r="BD668" s="1877">
        <f t="shared" si="616"/>
        <v>0</v>
      </c>
      <c r="BE668" s="1878">
        <f t="shared" si="627"/>
        <v>0</v>
      </c>
      <c r="BF668" s="1878">
        <f t="shared" si="628"/>
        <v>0</v>
      </c>
      <c r="BG668" s="1878">
        <f t="shared" si="629"/>
        <v>0</v>
      </c>
      <c r="BH668" s="1878">
        <f t="shared" si="630"/>
        <v>0</v>
      </c>
      <c r="BI668" s="1878">
        <f t="shared" si="631"/>
        <v>0</v>
      </c>
      <c r="BJ668" s="1878">
        <f t="shared" si="632"/>
        <v>0</v>
      </c>
      <c r="BK668" s="1878">
        <f t="shared" si="633"/>
        <v>0</v>
      </c>
      <c r="BL668" s="1878">
        <f t="shared" si="634"/>
        <v>0</v>
      </c>
      <c r="BM668" s="1878">
        <f t="shared" si="635"/>
        <v>0</v>
      </c>
      <c r="BN668" s="1878">
        <f t="shared" si="636"/>
        <v>0</v>
      </c>
      <c r="BO668" s="1878">
        <f t="shared" si="637"/>
        <v>0</v>
      </c>
      <c r="BP668" s="1878">
        <f t="shared" si="638"/>
        <v>0</v>
      </c>
      <c r="BQ668" s="1878">
        <f t="shared" si="639"/>
        <v>0</v>
      </c>
      <c r="BR668" s="1878">
        <f t="shared" si="640"/>
        <v>0</v>
      </c>
      <c r="BS668" s="1878">
        <f t="shared" si="641"/>
        <v>0</v>
      </c>
      <c r="BT668" s="1878">
        <f t="shared" si="642"/>
        <v>0</v>
      </c>
      <c r="BU668" s="1830"/>
    </row>
    <row r="669" spans="37:73" s="496" customFormat="1" ht="12.75" x14ac:dyDescent="0.25">
      <c r="AK669" s="1828"/>
      <c r="AL669" s="1870" t="str">
        <f t="shared" si="643"/>
        <v>41.2</v>
      </c>
      <c r="AM669" s="1939" t="s">
        <v>1112</v>
      </c>
      <c r="AN669" s="1872">
        <f t="shared" si="644"/>
        <v>0</v>
      </c>
      <c r="AO669" s="1873">
        <f t="shared" si="606"/>
        <v>0</v>
      </c>
      <c r="AP669" s="1874">
        <f t="shared" si="622"/>
        <v>0</v>
      </c>
      <c r="AQ669" s="1875">
        <f t="shared" si="607"/>
        <v>0</v>
      </c>
      <c r="AR669" s="1876">
        <f t="shared" si="608"/>
        <v>0</v>
      </c>
      <c r="AS669" s="1874">
        <f t="shared" si="623"/>
        <v>0</v>
      </c>
      <c r="AT669" s="1875">
        <f t="shared" si="609"/>
        <v>0</v>
      </c>
      <c r="AU669" s="1876">
        <f t="shared" si="610"/>
        <v>0</v>
      </c>
      <c r="AV669" s="1874">
        <f t="shared" si="624"/>
        <v>0</v>
      </c>
      <c r="AW669" s="1875">
        <f t="shared" si="611"/>
        <v>0</v>
      </c>
      <c r="AX669" s="1877">
        <f t="shared" si="612"/>
        <v>0</v>
      </c>
      <c r="AY669" s="1874">
        <f t="shared" si="625"/>
        <v>0</v>
      </c>
      <c r="AZ669" s="1875">
        <f t="shared" si="613"/>
        <v>0</v>
      </c>
      <c r="BA669" s="1877">
        <f t="shared" si="614"/>
        <v>0</v>
      </c>
      <c r="BB669" s="1874">
        <f t="shared" si="626"/>
        <v>0</v>
      </c>
      <c r="BC669" s="1875">
        <f t="shared" si="615"/>
        <v>0</v>
      </c>
      <c r="BD669" s="1877">
        <f t="shared" si="616"/>
        <v>0</v>
      </c>
      <c r="BE669" s="1878">
        <f t="shared" si="627"/>
        <v>0</v>
      </c>
      <c r="BF669" s="1878">
        <f t="shared" si="628"/>
        <v>0</v>
      </c>
      <c r="BG669" s="1878">
        <f t="shared" si="629"/>
        <v>0</v>
      </c>
      <c r="BH669" s="1878">
        <f t="shared" si="630"/>
        <v>0</v>
      </c>
      <c r="BI669" s="1878">
        <f t="shared" si="631"/>
        <v>0</v>
      </c>
      <c r="BJ669" s="1878">
        <f t="shared" si="632"/>
        <v>0</v>
      </c>
      <c r="BK669" s="1878">
        <f t="shared" si="633"/>
        <v>0</v>
      </c>
      <c r="BL669" s="1878">
        <f t="shared" si="634"/>
        <v>0</v>
      </c>
      <c r="BM669" s="1878">
        <f t="shared" si="635"/>
        <v>0</v>
      </c>
      <c r="BN669" s="1878">
        <f t="shared" si="636"/>
        <v>0</v>
      </c>
      <c r="BO669" s="1878">
        <f t="shared" si="637"/>
        <v>0</v>
      </c>
      <c r="BP669" s="1878">
        <f t="shared" si="638"/>
        <v>0</v>
      </c>
      <c r="BQ669" s="1878">
        <f t="shared" si="639"/>
        <v>0</v>
      </c>
      <c r="BR669" s="1878">
        <f t="shared" si="640"/>
        <v>0</v>
      </c>
      <c r="BS669" s="1878">
        <f t="shared" si="641"/>
        <v>0</v>
      </c>
      <c r="BT669" s="1878">
        <f t="shared" si="642"/>
        <v>0</v>
      </c>
      <c r="BU669" s="1830"/>
    </row>
    <row r="670" spans="37:73" s="496" customFormat="1" ht="12.75" x14ac:dyDescent="0.25">
      <c r="AK670" s="1828"/>
      <c r="AL670" s="1870" t="str">
        <f t="shared" si="643"/>
        <v>41.3</v>
      </c>
      <c r="AM670" s="1871" t="str">
        <f t="shared" ref="AM670:AM675" si="645">B81</f>
        <v>INGRESOS FINANCIEROS</v>
      </c>
      <c r="AN670" s="1872">
        <f t="shared" si="644"/>
        <v>0</v>
      </c>
      <c r="AO670" s="1873">
        <f t="shared" si="606"/>
        <v>0</v>
      </c>
      <c r="AP670" s="1874">
        <f t="shared" si="622"/>
        <v>20</v>
      </c>
      <c r="AQ670" s="1875">
        <f t="shared" si="607"/>
        <v>5.5401662049861496E-3</v>
      </c>
      <c r="AR670" s="1876">
        <f t="shared" si="608"/>
        <v>0</v>
      </c>
      <c r="AS670" s="1874">
        <f t="shared" si="623"/>
        <v>20</v>
      </c>
      <c r="AT670" s="1875">
        <f t="shared" si="609"/>
        <v>5.5401662049861496E-3</v>
      </c>
      <c r="AU670" s="1876">
        <f t="shared" si="610"/>
        <v>0</v>
      </c>
      <c r="AV670" s="1874">
        <f t="shared" si="624"/>
        <v>20</v>
      </c>
      <c r="AW670" s="1875">
        <f t="shared" si="611"/>
        <v>5.5401662049861496E-3</v>
      </c>
      <c r="AX670" s="1877">
        <f t="shared" si="612"/>
        <v>1</v>
      </c>
      <c r="AY670" s="1874">
        <f t="shared" si="625"/>
        <v>20</v>
      </c>
      <c r="AZ670" s="1875">
        <f t="shared" si="613"/>
        <v>5.5401662049861496E-3</v>
      </c>
      <c r="BA670" s="1877">
        <f t="shared" si="614"/>
        <v>0</v>
      </c>
      <c r="BB670" s="1874">
        <f t="shared" si="626"/>
        <v>20</v>
      </c>
      <c r="BC670" s="1875">
        <f t="shared" si="615"/>
        <v>5.5401662049861496E-3</v>
      </c>
      <c r="BD670" s="1877">
        <f t="shared" si="616"/>
        <v>1</v>
      </c>
      <c r="BE670" s="1878">
        <f t="shared" si="627"/>
        <v>20</v>
      </c>
      <c r="BF670" s="1878">
        <f t="shared" si="628"/>
        <v>20</v>
      </c>
      <c r="BG670" s="1878">
        <f t="shared" si="629"/>
        <v>20</v>
      </c>
      <c r="BH670" s="1878">
        <f t="shared" si="630"/>
        <v>20</v>
      </c>
      <c r="BI670" s="1878">
        <f t="shared" si="631"/>
        <v>20</v>
      </c>
      <c r="BJ670" s="1878">
        <f t="shared" si="632"/>
        <v>20</v>
      </c>
      <c r="BK670" s="1878">
        <f t="shared" si="633"/>
        <v>20</v>
      </c>
      <c r="BL670" s="1878">
        <f t="shared" si="634"/>
        <v>20</v>
      </c>
      <c r="BM670" s="1878">
        <f t="shared" si="635"/>
        <v>20</v>
      </c>
      <c r="BN670" s="1878">
        <f t="shared" si="636"/>
        <v>20</v>
      </c>
      <c r="BO670" s="1878">
        <f t="shared" si="637"/>
        <v>20</v>
      </c>
      <c r="BP670" s="1878">
        <f t="shared" si="638"/>
        <v>20</v>
      </c>
      <c r="BQ670" s="1878">
        <f t="shared" si="639"/>
        <v>20</v>
      </c>
      <c r="BR670" s="1878">
        <f t="shared" si="640"/>
        <v>20</v>
      </c>
      <c r="BS670" s="1878">
        <f t="shared" si="641"/>
        <v>20</v>
      </c>
      <c r="BT670" s="1878">
        <f t="shared" si="642"/>
        <v>20</v>
      </c>
      <c r="BU670" s="1830"/>
    </row>
    <row r="671" spans="37:73" s="496" customFormat="1" ht="12.75" x14ac:dyDescent="0.25">
      <c r="AK671" s="1828"/>
      <c r="AL671" s="1870" t="str">
        <f t="shared" si="643"/>
        <v>41.4</v>
      </c>
      <c r="AM671" s="1871" t="str">
        <f t="shared" si="645"/>
        <v>UTILIDAD (PÉRDIDA) EN VENTA DE ACTIVOS FIJOS</v>
      </c>
      <c r="AN671" s="1872">
        <f t="shared" si="644"/>
        <v>0</v>
      </c>
      <c r="AO671" s="1873">
        <f t="shared" si="606"/>
        <v>0</v>
      </c>
      <c r="AP671" s="1874">
        <f t="shared" si="622"/>
        <v>0</v>
      </c>
      <c r="AQ671" s="1875">
        <f t="shared" si="607"/>
        <v>0</v>
      </c>
      <c r="AR671" s="1876">
        <f t="shared" si="608"/>
        <v>0</v>
      </c>
      <c r="AS671" s="1874">
        <f t="shared" si="623"/>
        <v>0</v>
      </c>
      <c r="AT671" s="1875">
        <f t="shared" si="609"/>
        <v>0</v>
      </c>
      <c r="AU671" s="1876">
        <f t="shared" si="610"/>
        <v>0</v>
      </c>
      <c r="AV671" s="1874">
        <f t="shared" si="624"/>
        <v>0</v>
      </c>
      <c r="AW671" s="1875">
        <f t="shared" si="611"/>
        <v>0</v>
      </c>
      <c r="AX671" s="1877">
        <f t="shared" si="612"/>
        <v>0</v>
      </c>
      <c r="AY671" s="1874">
        <f t="shared" si="625"/>
        <v>0</v>
      </c>
      <c r="AZ671" s="1875">
        <f t="shared" si="613"/>
        <v>0</v>
      </c>
      <c r="BA671" s="1877">
        <f t="shared" si="614"/>
        <v>0</v>
      </c>
      <c r="BB671" s="1874">
        <f t="shared" si="626"/>
        <v>0</v>
      </c>
      <c r="BC671" s="1875">
        <f t="shared" si="615"/>
        <v>0</v>
      </c>
      <c r="BD671" s="1877">
        <f t="shared" si="616"/>
        <v>0</v>
      </c>
      <c r="BE671" s="1878">
        <f t="shared" si="627"/>
        <v>0</v>
      </c>
      <c r="BF671" s="1878">
        <f t="shared" si="628"/>
        <v>0</v>
      </c>
      <c r="BG671" s="1878">
        <f t="shared" si="629"/>
        <v>0</v>
      </c>
      <c r="BH671" s="1878">
        <f t="shared" si="630"/>
        <v>0</v>
      </c>
      <c r="BI671" s="1878">
        <f t="shared" si="631"/>
        <v>0</v>
      </c>
      <c r="BJ671" s="1878">
        <f t="shared" si="632"/>
        <v>0</v>
      </c>
      <c r="BK671" s="1878">
        <f t="shared" si="633"/>
        <v>0</v>
      </c>
      <c r="BL671" s="1878">
        <f t="shared" si="634"/>
        <v>0</v>
      </c>
      <c r="BM671" s="1878">
        <f t="shared" si="635"/>
        <v>0</v>
      </c>
      <c r="BN671" s="1878">
        <f t="shared" si="636"/>
        <v>0</v>
      </c>
      <c r="BO671" s="1878">
        <f t="shared" si="637"/>
        <v>0</v>
      </c>
      <c r="BP671" s="1878">
        <f t="shared" si="638"/>
        <v>0</v>
      </c>
      <c r="BQ671" s="1878">
        <f t="shared" si="639"/>
        <v>0</v>
      </c>
      <c r="BR671" s="1878">
        <f t="shared" si="640"/>
        <v>0</v>
      </c>
      <c r="BS671" s="1878">
        <f t="shared" si="641"/>
        <v>0</v>
      </c>
      <c r="BT671" s="1878">
        <f t="shared" si="642"/>
        <v>0</v>
      </c>
      <c r="BU671" s="1830"/>
    </row>
    <row r="672" spans="37:73" s="496" customFormat="1" ht="12.75" x14ac:dyDescent="0.25">
      <c r="AK672" s="1828"/>
      <c r="AL672" s="1870" t="str">
        <f t="shared" si="643"/>
        <v>41.5</v>
      </c>
      <c r="AM672" s="1871" t="str">
        <f t="shared" si="645"/>
        <v>UTILIDAD (PÉRDIDA) EN VENTA DE INVERSIONES</v>
      </c>
      <c r="AN672" s="1872">
        <f t="shared" si="644"/>
        <v>0</v>
      </c>
      <c r="AO672" s="1873">
        <f t="shared" si="606"/>
        <v>0</v>
      </c>
      <c r="AP672" s="1874">
        <f t="shared" si="622"/>
        <v>0</v>
      </c>
      <c r="AQ672" s="1875">
        <f t="shared" si="607"/>
        <v>0</v>
      </c>
      <c r="AR672" s="1876">
        <f t="shared" si="608"/>
        <v>0</v>
      </c>
      <c r="AS672" s="1874">
        <f t="shared" si="623"/>
        <v>0</v>
      </c>
      <c r="AT672" s="1875">
        <f t="shared" si="609"/>
        <v>0</v>
      </c>
      <c r="AU672" s="1876">
        <f t="shared" si="610"/>
        <v>0</v>
      </c>
      <c r="AV672" s="1874">
        <f t="shared" si="624"/>
        <v>0</v>
      </c>
      <c r="AW672" s="1875">
        <f t="shared" si="611"/>
        <v>0</v>
      </c>
      <c r="AX672" s="1877">
        <f t="shared" si="612"/>
        <v>0</v>
      </c>
      <c r="AY672" s="1874">
        <f t="shared" si="625"/>
        <v>0</v>
      </c>
      <c r="AZ672" s="1875">
        <f t="shared" si="613"/>
        <v>0</v>
      </c>
      <c r="BA672" s="1877">
        <f t="shared" si="614"/>
        <v>0</v>
      </c>
      <c r="BB672" s="1874">
        <f t="shared" si="626"/>
        <v>0</v>
      </c>
      <c r="BC672" s="1875">
        <f t="shared" si="615"/>
        <v>0</v>
      </c>
      <c r="BD672" s="1877">
        <f t="shared" si="616"/>
        <v>0</v>
      </c>
      <c r="BE672" s="1878">
        <f t="shared" si="627"/>
        <v>0</v>
      </c>
      <c r="BF672" s="1878">
        <f t="shared" si="628"/>
        <v>0</v>
      </c>
      <c r="BG672" s="1878">
        <f t="shared" si="629"/>
        <v>0</v>
      </c>
      <c r="BH672" s="1878">
        <f t="shared" si="630"/>
        <v>0</v>
      </c>
      <c r="BI672" s="1878">
        <f t="shared" si="631"/>
        <v>0</v>
      </c>
      <c r="BJ672" s="1878">
        <f t="shared" si="632"/>
        <v>0</v>
      </c>
      <c r="BK672" s="1878">
        <f t="shared" si="633"/>
        <v>0</v>
      </c>
      <c r="BL672" s="1878">
        <f t="shared" si="634"/>
        <v>0</v>
      </c>
      <c r="BM672" s="1878">
        <f t="shared" si="635"/>
        <v>0</v>
      </c>
      <c r="BN672" s="1878">
        <f t="shared" si="636"/>
        <v>0</v>
      </c>
      <c r="BO672" s="1878">
        <f t="shared" si="637"/>
        <v>0</v>
      </c>
      <c r="BP672" s="1878">
        <f t="shared" si="638"/>
        <v>0</v>
      </c>
      <c r="BQ672" s="1878">
        <f t="shared" si="639"/>
        <v>0</v>
      </c>
      <c r="BR672" s="1878">
        <f t="shared" si="640"/>
        <v>0</v>
      </c>
      <c r="BS672" s="1878">
        <f t="shared" si="641"/>
        <v>0</v>
      </c>
      <c r="BT672" s="1878">
        <f t="shared" si="642"/>
        <v>0</v>
      </c>
      <c r="BU672" s="1830"/>
    </row>
    <row r="673" spans="37:73" s="496" customFormat="1" ht="12.75" x14ac:dyDescent="0.25">
      <c r="AK673" s="1828"/>
      <c r="AL673" s="1870" t="str">
        <f t="shared" si="643"/>
        <v>41.6</v>
      </c>
      <c r="AM673" s="1871" t="str">
        <f t="shared" si="645"/>
        <v>INGRESOS (EGRESOS) POR MÉTODO DE PARTICIPACIÓN</v>
      </c>
      <c r="AN673" s="1872">
        <f t="shared" si="644"/>
        <v>0</v>
      </c>
      <c r="AO673" s="1873">
        <f t="shared" si="606"/>
        <v>0</v>
      </c>
      <c r="AP673" s="1874">
        <f t="shared" si="622"/>
        <v>0</v>
      </c>
      <c r="AQ673" s="1875">
        <f t="shared" si="607"/>
        <v>0</v>
      </c>
      <c r="AR673" s="1876">
        <f t="shared" si="608"/>
        <v>0</v>
      </c>
      <c r="AS673" s="1874">
        <f t="shared" si="623"/>
        <v>0</v>
      </c>
      <c r="AT673" s="1875">
        <f t="shared" si="609"/>
        <v>0</v>
      </c>
      <c r="AU673" s="1876">
        <f t="shared" si="610"/>
        <v>0</v>
      </c>
      <c r="AV673" s="1874">
        <f t="shared" si="624"/>
        <v>0</v>
      </c>
      <c r="AW673" s="1875">
        <f t="shared" si="611"/>
        <v>0</v>
      </c>
      <c r="AX673" s="1877">
        <f t="shared" si="612"/>
        <v>0</v>
      </c>
      <c r="AY673" s="1874">
        <f t="shared" si="625"/>
        <v>0</v>
      </c>
      <c r="AZ673" s="1875">
        <f t="shared" si="613"/>
        <v>0</v>
      </c>
      <c r="BA673" s="1877">
        <f t="shared" si="614"/>
        <v>0</v>
      </c>
      <c r="BB673" s="1874">
        <f t="shared" si="626"/>
        <v>0</v>
      </c>
      <c r="BC673" s="1875">
        <f t="shared" si="615"/>
        <v>0</v>
      </c>
      <c r="BD673" s="1877">
        <f t="shared" si="616"/>
        <v>0</v>
      </c>
      <c r="BE673" s="1878">
        <f t="shared" si="627"/>
        <v>0</v>
      </c>
      <c r="BF673" s="1878">
        <f t="shared" si="628"/>
        <v>0</v>
      </c>
      <c r="BG673" s="1878">
        <f t="shared" si="629"/>
        <v>0</v>
      </c>
      <c r="BH673" s="1878">
        <f t="shared" si="630"/>
        <v>0</v>
      </c>
      <c r="BI673" s="1878">
        <f t="shared" si="631"/>
        <v>0</v>
      </c>
      <c r="BJ673" s="1878">
        <f t="shared" si="632"/>
        <v>0</v>
      </c>
      <c r="BK673" s="1878">
        <f t="shared" si="633"/>
        <v>0</v>
      </c>
      <c r="BL673" s="1878">
        <f t="shared" si="634"/>
        <v>0</v>
      </c>
      <c r="BM673" s="1878">
        <f t="shared" si="635"/>
        <v>0</v>
      </c>
      <c r="BN673" s="1878">
        <f t="shared" si="636"/>
        <v>0</v>
      </c>
      <c r="BO673" s="1878">
        <f t="shared" si="637"/>
        <v>0</v>
      </c>
      <c r="BP673" s="1878">
        <f t="shared" si="638"/>
        <v>0</v>
      </c>
      <c r="BQ673" s="1878">
        <f t="shared" si="639"/>
        <v>0</v>
      </c>
      <c r="BR673" s="1878">
        <f t="shared" si="640"/>
        <v>0</v>
      </c>
      <c r="BS673" s="1878">
        <f t="shared" si="641"/>
        <v>0</v>
      </c>
      <c r="BT673" s="1878">
        <f t="shared" si="642"/>
        <v>0</v>
      </c>
      <c r="BU673" s="1830"/>
    </row>
    <row r="674" spans="37:73" s="496" customFormat="1" ht="12.75" x14ac:dyDescent="0.25">
      <c r="AK674" s="1828"/>
      <c r="AL674" s="1870" t="str">
        <f t="shared" si="643"/>
        <v>41.7</v>
      </c>
      <c r="AM674" s="1871" t="str">
        <f t="shared" si="645"/>
        <v>OTROS INGRESOS</v>
      </c>
      <c r="AN674" s="1872">
        <f t="shared" si="644"/>
        <v>0</v>
      </c>
      <c r="AO674" s="1873">
        <f t="shared" si="606"/>
        <v>0</v>
      </c>
      <c r="AP674" s="1874">
        <f t="shared" si="622"/>
        <v>60</v>
      </c>
      <c r="AQ674" s="1875">
        <f t="shared" si="607"/>
        <v>1.662049861495845E-2</v>
      </c>
      <c r="AR674" s="1876">
        <f t="shared" si="608"/>
        <v>0</v>
      </c>
      <c r="AS674" s="1874">
        <f t="shared" si="623"/>
        <v>60</v>
      </c>
      <c r="AT674" s="1875">
        <f t="shared" si="609"/>
        <v>1.662049861495845E-2</v>
      </c>
      <c r="AU674" s="1876">
        <f t="shared" si="610"/>
        <v>0</v>
      </c>
      <c r="AV674" s="1874">
        <f t="shared" si="624"/>
        <v>60</v>
      </c>
      <c r="AW674" s="1875">
        <f t="shared" si="611"/>
        <v>1.662049861495845E-2</v>
      </c>
      <c r="AX674" s="1877">
        <f t="shared" si="612"/>
        <v>1</v>
      </c>
      <c r="AY674" s="1874">
        <f t="shared" si="625"/>
        <v>60</v>
      </c>
      <c r="AZ674" s="1875">
        <f t="shared" si="613"/>
        <v>1.662049861495845E-2</v>
      </c>
      <c r="BA674" s="1877">
        <f t="shared" si="614"/>
        <v>0</v>
      </c>
      <c r="BB674" s="1874">
        <f t="shared" si="626"/>
        <v>60</v>
      </c>
      <c r="BC674" s="1875">
        <f t="shared" si="615"/>
        <v>1.662049861495845E-2</v>
      </c>
      <c r="BD674" s="1877">
        <f t="shared" si="616"/>
        <v>1</v>
      </c>
      <c r="BE674" s="1878">
        <f t="shared" si="627"/>
        <v>60</v>
      </c>
      <c r="BF674" s="1878">
        <f t="shared" si="628"/>
        <v>60</v>
      </c>
      <c r="BG674" s="1878">
        <f t="shared" si="629"/>
        <v>60</v>
      </c>
      <c r="BH674" s="1878">
        <f t="shared" si="630"/>
        <v>60</v>
      </c>
      <c r="BI674" s="1878">
        <f t="shared" si="631"/>
        <v>60</v>
      </c>
      <c r="BJ674" s="1878">
        <f t="shared" si="632"/>
        <v>60</v>
      </c>
      <c r="BK674" s="1878">
        <f t="shared" si="633"/>
        <v>60</v>
      </c>
      <c r="BL674" s="1878">
        <f t="shared" si="634"/>
        <v>60</v>
      </c>
      <c r="BM674" s="1878">
        <f t="shared" si="635"/>
        <v>60</v>
      </c>
      <c r="BN674" s="1878">
        <f t="shared" si="636"/>
        <v>60</v>
      </c>
      <c r="BO674" s="1878">
        <f t="shared" si="637"/>
        <v>60</v>
      </c>
      <c r="BP674" s="1878">
        <f t="shared" si="638"/>
        <v>60</v>
      </c>
      <c r="BQ674" s="1878">
        <f t="shared" si="639"/>
        <v>60</v>
      </c>
      <c r="BR674" s="1878">
        <f t="shared" si="640"/>
        <v>60</v>
      </c>
      <c r="BS674" s="1878">
        <f t="shared" si="641"/>
        <v>60</v>
      </c>
      <c r="BT674" s="1878">
        <f t="shared" si="642"/>
        <v>60</v>
      </c>
      <c r="BU674" s="1830"/>
    </row>
    <row r="675" spans="37:73" s="496" customFormat="1" ht="12.75" x14ac:dyDescent="0.25">
      <c r="AK675" s="1828"/>
      <c r="AL675" s="1870" t="str">
        <f t="shared" si="643"/>
        <v>41.8</v>
      </c>
      <c r="AM675" s="1871" t="str">
        <f t="shared" si="645"/>
        <v>OTROS EGRESOS</v>
      </c>
      <c r="AN675" s="1872">
        <f t="shared" si="644"/>
        <v>0</v>
      </c>
      <c r="AO675" s="1873">
        <f t="shared" si="606"/>
        <v>0</v>
      </c>
      <c r="AP675" s="1874">
        <f t="shared" si="622"/>
        <v>70</v>
      </c>
      <c r="AQ675" s="1875">
        <f t="shared" si="607"/>
        <v>1.9390581717451522E-2</v>
      </c>
      <c r="AR675" s="1876">
        <f t="shared" si="608"/>
        <v>0</v>
      </c>
      <c r="AS675" s="1874">
        <f t="shared" si="623"/>
        <v>70</v>
      </c>
      <c r="AT675" s="1875">
        <f t="shared" si="609"/>
        <v>1.9390581717451522E-2</v>
      </c>
      <c r="AU675" s="1876">
        <f t="shared" si="610"/>
        <v>0</v>
      </c>
      <c r="AV675" s="1874">
        <f t="shared" si="624"/>
        <v>70</v>
      </c>
      <c r="AW675" s="1875">
        <f t="shared" si="611"/>
        <v>1.9390581717451522E-2</v>
      </c>
      <c r="AX675" s="1877">
        <f t="shared" si="612"/>
        <v>1</v>
      </c>
      <c r="AY675" s="1874">
        <f t="shared" si="625"/>
        <v>70</v>
      </c>
      <c r="AZ675" s="1875">
        <f t="shared" si="613"/>
        <v>1.9390581717451522E-2</v>
      </c>
      <c r="BA675" s="1877">
        <f t="shared" si="614"/>
        <v>0</v>
      </c>
      <c r="BB675" s="1874">
        <f t="shared" si="626"/>
        <v>70</v>
      </c>
      <c r="BC675" s="1875">
        <f t="shared" si="615"/>
        <v>1.9390581717451522E-2</v>
      </c>
      <c r="BD675" s="1877">
        <f t="shared" si="616"/>
        <v>1</v>
      </c>
      <c r="BE675" s="1878">
        <f t="shared" si="627"/>
        <v>70.000000000000014</v>
      </c>
      <c r="BF675" s="1878">
        <f t="shared" si="628"/>
        <v>70.000000000000014</v>
      </c>
      <c r="BG675" s="1878">
        <f t="shared" si="629"/>
        <v>70.000000000000014</v>
      </c>
      <c r="BH675" s="1878">
        <f t="shared" si="630"/>
        <v>70.000000000000014</v>
      </c>
      <c r="BI675" s="1878">
        <f t="shared" si="631"/>
        <v>70.000000000000014</v>
      </c>
      <c r="BJ675" s="1878">
        <f t="shared" si="632"/>
        <v>70.000000000000014</v>
      </c>
      <c r="BK675" s="1878">
        <f t="shared" si="633"/>
        <v>70.000000000000014</v>
      </c>
      <c r="BL675" s="1878">
        <f t="shared" si="634"/>
        <v>70.000000000000014</v>
      </c>
      <c r="BM675" s="1878">
        <f t="shared" si="635"/>
        <v>70.000000000000014</v>
      </c>
      <c r="BN675" s="1878">
        <f t="shared" si="636"/>
        <v>70.000000000000014</v>
      </c>
      <c r="BO675" s="1878">
        <f t="shared" si="637"/>
        <v>70.000000000000014</v>
      </c>
      <c r="BP675" s="1878">
        <f t="shared" si="638"/>
        <v>70.000000000000014</v>
      </c>
      <c r="BQ675" s="1878">
        <f t="shared" si="639"/>
        <v>70.000000000000014</v>
      </c>
      <c r="BR675" s="1878">
        <f t="shared" si="640"/>
        <v>70.000000000000014</v>
      </c>
      <c r="BS675" s="1878">
        <f t="shared" si="641"/>
        <v>70.000000000000014</v>
      </c>
      <c r="BT675" s="1878">
        <f t="shared" si="642"/>
        <v>70.000000000000014</v>
      </c>
      <c r="BU675" s="1830"/>
    </row>
    <row r="676" spans="37:73" s="496" customFormat="1" ht="12.75" x14ac:dyDescent="0.25">
      <c r="AK676" s="1828"/>
      <c r="AL676" s="1887">
        <v>41</v>
      </c>
      <c r="AM676" s="1879" t="s">
        <v>1416</v>
      </c>
      <c r="AN676" s="1880">
        <f>AN668-AN669+AN670+AN671+AN672+AN673+AN674-AN675</f>
        <v>0</v>
      </c>
      <c r="AO676" s="1873">
        <f t="shared" si="606"/>
        <v>0</v>
      </c>
      <c r="AP676" s="1881">
        <f>AP668-AP669+AP670+AP671+AP672+AP673+AP674-AP675</f>
        <v>10</v>
      </c>
      <c r="AQ676" s="1875">
        <f t="shared" si="607"/>
        <v>2.7700831024930748E-3</v>
      </c>
      <c r="AR676" s="1876">
        <f t="shared" si="608"/>
        <v>0</v>
      </c>
      <c r="AS676" s="1881">
        <f>AS668-AS669+AS670+AS671+AS672+AS673+AS674-AS675</f>
        <v>10</v>
      </c>
      <c r="AT676" s="1875">
        <f t="shared" si="609"/>
        <v>2.7700831024930748E-3</v>
      </c>
      <c r="AU676" s="1876">
        <f t="shared" si="610"/>
        <v>0</v>
      </c>
      <c r="AV676" s="1881">
        <f>AV668-AV669+AV670+AV671+AV672+AV673+AV674-AV675</f>
        <v>10</v>
      </c>
      <c r="AW676" s="1875">
        <f t="shared" si="611"/>
        <v>2.7700831024930748E-3</v>
      </c>
      <c r="AX676" s="1877">
        <f t="shared" si="612"/>
        <v>1</v>
      </c>
      <c r="AY676" s="1881">
        <f>AY668-AY669+AY670+AY671+AY672+AY673+AY674-AY675</f>
        <v>10</v>
      </c>
      <c r="AZ676" s="1875">
        <f t="shared" si="613"/>
        <v>2.7700831024930748E-3</v>
      </c>
      <c r="BA676" s="1877">
        <f t="shared" si="614"/>
        <v>0</v>
      </c>
      <c r="BB676" s="1881">
        <f>BB668-BB669+BB670+BB671+BB672+BB673+BB674-BB675</f>
        <v>10</v>
      </c>
      <c r="BC676" s="1875">
        <f t="shared" si="615"/>
        <v>2.7700831024930748E-3</v>
      </c>
      <c r="BD676" s="1877">
        <f t="shared" si="616"/>
        <v>1</v>
      </c>
      <c r="BE676" s="1881">
        <f t="shared" ref="BE676:BT676" si="646">BE668-BE669+BE670+BE671+BE672+BE673+BE674-BE675</f>
        <v>9.9999999999999858</v>
      </c>
      <c r="BF676" s="1881">
        <f t="shared" si="646"/>
        <v>9.9999999999999858</v>
      </c>
      <c r="BG676" s="1881">
        <f t="shared" si="646"/>
        <v>9.9999999999999858</v>
      </c>
      <c r="BH676" s="1881">
        <f t="shared" si="646"/>
        <v>9.9999999999999858</v>
      </c>
      <c r="BI676" s="1881">
        <f t="shared" si="646"/>
        <v>9.9999999999999858</v>
      </c>
      <c r="BJ676" s="1881">
        <f t="shared" si="646"/>
        <v>9.9999999999999858</v>
      </c>
      <c r="BK676" s="1881">
        <f t="shared" si="646"/>
        <v>9.9999999999999858</v>
      </c>
      <c r="BL676" s="1881">
        <f t="shared" si="646"/>
        <v>9.9999999999999858</v>
      </c>
      <c r="BM676" s="1881">
        <f t="shared" si="646"/>
        <v>9.9999999999999858</v>
      </c>
      <c r="BN676" s="1881">
        <f t="shared" si="646"/>
        <v>9.9999999999999858</v>
      </c>
      <c r="BO676" s="1881">
        <f t="shared" si="646"/>
        <v>9.9999999999999858</v>
      </c>
      <c r="BP676" s="1881">
        <f t="shared" si="646"/>
        <v>9.9999999999999858</v>
      </c>
      <c r="BQ676" s="1881">
        <f t="shared" si="646"/>
        <v>9.9999999999999858</v>
      </c>
      <c r="BR676" s="1881">
        <f t="shared" si="646"/>
        <v>9.9999999999999858</v>
      </c>
      <c r="BS676" s="1881">
        <f t="shared" si="646"/>
        <v>9.9999999999999858</v>
      </c>
      <c r="BT676" s="1881">
        <f t="shared" si="646"/>
        <v>9.9999999999999858</v>
      </c>
      <c r="BU676" s="1830"/>
    </row>
    <row r="677" spans="37:73" s="496" customFormat="1" ht="12.75" x14ac:dyDescent="0.25">
      <c r="AK677" s="1828"/>
      <c r="AL677" s="1930"/>
      <c r="AM677" s="1940" t="s">
        <v>1125</v>
      </c>
      <c r="AN677" s="1890">
        <f>AN664-AN665+AN666+AN667+AN676</f>
        <v>0</v>
      </c>
      <c r="AO677" s="1891">
        <f t="shared" si="606"/>
        <v>0</v>
      </c>
      <c r="AP677" s="1892">
        <f>AP664-AP665+AP666+AP667+AP676</f>
        <v>2810</v>
      </c>
      <c r="AQ677" s="1893">
        <f t="shared" si="607"/>
        <v>0.77839335180055402</v>
      </c>
      <c r="AR677" s="1894">
        <f t="shared" si="608"/>
        <v>0</v>
      </c>
      <c r="AS677" s="1892">
        <f>AS664-AS665+AS666+AS667+AS676</f>
        <v>2810</v>
      </c>
      <c r="AT677" s="1893">
        <f t="shared" si="609"/>
        <v>0.77839335180055402</v>
      </c>
      <c r="AU677" s="1894">
        <f t="shared" si="610"/>
        <v>0</v>
      </c>
      <c r="AV677" s="1892">
        <f>AV664-AV665+AV666+AV667+AV676</f>
        <v>2810</v>
      </c>
      <c r="AW677" s="1893">
        <f t="shared" si="611"/>
        <v>0.77839335180055402</v>
      </c>
      <c r="AX677" s="1895">
        <f t="shared" si="612"/>
        <v>1</v>
      </c>
      <c r="AY677" s="1892">
        <f>AY664-AY665+AY666+AY667+AY676</f>
        <v>2810</v>
      </c>
      <c r="AZ677" s="1893">
        <f t="shared" si="613"/>
        <v>0.77839335180055402</v>
      </c>
      <c r="BA677" s="1895">
        <f t="shared" si="614"/>
        <v>0</v>
      </c>
      <c r="BB677" s="1892">
        <f>BB664-BB665+BB666+BB667+BB676</f>
        <v>2810</v>
      </c>
      <c r="BC677" s="1893">
        <f t="shared" si="615"/>
        <v>0.77839335180055402</v>
      </c>
      <c r="BD677" s="1895">
        <f t="shared" si="616"/>
        <v>1</v>
      </c>
      <c r="BE677" s="1896">
        <f t="shared" ref="BE677:BT677" si="647">BE664-BE665+BE666+BE667+BE676</f>
        <v>2812.4</v>
      </c>
      <c r="BF677" s="1896">
        <f t="shared" si="647"/>
        <v>2812.8</v>
      </c>
      <c r="BG677" s="1896">
        <f t="shared" si="647"/>
        <v>2816.8</v>
      </c>
      <c r="BH677" s="1896">
        <f t="shared" si="647"/>
        <v>2816.8</v>
      </c>
      <c r="BI677" s="1896">
        <f t="shared" si="647"/>
        <v>2816.8</v>
      </c>
      <c r="BJ677" s="1896">
        <f t="shared" si="647"/>
        <v>2816.8</v>
      </c>
      <c r="BK677" s="1896">
        <f t="shared" si="647"/>
        <v>2816.8</v>
      </c>
      <c r="BL677" s="1896">
        <f t="shared" si="647"/>
        <v>2816.8</v>
      </c>
      <c r="BM677" s="1896">
        <f t="shared" si="647"/>
        <v>2816.8</v>
      </c>
      <c r="BN677" s="1896">
        <f t="shared" si="647"/>
        <v>2816.8</v>
      </c>
      <c r="BO677" s="1896">
        <f t="shared" si="647"/>
        <v>2816.8</v>
      </c>
      <c r="BP677" s="1896">
        <f t="shared" si="647"/>
        <v>2816.8</v>
      </c>
      <c r="BQ677" s="1896">
        <f t="shared" si="647"/>
        <v>2816.8</v>
      </c>
      <c r="BR677" s="1896">
        <f t="shared" si="647"/>
        <v>2816.8</v>
      </c>
      <c r="BS677" s="1896">
        <f t="shared" si="647"/>
        <v>2816.8</v>
      </c>
      <c r="BT677" s="1896">
        <f t="shared" si="647"/>
        <v>2816.8</v>
      </c>
      <c r="BU677" s="1830"/>
    </row>
    <row r="678" spans="37:73" s="496" customFormat="1" ht="12.75" x14ac:dyDescent="0.25">
      <c r="AK678" s="1828"/>
      <c r="AL678" s="1938">
        <f>A88</f>
        <v>42</v>
      </c>
      <c r="AM678" s="1883" t="str">
        <f>B88</f>
        <v>IMPUESTOS</v>
      </c>
      <c r="AN678" s="1884">
        <f>C88</f>
        <v>0</v>
      </c>
      <c r="AO678" s="1873">
        <f t="shared" si="606"/>
        <v>0</v>
      </c>
      <c r="AP678" s="1885">
        <f>E88</f>
        <v>0</v>
      </c>
      <c r="AQ678" s="1875">
        <f t="shared" si="607"/>
        <v>0</v>
      </c>
      <c r="AR678" s="1876">
        <f t="shared" si="608"/>
        <v>0</v>
      </c>
      <c r="AS678" s="1885">
        <f>H88</f>
        <v>0</v>
      </c>
      <c r="AT678" s="1875">
        <f t="shared" si="609"/>
        <v>0</v>
      </c>
      <c r="AU678" s="1876">
        <f t="shared" si="610"/>
        <v>0</v>
      </c>
      <c r="AV678" s="1885">
        <f>K88</f>
        <v>0</v>
      </c>
      <c r="AW678" s="1875">
        <f t="shared" si="611"/>
        <v>0</v>
      </c>
      <c r="AX678" s="1877">
        <f t="shared" si="612"/>
        <v>0</v>
      </c>
      <c r="AY678" s="1885">
        <f>N88</f>
        <v>0</v>
      </c>
      <c r="AZ678" s="1875">
        <f t="shared" si="613"/>
        <v>0</v>
      </c>
      <c r="BA678" s="1877">
        <f t="shared" si="614"/>
        <v>0</v>
      </c>
      <c r="BB678" s="1885">
        <f>Q88</f>
        <v>0</v>
      </c>
      <c r="BC678" s="1875">
        <f t="shared" si="615"/>
        <v>0</v>
      </c>
      <c r="BD678" s="1877">
        <f t="shared" si="616"/>
        <v>0</v>
      </c>
      <c r="BE678" s="1886">
        <f t="shared" ref="BE678:BT678" si="648">T88</f>
        <v>0</v>
      </c>
      <c r="BF678" s="1886">
        <f t="shared" si="648"/>
        <v>0</v>
      </c>
      <c r="BG678" s="1886">
        <f t="shared" si="648"/>
        <v>0</v>
      </c>
      <c r="BH678" s="1886">
        <f t="shared" si="648"/>
        <v>0</v>
      </c>
      <c r="BI678" s="1886">
        <f t="shared" si="648"/>
        <v>0</v>
      </c>
      <c r="BJ678" s="1886">
        <f t="shared" si="648"/>
        <v>0</v>
      </c>
      <c r="BK678" s="1886">
        <f t="shared" si="648"/>
        <v>0</v>
      </c>
      <c r="BL678" s="1886">
        <f t="shared" si="648"/>
        <v>0</v>
      </c>
      <c r="BM678" s="1886">
        <f t="shared" si="648"/>
        <v>0</v>
      </c>
      <c r="BN678" s="1886">
        <f t="shared" si="648"/>
        <v>0</v>
      </c>
      <c r="BO678" s="1886">
        <f t="shared" si="648"/>
        <v>0</v>
      </c>
      <c r="BP678" s="1886">
        <f t="shared" si="648"/>
        <v>0</v>
      </c>
      <c r="BQ678" s="1886">
        <f t="shared" si="648"/>
        <v>0</v>
      </c>
      <c r="BR678" s="1886">
        <f t="shared" si="648"/>
        <v>0</v>
      </c>
      <c r="BS678" s="1886">
        <f t="shared" si="648"/>
        <v>0</v>
      </c>
      <c r="BT678" s="1886">
        <f t="shared" si="648"/>
        <v>0</v>
      </c>
      <c r="BU678" s="1830"/>
    </row>
    <row r="679" spans="37:73" s="496" customFormat="1" ht="12.75" x14ac:dyDescent="0.25">
      <c r="AK679" s="1828"/>
      <c r="AL679" s="1930"/>
      <c r="AM679" s="1900" t="s">
        <v>850</v>
      </c>
      <c r="AN679" s="1901">
        <f>AN677-AN678</f>
        <v>0</v>
      </c>
      <c r="AO679" s="1902">
        <f t="shared" si="606"/>
        <v>0</v>
      </c>
      <c r="AP679" s="1903">
        <f>AP677-AP678</f>
        <v>2810</v>
      </c>
      <c r="AQ679" s="1904">
        <f t="shared" si="607"/>
        <v>0.77839335180055402</v>
      </c>
      <c r="AR679" s="1905">
        <f t="shared" si="608"/>
        <v>0</v>
      </c>
      <c r="AS679" s="1903">
        <f>AS677-AS678</f>
        <v>2810</v>
      </c>
      <c r="AT679" s="1904">
        <f t="shared" si="609"/>
        <v>0.77839335180055402</v>
      </c>
      <c r="AU679" s="1905">
        <f t="shared" si="610"/>
        <v>0</v>
      </c>
      <c r="AV679" s="1903">
        <f>AV677-AV678</f>
        <v>2810</v>
      </c>
      <c r="AW679" s="1904">
        <f t="shared" si="611"/>
        <v>0.77839335180055402</v>
      </c>
      <c r="AX679" s="1906">
        <f t="shared" si="612"/>
        <v>1</v>
      </c>
      <c r="AY679" s="1903">
        <f>AY677-AY678</f>
        <v>2810</v>
      </c>
      <c r="AZ679" s="1904">
        <f t="shared" si="613"/>
        <v>0.77839335180055402</v>
      </c>
      <c r="BA679" s="1906">
        <f t="shared" si="614"/>
        <v>0</v>
      </c>
      <c r="BB679" s="1903">
        <f>BB677-BB678</f>
        <v>2810</v>
      </c>
      <c r="BC679" s="1904">
        <f t="shared" si="615"/>
        <v>0.77839335180055402</v>
      </c>
      <c r="BD679" s="1906">
        <f t="shared" si="616"/>
        <v>1</v>
      </c>
      <c r="BE679" s="1907">
        <f t="shared" ref="BE679:BT679" si="649">BE677-BE678</f>
        <v>2812.4</v>
      </c>
      <c r="BF679" s="1907">
        <f t="shared" si="649"/>
        <v>2812.8</v>
      </c>
      <c r="BG679" s="1907">
        <f t="shared" si="649"/>
        <v>2816.8</v>
      </c>
      <c r="BH679" s="1907">
        <f t="shared" si="649"/>
        <v>2816.8</v>
      </c>
      <c r="BI679" s="1907">
        <f t="shared" si="649"/>
        <v>2816.8</v>
      </c>
      <c r="BJ679" s="1907">
        <f t="shared" si="649"/>
        <v>2816.8</v>
      </c>
      <c r="BK679" s="1907">
        <f t="shared" si="649"/>
        <v>2816.8</v>
      </c>
      <c r="BL679" s="1907">
        <f t="shared" si="649"/>
        <v>2816.8</v>
      </c>
      <c r="BM679" s="1907">
        <f t="shared" si="649"/>
        <v>2816.8</v>
      </c>
      <c r="BN679" s="1907">
        <f t="shared" si="649"/>
        <v>2816.8</v>
      </c>
      <c r="BO679" s="1907">
        <f t="shared" si="649"/>
        <v>2816.8</v>
      </c>
      <c r="BP679" s="1907">
        <f t="shared" si="649"/>
        <v>2816.8</v>
      </c>
      <c r="BQ679" s="1907">
        <f t="shared" si="649"/>
        <v>2816.8</v>
      </c>
      <c r="BR679" s="1907">
        <f t="shared" si="649"/>
        <v>2816.8</v>
      </c>
      <c r="BS679" s="1907">
        <f t="shared" si="649"/>
        <v>2816.8</v>
      </c>
      <c r="BT679" s="1907">
        <f t="shared" si="649"/>
        <v>2816.8</v>
      </c>
      <c r="BU679" s="1830"/>
    </row>
    <row r="680" spans="37:73" s="496" customFormat="1" ht="12.75" x14ac:dyDescent="0.25">
      <c r="AK680" s="1828"/>
      <c r="AL680" s="1861">
        <f t="shared" ref="AL680:AN682" si="650">A90</f>
        <v>43</v>
      </c>
      <c r="AM680" s="1883" t="str">
        <f t="shared" si="650"/>
        <v>DEPRECIACIÓN</v>
      </c>
      <c r="AN680" s="1884">
        <f t="shared" si="650"/>
        <v>0</v>
      </c>
      <c r="AO680" s="1873">
        <f t="shared" si="606"/>
        <v>0</v>
      </c>
      <c r="AP680" s="1885">
        <f>E90</f>
        <v>40</v>
      </c>
      <c r="AQ680" s="1875">
        <f t="shared" si="607"/>
        <v>1.1080332409972299E-2</v>
      </c>
      <c r="AR680" s="1876">
        <f t="shared" si="608"/>
        <v>0</v>
      </c>
      <c r="AS680" s="1885">
        <f>H90</f>
        <v>40</v>
      </c>
      <c r="AT680" s="1875">
        <f t="shared" si="609"/>
        <v>1.1080332409972299E-2</v>
      </c>
      <c r="AU680" s="1876">
        <f t="shared" si="610"/>
        <v>0</v>
      </c>
      <c r="AV680" s="1885">
        <f>K90</f>
        <v>40</v>
      </c>
      <c r="AW680" s="1875">
        <f t="shared" si="611"/>
        <v>1.1080332409972299E-2</v>
      </c>
      <c r="AX680" s="1877">
        <f t="shared" si="612"/>
        <v>1</v>
      </c>
      <c r="AY680" s="1885">
        <f>N90</f>
        <v>40</v>
      </c>
      <c r="AZ680" s="1875">
        <f t="shared" si="613"/>
        <v>1.1080332409972299E-2</v>
      </c>
      <c r="BA680" s="1877">
        <f t="shared" si="614"/>
        <v>0</v>
      </c>
      <c r="BB680" s="1885">
        <f>Q90</f>
        <v>40</v>
      </c>
      <c r="BC680" s="1875">
        <f t="shared" si="615"/>
        <v>1.1080332409972299E-2</v>
      </c>
      <c r="BD680" s="1877">
        <f t="shared" si="616"/>
        <v>1</v>
      </c>
      <c r="BE680" s="1886">
        <f t="shared" ref="BE680:BT683" si="651">T90</f>
        <v>53.2</v>
      </c>
      <c r="BF680" s="1886">
        <f t="shared" si="651"/>
        <v>66.400000000000006</v>
      </c>
      <c r="BG680" s="1886">
        <f t="shared" si="651"/>
        <v>79.600000000000009</v>
      </c>
      <c r="BH680" s="1886">
        <f t="shared" si="651"/>
        <v>92.800000000000011</v>
      </c>
      <c r="BI680" s="1886">
        <f t="shared" si="651"/>
        <v>106.00000000000001</v>
      </c>
      <c r="BJ680" s="1886">
        <f t="shared" si="651"/>
        <v>119.20000000000002</v>
      </c>
      <c r="BK680" s="1886">
        <f t="shared" si="651"/>
        <v>132.4</v>
      </c>
      <c r="BL680" s="1886">
        <f t="shared" si="651"/>
        <v>145.60000000000002</v>
      </c>
      <c r="BM680" s="1886">
        <f t="shared" si="651"/>
        <v>158.80000000000001</v>
      </c>
      <c r="BN680" s="1886">
        <f t="shared" si="651"/>
        <v>172</v>
      </c>
      <c r="BO680" s="1886">
        <f t="shared" si="651"/>
        <v>185.2</v>
      </c>
      <c r="BP680" s="1886">
        <f t="shared" si="651"/>
        <v>198.39999999999995</v>
      </c>
      <c r="BQ680" s="1886">
        <f t="shared" si="651"/>
        <v>211.59999999999994</v>
      </c>
      <c r="BR680" s="1886">
        <f t="shared" si="651"/>
        <v>224.79999999999993</v>
      </c>
      <c r="BS680" s="1886">
        <f t="shared" si="651"/>
        <v>237.99999999999991</v>
      </c>
      <c r="BT680" s="1886">
        <f t="shared" si="651"/>
        <v>251.1999999999999</v>
      </c>
      <c r="BU680" s="1830"/>
    </row>
    <row r="681" spans="37:73" s="496" customFormat="1" ht="12.75" x14ac:dyDescent="0.25">
      <c r="AK681" s="1828"/>
      <c r="AL681" s="1870">
        <f t="shared" si="650"/>
        <v>44</v>
      </c>
      <c r="AM681" s="1883" t="str">
        <f t="shared" si="650"/>
        <v>AMORTIZACIÓN INTANGIBLES</v>
      </c>
      <c r="AN681" s="1884">
        <f t="shared" si="650"/>
        <v>0</v>
      </c>
      <c r="AO681" s="1873">
        <f t="shared" si="606"/>
        <v>0</v>
      </c>
      <c r="AP681" s="1885">
        <f>E91</f>
        <v>0</v>
      </c>
      <c r="AQ681" s="1875">
        <f t="shared" si="607"/>
        <v>0</v>
      </c>
      <c r="AR681" s="1876">
        <f t="shared" si="608"/>
        <v>0</v>
      </c>
      <c r="AS681" s="1885">
        <f>H91</f>
        <v>0</v>
      </c>
      <c r="AT681" s="1875">
        <f t="shared" si="609"/>
        <v>0</v>
      </c>
      <c r="AU681" s="1876">
        <f t="shared" si="610"/>
        <v>0</v>
      </c>
      <c r="AV681" s="1885">
        <f>K91</f>
        <v>0</v>
      </c>
      <c r="AW681" s="1875">
        <f t="shared" si="611"/>
        <v>0</v>
      </c>
      <c r="AX681" s="1877">
        <f t="shared" si="612"/>
        <v>0</v>
      </c>
      <c r="AY681" s="1885">
        <f>N91</f>
        <v>0</v>
      </c>
      <c r="AZ681" s="1875">
        <f t="shared" si="613"/>
        <v>0</v>
      </c>
      <c r="BA681" s="1877">
        <f t="shared" si="614"/>
        <v>0</v>
      </c>
      <c r="BB681" s="1885">
        <f>Q91</f>
        <v>0</v>
      </c>
      <c r="BC681" s="1875">
        <f t="shared" si="615"/>
        <v>0</v>
      </c>
      <c r="BD681" s="1877">
        <f t="shared" si="616"/>
        <v>0</v>
      </c>
      <c r="BE681" s="1886">
        <f t="shared" si="651"/>
        <v>0</v>
      </c>
      <c r="BF681" s="1886">
        <f t="shared" si="651"/>
        <v>0</v>
      </c>
      <c r="BG681" s="1886">
        <f t="shared" si="651"/>
        <v>0</v>
      </c>
      <c r="BH681" s="1886">
        <f t="shared" si="651"/>
        <v>0</v>
      </c>
      <c r="BI681" s="1886">
        <f t="shared" si="651"/>
        <v>0</v>
      </c>
      <c r="BJ681" s="1886">
        <f t="shared" si="651"/>
        <v>0</v>
      </c>
      <c r="BK681" s="1886">
        <f t="shared" si="651"/>
        <v>0</v>
      </c>
      <c r="BL681" s="1886">
        <f t="shared" si="651"/>
        <v>0</v>
      </c>
      <c r="BM681" s="1886">
        <f t="shared" si="651"/>
        <v>0</v>
      </c>
      <c r="BN681" s="1886">
        <f t="shared" si="651"/>
        <v>0</v>
      </c>
      <c r="BO681" s="1886">
        <f t="shared" si="651"/>
        <v>0</v>
      </c>
      <c r="BP681" s="1886">
        <f t="shared" si="651"/>
        <v>0</v>
      </c>
      <c r="BQ681" s="1886">
        <f t="shared" si="651"/>
        <v>0</v>
      </c>
      <c r="BR681" s="1886">
        <f t="shared" si="651"/>
        <v>0</v>
      </c>
      <c r="BS681" s="1886">
        <f t="shared" si="651"/>
        <v>0</v>
      </c>
      <c r="BT681" s="1886">
        <f t="shared" si="651"/>
        <v>0</v>
      </c>
      <c r="BU681" s="1830"/>
    </row>
    <row r="682" spans="37:73" s="496" customFormat="1" ht="12.75" x14ac:dyDescent="0.25">
      <c r="AK682" s="1828"/>
      <c r="AL682" s="1941">
        <f t="shared" si="650"/>
        <v>45</v>
      </c>
      <c r="AM682" s="1942" t="str">
        <f t="shared" si="650"/>
        <v>AMORTIZACIÓN DIFERIDOS</v>
      </c>
      <c r="AN682" s="1943">
        <f t="shared" si="650"/>
        <v>0</v>
      </c>
      <c r="AO682" s="1944">
        <f t="shared" si="606"/>
        <v>0</v>
      </c>
      <c r="AP682" s="1945">
        <f>E92</f>
        <v>0</v>
      </c>
      <c r="AQ682" s="1946">
        <f t="shared" si="607"/>
        <v>0</v>
      </c>
      <c r="AR682" s="1947">
        <f t="shared" si="608"/>
        <v>0</v>
      </c>
      <c r="AS682" s="1945">
        <f>H92</f>
        <v>0</v>
      </c>
      <c r="AT682" s="1946">
        <f t="shared" si="609"/>
        <v>0</v>
      </c>
      <c r="AU682" s="1947">
        <f t="shared" si="610"/>
        <v>0</v>
      </c>
      <c r="AV682" s="1945">
        <f>K92</f>
        <v>0</v>
      </c>
      <c r="AW682" s="1946">
        <f t="shared" si="611"/>
        <v>0</v>
      </c>
      <c r="AX682" s="1948">
        <f t="shared" si="612"/>
        <v>0</v>
      </c>
      <c r="AY682" s="1945">
        <f>N92</f>
        <v>0</v>
      </c>
      <c r="AZ682" s="1946">
        <f t="shared" si="613"/>
        <v>0</v>
      </c>
      <c r="BA682" s="1948">
        <f t="shared" si="614"/>
        <v>0</v>
      </c>
      <c r="BB682" s="1945">
        <f>Q92</f>
        <v>0</v>
      </c>
      <c r="BC682" s="1946">
        <f t="shared" si="615"/>
        <v>0</v>
      </c>
      <c r="BD682" s="1948">
        <f t="shared" si="616"/>
        <v>0</v>
      </c>
      <c r="BE682" s="1949">
        <f t="shared" si="651"/>
        <v>0</v>
      </c>
      <c r="BF682" s="1949">
        <f t="shared" si="651"/>
        <v>0</v>
      </c>
      <c r="BG682" s="1949">
        <f t="shared" si="651"/>
        <v>0</v>
      </c>
      <c r="BH682" s="1949">
        <f t="shared" si="651"/>
        <v>0</v>
      </c>
      <c r="BI682" s="1949">
        <f t="shared" si="651"/>
        <v>0</v>
      </c>
      <c r="BJ682" s="1949">
        <f t="shared" si="651"/>
        <v>0</v>
      </c>
      <c r="BK682" s="1949">
        <f t="shared" si="651"/>
        <v>0</v>
      </c>
      <c r="BL682" s="1949">
        <f t="shared" si="651"/>
        <v>0</v>
      </c>
      <c r="BM682" s="1949">
        <f t="shared" si="651"/>
        <v>0</v>
      </c>
      <c r="BN682" s="1949">
        <f t="shared" si="651"/>
        <v>0</v>
      </c>
      <c r="BO682" s="1949">
        <f t="shared" si="651"/>
        <v>0</v>
      </c>
      <c r="BP682" s="1949">
        <f t="shared" si="651"/>
        <v>0</v>
      </c>
      <c r="BQ682" s="1949">
        <f t="shared" si="651"/>
        <v>0</v>
      </c>
      <c r="BR682" s="1949">
        <f t="shared" si="651"/>
        <v>0</v>
      </c>
      <c r="BS682" s="1949">
        <f t="shared" si="651"/>
        <v>0</v>
      </c>
      <c r="BT682" s="1949">
        <f t="shared" si="651"/>
        <v>0</v>
      </c>
      <c r="BU682" s="1830"/>
    </row>
    <row r="683" spans="37:73" s="496" customFormat="1" ht="12.75" x14ac:dyDescent="0.25">
      <c r="AK683" s="1828"/>
      <c r="AL683" s="1887">
        <v>46</v>
      </c>
      <c r="AM683" s="1909" t="s">
        <v>881</v>
      </c>
      <c r="AN683" s="1910">
        <f>C93</f>
        <v>0</v>
      </c>
      <c r="AO683" s="1911">
        <f t="shared" si="606"/>
        <v>0</v>
      </c>
      <c r="AP683" s="1912">
        <f>E93</f>
        <v>2850</v>
      </c>
      <c r="AQ683" s="1913">
        <f t="shared" si="607"/>
        <v>0.78947368421052633</v>
      </c>
      <c r="AR683" s="1914">
        <f t="shared" si="608"/>
        <v>0</v>
      </c>
      <c r="AS683" s="1912">
        <f>H93</f>
        <v>2850</v>
      </c>
      <c r="AT683" s="1913">
        <f t="shared" si="609"/>
        <v>0.78947368421052633</v>
      </c>
      <c r="AU683" s="1914">
        <f t="shared" si="610"/>
        <v>0</v>
      </c>
      <c r="AV683" s="1912">
        <f>K93</f>
        <v>2850</v>
      </c>
      <c r="AW683" s="1913">
        <f t="shared" si="611"/>
        <v>0.78947368421052633</v>
      </c>
      <c r="AX683" s="1915">
        <f t="shared" si="612"/>
        <v>1</v>
      </c>
      <c r="AY683" s="1912">
        <f>N93</f>
        <v>2850</v>
      </c>
      <c r="AZ683" s="1913">
        <f t="shared" si="613"/>
        <v>0.78947368421052633</v>
      </c>
      <c r="BA683" s="1915">
        <f t="shared" si="614"/>
        <v>0</v>
      </c>
      <c r="BB683" s="1912">
        <f>Q93</f>
        <v>2850</v>
      </c>
      <c r="BC683" s="1913">
        <f t="shared" si="615"/>
        <v>0.78947368421052633</v>
      </c>
      <c r="BD683" s="1915">
        <f t="shared" si="616"/>
        <v>1</v>
      </c>
      <c r="BE683" s="1916">
        <f t="shared" si="651"/>
        <v>2863.2</v>
      </c>
      <c r="BF683" s="1916">
        <f t="shared" si="651"/>
        <v>2876.4</v>
      </c>
      <c r="BG683" s="1916">
        <f t="shared" si="651"/>
        <v>2889.6</v>
      </c>
      <c r="BH683" s="1916">
        <f t="shared" si="651"/>
        <v>2902.8</v>
      </c>
      <c r="BI683" s="1916">
        <f t="shared" si="651"/>
        <v>2916</v>
      </c>
      <c r="BJ683" s="1916">
        <f t="shared" si="651"/>
        <v>2929.2</v>
      </c>
      <c r="BK683" s="1916">
        <f t="shared" si="651"/>
        <v>2942.4</v>
      </c>
      <c r="BL683" s="1916">
        <f t="shared" si="651"/>
        <v>2955.6</v>
      </c>
      <c r="BM683" s="1916">
        <f t="shared" si="651"/>
        <v>2968.8</v>
      </c>
      <c r="BN683" s="1916">
        <f t="shared" si="651"/>
        <v>2982</v>
      </c>
      <c r="BO683" s="1916">
        <f t="shared" si="651"/>
        <v>2995.2</v>
      </c>
      <c r="BP683" s="1916">
        <f t="shared" si="651"/>
        <v>3008.4</v>
      </c>
      <c r="BQ683" s="1916">
        <f t="shared" si="651"/>
        <v>3021.6</v>
      </c>
      <c r="BR683" s="1916">
        <f t="shared" si="651"/>
        <v>3034.7999999999997</v>
      </c>
      <c r="BS683" s="1916">
        <f t="shared" si="651"/>
        <v>3048</v>
      </c>
      <c r="BT683" s="1916">
        <f t="shared" si="651"/>
        <v>3061.2</v>
      </c>
      <c r="BU683" s="1830"/>
    </row>
    <row r="684" spans="37:73" s="496" customFormat="1" ht="12.75" x14ac:dyDescent="0.25">
      <c r="AK684" s="1828"/>
      <c r="AL684" s="507"/>
      <c r="AM684" s="1950" t="s">
        <v>1417</v>
      </c>
      <c r="AN684" s="1951"/>
      <c r="AP684" s="1952">
        <f>(AP602+AP603)-(AN602+AN603)+E90-(C114-C115)</f>
        <v>640</v>
      </c>
      <c r="AS684" s="1952">
        <f>(AS602+AS603)-(AP602+AP603)+H90-(E114-E115)</f>
        <v>40</v>
      </c>
      <c r="AT684" s="495"/>
      <c r="AU684" s="495"/>
      <c r="AV684" s="1952">
        <f>(AV602+AV603)-(AS602+AS603)+K90-(H114-H115)</f>
        <v>40</v>
      </c>
      <c r="AX684" s="500"/>
      <c r="AY684" s="1952">
        <f>(AY602+AY603)-(AS602+AS603)+N90-(H114-H115)</f>
        <v>40</v>
      </c>
      <c r="BA684" s="500"/>
      <c r="BB684" s="1952">
        <f>IF(OR($C$3=$L$913,$C$3=0),(BB602+BB603)-(AY602+AY603)+Q90-(N114-N115),(BB602+BB603)-(AV602+AV603)+Q90-(K114-K115))</f>
        <v>40</v>
      </c>
      <c r="BD684" s="500"/>
      <c r="BE684" s="1953">
        <f>(BE602+BE603)-(AY602+AY603)+T90-(N114-N115)</f>
        <v>257.73400000000009</v>
      </c>
      <c r="BF684" s="1953">
        <f t="shared" ref="BF684:BT684" si="652">(BF602+BF603)-(BE602+BE603)+U90-(T114-T115)</f>
        <v>277.46799999999996</v>
      </c>
      <c r="BG684" s="1953">
        <f t="shared" si="652"/>
        <v>297.20200000000011</v>
      </c>
      <c r="BH684" s="1953">
        <f t="shared" si="652"/>
        <v>316.93599999999998</v>
      </c>
      <c r="BI684" s="1953">
        <f t="shared" si="652"/>
        <v>336.67000000000007</v>
      </c>
      <c r="BJ684" s="1953">
        <f t="shared" si="652"/>
        <v>356.40400000000022</v>
      </c>
      <c r="BK684" s="1953">
        <f t="shared" si="652"/>
        <v>376.13799999999981</v>
      </c>
      <c r="BL684" s="1953">
        <f t="shared" si="652"/>
        <v>395.87200000000041</v>
      </c>
      <c r="BM684" s="1953">
        <f t="shared" si="652"/>
        <v>415.6059999999996</v>
      </c>
      <c r="BN684" s="1953">
        <f t="shared" si="652"/>
        <v>435.33999999999969</v>
      </c>
      <c r="BO684" s="1953">
        <f t="shared" si="652"/>
        <v>455.07399999999978</v>
      </c>
      <c r="BP684" s="1953">
        <f t="shared" si="652"/>
        <v>474.80799999999988</v>
      </c>
      <c r="BQ684" s="1953">
        <f t="shared" si="652"/>
        <v>494.54199999999992</v>
      </c>
      <c r="BR684" s="1953">
        <f t="shared" si="652"/>
        <v>514.27599999999961</v>
      </c>
      <c r="BS684" s="1953">
        <f t="shared" si="652"/>
        <v>534.00999999999965</v>
      </c>
      <c r="BT684" s="1953">
        <f t="shared" si="652"/>
        <v>553.7439999999998</v>
      </c>
      <c r="BU684" s="1830"/>
    </row>
    <row r="685" spans="37:73" s="496" customFormat="1" ht="12.75" x14ac:dyDescent="0.25">
      <c r="AK685" s="1828"/>
      <c r="AL685" s="507"/>
      <c r="AM685" s="1950" t="s">
        <v>1131</v>
      </c>
      <c r="AN685" s="1951"/>
      <c r="AP685" s="1952">
        <f>AP602-AN602-(C114-C115)</f>
        <v>540</v>
      </c>
      <c r="AS685" s="1952">
        <f>AS602-AP602-(E114-E115)</f>
        <v>0</v>
      </c>
      <c r="AT685" s="495"/>
      <c r="AU685" s="495"/>
      <c r="AV685" s="1952">
        <f>AV602-AS602-(H114-H115)</f>
        <v>0</v>
      </c>
      <c r="AX685" s="500"/>
      <c r="AY685" s="1952">
        <f>AY602-AS602-(H114-H115)</f>
        <v>0</v>
      </c>
      <c r="BA685" s="500"/>
      <c r="BB685" s="1952">
        <f>IF(OR($C$3=$L$913,$C$3=0),BB602-AY602-(N114-N115),BB602-AV602-(K114-K115))</f>
        <v>0</v>
      </c>
      <c r="BD685" s="500"/>
      <c r="BE685" s="1953">
        <f>BE602-AY602-(N114-N115)</f>
        <v>178.20000000000005</v>
      </c>
      <c r="BF685" s="1953">
        <f t="shared" ref="BF685:BT685" si="653">BF602-BE602-(T114-T115)</f>
        <v>178.20000000000005</v>
      </c>
      <c r="BG685" s="1953">
        <f t="shared" si="653"/>
        <v>178.20000000000005</v>
      </c>
      <c r="BH685" s="1953">
        <f t="shared" si="653"/>
        <v>178.20000000000005</v>
      </c>
      <c r="BI685" s="1953">
        <f t="shared" si="653"/>
        <v>178.20000000000005</v>
      </c>
      <c r="BJ685" s="1953">
        <f t="shared" si="653"/>
        <v>178.20000000000005</v>
      </c>
      <c r="BK685" s="1953">
        <f t="shared" si="653"/>
        <v>178.20000000000005</v>
      </c>
      <c r="BL685" s="1953">
        <f t="shared" si="653"/>
        <v>178.20000000000005</v>
      </c>
      <c r="BM685" s="1953">
        <f t="shared" si="653"/>
        <v>178.19999999999982</v>
      </c>
      <c r="BN685" s="1953">
        <f t="shared" si="653"/>
        <v>178.19999999999982</v>
      </c>
      <c r="BO685" s="1953">
        <f t="shared" si="653"/>
        <v>178.19999999999982</v>
      </c>
      <c r="BP685" s="1953">
        <f t="shared" si="653"/>
        <v>178.19999999999982</v>
      </c>
      <c r="BQ685" s="1953">
        <f t="shared" si="653"/>
        <v>178.19999999999982</v>
      </c>
      <c r="BR685" s="1953">
        <f t="shared" si="653"/>
        <v>178.19999999999982</v>
      </c>
      <c r="BS685" s="1953">
        <f t="shared" si="653"/>
        <v>178.19999999999982</v>
      </c>
      <c r="BT685" s="1953">
        <f t="shared" si="653"/>
        <v>178.19999999999982</v>
      </c>
      <c r="BU685" s="1830"/>
    </row>
    <row r="686" spans="37:73" s="496" customFormat="1" ht="12.75" x14ac:dyDescent="0.2">
      <c r="AK686" s="1828"/>
      <c r="AL686" s="507"/>
      <c r="AM686" s="1954" t="s">
        <v>1246</v>
      </c>
      <c r="AN686" s="625"/>
      <c r="AP686" s="1019"/>
      <c r="AS686" s="1019"/>
      <c r="AT686" s="495"/>
      <c r="AU686" s="495"/>
      <c r="AV686" s="1019"/>
      <c r="AX686" s="500"/>
      <c r="AY686" s="1019"/>
      <c r="BA686" s="500"/>
      <c r="BB686" s="1019"/>
      <c r="BD686" s="500"/>
      <c r="BE686" s="1955"/>
      <c r="BF686" s="1955"/>
      <c r="BG686" s="1955"/>
      <c r="BH686" s="1955"/>
      <c r="BI686" s="1955"/>
      <c r="BJ686" s="1955"/>
      <c r="BK686" s="1955"/>
      <c r="BL686" s="1955"/>
      <c r="BM686" s="1955"/>
      <c r="BN686" s="1955"/>
      <c r="BO686" s="1955"/>
      <c r="BQ686" s="589"/>
      <c r="BU686" s="1830"/>
    </row>
    <row r="687" spans="37:73" s="496" customFormat="1" ht="12.75" x14ac:dyDescent="0.25">
      <c r="AK687" s="1828"/>
      <c r="AL687" s="507"/>
      <c r="AM687" s="1956" t="s">
        <v>1418</v>
      </c>
      <c r="AN687" s="625"/>
      <c r="AP687" s="1019"/>
      <c r="AS687" s="1019"/>
      <c r="AT687" s="495"/>
      <c r="AU687" s="495"/>
      <c r="AV687" s="1019"/>
      <c r="AX687" s="500"/>
      <c r="AY687" s="1019"/>
      <c r="BA687" s="500"/>
      <c r="BB687" s="1019"/>
      <c r="BD687" s="500"/>
      <c r="BE687" s="1955"/>
      <c r="BF687" s="1955"/>
      <c r="BG687" s="1955"/>
      <c r="BH687" s="1955"/>
      <c r="BI687" s="1955"/>
      <c r="BJ687" s="1955"/>
      <c r="BK687" s="1955"/>
      <c r="BL687" s="1955"/>
      <c r="BM687" s="1955"/>
      <c r="BN687" s="1955"/>
      <c r="BO687" s="1955"/>
      <c r="BU687" s="1830"/>
    </row>
    <row r="688" spans="37:73" s="496" customFormat="1" ht="12.75" x14ac:dyDescent="0.25">
      <c r="AK688" s="1828"/>
      <c r="AL688" s="507"/>
      <c r="AM688" s="1957"/>
      <c r="AN688" s="625"/>
      <c r="AP688" s="1019"/>
      <c r="AS688" s="1019"/>
      <c r="AT688" s="495"/>
      <c r="AU688" s="495"/>
      <c r="AV688" s="1019"/>
      <c r="AX688" s="500"/>
      <c r="AY688" s="1019"/>
      <c r="BA688" s="500"/>
      <c r="BB688" s="1019"/>
      <c r="BD688" s="500"/>
      <c r="BE688" s="1955"/>
      <c r="BF688" s="1955"/>
      <c r="BG688" s="1955"/>
      <c r="BH688" s="1955"/>
      <c r="BI688" s="1955"/>
      <c r="BJ688" s="1955"/>
      <c r="BK688" s="1955"/>
      <c r="BL688" s="1955"/>
      <c r="BM688" s="1955"/>
      <c r="BN688" s="1955"/>
      <c r="BO688" s="1955"/>
      <c r="BU688" s="1830"/>
    </row>
    <row r="689" spans="37:73" s="496" customFormat="1" ht="12.75" x14ac:dyDescent="0.25">
      <c r="AK689" s="1828"/>
      <c r="AL689" s="507"/>
      <c r="AM689" s="603"/>
      <c r="AN689" s="625"/>
      <c r="AP689" s="727"/>
      <c r="AS689" s="625"/>
      <c r="AT689" s="495"/>
      <c r="AU689" s="495"/>
      <c r="AV689" s="625"/>
      <c r="AX689" s="500"/>
      <c r="AY689" s="625"/>
      <c r="BA689" s="500"/>
      <c r="BB689" s="625"/>
      <c r="BD689" s="500"/>
      <c r="BE689" s="625"/>
      <c r="BF689" s="625"/>
      <c r="BG689" s="627"/>
      <c r="BH689" s="627"/>
      <c r="BI689" s="627"/>
      <c r="BJ689" s="627"/>
      <c r="BK689" s="627"/>
      <c r="BL689" s="627"/>
      <c r="BM689" s="627"/>
      <c r="BN689" s="627"/>
      <c r="BO689" s="627"/>
      <c r="BU689" s="1830"/>
    </row>
    <row r="690" spans="37:73" s="496" customFormat="1" ht="12.75" x14ac:dyDescent="0.25">
      <c r="AK690" s="1828"/>
      <c r="AL690" s="507"/>
      <c r="AM690" s="603"/>
      <c r="AN690" s="625"/>
      <c r="AP690" s="625"/>
      <c r="AS690" s="625"/>
      <c r="AT690" s="495"/>
      <c r="AU690" s="495"/>
      <c r="AV690" s="625"/>
      <c r="AX690" s="500"/>
      <c r="AY690" s="625"/>
      <c r="BA690" s="500"/>
      <c r="BB690" s="625"/>
      <c r="BD690" s="500"/>
      <c r="BE690" s="625"/>
      <c r="BF690" s="625"/>
      <c r="BG690" s="627"/>
      <c r="BH690" s="627"/>
      <c r="BI690" s="627"/>
      <c r="BJ690" s="627"/>
      <c r="BK690" s="627"/>
      <c r="BL690" s="627"/>
      <c r="BM690" s="627"/>
      <c r="BN690" s="627"/>
      <c r="BO690" s="627"/>
      <c r="BU690" s="1830"/>
    </row>
    <row r="691" spans="37:73" s="496" customFormat="1" ht="12.75" x14ac:dyDescent="0.25">
      <c r="AK691" s="1828"/>
      <c r="AL691" s="507"/>
      <c r="AM691" s="603"/>
      <c r="AN691" s="625"/>
      <c r="AP691" s="625"/>
      <c r="AS691" s="625"/>
      <c r="AT691" s="495"/>
      <c r="AU691" s="495"/>
      <c r="AV691" s="625"/>
      <c r="AX691" s="500"/>
      <c r="AY691" s="625"/>
      <c r="BA691" s="500"/>
      <c r="BB691" s="625"/>
      <c r="BD691" s="500"/>
      <c r="BE691" s="625"/>
      <c r="BF691" s="625"/>
      <c r="BG691" s="627"/>
      <c r="BH691" s="627"/>
      <c r="BI691" s="627"/>
      <c r="BJ691" s="627"/>
      <c r="BK691" s="627"/>
      <c r="BL691" s="627"/>
      <c r="BM691" s="627"/>
      <c r="BN691" s="627"/>
      <c r="BO691" s="627"/>
      <c r="BU691" s="1830"/>
    </row>
    <row r="692" spans="37:73" s="496" customFormat="1" ht="15" x14ac:dyDescent="0.25">
      <c r="AK692" s="1828"/>
      <c r="AL692" s="507"/>
      <c r="AM692" s="1835" t="str">
        <f>"DATOS FINANCIEROS SOBRESALIENTES E INDICADORES"&amp;IF($R$956&lt;&gt;$E$913," - CORTE "&amp;Q16,0)</f>
        <v>DATOS FINANCIEROS SOBRESALIENTES E INDICADORES0</v>
      </c>
      <c r="AN692" s="502"/>
      <c r="AP692" s="502"/>
      <c r="AS692" s="502"/>
      <c r="AT692" s="495"/>
      <c r="AU692" s="495"/>
      <c r="AV692" s="502"/>
      <c r="AX692" s="500"/>
      <c r="AY692" s="502"/>
      <c r="BA692" s="500"/>
      <c r="BB692" s="502"/>
      <c r="BD692" s="500"/>
      <c r="BE692" s="502"/>
      <c r="BF692" s="502"/>
      <c r="BG692" s="981"/>
      <c r="BH692" s="981"/>
      <c r="BI692" s="981"/>
      <c r="BJ692" s="981"/>
      <c r="BK692" s="981"/>
      <c r="BL692" s="981"/>
      <c r="BM692" s="981"/>
      <c r="BN692" s="981"/>
      <c r="BO692" s="981"/>
      <c r="BU692" s="1830"/>
    </row>
    <row r="693" spans="37:73" s="496" customFormat="1" ht="15" x14ac:dyDescent="0.25">
      <c r="AK693" s="1828"/>
      <c r="AL693" s="507"/>
      <c r="AM693" s="628" t="str">
        <f>AM582</f>
        <v>Prueba Da 27.08.23</v>
      </c>
      <c r="AN693" s="502"/>
      <c r="AP693" s="502"/>
      <c r="AS693" s="502"/>
      <c r="AT693" s="495"/>
      <c r="AU693" s="495"/>
      <c r="AV693" s="502"/>
      <c r="AX693" s="500"/>
      <c r="AY693" s="502"/>
      <c r="BA693" s="500"/>
      <c r="BB693" s="502"/>
      <c r="BD693" s="500"/>
      <c r="BE693" s="502" t="str">
        <f>IF($W$241="SI","ESCENARIO "&amp;$V$242,0)</f>
        <v>ESCENARIO BASE</v>
      </c>
      <c r="BF693" s="502"/>
      <c r="BG693" s="981"/>
      <c r="BH693" s="981"/>
      <c r="BI693" s="981"/>
      <c r="BJ693" s="981"/>
      <c r="BK693" s="981"/>
      <c r="BL693" s="981"/>
      <c r="BM693" s="981"/>
      <c r="BN693" s="981"/>
      <c r="BO693" s="981"/>
      <c r="BU693" s="1830"/>
    </row>
    <row r="694" spans="37:73" s="496" customFormat="1" ht="12.75" x14ac:dyDescent="0.25">
      <c r="AK694" s="1828"/>
      <c r="AL694" s="507"/>
      <c r="AM694" s="1957" t="str">
        <f>C13</f>
        <v>Miles de Lempira HNL</v>
      </c>
      <c r="AN694" s="1958"/>
      <c r="AP694" s="1958"/>
      <c r="AS694" s="1958"/>
      <c r="AT694" s="495"/>
      <c r="AU694" s="495"/>
      <c r="AV694" s="502"/>
      <c r="AX694" s="500"/>
      <c r="AY694" s="502"/>
      <c r="BA694" s="500"/>
      <c r="BB694" s="502"/>
      <c r="BD694" s="500"/>
      <c r="BE694" s="502"/>
      <c r="BF694" s="502"/>
      <c r="BG694" s="981"/>
      <c r="BH694" s="981"/>
      <c r="BI694" s="981"/>
      <c r="BJ694" s="981"/>
      <c r="BK694" s="981"/>
      <c r="BL694" s="981"/>
      <c r="BM694" s="981"/>
      <c r="BN694" s="981"/>
      <c r="BO694" s="981"/>
      <c r="BQ694" s="630"/>
      <c r="BU694" s="1830"/>
    </row>
    <row r="695" spans="37:73" s="496" customFormat="1" ht="12.75" x14ac:dyDescent="0.25">
      <c r="AK695" s="1828"/>
      <c r="AL695" s="507"/>
      <c r="AM695" s="631">
        <f ca="1">NOW()</f>
        <v>45165.397987962962</v>
      </c>
      <c r="AN695" s="1959"/>
      <c r="AP695" s="1958"/>
      <c r="AS695" s="1958"/>
      <c r="AT695" s="495"/>
      <c r="AU695" s="495"/>
      <c r="AV695" s="502"/>
      <c r="AX695" s="500"/>
      <c r="AY695" s="502"/>
      <c r="BA695" s="500"/>
      <c r="BB695" s="502"/>
      <c r="BD695" s="500"/>
      <c r="BE695" s="634" t="s">
        <v>1044</v>
      </c>
      <c r="BF695" s="634" t="s">
        <v>1044</v>
      </c>
      <c r="BG695" s="634" t="s">
        <v>1044</v>
      </c>
      <c r="BH695" s="634" t="s">
        <v>1044</v>
      </c>
      <c r="BI695" s="634" t="s">
        <v>1044</v>
      </c>
      <c r="BJ695" s="634" t="s">
        <v>1044</v>
      </c>
      <c r="BK695" s="634" t="s">
        <v>1044</v>
      </c>
      <c r="BL695" s="634" t="s">
        <v>1044</v>
      </c>
      <c r="BM695" s="634" t="s">
        <v>1044</v>
      </c>
      <c r="BN695" s="634" t="s">
        <v>1044</v>
      </c>
      <c r="BO695" s="634" t="s">
        <v>1044</v>
      </c>
      <c r="BP695" s="634" t="s">
        <v>1044</v>
      </c>
      <c r="BQ695" s="634" t="s">
        <v>1044</v>
      </c>
      <c r="BR695" s="634" t="s">
        <v>1044</v>
      </c>
      <c r="BS695" s="634" t="s">
        <v>1044</v>
      </c>
      <c r="BT695" s="634" t="s">
        <v>1044</v>
      </c>
      <c r="BU695" s="1830"/>
    </row>
    <row r="696" spans="37:73" s="496" customFormat="1" ht="12.75" x14ac:dyDescent="0.25">
      <c r="AK696" s="1828"/>
      <c r="AL696" s="507"/>
      <c r="AM696" s="1960" t="s">
        <v>1419</v>
      </c>
      <c r="AN696" s="1961">
        <f>AN583</f>
        <v>2018</v>
      </c>
      <c r="AP696" s="1962">
        <f>AP583</f>
        <v>2019</v>
      </c>
      <c r="AQ696" s="500"/>
      <c r="AS696" s="1962">
        <f>AS583</f>
        <v>2020</v>
      </c>
      <c r="AT696" s="495"/>
      <c r="AU696" s="495"/>
      <c r="AV696" s="1962">
        <f>AV583</f>
        <v>2020</v>
      </c>
      <c r="AX696" s="500"/>
      <c r="AY696" s="1962">
        <f>AY583</f>
        <v>2021</v>
      </c>
      <c r="BA696" s="500"/>
      <c r="BB696" s="1962">
        <f>BB583</f>
        <v>2021</v>
      </c>
      <c r="BD696" s="500"/>
      <c r="BE696" s="1962">
        <f t="shared" ref="BE696:BT696" si="654">BE583</f>
        <v>2022</v>
      </c>
      <c r="BF696" s="1962">
        <f t="shared" si="654"/>
        <v>2023</v>
      </c>
      <c r="BG696" s="1962">
        <f t="shared" si="654"/>
        <v>2024</v>
      </c>
      <c r="BH696" s="1962">
        <f t="shared" si="654"/>
        <v>2025</v>
      </c>
      <c r="BI696" s="1962">
        <f t="shared" si="654"/>
        <v>2026</v>
      </c>
      <c r="BJ696" s="1962">
        <f t="shared" si="654"/>
        <v>2027</v>
      </c>
      <c r="BK696" s="1962">
        <f t="shared" si="654"/>
        <v>2028</v>
      </c>
      <c r="BL696" s="1962">
        <f t="shared" si="654"/>
        <v>2029</v>
      </c>
      <c r="BM696" s="1962">
        <f t="shared" si="654"/>
        <v>2030</v>
      </c>
      <c r="BN696" s="1962">
        <f t="shared" si="654"/>
        <v>2031</v>
      </c>
      <c r="BO696" s="1962">
        <f t="shared" si="654"/>
        <v>2032</v>
      </c>
      <c r="BP696" s="1962">
        <f t="shared" si="654"/>
        <v>2033</v>
      </c>
      <c r="BQ696" s="1962">
        <f t="shared" si="654"/>
        <v>2034</v>
      </c>
      <c r="BR696" s="1962">
        <f t="shared" si="654"/>
        <v>2035</v>
      </c>
      <c r="BS696" s="1962">
        <f t="shared" si="654"/>
        <v>2036</v>
      </c>
      <c r="BT696" s="1962">
        <f t="shared" si="654"/>
        <v>2037</v>
      </c>
      <c r="BU696" s="1830"/>
    </row>
    <row r="697" spans="37:73" s="496" customFormat="1" ht="15" x14ac:dyDescent="0.25">
      <c r="AK697" s="1828"/>
      <c r="AL697" s="507"/>
      <c r="AM697" s="1960" t="s">
        <v>871</v>
      </c>
      <c r="AN697" s="1961">
        <f>AN584</f>
        <v>360</v>
      </c>
      <c r="AP697" s="1962">
        <f>AP584</f>
        <v>360</v>
      </c>
      <c r="AQ697" s="500"/>
      <c r="AS697" s="1962">
        <f>AS584</f>
        <v>360</v>
      </c>
      <c r="AT697" s="495"/>
      <c r="AU697" s="495"/>
      <c r="AV697" s="1963">
        <f>AV584</f>
        <v>180</v>
      </c>
      <c r="AX697" s="500"/>
      <c r="AY697" s="1962">
        <f>AY584</f>
        <v>360</v>
      </c>
      <c r="BA697" s="500"/>
      <c r="BB697" s="1963">
        <f>BB584</f>
        <v>180</v>
      </c>
      <c r="BD697" s="500"/>
      <c r="BE697" s="1962">
        <f t="shared" ref="BE697:BT697" si="655">BE584</f>
        <v>360</v>
      </c>
      <c r="BF697" s="1962">
        <f t="shared" si="655"/>
        <v>360</v>
      </c>
      <c r="BG697" s="1962">
        <f t="shared" si="655"/>
        <v>360</v>
      </c>
      <c r="BH697" s="1962">
        <f t="shared" si="655"/>
        <v>360</v>
      </c>
      <c r="BI697" s="1962">
        <f t="shared" si="655"/>
        <v>360</v>
      </c>
      <c r="BJ697" s="1962">
        <f t="shared" si="655"/>
        <v>360</v>
      </c>
      <c r="BK697" s="1962">
        <f t="shared" si="655"/>
        <v>360</v>
      </c>
      <c r="BL697" s="1962">
        <f t="shared" si="655"/>
        <v>360</v>
      </c>
      <c r="BM697" s="1962">
        <f t="shared" si="655"/>
        <v>360</v>
      </c>
      <c r="BN697" s="1962">
        <f t="shared" si="655"/>
        <v>360</v>
      </c>
      <c r="BO697" s="1962">
        <f t="shared" si="655"/>
        <v>360</v>
      </c>
      <c r="BP697" s="1962">
        <f t="shared" si="655"/>
        <v>360</v>
      </c>
      <c r="BQ697" s="1962">
        <f t="shared" si="655"/>
        <v>360</v>
      </c>
      <c r="BR697" s="1962">
        <f t="shared" si="655"/>
        <v>360</v>
      </c>
      <c r="BS697" s="1962">
        <f t="shared" si="655"/>
        <v>360</v>
      </c>
      <c r="BT697" s="1962">
        <f t="shared" si="655"/>
        <v>360</v>
      </c>
      <c r="BU697" s="1830"/>
    </row>
    <row r="698" spans="37:73" s="496" customFormat="1" ht="12.75" x14ac:dyDescent="0.25">
      <c r="AK698" s="1828"/>
      <c r="AL698" s="1964">
        <v>1</v>
      </c>
      <c r="AM698" s="1965" t="s">
        <v>1420</v>
      </c>
      <c r="AN698" s="1966">
        <f>AN589</f>
        <v>0</v>
      </c>
      <c r="AP698" s="1967">
        <f>AP589</f>
        <v>90</v>
      </c>
      <c r="AQ698" s="500"/>
      <c r="AS698" s="1967">
        <f>AS589</f>
        <v>90</v>
      </c>
      <c r="AT698" s="495"/>
      <c r="AU698" s="495"/>
      <c r="AV698" s="1967">
        <f>AV589</f>
        <v>90</v>
      </c>
      <c r="AX698" s="500"/>
      <c r="AY698" s="1967">
        <f>AY589</f>
        <v>90</v>
      </c>
      <c r="BA698" s="500"/>
      <c r="BB698" s="1967">
        <f>BB589</f>
        <v>90</v>
      </c>
      <c r="BD698" s="500"/>
      <c r="BE698" s="1967">
        <f t="shared" ref="BE698:BT698" si="656">BE589</f>
        <v>90</v>
      </c>
      <c r="BF698" s="1967">
        <f t="shared" si="656"/>
        <v>90</v>
      </c>
      <c r="BG698" s="1967">
        <f t="shared" si="656"/>
        <v>90</v>
      </c>
      <c r="BH698" s="1967">
        <f t="shared" si="656"/>
        <v>90</v>
      </c>
      <c r="BI698" s="1967">
        <f t="shared" si="656"/>
        <v>90</v>
      </c>
      <c r="BJ698" s="1967">
        <f t="shared" si="656"/>
        <v>90</v>
      </c>
      <c r="BK698" s="1967">
        <f t="shared" si="656"/>
        <v>90</v>
      </c>
      <c r="BL698" s="1967">
        <f t="shared" si="656"/>
        <v>90</v>
      </c>
      <c r="BM698" s="1967">
        <f t="shared" si="656"/>
        <v>90</v>
      </c>
      <c r="BN698" s="1967">
        <f t="shared" si="656"/>
        <v>90</v>
      </c>
      <c r="BO698" s="1967">
        <f t="shared" si="656"/>
        <v>90</v>
      </c>
      <c r="BP698" s="1967">
        <f t="shared" si="656"/>
        <v>90</v>
      </c>
      <c r="BQ698" s="1967">
        <f t="shared" si="656"/>
        <v>90</v>
      </c>
      <c r="BR698" s="1967">
        <f t="shared" si="656"/>
        <v>90</v>
      </c>
      <c r="BS698" s="1967">
        <f t="shared" si="656"/>
        <v>90</v>
      </c>
      <c r="BT698" s="1967">
        <f t="shared" si="656"/>
        <v>90</v>
      </c>
      <c r="BU698" s="1830"/>
    </row>
    <row r="699" spans="37:73" s="496" customFormat="1" ht="12.75" x14ac:dyDescent="0.25">
      <c r="AK699" s="1828"/>
      <c r="AL699" s="1968">
        <f t="shared" ref="AL699:AL710" si="657">AL698+1</f>
        <v>2</v>
      </c>
      <c r="AM699" s="1969" t="s">
        <v>1421</v>
      </c>
      <c r="AN699" s="1970">
        <f>AN593</f>
        <v>0</v>
      </c>
      <c r="AP699" s="1971">
        <f>AP593</f>
        <v>390</v>
      </c>
      <c r="AQ699" s="500"/>
      <c r="AS699" s="1971">
        <f>AS593</f>
        <v>390</v>
      </c>
      <c r="AT699" s="495"/>
      <c r="AU699" s="495"/>
      <c r="AV699" s="1971">
        <f>AV593</f>
        <v>390</v>
      </c>
      <c r="AX699" s="500"/>
      <c r="AY699" s="1971">
        <f>AY593</f>
        <v>390</v>
      </c>
      <c r="BA699" s="500"/>
      <c r="BB699" s="1971">
        <f>BB593</f>
        <v>390</v>
      </c>
      <c r="BD699" s="500"/>
      <c r="BE699" s="1971">
        <f t="shared" ref="BE699:BT699" si="658">BE593</f>
        <v>390.00000000000006</v>
      </c>
      <c r="BF699" s="1971">
        <f t="shared" si="658"/>
        <v>390.00000000000006</v>
      </c>
      <c r="BG699" s="1971">
        <f t="shared" si="658"/>
        <v>390.00000000000006</v>
      </c>
      <c r="BH699" s="1971">
        <f t="shared" si="658"/>
        <v>390.00000000000006</v>
      </c>
      <c r="BI699" s="1971">
        <f t="shared" si="658"/>
        <v>390.00000000000006</v>
      </c>
      <c r="BJ699" s="1971">
        <f t="shared" si="658"/>
        <v>390.00000000000006</v>
      </c>
      <c r="BK699" s="1971">
        <f t="shared" si="658"/>
        <v>390.00000000000006</v>
      </c>
      <c r="BL699" s="1971">
        <f t="shared" si="658"/>
        <v>390.00000000000006</v>
      </c>
      <c r="BM699" s="1971">
        <f t="shared" si="658"/>
        <v>390.00000000000006</v>
      </c>
      <c r="BN699" s="1971">
        <f t="shared" si="658"/>
        <v>390.00000000000006</v>
      </c>
      <c r="BO699" s="1971">
        <f t="shared" si="658"/>
        <v>390.00000000000006</v>
      </c>
      <c r="BP699" s="1971">
        <f t="shared" si="658"/>
        <v>390.00000000000006</v>
      </c>
      <c r="BQ699" s="1971">
        <f t="shared" si="658"/>
        <v>390.00000000000006</v>
      </c>
      <c r="BR699" s="1971">
        <f t="shared" si="658"/>
        <v>390.00000000000006</v>
      </c>
      <c r="BS699" s="1971">
        <f t="shared" si="658"/>
        <v>390.00000000000006</v>
      </c>
      <c r="BT699" s="1971">
        <f t="shared" si="658"/>
        <v>390.00000000000006</v>
      </c>
      <c r="BU699" s="1830"/>
    </row>
    <row r="700" spans="37:73" s="496" customFormat="1" ht="12.75" x14ac:dyDescent="0.25">
      <c r="AK700" s="1828"/>
      <c r="AL700" s="1968">
        <f t="shared" si="657"/>
        <v>3</v>
      </c>
      <c r="AM700" s="1969" t="s">
        <v>1058</v>
      </c>
      <c r="AN700" s="1970">
        <f>AN598</f>
        <v>0</v>
      </c>
      <c r="AP700" s="1971">
        <f>AP598</f>
        <v>1860</v>
      </c>
      <c r="AQ700" s="500"/>
      <c r="AS700" s="1971">
        <f>AS598</f>
        <v>1860</v>
      </c>
      <c r="AT700" s="495"/>
      <c r="AU700" s="495"/>
      <c r="AV700" s="1971">
        <f>AV598</f>
        <v>1860</v>
      </c>
      <c r="AX700" s="500"/>
      <c r="AY700" s="1971">
        <f>AY598</f>
        <v>1860</v>
      </c>
      <c r="BA700" s="500"/>
      <c r="BB700" s="1971">
        <f>BB598</f>
        <v>1860</v>
      </c>
      <c r="BD700" s="500"/>
      <c r="BE700" s="1971">
        <f t="shared" ref="BE700:BT700" si="659">BE598</f>
        <v>2575.1659999999993</v>
      </c>
      <c r="BF700" s="1971">
        <f t="shared" si="659"/>
        <v>3292.5899999999992</v>
      </c>
      <c r="BG700" s="1971">
        <f t="shared" si="659"/>
        <v>4007.2119999999991</v>
      </c>
      <c r="BH700" s="1971">
        <f t="shared" si="659"/>
        <v>4712.619999999999</v>
      </c>
      <c r="BI700" s="1971">
        <f t="shared" si="659"/>
        <v>5411.4939999999988</v>
      </c>
      <c r="BJ700" s="1971">
        <f t="shared" si="659"/>
        <v>6103.833999999998</v>
      </c>
      <c r="BK700" s="1971">
        <f t="shared" si="659"/>
        <v>6789.6399999999985</v>
      </c>
      <c r="BL700" s="1971">
        <f t="shared" si="659"/>
        <v>7468.9119999999966</v>
      </c>
      <c r="BM700" s="1971">
        <f t="shared" si="659"/>
        <v>8141.6499999999978</v>
      </c>
      <c r="BN700" s="1971">
        <f t="shared" si="659"/>
        <v>8807.8539999999957</v>
      </c>
      <c r="BO700" s="1971">
        <f t="shared" si="659"/>
        <v>9467.5239999999976</v>
      </c>
      <c r="BP700" s="1971">
        <f t="shared" si="659"/>
        <v>10120.659999999996</v>
      </c>
      <c r="BQ700" s="1971">
        <f t="shared" si="659"/>
        <v>10767.261999999997</v>
      </c>
      <c r="BR700" s="1971">
        <f t="shared" si="659"/>
        <v>11407.329999999996</v>
      </c>
      <c r="BS700" s="1971">
        <f t="shared" si="659"/>
        <v>12040.863999999998</v>
      </c>
      <c r="BT700" s="1971">
        <f t="shared" si="659"/>
        <v>12667.863999999996</v>
      </c>
      <c r="BU700" s="1830"/>
    </row>
    <row r="701" spans="37:73" s="496" customFormat="1" ht="12.75" x14ac:dyDescent="0.25">
      <c r="AK701" s="1828"/>
      <c r="AL701" s="1968">
        <f t="shared" si="657"/>
        <v>4</v>
      </c>
      <c r="AM701" s="1969" t="s">
        <v>1422</v>
      </c>
      <c r="AN701" s="1970">
        <f>AN605</f>
        <v>0</v>
      </c>
      <c r="AP701" s="1971">
        <f>AP605</f>
        <v>600</v>
      </c>
      <c r="AQ701" s="500"/>
      <c r="AS701" s="1971">
        <f>AS605</f>
        <v>600</v>
      </c>
      <c r="AT701" s="495"/>
      <c r="AU701" s="495"/>
      <c r="AV701" s="1971">
        <f>AV605</f>
        <v>600</v>
      </c>
      <c r="AX701" s="500"/>
      <c r="AY701" s="1971">
        <f>AY605</f>
        <v>600</v>
      </c>
      <c r="BA701" s="500"/>
      <c r="BB701" s="1971">
        <f>BB605</f>
        <v>600</v>
      </c>
      <c r="BD701" s="500"/>
      <c r="BE701" s="1971">
        <f t="shared" ref="BE701:BT701" si="660">BE605</f>
        <v>804.53400000000011</v>
      </c>
      <c r="BF701" s="1971">
        <f t="shared" si="660"/>
        <v>1015.6020000000001</v>
      </c>
      <c r="BG701" s="1971">
        <f t="shared" si="660"/>
        <v>1233.2040000000002</v>
      </c>
      <c r="BH701" s="1971">
        <f t="shared" si="660"/>
        <v>1457.3400000000001</v>
      </c>
      <c r="BI701" s="1971">
        <f t="shared" si="660"/>
        <v>1688.0100000000002</v>
      </c>
      <c r="BJ701" s="1971">
        <f t="shared" si="660"/>
        <v>1925.2140000000004</v>
      </c>
      <c r="BK701" s="1971">
        <f t="shared" si="660"/>
        <v>2168.9520000000002</v>
      </c>
      <c r="BL701" s="1971">
        <f t="shared" si="660"/>
        <v>2419.2240000000006</v>
      </c>
      <c r="BM701" s="1971">
        <f t="shared" si="660"/>
        <v>2676.03</v>
      </c>
      <c r="BN701" s="1971">
        <f t="shared" si="660"/>
        <v>2939.37</v>
      </c>
      <c r="BO701" s="1971">
        <f t="shared" si="660"/>
        <v>3209.2439999999997</v>
      </c>
      <c r="BP701" s="1971">
        <f t="shared" si="660"/>
        <v>3485.6519999999996</v>
      </c>
      <c r="BQ701" s="1971">
        <f t="shared" si="660"/>
        <v>3768.5939999999996</v>
      </c>
      <c r="BR701" s="1971">
        <f t="shared" si="660"/>
        <v>4058.0699999999993</v>
      </c>
      <c r="BS701" s="1971">
        <f t="shared" si="660"/>
        <v>4354.079999999999</v>
      </c>
      <c r="BT701" s="1971">
        <f t="shared" si="660"/>
        <v>4656.6239999999989</v>
      </c>
      <c r="BU701" s="1830"/>
    </row>
    <row r="702" spans="37:73" s="496" customFormat="1" ht="12.75" x14ac:dyDescent="0.25">
      <c r="AK702" s="1828"/>
      <c r="AL702" s="1968">
        <f t="shared" si="657"/>
        <v>5</v>
      </c>
      <c r="AM702" s="1969" t="s">
        <v>665</v>
      </c>
      <c r="AN702" s="1970">
        <f>AN615</f>
        <v>0</v>
      </c>
      <c r="AP702" s="1971">
        <f>AP615</f>
        <v>90</v>
      </c>
      <c r="AQ702" s="500"/>
      <c r="AS702" s="1971">
        <f>AS615</f>
        <v>90</v>
      </c>
      <c r="AT702" s="495"/>
      <c r="AU702" s="495"/>
      <c r="AV702" s="1971">
        <f>AV615</f>
        <v>90</v>
      </c>
      <c r="AX702" s="500"/>
      <c r="AY702" s="1971">
        <f>AY615</f>
        <v>90</v>
      </c>
      <c r="BA702" s="500"/>
      <c r="BB702" s="1971">
        <f>BB615</f>
        <v>90</v>
      </c>
      <c r="BD702" s="500"/>
      <c r="BE702" s="1971">
        <f t="shared" ref="BE702:BT702" si="661">BE615</f>
        <v>90</v>
      </c>
      <c r="BF702" s="1971">
        <f t="shared" si="661"/>
        <v>90</v>
      </c>
      <c r="BG702" s="1971">
        <f t="shared" si="661"/>
        <v>90</v>
      </c>
      <c r="BH702" s="1971">
        <f t="shared" si="661"/>
        <v>90</v>
      </c>
      <c r="BI702" s="1971">
        <f t="shared" si="661"/>
        <v>90</v>
      </c>
      <c r="BJ702" s="1971">
        <f t="shared" si="661"/>
        <v>90</v>
      </c>
      <c r="BK702" s="1971">
        <f t="shared" si="661"/>
        <v>90</v>
      </c>
      <c r="BL702" s="1971">
        <f t="shared" si="661"/>
        <v>90</v>
      </c>
      <c r="BM702" s="1971">
        <f t="shared" si="661"/>
        <v>90</v>
      </c>
      <c r="BN702" s="1971">
        <f t="shared" si="661"/>
        <v>90</v>
      </c>
      <c r="BO702" s="1971">
        <f t="shared" si="661"/>
        <v>90</v>
      </c>
      <c r="BP702" s="1971">
        <f t="shared" si="661"/>
        <v>90</v>
      </c>
      <c r="BQ702" s="1971">
        <f t="shared" si="661"/>
        <v>90</v>
      </c>
      <c r="BR702" s="1971">
        <f t="shared" si="661"/>
        <v>90</v>
      </c>
      <c r="BS702" s="1971">
        <f t="shared" si="661"/>
        <v>90</v>
      </c>
      <c r="BT702" s="1971">
        <f t="shared" si="661"/>
        <v>90</v>
      </c>
      <c r="BU702" s="1830"/>
    </row>
    <row r="703" spans="37:73" s="496" customFormat="1" ht="12.75" x14ac:dyDescent="0.25">
      <c r="AK703" s="1828"/>
      <c r="AL703" s="1968">
        <f t="shared" si="657"/>
        <v>6</v>
      </c>
      <c r="AM703" s="1969" t="s">
        <v>1067</v>
      </c>
      <c r="AN703" s="1970">
        <f>AN616</f>
        <v>0</v>
      </c>
      <c r="AP703" s="1971">
        <f>AP616</f>
        <v>3870</v>
      </c>
      <c r="AQ703" s="500"/>
      <c r="AS703" s="1971">
        <f>AS616</f>
        <v>3870</v>
      </c>
      <c r="AT703" s="495"/>
      <c r="AU703" s="495"/>
      <c r="AV703" s="1971">
        <f>AV616</f>
        <v>3870</v>
      </c>
      <c r="AX703" s="500"/>
      <c r="AY703" s="1971">
        <f>AY616</f>
        <v>3870</v>
      </c>
      <c r="BA703" s="500"/>
      <c r="BB703" s="1971">
        <f>BB616</f>
        <v>3870</v>
      </c>
      <c r="BD703" s="500"/>
      <c r="BE703" s="1971">
        <f t="shared" ref="BE703:BT703" si="662">BE616</f>
        <v>4789.6999999999989</v>
      </c>
      <c r="BF703" s="1971">
        <f t="shared" si="662"/>
        <v>5718.1919999999991</v>
      </c>
      <c r="BG703" s="1971">
        <f t="shared" si="662"/>
        <v>6650.4159999999993</v>
      </c>
      <c r="BH703" s="1971">
        <f t="shared" si="662"/>
        <v>7579.9599999999991</v>
      </c>
      <c r="BI703" s="1971">
        <f t="shared" si="662"/>
        <v>8509.503999999999</v>
      </c>
      <c r="BJ703" s="1971">
        <f t="shared" si="662"/>
        <v>9439.0479999999989</v>
      </c>
      <c r="BK703" s="1971">
        <f t="shared" si="662"/>
        <v>10368.591999999999</v>
      </c>
      <c r="BL703" s="1971">
        <f t="shared" si="662"/>
        <v>11298.135999999997</v>
      </c>
      <c r="BM703" s="1971">
        <f t="shared" si="662"/>
        <v>12227.679999999998</v>
      </c>
      <c r="BN703" s="1971">
        <f t="shared" si="662"/>
        <v>13157.223999999995</v>
      </c>
      <c r="BO703" s="1971">
        <f t="shared" si="662"/>
        <v>14086.767999999996</v>
      </c>
      <c r="BP703" s="1971">
        <f t="shared" si="662"/>
        <v>15016.311999999996</v>
      </c>
      <c r="BQ703" s="1971">
        <f t="shared" si="662"/>
        <v>15945.855999999996</v>
      </c>
      <c r="BR703" s="1971">
        <f t="shared" si="662"/>
        <v>16875.399999999994</v>
      </c>
      <c r="BS703" s="1971">
        <f t="shared" si="662"/>
        <v>17804.943999999996</v>
      </c>
      <c r="BT703" s="1971">
        <f t="shared" si="662"/>
        <v>18734.487999999994</v>
      </c>
      <c r="BU703" s="1830"/>
    </row>
    <row r="704" spans="37:73" s="496" customFormat="1" ht="12.75" x14ac:dyDescent="0.25">
      <c r="AK704" s="1828"/>
      <c r="AL704" s="1968">
        <f t="shared" si="657"/>
        <v>7</v>
      </c>
      <c r="AM704" s="1969" t="s">
        <v>680</v>
      </c>
      <c r="AN704" s="1970">
        <f>AN619+AN620+AN621+AN622+AN633+AN634+AN635</f>
        <v>0</v>
      </c>
      <c r="AP704" s="1971">
        <f>AP619+AP620+AP621+AP622+AP633+AP634+AP635</f>
        <v>50</v>
      </c>
      <c r="AQ704" s="500"/>
      <c r="AS704" s="1971">
        <f>AS619+AS620+AS621+AS622+AS633+AS634+AS635</f>
        <v>50</v>
      </c>
      <c r="AT704" s="495"/>
      <c r="AU704" s="495"/>
      <c r="AV704" s="1971">
        <f>AV619+AV620+AV621+AV622+AV633+AV634+AV635</f>
        <v>50</v>
      </c>
      <c r="AX704" s="500"/>
      <c r="AY704" s="1971">
        <f>AY619+AY620+AY621+AY622+AY633+AY634+AY635</f>
        <v>50</v>
      </c>
      <c r="BA704" s="500"/>
      <c r="BB704" s="1971">
        <f>BB619+BB620+BB621+BB622+BB633+BB634+BB635</f>
        <v>50</v>
      </c>
      <c r="BD704" s="500"/>
      <c r="BE704" s="1971">
        <f t="shared" ref="BE704:BT704" si="663">BE619+BE620+BE621+BE622+BE633+BE634+BE635</f>
        <v>40</v>
      </c>
      <c r="BF704" s="1971">
        <f t="shared" si="663"/>
        <v>40</v>
      </c>
      <c r="BG704" s="1971">
        <f t="shared" si="663"/>
        <v>40</v>
      </c>
      <c r="BH704" s="1971">
        <f t="shared" si="663"/>
        <v>40</v>
      </c>
      <c r="BI704" s="1971">
        <f t="shared" si="663"/>
        <v>40</v>
      </c>
      <c r="BJ704" s="1971">
        <f t="shared" si="663"/>
        <v>40</v>
      </c>
      <c r="BK704" s="1971">
        <f t="shared" si="663"/>
        <v>40</v>
      </c>
      <c r="BL704" s="1971">
        <f t="shared" si="663"/>
        <v>40</v>
      </c>
      <c r="BM704" s="1971">
        <f t="shared" si="663"/>
        <v>40</v>
      </c>
      <c r="BN704" s="1971">
        <f t="shared" si="663"/>
        <v>40</v>
      </c>
      <c r="BO704" s="1971">
        <f t="shared" si="663"/>
        <v>40</v>
      </c>
      <c r="BP704" s="1971">
        <f t="shared" si="663"/>
        <v>40</v>
      </c>
      <c r="BQ704" s="1971">
        <f t="shared" si="663"/>
        <v>40</v>
      </c>
      <c r="BR704" s="1971">
        <f t="shared" si="663"/>
        <v>40</v>
      </c>
      <c r="BS704" s="1971">
        <f t="shared" si="663"/>
        <v>40</v>
      </c>
      <c r="BT704" s="1971">
        <f t="shared" si="663"/>
        <v>40</v>
      </c>
      <c r="BU704" s="1830"/>
    </row>
    <row r="705" spans="37:73" s="496" customFormat="1" ht="12.75" x14ac:dyDescent="0.25">
      <c r="AK705" s="1828"/>
      <c r="AL705" s="1968">
        <f t="shared" si="657"/>
        <v>8</v>
      </c>
      <c r="AM705" s="1969" t="s">
        <v>679</v>
      </c>
      <c r="AN705" s="1970">
        <f>AN632</f>
        <v>0</v>
      </c>
      <c r="AP705" s="1971">
        <f>AP632</f>
        <v>480</v>
      </c>
      <c r="AQ705" s="500"/>
      <c r="AS705" s="1971">
        <f>AS632</f>
        <v>480</v>
      </c>
      <c r="AT705" s="495"/>
      <c r="AU705" s="495"/>
      <c r="AV705" s="1971">
        <f>AV632</f>
        <v>480</v>
      </c>
      <c r="AX705" s="500"/>
      <c r="AY705" s="1971">
        <f>AY632</f>
        <v>480</v>
      </c>
      <c r="BA705" s="500"/>
      <c r="BB705" s="1971">
        <f>BB632</f>
        <v>480</v>
      </c>
      <c r="BD705" s="500"/>
      <c r="BE705" s="1971">
        <f t="shared" ref="BE705:BT705" si="664">BE632</f>
        <v>450</v>
      </c>
      <c r="BF705" s="1971">
        <f t="shared" si="664"/>
        <v>450</v>
      </c>
      <c r="BG705" s="1971">
        <f t="shared" si="664"/>
        <v>450</v>
      </c>
      <c r="BH705" s="1971">
        <f t="shared" si="664"/>
        <v>450</v>
      </c>
      <c r="BI705" s="1971">
        <f t="shared" si="664"/>
        <v>450</v>
      </c>
      <c r="BJ705" s="1971">
        <f t="shared" si="664"/>
        <v>450</v>
      </c>
      <c r="BK705" s="1971">
        <f t="shared" si="664"/>
        <v>450</v>
      </c>
      <c r="BL705" s="1971">
        <f t="shared" si="664"/>
        <v>450</v>
      </c>
      <c r="BM705" s="1971">
        <f t="shared" si="664"/>
        <v>450</v>
      </c>
      <c r="BN705" s="1971">
        <f t="shared" si="664"/>
        <v>450</v>
      </c>
      <c r="BO705" s="1971">
        <f t="shared" si="664"/>
        <v>450</v>
      </c>
      <c r="BP705" s="1971">
        <f t="shared" si="664"/>
        <v>450</v>
      </c>
      <c r="BQ705" s="1971">
        <f t="shared" si="664"/>
        <v>450</v>
      </c>
      <c r="BR705" s="1971">
        <f t="shared" si="664"/>
        <v>450</v>
      </c>
      <c r="BS705" s="1971">
        <f t="shared" si="664"/>
        <v>450</v>
      </c>
      <c r="BT705" s="1971">
        <f t="shared" si="664"/>
        <v>450</v>
      </c>
      <c r="BU705" s="1830"/>
    </row>
    <row r="706" spans="37:73" s="496" customFormat="1" ht="12.75" x14ac:dyDescent="0.25">
      <c r="AK706" s="1828"/>
      <c r="AL706" s="1968">
        <f t="shared" si="657"/>
        <v>9</v>
      </c>
      <c r="AM706" s="1969" t="s">
        <v>740</v>
      </c>
      <c r="AN706" s="1970">
        <f>AN645</f>
        <v>0</v>
      </c>
      <c r="AP706" s="1971">
        <f>AP645</f>
        <v>450</v>
      </c>
      <c r="AQ706" s="500"/>
      <c r="AS706" s="1971">
        <f>AS645</f>
        <v>450</v>
      </c>
      <c r="AT706" s="495"/>
      <c r="AU706" s="495"/>
      <c r="AV706" s="1971">
        <f>AV645</f>
        <v>450</v>
      </c>
      <c r="AX706" s="500"/>
      <c r="AY706" s="1971">
        <f>AY645</f>
        <v>450</v>
      </c>
      <c r="BA706" s="500"/>
      <c r="BB706" s="1971">
        <f>BB645</f>
        <v>450</v>
      </c>
      <c r="BD706" s="500"/>
      <c r="BE706" s="1971">
        <f t="shared" ref="BE706:BT706" si="665">BE645</f>
        <v>470</v>
      </c>
      <c r="BF706" s="1971">
        <f t="shared" si="665"/>
        <v>470</v>
      </c>
      <c r="BG706" s="1971">
        <f t="shared" si="665"/>
        <v>470</v>
      </c>
      <c r="BH706" s="1971">
        <f t="shared" si="665"/>
        <v>470</v>
      </c>
      <c r="BI706" s="1971">
        <f t="shared" si="665"/>
        <v>470</v>
      </c>
      <c r="BJ706" s="1971">
        <f t="shared" si="665"/>
        <v>470</v>
      </c>
      <c r="BK706" s="1971">
        <f t="shared" si="665"/>
        <v>470</v>
      </c>
      <c r="BL706" s="1971">
        <f t="shared" si="665"/>
        <v>470</v>
      </c>
      <c r="BM706" s="1971">
        <f t="shared" si="665"/>
        <v>470</v>
      </c>
      <c r="BN706" s="1971">
        <f t="shared" si="665"/>
        <v>470</v>
      </c>
      <c r="BO706" s="1971">
        <f t="shared" si="665"/>
        <v>470</v>
      </c>
      <c r="BP706" s="1971">
        <f t="shared" si="665"/>
        <v>470</v>
      </c>
      <c r="BQ706" s="1971">
        <f t="shared" si="665"/>
        <v>470</v>
      </c>
      <c r="BR706" s="1971">
        <f t="shared" si="665"/>
        <v>470</v>
      </c>
      <c r="BS706" s="1971">
        <f t="shared" si="665"/>
        <v>470</v>
      </c>
      <c r="BT706" s="1971">
        <f t="shared" si="665"/>
        <v>470</v>
      </c>
      <c r="BU706" s="1830"/>
    </row>
    <row r="707" spans="37:73" s="496" customFormat="1" ht="12.75" x14ac:dyDescent="0.25">
      <c r="AK707" s="1828"/>
      <c r="AL707" s="1968">
        <f t="shared" si="657"/>
        <v>10</v>
      </c>
      <c r="AM707" s="1969" t="s">
        <v>1423</v>
      </c>
      <c r="AN707" s="1970">
        <f>AN648+AN649</f>
        <v>0</v>
      </c>
      <c r="AP707" s="1971">
        <f>AP648+AP649</f>
        <v>120</v>
      </c>
      <c r="AQ707" s="500"/>
      <c r="AS707" s="1971">
        <f>AS648+AS649</f>
        <v>120</v>
      </c>
      <c r="AT707" s="495"/>
      <c r="AU707" s="495"/>
      <c r="AV707" s="1971">
        <f>AV648+AV649</f>
        <v>120</v>
      </c>
      <c r="AX707" s="500"/>
      <c r="AY707" s="1971">
        <f>AY648+AY649</f>
        <v>120</v>
      </c>
      <c r="BA707" s="500"/>
      <c r="BB707" s="1971">
        <f>BB648+BB649</f>
        <v>120</v>
      </c>
      <c r="BD707" s="500"/>
      <c r="BE707" s="1971">
        <f t="shared" ref="BE707:BT707" si="666">BE648+BE649</f>
        <v>120</v>
      </c>
      <c r="BF707" s="1971">
        <f t="shared" si="666"/>
        <v>120</v>
      </c>
      <c r="BG707" s="1971">
        <f t="shared" si="666"/>
        <v>120</v>
      </c>
      <c r="BH707" s="1971">
        <f t="shared" si="666"/>
        <v>120</v>
      </c>
      <c r="BI707" s="1971">
        <f t="shared" si="666"/>
        <v>120</v>
      </c>
      <c r="BJ707" s="1971">
        <f t="shared" si="666"/>
        <v>120</v>
      </c>
      <c r="BK707" s="1971">
        <f t="shared" si="666"/>
        <v>120</v>
      </c>
      <c r="BL707" s="1971">
        <f t="shared" si="666"/>
        <v>120</v>
      </c>
      <c r="BM707" s="1971">
        <f t="shared" si="666"/>
        <v>120</v>
      </c>
      <c r="BN707" s="1971">
        <f t="shared" si="666"/>
        <v>120</v>
      </c>
      <c r="BO707" s="1971">
        <f t="shared" si="666"/>
        <v>120</v>
      </c>
      <c r="BP707" s="1971">
        <f t="shared" si="666"/>
        <v>120</v>
      </c>
      <c r="BQ707" s="1971">
        <f t="shared" si="666"/>
        <v>120</v>
      </c>
      <c r="BR707" s="1971">
        <f t="shared" si="666"/>
        <v>120</v>
      </c>
      <c r="BS707" s="1971">
        <f t="shared" si="666"/>
        <v>120</v>
      </c>
      <c r="BT707" s="1971">
        <f t="shared" si="666"/>
        <v>120</v>
      </c>
      <c r="BU707" s="1830"/>
    </row>
    <row r="708" spans="37:73" s="496" customFormat="1" ht="12.75" x14ac:dyDescent="0.25">
      <c r="AK708" s="1828"/>
      <c r="AL708" s="1968">
        <f t="shared" si="657"/>
        <v>11</v>
      </c>
      <c r="AM708" s="1969" t="s">
        <v>1424</v>
      </c>
      <c r="AN708" s="1972">
        <f>IF(AN655=0,0,AN653/AN655)</f>
        <v>0</v>
      </c>
      <c r="AP708" s="1973">
        <f>IF(AP655=0,0,AP653/AP655)</f>
        <v>1.3201320132013201E-2</v>
      </c>
      <c r="AQ708" s="500"/>
      <c r="AS708" s="1973">
        <f>IF(AS655=0,0,AS653/AS655)</f>
        <v>1.3201320132013201E-2</v>
      </c>
      <c r="AT708" s="495"/>
      <c r="AU708" s="495"/>
      <c r="AV708" s="1973">
        <f>IF(AV655=0,0,AV653/AV655)</f>
        <v>1.3201320132013201E-2</v>
      </c>
      <c r="AX708" s="500"/>
      <c r="AY708" s="1973">
        <f>IF(AY655=0,0,AY653/AY655)</f>
        <v>1.3201320132013201E-2</v>
      </c>
      <c r="BA708" s="500"/>
      <c r="BB708" s="1973">
        <f>IF(BB655=0,0,BB653/BB655)</f>
        <v>1.3201320132013201E-2</v>
      </c>
      <c r="BD708" s="500"/>
      <c r="BE708" s="1973">
        <f t="shared" ref="BE708:BT708" si="667">IF(BE655=0,0,BE653/BE655)</f>
        <v>1.0101775387024271E-2</v>
      </c>
      <c r="BF708" s="1973">
        <f t="shared" si="667"/>
        <v>8.182984629081673E-3</v>
      </c>
      <c r="BG708" s="1973">
        <f t="shared" si="667"/>
        <v>6.8723610133708656E-3</v>
      </c>
      <c r="BH708" s="1973">
        <f t="shared" si="667"/>
        <v>5.9259610427321047E-3</v>
      </c>
      <c r="BI708" s="1973">
        <f t="shared" si="667"/>
        <v>5.2086697265865088E-3</v>
      </c>
      <c r="BJ708" s="1973">
        <f t="shared" si="667"/>
        <v>4.6462744777355175E-3</v>
      </c>
      <c r="BK708" s="1973">
        <f t="shared" si="667"/>
        <v>4.1934910309613825E-3</v>
      </c>
      <c r="BL708" s="1973">
        <f t="shared" si="667"/>
        <v>3.8211196339061706E-3</v>
      </c>
      <c r="BM708" s="1973">
        <f t="shared" si="667"/>
        <v>3.5094861410392289E-3</v>
      </c>
      <c r="BN708" s="1973">
        <f t="shared" si="667"/>
        <v>3.2448505843651423E-3</v>
      </c>
      <c r="BO708" s="1973">
        <f t="shared" si="667"/>
        <v>3.0173266968238411E-3</v>
      </c>
      <c r="BP708" s="1973">
        <f t="shared" si="667"/>
        <v>2.819619362664518E-3</v>
      </c>
      <c r="BQ708" s="1973">
        <f t="shared" si="667"/>
        <v>2.6462279079663103E-3</v>
      </c>
      <c r="BR708" s="1973">
        <f t="shared" si="667"/>
        <v>2.4929263215625664E-3</v>
      </c>
      <c r="BS708" s="1973">
        <f t="shared" si="667"/>
        <v>2.3564142538555649E-3</v>
      </c>
      <c r="BT708" s="1973">
        <f t="shared" si="667"/>
        <v>2.2340767298121011E-3</v>
      </c>
      <c r="BU708" s="1830"/>
    </row>
    <row r="709" spans="37:73" s="496" customFormat="1" ht="12.75" x14ac:dyDescent="0.25">
      <c r="AK709" s="1828"/>
      <c r="AL709" s="1968">
        <f t="shared" si="657"/>
        <v>12</v>
      </c>
      <c r="AM709" s="1969" t="s">
        <v>764</v>
      </c>
      <c r="AN709" s="1970">
        <f>AN655</f>
        <v>0</v>
      </c>
      <c r="AP709" s="1971">
        <f>AP655</f>
        <v>3030</v>
      </c>
      <c r="AQ709" s="500"/>
      <c r="AS709" s="1971">
        <f>AS655</f>
        <v>3030</v>
      </c>
      <c r="AT709" s="495"/>
      <c r="AU709" s="495"/>
      <c r="AV709" s="1971">
        <f>AV655</f>
        <v>3030</v>
      </c>
      <c r="AX709" s="500"/>
      <c r="AY709" s="1971">
        <f>AY655</f>
        <v>3030</v>
      </c>
      <c r="BA709" s="500"/>
      <c r="BB709" s="1971">
        <f>BB655</f>
        <v>3030</v>
      </c>
      <c r="BD709" s="500"/>
      <c r="BE709" s="1971">
        <f t="shared" ref="BE709:BT709" si="668">BE655</f>
        <v>3959.7</v>
      </c>
      <c r="BF709" s="1971">
        <f t="shared" si="668"/>
        <v>4888.192</v>
      </c>
      <c r="BG709" s="1971">
        <f t="shared" si="668"/>
        <v>5820.4160000000002</v>
      </c>
      <c r="BH709" s="1971">
        <f t="shared" si="668"/>
        <v>6749.96</v>
      </c>
      <c r="BI709" s="1971">
        <f t="shared" si="668"/>
        <v>7679.5039999999999</v>
      </c>
      <c r="BJ709" s="1971">
        <f t="shared" si="668"/>
        <v>8609.0479999999989</v>
      </c>
      <c r="BK709" s="1971">
        <f t="shared" si="668"/>
        <v>9538.5920000000006</v>
      </c>
      <c r="BL709" s="1971">
        <f t="shared" si="668"/>
        <v>10468.135999999999</v>
      </c>
      <c r="BM709" s="1971">
        <f t="shared" si="668"/>
        <v>11397.68</v>
      </c>
      <c r="BN709" s="1971">
        <f t="shared" si="668"/>
        <v>12327.223999999998</v>
      </c>
      <c r="BO709" s="1971">
        <f t="shared" si="668"/>
        <v>13256.768</v>
      </c>
      <c r="BP709" s="1971">
        <f t="shared" si="668"/>
        <v>14186.311999999998</v>
      </c>
      <c r="BQ709" s="1971">
        <f t="shared" si="668"/>
        <v>15115.856</v>
      </c>
      <c r="BR709" s="1971">
        <f t="shared" si="668"/>
        <v>16045.399999999998</v>
      </c>
      <c r="BS709" s="1971">
        <f t="shared" si="668"/>
        <v>16974.944</v>
      </c>
      <c r="BT709" s="1971">
        <f t="shared" si="668"/>
        <v>17904.487999999998</v>
      </c>
      <c r="BU709" s="1830"/>
    </row>
    <row r="710" spans="37:73" s="496" customFormat="1" ht="12.75" x14ac:dyDescent="0.25">
      <c r="AK710" s="1828"/>
      <c r="AL710" s="1931">
        <f t="shared" si="657"/>
        <v>13</v>
      </c>
      <c r="AM710" s="1974" t="s">
        <v>1425</v>
      </c>
      <c r="AN710" s="1975">
        <f>AN709-(AN606+AN607)-(AN609+AN610)</f>
        <v>0</v>
      </c>
      <c r="AP710" s="1976">
        <f>AP709-(AP606+AP607)-(AP609+AP610)</f>
        <v>2640</v>
      </c>
      <c r="AQ710" s="500"/>
      <c r="AS710" s="1976">
        <f>AS709-(AS606+AS607)-(AS609+AS610)</f>
        <v>2640</v>
      </c>
      <c r="AT710" s="495"/>
      <c r="AU710" s="495"/>
      <c r="AV710" s="1976">
        <f>AV709-(AV606+AV607)-(AV609+AV610)</f>
        <v>2640</v>
      </c>
      <c r="AX710" s="500"/>
      <c r="AY710" s="1976">
        <f>AY709-(AY606+AY607)-(AY609+AY610)</f>
        <v>2640</v>
      </c>
      <c r="BA710" s="500"/>
      <c r="BB710" s="1976">
        <f>BB709-(BB606+BB607)-(BB609+BB610)</f>
        <v>2640</v>
      </c>
      <c r="BD710" s="500"/>
      <c r="BE710" s="1976">
        <f t="shared" ref="BE710:BT710" si="669">BE709-(BE606+BE607)-(BE609+BE610)</f>
        <v>3569.7</v>
      </c>
      <c r="BF710" s="1976">
        <f t="shared" si="669"/>
        <v>4498.192</v>
      </c>
      <c r="BG710" s="1976">
        <f t="shared" si="669"/>
        <v>5430.4160000000002</v>
      </c>
      <c r="BH710" s="1976">
        <f t="shared" si="669"/>
        <v>6359.96</v>
      </c>
      <c r="BI710" s="1976">
        <f t="shared" si="669"/>
        <v>7289.5039999999999</v>
      </c>
      <c r="BJ710" s="1976">
        <f t="shared" si="669"/>
        <v>8219.0479999999989</v>
      </c>
      <c r="BK710" s="1976">
        <f t="shared" si="669"/>
        <v>9148.5920000000006</v>
      </c>
      <c r="BL710" s="1976">
        <f t="shared" si="669"/>
        <v>10078.135999999999</v>
      </c>
      <c r="BM710" s="1976">
        <f t="shared" si="669"/>
        <v>11007.68</v>
      </c>
      <c r="BN710" s="1976">
        <f t="shared" si="669"/>
        <v>11937.223999999998</v>
      </c>
      <c r="BO710" s="1976">
        <f t="shared" si="669"/>
        <v>12866.768</v>
      </c>
      <c r="BP710" s="1976">
        <f t="shared" si="669"/>
        <v>13796.311999999998</v>
      </c>
      <c r="BQ710" s="1976">
        <f t="shared" si="669"/>
        <v>14725.856</v>
      </c>
      <c r="BR710" s="1976">
        <f t="shared" si="669"/>
        <v>15655.399999999998</v>
      </c>
      <c r="BS710" s="1976">
        <f t="shared" si="669"/>
        <v>16584.944</v>
      </c>
      <c r="BT710" s="1976">
        <f t="shared" si="669"/>
        <v>17514.487999999998</v>
      </c>
      <c r="BU710" s="1830"/>
    </row>
    <row r="711" spans="37:73" s="496" customFormat="1" ht="12.75" x14ac:dyDescent="0.25">
      <c r="AK711" s="1828"/>
      <c r="AL711" s="507"/>
      <c r="AM711" s="1977" t="s">
        <v>1426</v>
      </c>
      <c r="AN711" s="871"/>
      <c r="AP711" s="871"/>
      <c r="AS711" s="871"/>
      <c r="AT711" s="495"/>
      <c r="AU711" s="495"/>
      <c r="AV711" s="871"/>
      <c r="AX711" s="500"/>
      <c r="AY711" s="871"/>
      <c r="BA711" s="500"/>
      <c r="BB711" s="871"/>
      <c r="BD711" s="500"/>
      <c r="BE711" s="871"/>
      <c r="BF711" s="871"/>
      <c r="BG711" s="871"/>
      <c r="BH711" s="871"/>
      <c r="BI711" s="871"/>
      <c r="BJ711" s="871"/>
      <c r="BK711" s="871"/>
      <c r="BL711" s="871"/>
      <c r="BM711" s="871"/>
      <c r="BN711" s="871"/>
      <c r="BO711" s="871"/>
      <c r="BQ711" s="589"/>
      <c r="BU711" s="1830"/>
    </row>
    <row r="712" spans="37:73" s="496" customFormat="1" ht="12.75" x14ac:dyDescent="0.25">
      <c r="AK712" s="1828"/>
      <c r="AL712" s="507"/>
      <c r="AM712" s="1978" t="s">
        <v>1427</v>
      </c>
      <c r="AN712" s="871"/>
      <c r="AP712" s="871"/>
      <c r="AS712" s="871"/>
      <c r="AT712" s="495"/>
      <c r="AU712" s="495"/>
      <c r="AV712" s="871"/>
      <c r="AX712" s="500"/>
      <c r="AY712" s="871"/>
      <c r="BA712" s="500"/>
      <c r="BB712" s="871"/>
      <c r="BD712" s="500"/>
      <c r="BE712" s="871"/>
      <c r="BF712" s="871"/>
      <c r="BG712" s="871"/>
      <c r="BH712" s="871"/>
      <c r="BI712" s="871"/>
      <c r="BJ712" s="871"/>
      <c r="BK712" s="871"/>
      <c r="BL712" s="871"/>
      <c r="BM712" s="871"/>
      <c r="BN712" s="871"/>
      <c r="BO712" s="871"/>
      <c r="BQ712" s="630"/>
      <c r="BU712" s="1830"/>
    </row>
    <row r="713" spans="37:73" s="496" customFormat="1" ht="12.75" x14ac:dyDescent="0.25">
      <c r="AK713" s="1828"/>
      <c r="AL713" s="1964">
        <f>AL710+1</f>
        <v>14</v>
      </c>
      <c r="AM713" s="1965" t="s">
        <v>1428</v>
      </c>
      <c r="AN713" s="1966">
        <f>AN660</f>
        <v>0</v>
      </c>
      <c r="AP713" s="1967">
        <f>AP660</f>
        <v>3610</v>
      </c>
      <c r="AQ713" s="500"/>
      <c r="AS713" s="1967">
        <f>AS660</f>
        <v>3610</v>
      </c>
      <c r="AT713" s="495"/>
      <c r="AU713" s="495"/>
      <c r="AV713" s="1967">
        <f>AV660</f>
        <v>3610</v>
      </c>
      <c r="AX713" s="500"/>
      <c r="AY713" s="1967">
        <f>AY660</f>
        <v>3610</v>
      </c>
      <c r="BA713" s="500"/>
      <c r="BB713" s="1967">
        <f>BB660</f>
        <v>3610</v>
      </c>
      <c r="BD713" s="500"/>
      <c r="BE713" s="1967">
        <f t="shared" ref="BE713:BT713" si="670">BE660</f>
        <v>3610</v>
      </c>
      <c r="BF713" s="1967">
        <f t="shared" si="670"/>
        <v>3610</v>
      </c>
      <c r="BG713" s="1967">
        <f t="shared" si="670"/>
        <v>3610</v>
      </c>
      <c r="BH713" s="1967">
        <f t="shared" si="670"/>
        <v>3610</v>
      </c>
      <c r="BI713" s="1967">
        <f t="shared" si="670"/>
        <v>3610</v>
      </c>
      <c r="BJ713" s="1967">
        <f t="shared" si="670"/>
        <v>3610</v>
      </c>
      <c r="BK713" s="1967">
        <f t="shared" si="670"/>
        <v>3610</v>
      </c>
      <c r="BL713" s="1967">
        <f t="shared" si="670"/>
        <v>3610</v>
      </c>
      <c r="BM713" s="1967">
        <f t="shared" si="670"/>
        <v>3610</v>
      </c>
      <c r="BN713" s="1967">
        <f t="shared" si="670"/>
        <v>3610</v>
      </c>
      <c r="BO713" s="1967">
        <f t="shared" si="670"/>
        <v>3610</v>
      </c>
      <c r="BP713" s="1967">
        <f t="shared" si="670"/>
        <v>3610</v>
      </c>
      <c r="BQ713" s="1967">
        <f t="shared" si="670"/>
        <v>3610</v>
      </c>
      <c r="BR713" s="1967">
        <f t="shared" si="670"/>
        <v>3610</v>
      </c>
      <c r="BS713" s="1967">
        <f t="shared" si="670"/>
        <v>3610</v>
      </c>
      <c r="BT713" s="1967">
        <f t="shared" si="670"/>
        <v>3610</v>
      </c>
      <c r="BU713" s="1830"/>
    </row>
    <row r="714" spans="37:73" s="496" customFormat="1" ht="12.75" x14ac:dyDescent="0.25">
      <c r="AK714" s="1828"/>
      <c r="AL714" s="1968">
        <f t="shared" ref="AL714:AL721" si="671">AL713+1</f>
        <v>15</v>
      </c>
      <c r="AM714" s="1969" t="s">
        <v>1429</v>
      </c>
      <c r="AN714" s="1979" t="s">
        <v>1260</v>
      </c>
      <c r="AP714" s="1980" t="str">
        <f>IF(OR(AN713=0,AN713=0),"N/A",(AP713*360/AP$584)/(AN713*360/AN$584)-1)</f>
        <v>N/A</v>
      </c>
      <c r="AQ714" s="500"/>
      <c r="AS714" s="1980">
        <f>IF(OR(AP713=0,AP713=0),"N/A",(AS713*360/AS$584)/(AP713*360/AP$584)-1)</f>
        <v>0</v>
      </c>
      <c r="AT714" s="495"/>
      <c r="AU714" s="495"/>
      <c r="AV714" s="1980">
        <f>IF(OR(AS713=0,AS713=0),"N/A",(AV713*360/AV$584)/(AS713*360/AS$584)-1)</f>
        <v>1</v>
      </c>
      <c r="AX714" s="500"/>
      <c r="AY714" s="1980">
        <f>IF(OR(AS713=0,AS713=0),"N/A",(AY713*360/AY584)/(AS713*360/AS584)-1)</f>
        <v>0</v>
      </c>
      <c r="BA714" s="500"/>
      <c r="BB714" s="1980">
        <f>IF(OR(AY713=0,AY713=0),"N/A",(BB713*360/BB$584)/(AY713*360/AY$584)-1)</f>
        <v>1</v>
      </c>
      <c r="BD714" s="500"/>
      <c r="BE714" s="1980">
        <f>IF(OR(AY713=0,AY713=0),"N/A",(BE713*360/BE$584)/(AY713*360/AY$584)-1)</f>
        <v>0</v>
      </c>
      <c r="BF714" s="1980">
        <f t="shared" ref="BF714:BT714" si="672">IF(OR(BE713=0,BE713=0),"N/A",(BF713*360/BF584)/(BE713*360/BE584)-1)</f>
        <v>0</v>
      </c>
      <c r="BG714" s="1980">
        <f t="shared" si="672"/>
        <v>0</v>
      </c>
      <c r="BH714" s="1980">
        <f t="shared" si="672"/>
        <v>0</v>
      </c>
      <c r="BI714" s="1980">
        <f t="shared" si="672"/>
        <v>0</v>
      </c>
      <c r="BJ714" s="1980">
        <f t="shared" si="672"/>
        <v>0</v>
      </c>
      <c r="BK714" s="1980">
        <f t="shared" si="672"/>
        <v>0</v>
      </c>
      <c r="BL714" s="1980">
        <f t="shared" si="672"/>
        <v>0</v>
      </c>
      <c r="BM714" s="1980">
        <f t="shared" si="672"/>
        <v>0</v>
      </c>
      <c r="BN714" s="1980">
        <f t="shared" si="672"/>
        <v>0</v>
      </c>
      <c r="BO714" s="1980">
        <f t="shared" si="672"/>
        <v>0</v>
      </c>
      <c r="BP714" s="1980">
        <f t="shared" si="672"/>
        <v>0</v>
      </c>
      <c r="BQ714" s="1980">
        <f t="shared" si="672"/>
        <v>0</v>
      </c>
      <c r="BR714" s="1980">
        <f t="shared" si="672"/>
        <v>0</v>
      </c>
      <c r="BS714" s="1980">
        <f t="shared" si="672"/>
        <v>0</v>
      </c>
      <c r="BT714" s="1980">
        <f t="shared" si="672"/>
        <v>0</v>
      </c>
      <c r="BU714" s="1830"/>
    </row>
    <row r="715" spans="37:73" s="496" customFormat="1" ht="12.75" x14ac:dyDescent="0.25">
      <c r="AK715" s="1828"/>
      <c r="AL715" s="1968">
        <f t="shared" si="671"/>
        <v>16</v>
      </c>
      <c r="AM715" s="1969" t="s">
        <v>1430</v>
      </c>
      <c r="AN715" s="1979" t="s">
        <v>1260</v>
      </c>
      <c r="AP715" s="1980" t="s">
        <v>1260</v>
      </c>
      <c r="AQ715" s="500"/>
      <c r="AS715" s="1980" t="s">
        <v>1260</v>
      </c>
      <c r="AT715" s="495"/>
      <c r="AU715" s="495"/>
      <c r="AV715" s="1980" t="s">
        <v>1260</v>
      </c>
      <c r="AX715" s="500"/>
      <c r="AY715" s="1980">
        <f>IF(OR(AV713=0,AV713=0),"N/A",(AY713*360/AY584)/(AV713*360/AV584)-1)</f>
        <v>-0.5</v>
      </c>
      <c r="BA715" s="500"/>
      <c r="BB715" s="1980">
        <f>IF(OR(AV713=0,AV713=0),"N/A",(BB713*360/BB584)/(AV713*360/AV584)-1)</f>
        <v>0</v>
      </c>
      <c r="BD715" s="500"/>
      <c r="BE715" s="1980"/>
      <c r="BF715" s="1980"/>
      <c r="BG715" s="1980"/>
      <c r="BH715" s="1980"/>
      <c r="BI715" s="1980"/>
      <c r="BJ715" s="1980"/>
      <c r="BK715" s="1980"/>
      <c r="BL715" s="1980"/>
      <c r="BM715" s="1980"/>
      <c r="BN715" s="1980"/>
      <c r="BO715" s="1980"/>
      <c r="BP715" s="1980"/>
      <c r="BQ715" s="1980"/>
      <c r="BR715" s="1980"/>
      <c r="BS715" s="1980"/>
      <c r="BT715" s="1980"/>
      <c r="BU715" s="1830"/>
    </row>
    <row r="716" spans="37:73" s="1384" customFormat="1" ht="12.75" x14ac:dyDescent="0.25">
      <c r="AK716" s="1981"/>
      <c r="AL716" s="1968">
        <f t="shared" si="671"/>
        <v>17</v>
      </c>
      <c r="AM716" s="1982" t="s">
        <v>1347</v>
      </c>
      <c r="AN716" s="1979">
        <f>IF(AN660=0,0,AN662/AN660)</f>
        <v>0</v>
      </c>
      <c r="AO716" s="1011"/>
      <c r="AP716" s="1980">
        <f>IF(AP660=0,0,AP662/AP660)</f>
        <v>0.86149584487534625</v>
      </c>
      <c r="AQ716" s="500"/>
      <c r="AR716" s="1011"/>
      <c r="AS716" s="1980">
        <f>IF(AS660=0,0,AS662/AS660)</f>
        <v>0.86149584487534625</v>
      </c>
      <c r="AT716" s="1011"/>
      <c r="AU716" s="1011"/>
      <c r="AV716" s="1980">
        <f>IF(AV660=0,0,AV662/AV660)</f>
        <v>0.86149584487534625</v>
      </c>
      <c r="AW716" s="1011"/>
      <c r="AX716" s="1011"/>
      <c r="AY716" s="1980">
        <f>IF(AY660=0,0,AY662/AY660)</f>
        <v>0.86149584487534625</v>
      </c>
      <c r="AZ716" s="1011"/>
      <c r="BA716" s="1011"/>
      <c r="BB716" s="1980">
        <f>IF(BB660=0,0,BB662/BB660)</f>
        <v>0.86149584487534625</v>
      </c>
      <c r="BC716" s="1011"/>
      <c r="BD716" s="1011"/>
      <c r="BE716" s="1980">
        <f t="shared" ref="BE716:BT716" si="673">IF(BE660=0,0,BE662/BE660)</f>
        <v>0.86149584487534625</v>
      </c>
      <c r="BF716" s="1980">
        <f t="shared" si="673"/>
        <v>0.86149584487534625</v>
      </c>
      <c r="BG716" s="1980">
        <f t="shared" si="673"/>
        <v>0.86149584487534625</v>
      </c>
      <c r="BH716" s="1980">
        <f t="shared" si="673"/>
        <v>0.86149584487534625</v>
      </c>
      <c r="BI716" s="1980">
        <f t="shared" si="673"/>
        <v>0.86149584487534625</v>
      </c>
      <c r="BJ716" s="1980">
        <f t="shared" si="673"/>
        <v>0.86149584487534625</v>
      </c>
      <c r="BK716" s="1980">
        <f t="shared" si="673"/>
        <v>0.86149584487534625</v>
      </c>
      <c r="BL716" s="1980">
        <f t="shared" si="673"/>
        <v>0.86149584487534625</v>
      </c>
      <c r="BM716" s="1980">
        <f t="shared" si="673"/>
        <v>0.86149584487534625</v>
      </c>
      <c r="BN716" s="1980">
        <f t="shared" si="673"/>
        <v>0.86149584487534625</v>
      </c>
      <c r="BO716" s="1980">
        <f t="shared" si="673"/>
        <v>0.86149584487534625</v>
      </c>
      <c r="BP716" s="1980">
        <f t="shared" si="673"/>
        <v>0.86149584487534625</v>
      </c>
      <c r="BQ716" s="1980">
        <f t="shared" si="673"/>
        <v>0.86149584487534625</v>
      </c>
      <c r="BR716" s="1980">
        <f t="shared" si="673"/>
        <v>0.86149584487534625</v>
      </c>
      <c r="BS716" s="1980">
        <f t="shared" si="673"/>
        <v>0.86149584487534625</v>
      </c>
      <c r="BT716" s="1980">
        <f t="shared" si="673"/>
        <v>0.86149584487534625</v>
      </c>
      <c r="BU716" s="1983"/>
    </row>
    <row r="717" spans="37:73" s="1384" customFormat="1" ht="12.75" x14ac:dyDescent="0.25">
      <c r="AK717" s="1981"/>
      <c r="AL717" s="1968">
        <f t="shared" si="671"/>
        <v>18</v>
      </c>
      <c r="AM717" s="1982" t="s">
        <v>1348</v>
      </c>
      <c r="AN717" s="1979">
        <f>IF(AN660=0,0,AN663/AN660)</f>
        <v>0</v>
      </c>
      <c r="AO717" s="1011"/>
      <c r="AP717" s="1980">
        <f>IF(AP660=0,0,AP663/AP660)</f>
        <v>8.3102493074792241E-2</v>
      </c>
      <c r="AQ717" s="500"/>
      <c r="AR717" s="1011"/>
      <c r="AS717" s="1980">
        <f>IF(AS660=0,0,AS663/AS660)</f>
        <v>8.3102493074792241E-2</v>
      </c>
      <c r="AT717" s="1011"/>
      <c r="AU717" s="1011"/>
      <c r="AV717" s="1980">
        <f>IF(AV660=0,0,AV663/AV660)</f>
        <v>8.3102493074792241E-2</v>
      </c>
      <c r="AW717" s="1011"/>
      <c r="AX717" s="1011"/>
      <c r="AY717" s="1980">
        <f>IF(AY660=0,0,AY663/AY660)</f>
        <v>8.3102493074792241E-2</v>
      </c>
      <c r="AZ717" s="1011"/>
      <c r="BA717" s="1011"/>
      <c r="BB717" s="1980">
        <f>IF(BB660=0,0,BB663/BB660)</f>
        <v>8.3102493074792241E-2</v>
      </c>
      <c r="BC717" s="1011"/>
      <c r="BD717" s="1011"/>
      <c r="BE717" s="1980">
        <f t="shared" ref="BE717:BT717" si="674">IF(BE660=0,0,BE663/BE660)</f>
        <v>8.3102493074792241E-2</v>
      </c>
      <c r="BF717" s="1980">
        <f t="shared" si="674"/>
        <v>8.3102493074792241E-2</v>
      </c>
      <c r="BG717" s="1980">
        <f t="shared" si="674"/>
        <v>8.3102493074792241E-2</v>
      </c>
      <c r="BH717" s="1980">
        <f t="shared" si="674"/>
        <v>8.3102493074792241E-2</v>
      </c>
      <c r="BI717" s="1980">
        <f t="shared" si="674"/>
        <v>8.3102493074792241E-2</v>
      </c>
      <c r="BJ717" s="1980">
        <f t="shared" si="674"/>
        <v>8.3102493074792241E-2</v>
      </c>
      <c r="BK717" s="1980">
        <f t="shared" si="674"/>
        <v>8.3102493074792241E-2</v>
      </c>
      <c r="BL717" s="1980">
        <f t="shared" si="674"/>
        <v>8.3102493074792241E-2</v>
      </c>
      <c r="BM717" s="1980">
        <f t="shared" si="674"/>
        <v>8.3102493074792241E-2</v>
      </c>
      <c r="BN717" s="1980">
        <f t="shared" si="674"/>
        <v>8.3102493074792241E-2</v>
      </c>
      <c r="BO717" s="1980">
        <f t="shared" si="674"/>
        <v>8.3102493074792241E-2</v>
      </c>
      <c r="BP717" s="1980">
        <f t="shared" si="674"/>
        <v>8.3102493074792241E-2</v>
      </c>
      <c r="BQ717" s="1980">
        <f t="shared" si="674"/>
        <v>8.3102493074792241E-2</v>
      </c>
      <c r="BR717" s="1980">
        <f t="shared" si="674"/>
        <v>8.3102493074792241E-2</v>
      </c>
      <c r="BS717" s="1980">
        <f t="shared" si="674"/>
        <v>8.3102493074792241E-2</v>
      </c>
      <c r="BT717" s="1980">
        <f t="shared" si="674"/>
        <v>8.3102493074792241E-2</v>
      </c>
      <c r="BU717" s="1983"/>
    </row>
    <row r="718" spans="37:73" s="1384" customFormat="1" ht="12.75" x14ac:dyDescent="0.25">
      <c r="AK718" s="1981"/>
      <c r="AL718" s="1968">
        <f t="shared" si="671"/>
        <v>19</v>
      </c>
      <c r="AM718" s="1982" t="s">
        <v>1431</v>
      </c>
      <c r="AN718" s="1979">
        <f>IF(AN660=0,0,AN664/AN660)</f>
        <v>0</v>
      </c>
      <c r="AO718" s="1011"/>
      <c r="AP718" s="1980">
        <f>IF(AP660=0,0,AP664/AP660)</f>
        <v>0.77839335180055402</v>
      </c>
      <c r="AQ718" s="500"/>
      <c r="AR718" s="1011"/>
      <c r="AS718" s="1980">
        <f>IF(AS660=0,0,AS664/AS660)</f>
        <v>0.77839335180055402</v>
      </c>
      <c r="AT718" s="1011"/>
      <c r="AU718" s="1011"/>
      <c r="AV718" s="1980">
        <f>IF(AV660=0,0,AV664/AV660)</f>
        <v>0.77839335180055402</v>
      </c>
      <c r="AW718" s="1011"/>
      <c r="AX718" s="1011"/>
      <c r="AY718" s="1980">
        <f>IF(AY660=0,0,AY664/AY660)</f>
        <v>0.77839335180055402</v>
      </c>
      <c r="AZ718" s="1011"/>
      <c r="BA718" s="1011"/>
      <c r="BB718" s="1980">
        <f>IF(BB660=0,0,BB664/BB660)</f>
        <v>0.77839335180055402</v>
      </c>
      <c r="BC718" s="1011"/>
      <c r="BD718" s="1011"/>
      <c r="BE718" s="1980">
        <f t="shared" ref="BE718:BT718" si="675">IF(BE660=0,0,BE664/BE660)</f>
        <v>0.77839335180055402</v>
      </c>
      <c r="BF718" s="1980">
        <f t="shared" si="675"/>
        <v>0.77839335180055402</v>
      </c>
      <c r="BG718" s="1980">
        <f t="shared" si="675"/>
        <v>0.77839335180055402</v>
      </c>
      <c r="BH718" s="1980">
        <f t="shared" si="675"/>
        <v>0.77839335180055402</v>
      </c>
      <c r="BI718" s="1980">
        <f t="shared" si="675"/>
        <v>0.77839335180055402</v>
      </c>
      <c r="BJ718" s="1980">
        <f t="shared" si="675"/>
        <v>0.77839335180055402</v>
      </c>
      <c r="BK718" s="1980">
        <f t="shared" si="675"/>
        <v>0.77839335180055402</v>
      </c>
      <c r="BL718" s="1980">
        <f t="shared" si="675"/>
        <v>0.77839335180055402</v>
      </c>
      <c r="BM718" s="1980">
        <f t="shared" si="675"/>
        <v>0.77839335180055402</v>
      </c>
      <c r="BN718" s="1980">
        <f t="shared" si="675"/>
        <v>0.77839335180055402</v>
      </c>
      <c r="BO718" s="1980">
        <f t="shared" si="675"/>
        <v>0.77839335180055402</v>
      </c>
      <c r="BP718" s="1980">
        <f t="shared" si="675"/>
        <v>0.77839335180055402</v>
      </c>
      <c r="BQ718" s="1980">
        <f t="shared" si="675"/>
        <v>0.77839335180055402</v>
      </c>
      <c r="BR718" s="1980">
        <f t="shared" si="675"/>
        <v>0.77839335180055402</v>
      </c>
      <c r="BS718" s="1980">
        <f t="shared" si="675"/>
        <v>0.77839335180055402</v>
      </c>
      <c r="BT718" s="1980">
        <f t="shared" si="675"/>
        <v>0.77839335180055402</v>
      </c>
      <c r="BU718" s="1983"/>
    </row>
    <row r="719" spans="37:73" s="1384" customFormat="1" ht="12.75" x14ac:dyDescent="0.25">
      <c r="AK719" s="1981"/>
      <c r="AL719" s="1968">
        <f t="shared" si="671"/>
        <v>20</v>
      </c>
      <c r="AM719" s="1982" t="s">
        <v>1432</v>
      </c>
      <c r="AN719" s="1979">
        <f>IF(AN660=0,0,AN683/AN660)</f>
        <v>0</v>
      </c>
      <c r="AO719" s="1011"/>
      <c r="AP719" s="1980">
        <f>IF(AP660=0,0,AP683/AP660)</f>
        <v>0.78947368421052633</v>
      </c>
      <c r="AQ719" s="500"/>
      <c r="AR719" s="1011"/>
      <c r="AS719" s="1980">
        <f>IF(AS660=0,0,AS683/AS660)</f>
        <v>0.78947368421052633</v>
      </c>
      <c r="AT719" s="1011"/>
      <c r="AU719" s="1011"/>
      <c r="AV719" s="1980">
        <f>IF(AV660=0,0,AV683/AV660)</f>
        <v>0.78947368421052633</v>
      </c>
      <c r="AW719" s="1011"/>
      <c r="AX719" s="1011"/>
      <c r="AY719" s="1980">
        <f>IF(AY660=0,0,AY683/AY660)</f>
        <v>0.78947368421052633</v>
      </c>
      <c r="AZ719" s="1011"/>
      <c r="BA719" s="1011"/>
      <c r="BB719" s="1980">
        <f>IF(BB660=0,0,BB683/BB660)</f>
        <v>0.78947368421052633</v>
      </c>
      <c r="BC719" s="1011"/>
      <c r="BD719" s="1011"/>
      <c r="BE719" s="1980">
        <f t="shared" ref="BE719:BT719" si="676">IF(BE660=0,0,BE683/BE660)</f>
        <v>0.79313019390581707</v>
      </c>
      <c r="BF719" s="1980">
        <f t="shared" si="676"/>
        <v>0.79678670360110804</v>
      </c>
      <c r="BG719" s="1980">
        <f t="shared" si="676"/>
        <v>0.80044321329639889</v>
      </c>
      <c r="BH719" s="1980">
        <f t="shared" si="676"/>
        <v>0.80409972299168975</v>
      </c>
      <c r="BI719" s="1980">
        <f t="shared" si="676"/>
        <v>0.8077562326869806</v>
      </c>
      <c r="BJ719" s="1980">
        <f t="shared" si="676"/>
        <v>0.81141274238227146</v>
      </c>
      <c r="BK719" s="1980">
        <f t="shared" si="676"/>
        <v>0.81506925207756231</v>
      </c>
      <c r="BL719" s="1980">
        <f t="shared" si="676"/>
        <v>0.81872576177285317</v>
      </c>
      <c r="BM719" s="1980">
        <f t="shared" si="676"/>
        <v>0.82238227146814413</v>
      </c>
      <c r="BN719" s="1980">
        <f t="shared" si="676"/>
        <v>0.82603878116343488</v>
      </c>
      <c r="BO719" s="1980">
        <f t="shared" si="676"/>
        <v>0.82969529085872573</v>
      </c>
      <c r="BP719" s="1980">
        <f t="shared" si="676"/>
        <v>0.8333518005540167</v>
      </c>
      <c r="BQ719" s="1980">
        <f t="shared" si="676"/>
        <v>0.83700831024930744</v>
      </c>
      <c r="BR719" s="1980">
        <f t="shared" si="676"/>
        <v>0.8406648199445983</v>
      </c>
      <c r="BS719" s="1980">
        <f t="shared" si="676"/>
        <v>0.84432132963988915</v>
      </c>
      <c r="BT719" s="1980">
        <f t="shared" si="676"/>
        <v>0.84797783933518001</v>
      </c>
      <c r="BU719" s="1983"/>
    </row>
    <row r="720" spans="37:73" s="496" customFormat="1" ht="12.75" x14ac:dyDescent="0.25">
      <c r="AK720" s="1828"/>
      <c r="AL720" s="1968">
        <f t="shared" si="671"/>
        <v>21</v>
      </c>
      <c r="AM720" s="1982" t="s">
        <v>1433</v>
      </c>
      <c r="AN720" s="1979">
        <f>IF(AN664=0,0,IF(C78&lt;0,(AN665-AN667)/AN664,AN665/AN664))</f>
        <v>0</v>
      </c>
      <c r="AO720" s="1011"/>
      <c r="AP720" s="1980">
        <f>IF(AP664=0,0,IF(E78&lt;0,(AP665-AP667)/AP664,AP665/AP664))</f>
        <v>3.5587188612099642E-3</v>
      </c>
      <c r="AQ720" s="500"/>
      <c r="AR720" s="1011"/>
      <c r="AS720" s="1980">
        <f>IF(AS664=0,0,IF(H78&lt;0,(AS665-AS667)/AS664,AS665/AS664))</f>
        <v>3.5587188612099642E-3</v>
      </c>
      <c r="AT720" s="1011"/>
      <c r="AU720" s="1011"/>
      <c r="AV720" s="1980">
        <f>IF(AV664=0,0,IF(K78&lt;0,(AV665-AV667)/AV664,AV665/AV664))</f>
        <v>3.5587188612099642E-3</v>
      </c>
      <c r="AW720" s="1011"/>
      <c r="AX720" s="1011"/>
      <c r="AY720" s="1980">
        <f>IF(AY664=0,0,IF(N78&lt;0,(AY665-AY667)/AY664,AY665/AY664))</f>
        <v>3.5587188612099642E-3</v>
      </c>
      <c r="AZ720" s="1011"/>
      <c r="BA720" s="1011"/>
      <c r="BB720" s="1980">
        <f>IF(BB664=0,0,IF(Q78&lt;0,(BB665-BB667)/BB664,BB665/BB664))</f>
        <v>3.5587188612099642E-3</v>
      </c>
      <c r="BC720" s="1011"/>
      <c r="BD720" s="1011"/>
      <c r="BE720" s="1980">
        <f t="shared" ref="BE720:BT720" si="677">IF(BE664=0,0,IF(T78&lt;0,(BE665-BE667)/BE664,BE665/BE664))</f>
        <v>2.7046263345195734E-3</v>
      </c>
      <c r="BF720" s="1980">
        <f t="shared" si="677"/>
        <v>2.5622775800711746E-3</v>
      </c>
      <c r="BG720" s="1980">
        <f t="shared" si="677"/>
        <v>1.1387900355871888E-3</v>
      </c>
      <c r="BH720" s="1980">
        <f t="shared" si="677"/>
        <v>1.1387900355871888E-3</v>
      </c>
      <c r="BI720" s="1980">
        <f t="shared" si="677"/>
        <v>1.1387900355871888E-3</v>
      </c>
      <c r="BJ720" s="1980">
        <f t="shared" si="677"/>
        <v>1.1387900355871888E-3</v>
      </c>
      <c r="BK720" s="1980">
        <f t="shared" si="677"/>
        <v>1.1387900355871888E-3</v>
      </c>
      <c r="BL720" s="1980">
        <f t="shared" si="677"/>
        <v>1.1387900355871888E-3</v>
      </c>
      <c r="BM720" s="1980">
        <f t="shared" si="677"/>
        <v>1.1387900355871888E-3</v>
      </c>
      <c r="BN720" s="1980">
        <f t="shared" si="677"/>
        <v>1.1387900355871888E-3</v>
      </c>
      <c r="BO720" s="1980">
        <f t="shared" si="677"/>
        <v>1.1387900355871888E-3</v>
      </c>
      <c r="BP720" s="1980">
        <f t="shared" si="677"/>
        <v>1.1387900355871888E-3</v>
      </c>
      <c r="BQ720" s="1980">
        <f t="shared" si="677"/>
        <v>1.1387900355871888E-3</v>
      </c>
      <c r="BR720" s="1980">
        <f t="shared" si="677"/>
        <v>1.1387900355871888E-3</v>
      </c>
      <c r="BS720" s="1980">
        <f t="shared" si="677"/>
        <v>1.1387900355871888E-3</v>
      </c>
      <c r="BT720" s="1980">
        <f t="shared" si="677"/>
        <v>1.1387900355871888E-3</v>
      </c>
      <c r="BU720" s="1830"/>
    </row>
    <row r="721" spans="37:73" s="496" customFormat="1" ht="12.75" x14ac:dyDescent="0.25">
      <c r="AK721" s="1828"/>
      <c r="AL721" s="1931">
        <f t="shared" si="671"/>
        <v>22</v>
      </c>
      <c r="AM721" s="1984" t="s">
        <v>1434</v>
      </c>
      <c r="AN721" s="1985">
        <f>IF(AN660=0,0,AN679/AN660)</f>
        <v>0</v>
      </c>
      <c r="AO721" s="1011"/>
      <c r="AP721" s="1986">
        <f>IF(AP660=0,0,AP679/AP660)</f>
        <v>0.77839335180055402</v>
      </c>
      <c r="AQ721" s="500"/>
      <c r="AR721" s="1011"/>
      <c r="AS721" s="1986">
        <f>IF(AS660=0,0,AS679/AS660)</f>
        <v>0.77839335180055402</v>
      </c>
      <c r="AT721" s="1011"/>
      <c r="AU721" s="1011"/>
      <c r="AV721" s="1986">
        <f>IF(AV660=0,0,AV679/AV660)</f>
        <v>0.77839335180055402</v>
      </c>
      <c r="AW721" s="1011"/>
      <c r="AX721" s="1011"/>
      <c r="AY721" s="1986">
        <f>IF(AY660=0,0,AY679/AY660)</f>
        <v>0.77839335180055402</v>
      </c>
      <c r="AZ721" s="1011"/>
      <c r="BA721" s="1011"/>
      <c r="BB721" s="1986">
        <f>IF(BB660=0,0,BB679/BB660)</f>
        <v>0.77839335180055402</v>
      </c>
      <c r="BC721" s="1011"/>
      <c r="BD721" s="1011"/>
      <c r="BE721" s="1986">
        <f t="shared" ref="BE721:BT721" si="678">IF(BE660=0,0,BE679/BE660)</f>
        <v>0.77905817174515235</v>
      </c>
      <c r="BF721" s="1986">
        <f t="shared" si="678"/>
        <v>0.77916897506925209</v>
      </c>
      <c r="BG721" s="1986">
        <f t="shared" si="678"/>
        <v>0.78027700831024938</v>
      </c>
      <c r="BH721" s="1986">
        <f t="shared" si="678"/>
        <v>0.78027700831024938</v>
      </c>
      <c r="BI721" s="1986">
        <f t="shared" si="678"/>
        <v>0.78027700831024938</v>
      </c>
      <c r="BJ721" s="1986">
        <f t="shared" si="678"/>
        <v>0.78027700831024938</v>
      </c>
      <c r="BK721" s="1986">
        <f t="shared" si="678"/>
        <v>0.78027700831024938</v>
      </c>
      <c r="BL721" s="1986">
        <f t="shared" si="678"/>
        <v>0.78027700831024938</v>
      </c>
      <c r="BM721" s="1986">
        <f t="shared" si="678"/>
        <v>0.78027700831024938</v>
      </c>
      <c r="BN721" s="1986">
        <f t="shared" si="678"/>
        <v>0.78027700831024938</v>
      </c>
      <c r="BO721" s="1986">
        <f t="shared" si="678"/>
        <v>0.78027700831024938</v>
      </c>
      <c r="BP721" s="1986">
        <f t="shared" si="678"/>
        <v>0.78027700831024938</v>
      </c>
      <c r="BQ721" s="1986">
        <f t="shared" si="678"/>
        <v>0.78027700831024938</v>
      </c>
      <c r="BR721" s="1986">
        <f t="shared" si="678"/>
        <v>0.78027700831024938</v>
      </c>
      <c r="BS721" s="1986">
        <f t="shared" si="678"/>
        <v>0.78027700831024938</v>
      </c>
      <c r="BT721" s="1986">
        <f t="shared" si="678"/>
        <v>0.78027700831024938</v>
      </c>
      <c r="BU721" s="1830"/>
    </row>
    <row r="722" spans="37:73" s="1384" customFormat="1" ht="12.75" x14ac:dyDescent="0.25">
      <c r="AK722" s="1981"/>
      <c r="AL722" s="507"/>
      <c r="AM722" s="1987"/>
      <c r="AN722" s="600"/>
      <c r="AO722" s="496"/>
      <c r="AP722" s="600"/>
      <c r="AQ722" s="496"/>
      <c r="AR722" s="496"/>
      <c r="AS722" s="600"/>
      <c r="AT722" s="495"/>
      <c r="AU722" s="495"/>
      <c r="AV722" s="600"/>
      <c r="AW722" s="496"/>
      <c r="AX722" s="500"/>
      <c r="AY722" s="600"/>
      <c r="AZ722" s="496"/>
      <c r="BA722" s="500"/>
      <c r="BB722" s="600"/>
      <c r="BC722" s="496"/>
      <c r="BD722" s="500"/>
      <c r="BE722" s="600"/>
      <c r="BF722" s="600"/>
      <c r="BG722" s="600"/>
      <c r="BH722" s="600"/>
      <c r="BI722" s="600"/>
      <c r="BJ722" s="600"/>
      <c r="BK722" s="600"/>
      <c r="BL722" s="600"/>
      <c r="BM722" s="600"/>
      <c r="BN722" s="600"/>
      <c r="BO722" s="600"/>
      <c r="BP722" s="1006"/>
      <c r="BQ722" s="1382"/>
      <c r="BU722" s="1983"/>
    </row>
    <row r="723" spans="37:73" s="496" customFormat="1" ht="12.75" x14ac:dyDescent="0.25">
      <c r="AK723" s="1828"/>
      <c r="AL723" s="1988"/>
      <c r="AM723" s="1978" t="s">
        <v>894</v>
      </c>
      <c r="AN723" s="1989"/>
      <c r="AP723" s="1989"/>
      <c r="AS723" s="1989"/>
      <c r="AT723" s="495"/>
      <c r="AU723" s="495"/>
      <c r="AV723" s="1989"/>
      <c r="AX723" s="500"/>
      <c r="AY723" s="1989"/>
      <c r="BA723" s="500"/>
      <c r="BB723" s="1989"/>
      <c r="BD723" s="500"/>
      <c r="BE723" s="1989"/>
      <c r="BF723" s="1989"/>
      <c r="BG723" s="1989"/>
      <c r="BH723" s="1989"/>
      <c r="BI723" s="1989"/>
      <c r="BJ723" s="1989"/>
      <c r="BK723" s="1989"/>
      <c r="BL723" s="1989"/>
      <c r="BM723" s="1989"/>
      <c r="BN723" s="1989"/>
      <c r="BO723" s="1989"/>
      <c r="BQ723" s="630"/>
      <c r="BU723" s="1830"/>
    </row>
    <row r="724" spans="37:73" s="1384" customFormat="1" ht="12.75" x14ac:dyDescent="0.25">
      <c r="AK724" s="1981"/>
      <c r="AL724" s="1964" t="str">
        <f>CONCATENATE(TEXT(AL725,"#")," A")</f>
        <v>23 A</v>
      </c>
      <c r="AM724" s="1965" t="s">
        <v>1435</v>
      </c>
      <c r="AN724" s="1966">
        <f>IF(AN660=0,0,AN587*AN584/AN660)</f>
        <v>0</v>
      </c>
      <c r="AO724" s="496"/>
      <c r="AP724" s="1967">
        <f>IF(AP660=0,0,AP587*AP584/AP660)</f>
        <v>11.966759002770083</v>
      </c>
      <c r="AQ724" s="500"/>
      <c r="AR724" s="496"/>
      <c r="AS724" s="1967">
        <f>IF(AS660=0,0,AS587*AS584/AS660)</f>
        <v>11.966759002770083</v>
      </c>
      <c r="AT724" s="495"/>
      <c r="AU724" s="495"/>
      <c r="AV724" s="1967">
        <f>IF(AV660=0,0,AV587*AV584/AV660)</f>
        <v>5.9833795013850413</v>
      </c>
      <c r="AW724" s="496"/>
      <c r="AX724" s="500"/>
      <c r="AY724" s="1967">
        <f>IF(AY660=0,0,AY587*AY584/AY660)</f>
        <v>11.966759002770083</v>
      </c>
      <c r="AZ724" s="496"/>
      <c r="BA724" s="500"/>
      <c r="BB724" s="1967">
        <f>IF(BB660=0,0,BB587*BB584/BB660)</f>
        <v>5.9833795013850413</v>
      </c>
      <c r="BC724" s="496"/>
      <c r="BD724" s="500"/>
      <c r="BE724" s="1967">
        <f t="shared" ref="BE724:BT724" si="679">IF(BE660=0,0,BE587*BE584/BE660)</f>
        <v>11.966759002770083</v>
      </c>
      <c r="BF724" s="1967">
        <f t="shared" si="679"/>
        <v>11.966759002770083</v>
      </c>
      <c r="BG724" s="1967">
        <f t="shared" si="679"/>
        <v>11.966759002770083</v>
      </c>
      <c r="BH724" s="1967">
        <f t="shared" si="679"/>
        <v>11.966759002770083</v>
      </c>
      <c r="BI724" s="1967">
        <f t="shared" si="679"/>
        <v>11.966759002770083</v>
      </c>
      <c r="BJ724" s="1967">
        <f t="shared" si="679"/>
        <v>11.966759002770083</v>
      </c>
      <c r="BK724" s="1967">
        <f t="shared" si="679"/>
        <v>11.966759002770083</v>
      </c>
      <c r="BL724" s="1967">
        <f t="shared" si="679"/>
        <v>11.966759002770083</v>
      </c>
      <c r="BM724" s="1967">
        <f t="shared" si="679"/>
        <v>11.966759002770083</v>
      </c>
      <c r="BN724" s="1967">
        <f t="shared" si="679"/>
        <v>11.966759002770083</v>
      </c>
      <c r="BO724" s="1967">
        <f t="shared" si="679"/>
        <v>11.966759002770083</v>
      </c>
      <c r="BP724" s="1967">
        <f t="shared" si="679"/>
        <v>11.966759002770083</v>
      </c>
      <c r="BQ724" s="1967">
        <f t="shared" si="679"/>
        <v>11.966759002770083</v>
      </c>
      <c r="BR724" s="1967">
        <f t="shared" si="679"/>
        <v>11.966759002770083</v>
      </c>
      <c r="BS724" s="1967">
        <f t="shared" si="679"/>
        <v>11.966759002770083</v>
      </c>
      <c r="BT724" s="1967">
        <f t="shared" si="679"/>
        <v>11.966759002770083</v>
      </c>
      <c r="BU724" s="1983"/>
    </row>
    <row r="725" spans="37:73" s="496" customFormat="1" ht="12.75" x14ac:dyDescent="0.25">
      <c r="AK725" s="1828"/>
      <c r="AL725" s="1968">
        <f>AL721+1</f>
        <v>23</v>
      </c>
      <c r="AM725" s="1969" t="s">
        <v>1436</v>
      </c>
      <c r="AN725" s="1970">
        <f>IF(AN660=0,0,AN589*AN584/AN660)</f>
        <v>0</v>
      </c>
      <c r="AP725" s="1971">
        <f>IF(AP660=0,0,AP589*AP584/AP660)</f>
        <v>8.9750692520775619</v>
      </c>
      <c r="AQ725" s="500"/>
      <c r="AS725" s="1971">
        <f>IF(AS660=0,0,AS589*AS584/AS660)</f>
        <v>8.9750692520775619</v>
      </c>
      <c r="AT725" s="495"/>
      <c r="AU725" s="495"/>
      <c r="AV725" s="1971">
        <f>IF(AV660=0,0,AV589*AV584/AV660)</f>
        <v>4.4875346260387809</v>
      </c>
      <c r="AX725" s="500"/>
      <c r="AY725" s="1971">
        <f>IF(AY660=0,0,AY589*AY584/AY660)</f>
        <v>8.9750692520775619</v>
      </c>
      <c r="BA725" s="500"/>
      <c r="BB725" s="1971">
        <f>IF(BB660=0,0,BB589*BB584/BB660)</f>
        <v>4.4875346260387809</v>
      </c>
      <c r="BD725" s="500"/>
      <c r="BE725" s="1971">
        <f t="shared" ref="BE725:BT725" si="680">IF(BE660=0,0,BE589*BE584/BE660)</f>
        <v>8.9750692520775619</v>
      </c>
      <c r="BF725" s="1971">
        <f t="shared" si="680"/>
        <v>8.9750692520775619</v>
      </c>
      <c r="BG725" s="1971">
        <f t="shared" si="680"/>
        <v>8.9750692520775619</v>
      </c>
      <c r="BH725" s="1971">
        <f t="shared" si="680"/>
        <v>8.9750692520775619</v>
      </c>
      <c r="BI725" s="1971">
        <f t="shared" si="680"/>
        <v>8.9750692520775619</v>
      </c>
      <c r="BJ725" s="1971">
        <f t="shared" si="680"/>
        <v>8.9750692520775619</v>
      </c>
      <c r="BK725" s="1971">
        <f t="shared" si="680"/>
        <v>8.9750692520775619</v>
      </c>
      <c r="BL725" s="1971">
        <f t="shared" si="680"/>
        <v>8.9750692520775619</v>
      </c>
      <c r="BM725" s="1971">
        <f t="shared" si="680"/>
        <v>8.9750692520775619</v>
      </c>
      <c r="BN725" s="1971">
        <f t="shared" si="680"/>
        <v>8.9750692520775619</v>
      </c>
      <c r="BO725" s="1971">
        <f t="shared" si="680"/>
        <v>8.9750692520775619</v>
      </c>
      <c r="BP725" s="1971">
        <f t="shared" si="680"/>
        <v>8.9750692520775619</v>
      </c>
      <c r="BQ725" s="1971">
        <f t="shared" si="680"/>
        <v>8.9750692520775619</v>
      </c>
      <c r="BR725" s="1971">
        <f t="shared" si="680"/>
        <v>8.9750692520775619</v>
      </c>
      <c r="BS725" s="1971">
        <f t="shared" si="680"/>
        <v>8.9750692520775619</v>
      </c>
      <c r="BT725" s="1971">
        <f t="shared" si="680"/>
        <v>8.9750692520775619</v>
      </c>
      <c r="BU725" s="1830"/>
    </row>
    <row r="726" spans="37:73" s="496" customFormat="1" ht="12.75" x14ac:dyDescent="0.25">
      <c r="AK726" s="1828"/>
      <c r="AL726" s="1968" t="str">
        <f>CONCATENATE(TEXT(AL727,"#")," A")</f>
        <v>24 A</v>
      </c>
      <c r="AM726" s="1969" t="s">
        <v>1437</v>
      </c>
      <c r="AN726" s="1970">
        <f>IF(AND(AN661=0,AN663=0),0,IF(AN661&lt;&gt;0,(AN593-AN591)*AN584/AN661,(AN593-AN591)*AN584/AN663))</f>
        <v>0</v>
      </c>
      <c r="AP726" s="1971">
        <f>IF(AND(AP661=0,AP663=0),0,IF(AP661&lt;&gt;0,(AP593-AP591)*AP584/AP661,(AP593-AP591)*AP584/AP663))</f>
        <v>259.2</v>
      </c>
      <c r="AQ726" s="500"/>
      <c r="AS726" s="1971">
        <f>IF(AND(AS661=0,AS663=0),0,IF(AS661&lt;&gt;0,(AS593-AS591)*AS584/AS661,(AS593-AS591)*AS584/AS663))</f>
        <v>259.2</v>
      </c>
      <c r="AT726" s="495"/>
      <c r="AU726" s="495"/>
      <c r="AV726" s="1971">
        <f>IF(AND(AV661=0,AV663=0),0,IF(AV661&lt;&gt;0,(AV593-AV591)*AV584/AV661,(AV593-AV591)*AV584/AV663))</f>
        <v>129.6</v>
      </c>
      <c r="AX726" s="500"/>
      <c r="AY726" s="1971">
        <f>IF(AND(AY661=0,AY663=0),0,IF(AY661&lt;&gt;0,(AY593-AY591)*AY584/AY661,(AY593-AY591)*AY584/AY663))</f>
        <v>259.2</v>
      </c>
      <c r="BA726" s="500"/>
      <c r="BB726" s="1971">
        <f>IF(AND(BB661=0,BB663=0),0,IF(BB661&lt;&gt;0,(BB593-BB591)*BB584/BB661,(BB593-BB591)*BB584/BB663))</f>
        <v>129.6</v>
      </c>
      <c r="BD726" s="500"/>
      <c r="BE726" s="1971">
        <f t="shared" ref="BE726:BT726" si="681">IF(AND(BE661=0,BE663=0),0,IF(BE661&lt;&gt;0,(BE593-BE591)*BE584/BE661,(BE593-BE591)*BE584/BE663))</f>
        <v>259.2</v>
      </c>
      <c r="BF726" s="1971">
        <f t="shared" si="681"/>
        <v>259.2</v>
      </c>
      <c r="BG726" s="1971">
        <f t="shared" si="681"/>
        <v>259.2</v>
      </c>
      <c r="BH726" s="1971">
        <f t="shared" si="681"/>
        <v>259.2</v>
      </c>
      <c r="BI726" s="1971">
        <f t="shared" si="681"/>
        <v>259.2</v>
      </c>
      <c r="BJ726" s="1971">
        <f t="shared" si="681"/>
        <v>259.2</v>
      </c>
      <c r="BK726" s="1971">
        <f t="shared" si="681"/>
        <v>259.2</v>
      </c>
      <c r="BL726" s="1971">
        <f t="shared" si="681"/>
        <v>259.2</v>
      </c>
      <c r="BM726" s="1971">
        <f t="shared" si="681"/>
        <v>259.2</v>
      </c>
      <c r="BN726" s="1971">
        <f t="shared" si="681"/>
        <v>259.2</v>
      </c>
      <c r="BO726" s="1971">
        <f t="shared" si="681"/>
        <v>259.2</v>
      </c>
      <c r="BP726" s="1971">
        <f t="shared" si="681"/>
        <v>259.2</v>
      </c>
      <c r="BQ726" s="1971">
        <f t="shared" si="681"/>
        <v>259.2</v>
      </c>
      <c r="BR726" s="1971">
        <f t="shared" si="681"/>
        <v>259.2</v>
      </c>
      <c r="BS726" s="1971">
        <f t="shared" si="681"/>
        <v>259.2</v>
      </c>
      <c r="BT726" s="1971">
        <f t="shared" si="681"/>
        <v>259.2</v>
      </c>
      <c r="BU726" s="1830"/>
    </row>
    <row r="727" spans="37:73" s="496" customFormat="1" ht="12.75" x14ac:dyDescent="0.25">
      <c r="AK727" s="1828"/>
      <c r="AL727" s="1968">
        <f>AL725+1</f>
        <v>24</v>
      </c>
      <c r="AM727" s="1969" t="s">
        <v>1438</v>
      </c>
      <c r="AN727" s="1970">
        <f>IF(AND(AN661=0,AN663=0),0,IF(AN661&lt;&gt;0,AN593*AN584/AN661,AN593*AN584/AN663))</f>
        <v>0</v>
      </c>
      <c r="AP727" s="1971">
        <f>IF(AND(AP661=0,AP663=0),0,IF(AP661&lt;&gt;0,AP593*AP584/AP661,AP593*AP584/AP663))</f>
        <v>280.8</v>
      </c>
      <c r="AQ727" s="500"/>
      <c r="AS727" s="1971">
        <f>IF(AND(AS661=0,AS663=0),0,IF(AS661&lt;&gt;0,AS593*AS584/AS661,AS593*AS584/AS663))</f>
        <v>280.8</v>
      </c>
      <c r="AT727" s="495"/>
      <c r="AU727" s="495"/>
      <c r="AV727" s="1971">
        <f>IF(AND(AV661=0,AV663=0),0,IF(AV661&lt;&gt;0,AV593*AV584/AV661,AV593*AV584/AV663))</f>
        <v>140.4</v>
      </c>
      <c r="AX727" s="500"/>
      <c r="AY727" s="1971">
        <f>IF(AND(AY661=0,AY663=0),0,IF(AY661&lt;&gt;0,AY593*AY584/AY661,AY593*AY584/AY663))</f>
        <v>280.8</v>
      </c>
      <c r="BA727" s="500"/>
      <c r="BB727" s="1971">
        <f>IF(AND(BB661=0,BB663=0),0,IF(BB661&lt;&gt;0,BB593*BB584/BB661,BB593*BB584/BB663))</f>
        <v>140.4</v>
      </c>
      <c r="BD727" s="500"/>
      <c r="BE727" s="1971">
        <f t="shared" ref="BE727:BT727" si="682">IF(AND(BE661=0,BE663=0),0,IF(BE661&lt;&gt;0,BE593*BE584/BE661,BE593*BE584/BE663))</f>
        <v>280.8</v>
      </c>
      <c r="BF727" s="1971">
        <f t="shared" si="682"/>
        <v>280.8</v>
      </c>
      <c r="BG727" s="1971">
        <f t="shared" si="682"/>
        <v>280.8</v>
      </c>
      <c r="BH727" s="1971">
        <f t="shared" si="682"/>
        <v>280.8</v>
      </c>
      <c r="BI727" s="1971">
        <f t="shared" si="682"/>
        <v>280.8</v>
      </c>
      <c r="BJ727" s="1971">
        <f t="shared" si="682"/>
        <v>280.8</v>
      </c>
      <c r="BK727" s="1971">
        <f t="shared" si="682"/>
        <v>280.8</v>
      </c>
      <c r="BL727" s="1971">
        <f t="shared" si="682"/>
        <v>280.8</v>
      </c>
      <c r="BM727" s="1971">
        <f t="shared" si="682"/>
        <v>280.8</v>
      </c>
      <c r="BN727" s="1971">
        <f t="shared" si="682"/>
        <v>280.8</v>
      </c>
      <c r="BO727" s="1971">
        <f t="shared" si="682"/>
        <v>280.8</v>
      </c>
      <c r="BP727" s="1971">
        <f t="shared" si="682"/>
        <v>280.8</v>
      </c>
      <c r="BQ727" s="1971">
        <f t="shared" si="682"/>
        <v>280.8</v>
      </c>
      <c r="BR727" s="1971">
        <f t="shared" si="682"/>
        <v>280.8</v>
      </c>
      <c r="BS727" s="1971">
        <f t="shared" si="682"/>
        <v>280.8</v>
      </c>
      <c r="BT727" s="1971">
        <f t="shared" si="682"/>
        <v>280.8</v>
      </c>
      <c r="BU727" s="1830"/>
    </row>
    <row r="728" spans="37:73" s="496" customFormat="1" ht="12.75" x14ac:dyDescent="0.25">
      <c r="AK728" s="1828"/>
      <c r="AL728" s="1968" t="str">
        <f>CONCATENATE(TEXT(AL729,"#")," A")</f>
        <v>25 A</v>
      </c>
      <c r="AM728" s="1969" t="s">
        <v>1439</v>
      </c>
      <c r="AN728" s="1970">
        <f>AN724+AN726</f>
        <v>0</v>
      </c>
      <c r="AP728" s="1971">
        <f>AP724+AP726</f>
        <v>271.16675900277005</v>
      </c>
      <c r="AQ728" s="500"/>
      <c r="AS728" s="1971">
        <f>AS724+AS726</f>
        <v>271.16675900277005</v>
      </c>
      <c r="AT728" s="495"/>
      <c r="AU728" s="495"/>
      <c r="AV728" s="1971">
        <f>AV724+AV726</f>
        <v>135.58337950138502</v>
      </c>
      <c r="AX728" s="500"/>
      <c r="AY728" s="1971">
        <f>AY724+AY726</f>
        <v>271.16675900277005</v>
      </c>
      <c r="BA728" s="500"/>
      <c r="BB728" s="1971">
        <f>BB724+BB726</f>
        <v>135.58337950138502</v>
      </c>
      <c r="BD728" s="500"/>
      <c r="BE728" s="1971">
        <f t="shared" ref="BE728:BT728" si="683">BE724+BE726</f>
        <v>271.16675900277005</v>
      </c>
      <c r="BF728" s="1971">
        <f t="shared" si="683"/>
        <v>271.16675900277005</v>
      </c>
      <c r="BG728" s="1971">
        <f t="shared" si="683"/>
        <v>271.16675900277005</v>
      </c>
      <c r="BH728" s="1971">
        <f t="shared" si="683"/>
        <v>271.16675900277005</v>
      </c>
      <c r="BI728" s="1971">
        <f t="shared" si="683"/>
        <v>271.16675900277005</v>
      </c>
      <c r="BJ728" s="1971">
        <f t="shared" si="683"/>
        <v>271.16675900277005</v>
      </c>
      <c r="BK728" s="1971">
        <f t="shared" si="683"/>
        <v>271.16675900277005</v>
      </c>
      <c r="BL728" s="1971">
        <f t="shared" si="683"/>
        <v>271.16675900277005</v>
      </c>
      <c r="BM728" s="1971">
        <f t="shared" si="683"/>
        <v>271.16675900277005</v>
      </c>
      <c r="BN728" s="1971">
        <f t="shared" si="683"/>
        <v>271.16675900277005</v>
      </c>
      <c r="BO728" s="1971">
        <f t="shared" si="683"/>
        <v>271.16675900277005</v>
      </c>
      <c r="BP728" s="1971">
        <f t="shared" si="683"/>
        <v>271.16675900277005</v>
      </c>
      <c r="BQ728" s="1971">
        <f t="shared" si="683"/>
        <v>271.16675900277005</v>
      </c>
      <c r="BR728" s="1971">
        <f t="shared" si="683"/>
        <v>271.16675900277005</v>
      </c>
      <c r="BS728" s="1971">
        <f t="shared" si="683"/>
        <v>271.16675900277005</v>
      </c>
      <c r="BT728" s="1971">
        <f t="shared" si="683"/>
        <v>271.16675900277005</v>
      </c>
      <c r="BU728" s="1830"/>
    </row>
    <row r="729" spans="37:73" s="496" customFormat="1" ht="12.75" x14ac:dyDescent="0.25">
      <c r="AK729" s="1828"/>
      <c r="AL729" s="1968">
        <f>AL727+1</f>
        <v>25</v>
      </c>
      <c r="AM729" s="1969" t="s">
        <v>1440</v>
      </c>
      <c r="AN729" s="1970">
        <f>AN725+AN727</f>
        <v>0</v>
      </c>
      <c r="AP729" s="1971">
        <f>AP725+AP727</f>
        <v>289.77506925207757</v>
      </c>
      <c r="AQ729" s="500"/>
      <c r="AS729" s="1971">
        <f>AS725+AS727</f>
        <v>289.77506925207757</v>
      </c>
      <c r="AT729" s="495"/>
      <c r="AU729" s="495"/>
      <c r="AV729" s="1971">
        <f>AV725+AV727</f>
        <v>144.88753462603879</v>
      </c>
      <c r="AX729" s="500"/>
      <c r="AY729" s="1971">
        <f>AY725+AY727</f>
        <v>289.77506925207757</v>
      </c>
      <c r="BA729" s="500"/>
      <c r="BB729" s="1971">
        <f>BB725+BB727</f>
        <v>144.88753462603879</v>
      </c>
      <c r="BD729" s="500"/>
      <c r="BE729" s="1971">
        <f t="shared" ref="BE729:BT729" si="684">BE725+BE727</f>
        <v>289.77506925207757</v>
      </c>
      <c r="BF729" s="1971">
        <f t="shared" si="684"/>
        <v>289.77506925207757</v>
      </c>
      <c r="BG729" s="1971">
        <f t="shared" si="684"/>
        <v>289.77506925207757</v>
      </c>
      <c r="BH729" s="1971">
        <f t="shared" si="684"/>
        <v>289.77506925207757</v>
      </c>
      <c r="BI729" s="1971">
        <f t="shared" si="684"/>
        <v>289.77506925207757</v>
      </c>
      <c r="BJ729" s="1971">
        <f t="shared" si="684"/>
        <v>289.77506925207757</v>
      </c>
      <c r="BK729" s="1971">
        <f t="shared" si="684"/>
        <v>289.77506925207757</v>
      </c>
      <c r="BL729" s="1971">
        <f t="shared" si="684"/>
        <v>289.77506925207757</v>
      </c>
      <c r="BM729" s="1971">
        <f t="shared" si="684"/>
        <v>289.77506925207757</v>
      </c>
      <c r="BN729" s="1971">
        <f t="shared" si="684"/>
        <v>289.77506925207757</v>
      </c>
      <c r="BO729" s="1971">
        <f t="shared" si="684"/>
        <v>289.77506925207757</v>
      </c>
      <c r="BP729" s="1971">
        <f t="shared" si="684"/>
        <v>289.77506925207757</v>
      </c>
      <c r="BQ729" s="1971">
        <f t="shared" si="684"/>
        <v>289.77506925207757</v>
      </c>
      <c r="BR729" s="1971">
        <f t="shared" si="684"/>
        <v>289.77506925207757</v>
      </c>
      <c r="BS729" s="1971">
        <f t="shared" si="684"/>
        <v>289.77506925207757</v>
      </c>
      <c r="BT729" s="1971">
        <f t="shared" si="684"/>
        <v>289.77506925207757</v>
      </c>
      <c r="BU729" s="1830"/>
    </row>
    <row r="730" spans="37:73" s="496" customFormat="1" ht="12.75" x14ac:dyDescent="0.25">
      <c r="AK730" s="1828"/>
      <c r="AL730" s="1931">
        <f>AL729+1</f>
        <v>26</v>
      </c>
      <c r="AM730" s="1974" t="s">
        <v>1441</v>
      </c>
      <c r="AN730" s="1975">
        <f>IF(AND(AN661=0,AN663=0),0,IF(AN661&lt;&gt;0,AN623*AN584/AN661,AN623*AN584/AN663))</f>
        <v>0</v>
      </c>
      <c r="AP730" s="1976">
        <f>IF(AND(AP661=0,AP663=0),0,IF(AP661&lt;&gt;0,AP623*AP584/AP661,AP623*AP584/AP663))</f>
        <v>21.6</v>
      </c>
      <c r="AQ730" s="500"/>
      <c r="AS730" s="1976">
        <f>IF(AND(AS661=0,AS663=0),0,IF(AS661&lt;&gt;0,AS623*AS584/AS661,AS623*AS584/AS663))</f>
        <v>21.6</v>
      </c>
      <c r="AT730" s="495"/>
      <c r="AU730" s="495"/>
      <c r="AV730" s="1976">
        <f>IF(AND(AV661=0,AV663=0),0,IF(AV661&lt;&gt;0,AV623*AV584/AV661,AV623*AV584/AV663))</f>
        <v>10.8</v>
      </c>
      <c r="AX730" s="500"/>
      <c r="AY730" s="1976">
        <f>IF(AND(AY661=0,AY663=0),0,IF(AY661&lt;&gt;0,AY623*AY584/AY661,AY623*AY584/AY663))</f>
        <v>21.6</v>
      </c>
      <c r="BA730" s="500"/>
      <c r="BB730" s="1976">
        <f>IF(AND(BB661=0,BB663=0),0,IF(BB661&lt;&gt;0,BB623*BB584/BB661,BB623*BB584/BB663))</f>
        <v>10.8</v>
      </c>
      <c r="BD730" s="500"/>
      <c r="BE730" s="1976">
        <f t="shared" ref="BE730:BT730" si="685">IF(AND(BE661=0,BE663=0),0,IF(BE661&lt;&gt;0,BE623*BE584/BE661,BE623*BE584/BE663))</f>
        <v>21.6</v>
      </c>
      <c r="BF730" s="1976">
        <f t="shared" si="685"/>
        <v>21.6</v>
      </c>
      <c r="BG730" s="1976">
        <f t="shared" si="685"/>
        <v>21.6</v>
      </c>
      <c r="BH730" s="1976">
        <f t="shared" si="685"/>
        <v>21.6</v>
      </c>
      <c r="BI730" s="1976">
        <f t="shared" si="685"/>
        <v>21.6</v>
      </c>
      <c r="BJ730" s="1976">
        <f t="shared" si="685"/>
        <v>21.6</v>
      </c>
      <c r="BK730" s="1976">
        <f t="shared" si="685"/>
        <v>21.6</v>
      </c>
      <c r="BL730" s="1976">
        <f t="shared" si="685"/>
        <v>21.6</v>
      </c>
      <c r="BM730" s="1976">
        <f t="shared" si="685"/>
        <v>21.6</v>
      </c>
      <c r="BN730" s="1976">
        <f t="shared" si="685"/>
        <v>21.6</v>
      </c>
      <c r="BO730" s="1976">
        <f t="shared" si="685"/>
        <v>21.6</v>
      </c>
      <c r="BP730" s="1976">
        <f t="shared" si="685"/>
        <v>21.6</v>
      </c>
      <c r="BQ730" s="1976">
        <f t="shared" si="685"/>
        <v>21.6</v>
      </c>
      <c r="BR730" s="1976">
        <f t="shared" si="685"/>
        <v>21.6</v>
      </c>
      <c r="BS730" s="1976">
        <f t="shared" si="685"/>
        <v>21.6</v>
      </c>
      <c r="BT730" s="1976">
        <f t="shared" si="685"/>
        <v>21.6</v>
      </c>
      <c r="BU730" s="1830"/>
    </row>
    <row r="731" spans="37:73" s="496" customFormat="1" ht="12.75" x14ac:dyDescent="0.25">
      <c r="AK731" s="1828"/>
      <c r="AL731" s="507"/>
      <c r="AM731" s="1957"/>
      <c r="AN731" s="871"/>
      <c r="AP731" s="871"/>
      <c r="AS731" s="871"/>
      <c r="AT731" s="495"/>
      <c r="AU731" s="495"/>
      <c r="AV731" s="871"/>
      <c r="AX731" s="500"/>
      <c r="AY731" s="871"/>
      <c r="BA731" s="500"/>
      <c r="BB731" s="871"/>
      <c r="BD731" s="500"/>
      <c r="BE731" s="871"/>
      <c r="BF731" s="871"/>
      <c r="BG731" s="871"/>
      <c r="BH731" s="871"/>
      <c r="BI731" s="871"/>
      <c r="BJ731" s="871"/>
      <c r="BK731" s="871"/>
      <c r="BL731" s="871"/>
      <c r="BM731" s="871"/>
      <c r="BN731" s="871"/>
      <c r="BO731" s="871"/>
      <c r="BQ731" s="589"/>
      <c r="BU731" s="1830"/>
    </row>
    <row r="732" spans="37:73" s="496" customFormat="1" ht="12.75" x14ac:dyDescent="0.25">
      <c r="AK732" s="1828"/>
      <c r="AL732" s="507"/>
      <c r="AM732" s="1978" t="s">
        <v>1442</v>
      </c>
      <c r="AN732" s="871"/>
      <c r="AP732" s="871"/>
      <c r="AS732" s="871"/>
      <c r="AT732" s="495"/>
      <c r="AU732" s="495"/>
      <c r="AV732" s="871"/>
      <c r="AX732" s="500"/>
      <c r="AY732" s="871"/>
      <c r="BA732" s="500"/>
      <c r="BB732" s="871"/>
      <c r="BD732" s="500"/>
      <c r="BE732" s="871"/>
      <c r="BF732" s="871"/>
      <c r="BG732" s="871"/>
      <c r="BH732" s="871"/>
      <c r="BI732" s="871"/>
      <c r="BJ732" s="871"/>
      <c r="BK732" s="871"/>
      <c r="BL732" s="871"/>
      <c r="BM732" s="871"/>
      <c r="BN732" s="871"/>
      <c r="BO732" s="871"/>
      <c r="BQ732" s="630"/>
      <c r="BU732" s="1830"/>
    </row>
    <row r="733" spans="37:73" s="496" customFormat="1" ht="12.75" x14ac:dyDescent="0.25">
      <c r="AK733" s="1828"/>
      <c r="AL733" s="1964">
        <f>AL730+1</f>
        <v>27</v>
      </c>
      <c r="AM733" s="1965" t="s">
        <v>1443</v>
      </c>
      <c r="AN733" s="1966">
        <f>AN598-AN592-AN632</f>
        <v>0</v>
      </c>
      <c r="AP733" s="1967">
        <f>AP598-AP592-AP632</f>
        <v>1380</v>
      </c>
      <c r="AQ733" s="500"/>
      <c r="AS733" s="1967">
        <f>AS598-AS592-AS632</f>
        <v>1380</v>
      </c>
      <c r="AT733" s="495"/>
      <c r="AU733" s="495"/>
      <c r="AV733" s="1967">
        <f>AV598-AV592-AV632</f>
        <v>1380</v>
      </c>
      <c r="AX733" s="500"/>
      <c r="AY733" s="1967">
        <f>AY598-AY592-AY632</f>
        <v>1380</v>
      </c>
      <c r="BA733" s="500"/>
      <c r="BB733" s="1967">
        <f>BB598-BB592-BB632</f>
        <v>1380</v>
      </c>
      <c r="BD733" s="500"/>
      <c r="BE733" s="1967">
        <f t="shared" ref="BE733:BT733" si="686">BE598-BE592-BE632</f>
        <v>2125.1659999999993</v>
      </c>
      <c r="BF733" s="1967">
        <f t="shared" si="686"/>
        <v>2842.5899999999992</v>
      </c>
      <c r="BG733" s="1967">
        <f t="shared" si="686"/>
        <v>3557.2119999999991</v>
      </c>
      <c r="BH733" s="1967">
        <f t="shared" si="686"/>
        <v>4262.619999999999</v>
      </c>
      <c r="BI733" s="1967">
        <f t="shared" si="686"/>
        <v>4961.4939999999988</v>
      </c>
      <c r="BJ733" s="1967">
        <f t="shared" si="686"/>
        <v>5653.833999999998</v>
      </c>
      <c r="BK733" s="1967">
        <f t="shared" si="686"/>
        <v>6339.6399999999985</v>
      </c>
      <c r="BL733" s="1967">
        <f t="shared" si="686"/>
        <v>7018.9119999999966</v>
      </c>
      <c r="BM733" s="1967">
        <f t="shared" si="686"/>
        <v>7691.6499999999978</v>
      </c>
      <c r="BN733" s="1967">
        <f t="shared" si="686"/>
        <v>8357.8539999999957</v>
      </c>
      <c r="BO733" s="1967">
        <f t="shared" si="686"/>
        <v>9017.5239999999976</v>
      </c>
      <c r="BP733" s="1967">
        <f t="shared" si="686"/>
        <v>9670.6599999999962</v>
      </c>
      <c r="BQ733" s="1967">
        <f t="shared" si="686"/>
        <v>10317.261999999997</v>
      </c>
      <c r="BR733" s="1967">
        <f t="shared" si="686"/>
        <v>10957.329999999996</v>
      </c>
      <c r="BS733" s="1967">
        <f t="shared" si="686"/>
        <v>11590.863999999998</v>
      </c>
      <c r="BT733" s="1967">
        <f t="shared" si="686"/>
        <v>12217.863999999996</v>
      </c>
      <c r="BU733" s="1830"/>
    </row>
    <row r="734" spans="37:73" s="496" customFormat="1" ht="12.75" x14ac:dyDescent="0.25">
      <c r="AK734" s="1828"/>
      <c r="AL734" s="1968">
        <f t="shared" ref="AL734:AL739" si="687">AL733+1</f>
        <v>28</v>
      </c>
      <c r="AM734" s="1969" t="s">
        <v>1444</v>
      </c>
      <c r="AN734" s="1970">
        <f>SUM(AN589,AN593)-SUM(AN619,AN623,AN627)</f>
        <v>0</v>
      </c>
      <c r="AP734" s="1971">
        <f>SUM(AP589,AP593,'Estados Financieros'!E37)-SUM(AP619,AP623,AP627)</f>
        <v>350</v>
      </c>
      <c r="AQ734" s="500"/>
      <c r="AS734" s="1971">
        <f>SUM(AS589,AS593,'Estados Financieros'!F37)-SUM(AS619,AS623,AS627)</f>
        <v>350</v>
      </c>
      <c r="AT734" s="495"/>
      <c r="AU734" s="495"/>
      <c r="AV734" s="1971">
        <f>SUM(AV589,AV593,'Estados Financieros'!I37)-SUM(AV619,AV623,AV627)</f>
        <v>350</v>
      </c>
      <c r="AX734" s="500"/>
      <c r="AY734" s="1971">
        <f>SUM(AY589,AY593,'Estados Financieros'!G37)-SUM(AY619,AY623,AY627)</f>
        <v>350</v>
      </c>
      <c r="BA734" s="500"/>
      <c r="BB734" s="1971">
        <f>SUM(BB589,BB593,'Estados Financieros'!H37)-SUM(BB619,BB623,BB627)</f>
        <v>350</v>
      </c>
      <c r="BD734" s="500"/>
      <c r="BE734" s="1971">
        <f>SUM(BE589,BE593,BE594*((IF($AP$594=0,0,'Estados Financieros'!$E$37/$AP$594)*IF(AND($C$241&lt;&gt;0,$C$241&lt;&gt;0),SUM($E$241,$C$241/2),$E$241))+(IF($AS$594=0,0,'Estados Financieros'!$F$37/$AS$594)*IF(AND($C$241&lt;&gt;0,$C$241&lt;&gt;0),SUM($H$241,$C$241/2),$H$241))+(IF($AY$594=0,0,'Estados Financieros'!$G$37/$AY$594)*$N$241)+(IF($BB$594=0,0,'Estados Financieros'!$H$37/$BB$594)*$Q$241)))-SUM(BE619,BE623,BE627)</f>
        <v>360</v>
      </c>
      <c r="BF734" s="1971">
        <f>SUM(BF589,BF593,BF594*((IF($AP$594=0,0,'Estados Financieros'!$E$37/$AP$594)*IF(AND($C$241&lt;&gt;0,$C$241&lt;&gt;0),SUM($E$241,$C$241/2),$E$241))+(IF($AS$594=0,0,'Estados Financieros'!$F$37/$AS$594)*IF(AND($C$241&lt;&gt;0,$C$241&lt;&gt;0),SUM($H$241,$C$241/2),$H$241))+(IF($AY$594=0,0,'Estados Financieros'!$G$37/$AY$594)*$N$241)+(IF($BB$594=0,0,'Estados Financieros'!$H$37/$BB$594)*$Q$241)))-SUM(BF619,BF623,BF627)</f>
        <v>360</v>
      </c>
      <c r="BG734" s="1971">
        <f>SUM(BG589,BG593,BG594*((IF($AP$594=0,0,'Estados Financieros'!$E$37/$AP$594)*IF(AND($C$241&lt;&gt;0,$C$241&lt;&gt;0),SUM($E$241,$C$241/2),$E$241))+(IF($AS$594=0,0,'Estados Financieros'!$F$37/$AS$594)*IF(AND($C$241&lt;&gt;0,$C$241&lt;&gt;0),SUM($H$241,$C$241/2),$H$241))+(IF($AY$594=0,0,'Estados Financieros'!$G$37/$AY$594)*$N$241)+(IF($BB$594=0,0,'Estados Financieros'!$H$37/$BB$594)*$Q$241)))-SUM(BG619,BG623,BG627)</f>
        <v>360</v>
      </c>
      <c r="BH734" s="1971">
        <f>SUM(BH589,BH593,BH594*((IF($AP$594=0,0,'Estados Financieros'!$E$37/$AP$594)*IF(AND($C$241&lt;&gt;0,$C$241&lt;&gt;0),SUM($E$241,$C$241/2),$E$241))+(IF($AS$594=0,0,'Estados Financieros'!$F$37/$AS$594)*IF(AND($C$241&lt;&gt;0,$C$241&lt;&gt;0),SUM($H$241,$C$241/2),$H$241))+(IF($AY$594=0,0,'Estados Financieros'!$G$37/$AY$594)*$N$241)+(IF($BB$594=0,0,'Estados Financieros'!$H$37/$BB$594)*$Q$241)))-SUM(BH619,BH623,BH627)</f>
        <v>360</v>
      </c>
      <c r="BI734" s="1971">
        <f>SUM(BI589,BI593,BI594*((IF($AP$594=0,0,'Estados Financieros'!$E$37/$AP$594)*IF(AND($C$241&lt;&gt;0,$C$241&lt;&gt;0),SUM($E$241,$C$241/2),$E$241))+(IF($AS$594=0,0,'Estados Financieros'!$F$37/$AS$594)*IF(AND($C$241&lt;&gt;0,$C$241&lt;&gt;0),SUM($H$241,$C$241/2),$H$241))+(IF($AY$594=0,0,'Estados Financieros'!$G$37/$AY$594)*$N$241)+(IF($BB$594=0,0,'Estados Financieros'!$H$37/$BB$594)*$Q$241)))-SUM(BI619,BI623,BI627)</f>
        <v>360</v>
      </c>
      <c r="BJ734" s="1971">
        <f>SUM(BJ589,BJ593,BJ594*((IF($AP$594=0,0,'Estados Financieros'!$E$37/$AP$594)*IF(AND($C$241&lt;&gt;0,$C$241&lt;&gt;0),SUM($E$241,$C$241/2),$E$241))+(IF($AS$594=0,0,'Estados Financieros'!$F$37/$AS$594)*IF(AND($C$241&lt;&gt;0,$C$241&lt;&gt;0),SUM($H$241,$C$241/2),$H$241))+(IF($AY$594=0,0,'Estados Financieros'!$G$37/$AY$594)*$N$241)+(IF($BB$594=0,0,'Estados Financieros'!$H$37/$BB$594)*$Q$241)))-SUM(BJ619,BJ623,BJ627)</f>
        <v>360</v>
      </c>
      <c r="BK734" s="1971">
        <f>SUM(BK589,BK593,BK594*((IF($AP$594=0,0,'Estados Financieros'!$E$37/$AP$594)*IF(AND($C$241&lt;&gt;0,$C$241&lt;&gt;0),SUM($E$241,$C$241/2),$E$241))+(IF($AS$594=0,0,'Estados Financieros'!$F$37/$AS$594)*IF(AND($C$241&lt;&gt;0,$C$241&lt;&gt;0),SUM($H$241,$C$241/2),$H$241))+(IF($AY$594=0,0,'Estados Financieros'!$G$37/$AY$594)*$N$241)+(IF($BB$594=0,0,'Estados Financieros'!$H$37/$BB$594)*$Q$241)))-SUM(BK619,BK623,BK627)</f>
        <v>360</v>
      </c>
      <c r="BL734" s="1971">
        <f>SUM(BL589,BL593,BL594*((IF($AP$594=0,0,'Estados Financieros'!$E$37/$AP$594)*IF(AND($C$241&lt;&gt;0,$C$241&lt;&gt;0),SUM($E$241,$C$241/2),$E$241))+(IF($AS$594=0,0,'Estados Financieros'!$F$37/$AS$594)*IF(AND($C$241&lt;&gt;0,$C$241&lt;&gt;0),SUM($H$241,$C$241/2),$H$241))+(IF($AY$594=0,0,'Estados Financieros'!$G$37/$AY$594)*$N$241)+(IF($BB$594=0,0,'Estados Financieros'!$H$37/$BB$594)*$Q$241)))-SUM(BL619,BL623,BL627)</f>
        <v>360</v>
      </c>
      <c r="BM734" s="1971">
        <f>SUM(BM589,BM593,BM594*((IF($AP$594=0,0,'Estados Financieros'!$E$37/$AP$594)*IF(AND($C$241&lt;&gt;0,$C$241&lt;&gt;0),SUM($E$241,$C$241/2),$E$241))+(IF($AS$594=0,0,'Estados Financieros'!$F$37/$AS$594)*IF(AND($C$241&lt;&gt;0,$C$241&lt;&gt;0),SUM($H$241,$C$241/2),$H$241))+(IF($AY$594=0,0,'Estados Financieros'!$G$37/$AY$594)*$N$241)+(IF($BB$594=0,0,'Estados Financieros'!$H$37/$BB$594)*$Q$241)))-SUM(BM619,BM623,BM627)</f>
        <v>360</v>
      </c>
      <c r="BN734" s="1971">
        <f>SUM(BN589,BN593,BN594*((IF($AP$594=0,0,'Estados Financieros'!$E$37/$AP$594)*IF(AND($C$241&lt;&gt;0,$C$241&lt;&gt;0),SUM($E$241,$C$241/2),$E$241))+(IF($AS$594=0,0,'Estados Financieros'!$F$37/$AS$594)*IF(AND($C$241&lt;&gt;0,$C$241&lt;&gt;0),SUM($H$241,$C$241/2),$H$241))+(IF($AY$594=0,0,'Estados Financieros'!$G$37/$AY$594)*$N$241)+(IF($BB$594=0,0,'Estados Financieros'!$H$37/$BB$594)*$Q$241)))-SUM(BN619,BN623,BN627)</f>
        <v>360</v>
      </c>
      <c r="BO734" s="1971">
        <f>SUM(BO589,BO593,BO594*((IF($AP$594=0,0,'Estados Financieros'!$E$37/$AP$594)*IF(AND($C$241&lt;&gt;0,$C$241&lt;&gt;0),SUM($E$241,$C$241/2),$E$241))+(IF($AS$594=0,0,'Estados Financieros'!$F$37/$AS$594)*IF(AND($C$241&lt;&gt;0,$C$241&lt;&gt;0),SUM($H$241,$C$241/2),$H$241))+(IF($AY$594=0,0,'Estados Financieros'!$G$37/$AY$594)*$N$241)+(IF($BB$594=0,0,'Estados Financieros'!$H$37/$BB$594)*$Q$241)))-SUM(BO619,BO623,BO627)</f>
        <v>360</v>
      </c>
      <c r="BP734" s="1971">
        <f>SUM(BP589,BP593,BP594*((IF($AP$594=0,0,'Estados Financieros'!$E$37/$AP$594)*IF(AND($C$241&lt;&gt;0,$C$241&lt;&gt;0),SUM($E$241,$C$241/2),$E$241))+(IF($AS$594=0,0,'Estados Financieros'!$F$37/$AS$594)*IF(AND($C$241&lt;&gt;0,$C$241&lt;&gt;0),SUM($H$241,$C$241/2),$H$241))+(IF($AY$594=0,0,'Estados Financieros'!$G$37/$AY$594)*$N$241)+(IF($BB$594=0,0,'Estados Financieros'!$H$37/$BB$594)*$Q$241)))-SUM(BP619,BP623,BP627)</f>
        <v>360</v>
      </c>
      <c r="BQ734" s="1971">
        <f>SUM(BQ589,BQ593,BQ594*((IF($AP$594=0,0,'Estados Financieros'!$E$37/$AP$594)*IF(AND($C$241&lt;&gt;0,$C$241&lt;&gt;0),SUM($E$241,$C$241/2),$E$241))+(IF($AS$594=0,0,'Estados Financieros'!$F$37/$AS$594)*IF(AND($C$241&lt;&gt;0,$C$241&lt;&gt;0),SUM($H$241,$C$241/2),$H$241))+(IF($AY$594=0,0,'Estados Financieros'!$G$37/$AY$594)*$N$241)+(IF($BB$594=0,0,'Estados Financieros'!$H$37/$BB$594)*$Q$241)))-SUM(BQ619,BQ623,BQ627)</f>
        <v>360</v>
      </c>
      <c r="BR734" s="1971">
        <f>SUM(BR589,BR593,BR594*((IF($AP$594=0,0,'Estados Financieros'!$E$37/$AP$594)*IF(AND($C$241&lt;&gt;0,$C$241&lt;&gt;0),SUM($E$241,$C$241/2),$E$241))+(IF($AS$594=0,0,'Estados Financieros'!$F$37/$AS$594)*IF(AND($C$241&lt;&gt;0,$C$241&lt;&gt;0),SUM($H$241,$C$241/2),$H$241))+(IF($AY$594=0,0,'Estados Financieros'!$G$37/$AY$594)*$N$241)+(IF($BB$594=0,0,'Estados Financieros'!$H$37/$BB$594)*$Q$241)))-SUM(BR619,BR623,BR627)</f>
        <v>360</v>
      </c>
      <c r="BS734" s="1971">
        <f>SUM(BS589,BS593,BS594*((IF($AP$594=0,0,'Estados Financieros'!$E$37/$AP$594)*IF(AND($C$241&lt;&gt;0,$C$241&lt;&gt;0),SUM($E$241,$C$241/2),$E$241))+(IF($AS$594=0,0,'Estados Financieros'!$F$37/$AS$594)*IF(AND($C$241&lt;&gt;0,$C$241&lt;&gt;0),SUM($H$241,$C$241/2),$H$241))+(IF($AY$594=0,0,'Estados Financieros'!$G$37/$AY$594)*$N$241)+(IF($BB$594=0,0,'Estados Financieros'!$H$37/$BB$594)*$Q$241)))-SUM(BS619,BS623,BS627)</f>
        <v>360</v>
      </c>
      <c r="BT734" s="1971">
        <f>SUM(BT589,BT593,BT594*((IF($AP$594=0,0,'Estados Financieros'!$E$37/$AP$594)*IF(AND($C$241&lt;&gt;0,$C$241&lt;&gt;0),SUM($E$241,$C$241/2),$E$241))+(IF($AS$594=0,0,'Estados Financieros'!$F$37/$AS$594)*IF(AND($C$241&lt;&gt;0,$C$241&lt;&gt;0),SUM($H$241,$C$241/2),$H$241))+(IF($AY$594=0,0,'Estados Financieros'!$G$37/$AY$594)*$N$241)+(IF($BB$594=0,0,'Estados Financieros'!$H$37/$BB$594)*$Q$241)))-SUM(BT619,BT623,BT627)</f>
        <v>360</v>
      </c>
      <c r="BU734" s="1830"/>
    </row>
    <row r="735" spans="37:73" s="496" customFormat="1" ht="12.75" x14ac:dyDescent="0.25">
      <c r="AK735" s="1828"/>
      <c r="AL735" s="1968">
        <f t="shared" si="687"/>
        <v>29</v>
      </c>
      <c r="AM735" s="1969" t="s">
        <v>1445</v>
      </c>
      <c r="AN735" s="1990">
        <f>IF(AN632=0,0,AN598/AN632)</f>
        <v>0</v>
      </c>
      <c r="AP735" s="1991">
        <f>IF(AP632=0,0,AP598/AP632)</f>
        <v>3.875</v>
      </c>
      <c r="AQ735" s="500"/>
      <c r="AS735" s="1991">
        <f>IF(AS632=0,0,AS598/AS632)</f>
        <v>3.875</v>
      </c>
      <c r="AT735" s="495"/>
      <c r="AU735" s="495"/>
      <c r="AV735" s="1991">
        <f>IF(AV632=0,0,AV598/AV632)</f>
        <v>3.875</v>
      </c>
      <c r="AX735" s="500"/>
      <c r="AY735" s="1991">
        <f>IF(AY632=0,0,AY598/AY632)</f>
        <v>3.875</v>
      </c>
      <c r="BA735" s="500"/>
      <c r="BB735" s="1991">
        <f>IF(BB632=0,0,BB598/BB632)</f>
        <v>3.875</v>
      </c>
      <c r="BD735" s="500"/>
      <c r="BE735" s="1991">
        <f t="shared" ref="BE735:BT735" si="688">IF(BE632=0,0,BE598/BE632)</f>
        <v>5.7225911111111092</v>
      </c>
      <c r="BF735" s="1991">
        <f t="shared" si="688"/>
        <v>7.3168666666666651</v>
      </c>
      <c r="BG735" s="1991">
        <f t="shared" si="688"/>
        <v>8.9049155555555544</v>
      </c>
      <c r="BH735" s="1991">
        <f t="shared" si="688"/>
        <v>10.472488888888886</v>
      </c>
      <c r="BI735" s="1991">
        <f t="shared" si="688"/>
        <v>12.025542222222219</v>
      </c>
      <c r="BJ735" s="1991">
        <f t="shared" si="688"/>
        <v>13.564075555555551</v>
      </c>
      <c r="BK735" s="1991">
        <f t="shared" si="688"/>
        <v>15.088088888888885</v>
      </c>
      <c r="BL735" s="1991">
        <f t="shared" si="688"/>
        <v>16.597582222222215</v>
      </c>
      <c r="BM735" s="1991">
        <f t="shared" si="688"/>
        <v>18.092555555555549</v>
      </c>
      <c r="BN735" s="1991">
        <f t="shared" si="688"/>
        <v>19.573008888888879</v>
      </c>
      <c r="BO735" s="1991">
        <f t="shared" si="688"/>
        <v>21.038942222222218</v>
      </c>
      <c r="BP735" s="1991">
        <f t="shared" si="688"/>
        <v>22.490355555555546</v>
      </c>
      <c r="BQ735" s="1991">
        <f t="shared" si="688"/>
        <v>23.927248888888883</v>
      </c>
      <c r="BR735" s="1991">
        <f t="shared" si="688"/>
        <v>25.349622222222212</v>
      </c>
      <c r="BS735" s="1991">
        <f t="shared" si="688"/>
        <v>26.757475555555551</v>
      </c>
      <c r="BT735" s="1991">
        <f t="shared" si="688"/>
        <v>28.150808888888879</v>
      </c>
      <c r="BU735" s="1830"/>
    </row>
    <row r="736" spans="37:73" s="496" customFormat="1" ht="12.75" x14ac:dyDescent="0.25">
      <c r="AK736" s="1828"/>
      <c r="AL736" s="1968">
        <f t="shared" si="687"/>
        <v>30</v>
      </c>
      <c r="AM736" s="1969" t="s">
        <v>1446</v>
      </c>
      <c r="AN736" s="1990">
        <f>IF(AN632=0,0,(AN598-AN593)/AN632)</f>
        <v>0</v>
      </c>
      <c r="AP736" s="1991">
        <f>IF(AP632=0,0,(AP598-AP593)/AP632)</f>
        <v>3.0625</v>
      </c>
      <c r="AQ736" s="500"/>
      <c r="AS736" s="1991">
        <f>IF(AS632=0,0,(AS598-AS593)/AS632)</f>
        <v>3.0625</v>
      </c>
      <c r="AT736" s="495"/>
      <c r="AU736" s="495"/>
      <c r="AV736" s="1991">
        <f>IF(AV632=0,0,(AV598-AV593)/AV632)</f>
        <v>3.0625</v>
      </c>
      <c r="AX736" s="500"/>
      <c r="AY736" s="1991">
        <f>IF(AY632=0,0,(AY598-AY593)/AY632)</f>
        <v>3.0625</v>
      </c>
      <c r="BA736" s="500"/>
      <c r="BB736" s="1991">
        <f>IF(BB632=0,0,(BB598-BB593)/BB632)</f>
        <v>3.0625</v>
      </c>
      <c r="BD736" s="500"/>
      <c r="BE736" s="1991">
        <f t="shared" ref="BE736:BT736" si="689">IF(BE632=0,0,(BE598-BE593)/BE632)</f>
        <v>4.8559244444444429</v>
      </c>
      <c r="BF736" s="1991">
        <f t="shared" si="689"/>
        <v>6.4501999999999979</v>
      </c>
      <c r="BG736" s="1991">
        <f t="shared" si="689"/>
        <v>8.0382488888888872</v>
      </c>
      <c r="BH736" s="1991">
        <f t="shared" si="689"/>
        <v>9.6058222222222192</v>
      </c>
      <c r="BI736" s="1991">
        <f t="shared" si="689"/>
        <v>11.158875555555554</v>
      </c>
      <c r="BJ736" s="1991">
        <f t="shared" si="689"/>
        <v>12.697408888888884</v>
      </c>
      <c r="BK736" s="1991">
        <f t="shared" si="689"/>
        <v>14.22142222222222</v>
      </c>
      <c r="BL736" s="1991">
        <f t="shared" si="689"/>
        <v>15.730915555555548</v>
      </c>
      <c r="BM736" s="1991">
        <f t="shared" si="689"/>
        <v>17.225888888888885</v>
      </c>
      <c r="BN736" s="1991">
        <f t="shared" si="689"/>
        <v>18.706342222222212</v>
      </c>
      <c r="BO736" s="1991">
        <f t="shared" si="689"/>
        <v>20.172275555555551</v>
      </c>
      <c r="BP736" s="1991">
        <f t="shared" si="689"/>
        <v>21.623688888888882</v>
      </c>
      <c r="BQ736" s="1991">
        <f t="shared" si="689"/>
        <v>23.060582222222216</v>
      </c>
      <c r="BR736" s="1991">
        <f t="shared" si="689"/>
        <v>24.482955555555549</v>
      </c>
      <c r="BS736" s="1991">
        <f t="shared" si="689"/>
        <v>25.890808888888884</v>
      </c>
      <c r="BT736" s="1991">
        <f t="shared" si="689"/>
        <v>27.284142222222215</v>
      </c>
      <c r="BU736" s="1830"/>
    </row>
    <row r="737" spans="37:73" s="496" customFormat="1" ht="12.75" x14ac:dyDescent="0.25">
      <c r="AK737" s="1828"/>
      <c r="AL737" s="1992">
        <f t="shared" si="687"/>
        <v>31</v>
      </c>
      <c r="AM737" s="1993" t="s">
        <v>1447</v>
      </c>
      <c r="AN737" s="1994">
        <f>IF(C155=0,0,C93/-C155)</f>
        <v>0</v>
      </c>
      <c r="AP737" s="1995">
        <f>IF(E155=0,0,E93/-E155)</f>
        <v>285</v>
      </c>
      <c r="AQ737" s="500"/>
      <c r="AS737" s="1995">
        <f>IF(H155=0,0,H93/-H155)</f>
        <v>285</v>
      </c>
      <c r="AT737" s="495"/>
      <c r="AU737" s="495"/>
      <c r="AV737" s="1995">
        <f>IF(K155=0,0,K93/-K155)</f>
        <v>285</v>
      </c>
      <c r="AX737" s="500"/>
      <c r="AY737" s="1995">
        <f>IF(N155=0,0,N93/-N155)</f>
        <v>285</v>
      </c>
      <c r="BA737" s="500"/>
      <c r="BB737" s="1995">
        <f>IF(Q155=0,0,Q93/-Q155)</f>
        <v>285</v>
      </c>
      <c r="BD737" s="500"/>
      <c r="BE737" s="1995">
        <f t="shared" ref="BE737:BT737" si="690">IF(T155=0,0,T93/-T155)</f>
        <v>376.73684210526307</v>
      </c>
      <c r="BF737" s="1995">
        <f t="shared" si="690"/>
        <v>399.49999999999994</v>
      </c>
      <c r="BG737" s="1995">
        <f t="shared" si="690"/>
        <v>902.99999999999977</v>
      </c>
      <c r="BH737" s="1995">
        <f t="shared" si="690"/>
        <v>907.12499999999989</v>
      </c>
      <c r="BI737" s="1995">
        <f t="shared" si="690"/>
        <v>911.24999999999977</v>
      </c>
      <c r="BJ737" s="1995">
        <f t="shared" si="690"/>
        <v>915.37499999999977</v>
      </c>
      <c r="BK737" s="1995">
        <f t="shared" si="690"/>
        <v>919.49999999999989</v>
      </c>
      <c r="BL737" s="1995">
        <f t="shared" si="690"/>
        <v>923.62499999999977</v>
      </c>
      <c r="BM737" s="1995">
        <f t="shared" si="690"/>
        <v>927.74999999999989</v>
      </c>
      <c r="BN737" s="1995">
        <f t="shared" si="690"/>
        <v>931.87499999999977</v>
      </c>
      <c r="BO737" s="1995">
        <f t="shared" si="690"/>
        <v>935.99999999999977</v>
      </c>
      <c r="BP737" s="1995">
        <f t="shared" si="690"/>
        <v>940.12499999999989</v>
      </c>
      <c r="BQ737" s="1995">
        <f t="shared" si="690"/>
        <v>944.24999999999977</v>
      </c>
      <c r="BR737" s="1995">
        <f t="shared" si="690"/>
        <v>948.37499999999977</v>
      </c>
      <c r="BS737" s="1995">
        <f t="shared" si="690"/>
        <v>952.49999999999977</v>
      </c>
      <c r="BT737" s="1995">
        <f t="shared" si="690"/>
        <v>956.62499999999977</v>
      </c>
      <c r="BU737" s="1830"/>
    </row>
    <row r="738" spans="37:73" s="496" customFormat="1" ht="12.75" x14ac:dyDescent="0.25">
      <c r="AK738" s="1828"/>
      <c r="AL738" s="1968">
        <f t="shared" si="687"/>
        <v>32</v>
      </c>
      <c r="AM738" s="1969" t="s">
        <v>1448</v>
      </c>
      <c r="AN738" s="1996" t="s">
        <v>1260</v>
      </c>
      <c r="AP738" s="1997">
        <f>IF(AP779&gt;=0,"N/A",AP767/-AP779)</f>
        <v>9.8275862068965516</v>
      </c>
      <c r="AQ738" s="500"/>
      <c r="AS738" s="1997" t="str">
        <f>IF(AS779&gt;=0,"N/A",AS767/-AS779)</f>
        <v>N/A</v>
      </c>
      <c r="AT738" s="495"/>
      <c r="AU738" s="495"/>
      <c r="AV738" s="1997" t="str">
        <f>IF(AV779&gt;=0,"N/A",AV767/-AV779)</f>
        <v>N/A</v>
      </c>
      <c r="AX738" s="500"/>
      <c r="AY738" s="1997" t="str">
        <f>IF(AY779&gt;=0,"N/A",AY767/-AY779)</f>
        <v>N/A</v>
      </c>
      <c r="BA738" s="500"/>
      <c r="BB738" s="1997" t="str">
        <f>IF(BB779&gt;=0,"N/A",BB767/-BB779)</f>
        <v>N/A</v>
      </c>
      <c r="BD738" s="500"/>
      <c r="BE738" s="1997">
        <f t="shared" ref="BE738:BT738" si="691">IF(BE779&gt;=0,"N/A",BE767/-BE779)</f>
        <v>4.0295957665897512E+16</v>
      </c>
      <c r="BF738" s="1997" t="str">
        <f t="shared" si="691"/>
        <v>N/A</v>
      </c>
      <c r="BG738" s="1997" t="str">
        <f t="shared" si="691"/>
        <v>N/A</v>
      </c>
      <c r="BH738" s="1997" t="str">
        <f t="shared" si="691"/>
        <v>N/A</v>
      </c>
      <c r="BI738" s="1997" t="str">
        <f t="shared" si="691"/>
        <v>N/A</v>
      </c>
      <c r="BJ738" s="1997" t="str">
        <f t="shared" si="691"/>
        <v>N/A</v>
      </c>
      <c r="BK738" s="1997" t="str">
        <f t="shared" si="691"/>
        <v>N/A</v>
      </c>
      <c r="BL738" s="1997" t="str">
        <f t="shared" si="691"/>
        <v>N/A</v>
      </c>
      <c r="BM738" s="1997" t="str">
        <f t="shared" si="691"/>
        <v>N/A</v>
      </c>
      <c r="BN738" s="1997" t="str">
        <f t="shared" si="691"/>
        <v>N/A</v>
      </c>
      <c r="BO738" s="1997" t="str">
        <f t="shared" si="691"/>
        <v>N/A</v>
      </c>
      <c r="BP738" s="1997" t="str">
        <f t="shared" si="691"/>
        <v>N/A</v>
      </c>
      <c r="BQ738" s="1997" t="str">
        <f t="shared" si="691"/>
        <v>N/A</v>
      </c>
      <c r="BR738" s="1997" t="str">
        <f t="shared" si="691"/>
        <v>N/A</v>
      </c>
      <c r="BS738" s="1997" t="str">
        <f t="shared" si="691"/>
        <v>N/A</v>
      </c>
      <c r="BT738" s="1997" t="str">
        <f t="shared" si="691"/>
        <v>N/A</v>
      </c>
      <c r="BU738" s="1830"/>
    </row>
    <row r="739" spans="37:73" s="496" customFormat="1" ht="12.75" x14ac:dyDescent="0.25">
      <c r="AK739" s="1828"/>
      <c r="AL739" s="1992">
        <f t="shared" si="687"/>
        <v>33</v>
      </c>
      <c r="AM739" s="1993" t="s">
        <v>1449</v>
      </c>
      <c r="AN739" s="1994" t="s">
        <v>1260</v>
      </c>
      <c r="AP739" s="1995">
        <f>IF(E156=0,0,E151/-E156)</f>
        <v>256</v>
      </c>
      <c r="AQ739" s="500"/>
      <c r="AS739" s="1995">
        <f>IF(H156=0,0,H151/-H156)</f>
        <v>4</v>
      </c>
      <c r="AT739" s="495"/>
      <c r="AU739" s="495"/>
      <c r="AV739" s="1995">
        <f>IF(K156=0,0,K151/-K156)</f>
        <v>4</v>
      </c>
      <c r="AX739" s="500"/>
      <c r="AY739" s="1995">
        <f>IF(N156=0,0,N151/-N156)</f>
        <v>4</v>
      </c>
      <c r="BA739" s="500"/>
      <c r="BB739" s="1995">
        <f>IF(Q156=0,0,Q151/-Q156)</f>
        <v>4</v>
      </c>
      <c r="BD739" s="500"/>
      <c r="BE739" s="1995">
        <f t="shared" ref="BE739:BT739" si="692">IF(T156=0,0,T151/-T156)</f>
        <v>55.710227272727238</v>
      </c>
      <c r="BF739" s="1995">
        <f t="shared" si="692"/>
        <v>137.79055555555556</v>
      </c>
      <c r="BG739" s="1995">
        <f t="shared" si="692"/>
        <v>314.06999999999988</v>
      </c>
      <c r="BH739" s="1995">
        <f t="shared" si="692"/>
        <v>317.3574999999999</v>
      </c>
      <c r="BI739" s="1995">
        <f t="shared" si="692"/>
        <v>321.48249999999985</v>
      </c>
      <c r="BJ739" s="1995">
        <f t="shared" si="692"/>
        <v>325.60749999999979</v>
      </c>
      <c r="BK739" s="1995">
        <f t="shared" si="692"/>
        <v>329.73250000000013</v>
      </c>
      <c r="BL739" s="1995">
        <f t="shared" si="692"/>
        <v>333.8574999999995</v>
      </c>
      <c r="BM739" s="1995">
        <f t="shared" si="692"/>
        <v>337.98250000000019</v>
      </c>
      <c r="BN739" s="1995">
        <f t="shared" si="692"/>
        <v>342.10749999999956</v>
      </c>
      <c r="BO739" s="1995">
        <f t="shared" si="692"/>
        <v>346.23250000000007</v>
      </c>
      <c r="BP739" s="1995">
        <f t="shared" si="692"/>
        <v>350.35749999999956</v>
      </c>
      <c r="BQ739" s="1995">
        <f t="shared" si="692"/>
        <v>354.48250000000007</v>
      </c>
      <c r="BR739" s="1995">
        <f t="shared" si="692"/>
        <v>358.60749999999945</v>
      </c>
      <c r="BS739" s="1995">
        <f t="shared" si="692"/>
        <v>362.73250000000013</v>
      </c>
      <c r="BT739" s="1995">
        <f t="shared" si="692"/>
        <v>366.8574999999995</v>
      </c>
      <c r="BU739" s="1830"/>
    </row>
    <row r="740" spans="37:73" s="496" customFormat="1" ht="12.75" x14ac:dyDescent="0.25">
      <c r="AK740" s="1828"/>
      <c r="AL740" s="1931">
        <v>34</v>
      </c>
      <c r="AM740" s="1974" t="s">
        <v>1450</v>
      </c>
      <c r="AN740" s="1998"/>
      <c r="AO740" s="1999"/>
      <c r="AP740" s="1971">
        <f>E138+E139+E150+E182+E186</f>
        <v>1750</v>
      </c>
      <c r="AQ740" s="500"/>
      <c r="AS740" s="1971">
        <f>H138+H139+H150+H182+H186</f>
        <v>2850</v>
      </c>
      <c r="AT740" s="495"/>
      <c r="AU740" s="495"/>
      <c r="AV740" s="1971">
        <f>K138+K139+K150+K182+K186</f>
        <v>2850</v>
      </c>
      <c r="AX740" s="500"/>
      <c r="AY740" s="1971">
        <f>N138+N139+N150+N182+N186</f>
        <v>2850</v>
      </c>
      <c r="BA740" s="500"/>
      <c r="BB740" s="1971">
        <f>Q138+Q139+Q150+Q182+Q186</f>
        <v>2850</v>
      </c>
      <c r="BD740" s="500"/>
      <c r="BE740" s="1971">
        <f t="shared" ref="BE740:BT740" si="693">T138+T139+T150+T182+T186</f>
        <v>2685</v>
      </c>
      <c r="BF740" s="1971">
        <f t="shared" si="693"/>
        <v>2698.2</v>
      </c>
      <c r="BG740" s="1971">
        <f t="shared" si="693"/>
        <v>2711.3999999999996</v>
      </c>
      <c r="BH740" s="1971">
        <f t="shared" si="693"/>
        <v>2724.6000000000004</v>
      </c>
      <c r="BI740" s="1971">
        <f t="shared" si="693"/>
        <v>2737.8</v>
      </c>
      <c r="BJ740" s="1971">
        <f t="shared" si="693"/>
        <v>2751</v>
      </c>
      <c r="BK740" s="1971">
        <f t="shared" si="693"/>
        <v>2764.2</v>
      </c>
      <c r="BL740" s="1971">
        <f t="shared" si="693"/>
        <v>2777.3999999999996</v>
      </c>
      <c r="BM740" s="1971">
        <f t="shared" si="693"/>
        <v>2790.6000000000004</v>
      </c>
      <c r="BN740" s="1971">
        <f t="shared" si="693"/>
        <v>2803.8</v>
      </c>
      <c r="BO740" s="1971">
        <f t="shared" si="693"/>
        <v>2817</v>
      </c>
      <c r="BP740" s="1971">
        <f t="shared" si="693"/>
        <v>2830.2000000000003</v>
      </c>
      <c r="BQ740" s="1971">
        <f t="shared" si="693"/>
        <v>2843.4</v>
      </c>
      <c r="BR740" s="1971">
        <f t="shared" si="693"/>
        <v>2856.6</v>
      </c>
      <c r="BS740" s="1971">
        <f t="shared" si="693"/>
        <v>2869.8</v>
      </c>
      <c r="BT740" s="1971">
        <f t="shared" si="693"/>
        <v>2883</v>
      </c>
      <c r="BU740" s="1830"/>
    </row>
    <row r="741" spans="37:73" s="496" customFormat="1" ht="12.75" x14ac:dyDescent="0.25">
      <c r="AK741" s="1828"/>
      <c r="AL741" s="603"/>
      <c r="AM741" s="1974" t="s">
        <v>922</v>
      </c>
      <c r="AN741" s="1994">
        <f>IF(C155=0,0,C93/(C76+C37))</f>
        <v>0</v>
      </c>
      <c r="AP741" s="1995">
        <f>IF(E155=0,0,E93/(E76+E37))</f>
        <v>142.5</v>
      </c>
      <c r="AQ741" s="500"/>
      <c r="AS741" s="1995">
        <f>IF(H155=0,0,H93/(H76+H37))</f>
        <v>142.5</v>
      </c>
      <c r="AT741" s="495"/>
      <c r="AU741" s="495"/>
      <c r="AV741" s="1995">
        <f>IF(K155=0,0,K93/(K76+K37))</f>
        <v>142.5</v>
      </c>
      <c r="AX741" s="500"/>
      <c r="AY741" s="1995">
        <f>IF(N155=0,0,N93/(N76+N37))</f>
        <v>142.5</v>
      </c>
      <c r="AZ741" s="2000"/>
      <c r="BA741" s="2000"/>
      <c r="BB741" s="1995">
        <f>IF(Q155=0,0,Q93/(Q76+Q37))</f>
        <v>142.5</v>
      </c>
      <c r="BE741" s="1995">
        <f t="shared" ref="BE741:BT741" si="694">IF(T155=0,0,T93/(T76+T37))</f>
        <v>376.73684210526307</v>
      </c>
      <c r="BF741" s="1995">
        <f t="shared" si="694"/>
        <v>399.49999999999994</v>
      </c>
      <c r="BG741" s="1995">
        <f t="shared" si="694"/>
        <v>902.99999999999977</v>
      </c>
      <c r="BH741" s="1995">
        <f t="shared" si="694"/>
        <v>907.12499999999989</v>
      </c>
      <c r="BI741" s="1995">
        <f t="shared" si="694"/>
        <v>911.24999999999977</v>
      </c>
      <c r="BJ741" s="1995">
        <f t="shared" si="694"/>
        <v>915.37499999999977</v>
      </c>
      <c r="BK741" s="1995">
        <f t="shared" si="694"/>
        <v>919.49999999999989</v>
      </c>
      <c r="BL741" s="1995">
        <f t="shared" si="694"/>
        <v>923.62499999999977</v>
      </c>
      <c r="BM741" s="1995">
        <f t="shared" si="694"/>
        <v>927.74999999999989</v>
      </c>
      <c r="BN741" s="1995">
        <f t="shared" si="694"/>
        <v>931.87499999999977</v>
      </c>
      <c r="BO741" s="1995">
        <f t="shared" si="694"/>
        <v>935.99999999999977</v>
      </c>
      <c r="BP741" s="1995">
        <f t="shared" si="694"/>
        <v>940.12499999999989</v>
      </c>
      <c r="BQ741" s="1995">
        <f t="shared" si="694"/>
        <v>944.24999999999977</v>
      </c>
      <c r="BR741" s="1995">
        <f t="shared" si="694"/>
        <v>948.37499999999977</v>
      </c>
      <c r="BS741" s="1995">
        <f t="shared" si="694"/>
        <v>952.49999999999977</v>
      </c>
      <c r="BT741" s="1995">
        <f t="shared" si="694"/>
        <v>956.62499999999977</v>
      </c>
      <c r="BU741" s="1830"/>
    </row>
    <row r="742" spans="37:73" s="496" customFormat="1" ht="12.75" x14ac:dyDescent="0.25">
      <c r="AK742" s="1828"/>
      <c r="AL742" s="507"/>
      <c r="AM742" s="2001" t="str">
        <f>IF(AND($B$617=$B$623,$B$617&lt;&gt;0),"DEUDA","DEUDA (INCLUYENDO CONTINGENTES FINANCIEROS)")</f>
        <v>DEUDA (INCLUYENDO CONTINGENTES FINANCIEROS)</v>
      </c>
      <c r="AN742" s="871"/>
      <c r="AP742" s="871"/>
      <c r="AQ742" s="871"/>
      <c r="AS742" s="871"/>
      <c r="AT742" s="495"/>
      <c r="AU742" s="495"/>
      <c r="AV742" s="871"/>
      <c r="AX742" s="500"/>
      <c r="AY742" s="871"/>
      <c r="BA742" s="500"/>
      <c r="BB742" s="871"/>
      <c r="BD742" s="500"/>
      <c r="BE742" s="871"/>
      <c r="BF742" s="871"/>
      <c r="BG742" s="871"/>
      <c r="BH742" s="871"/>
      <c r="BI742" s="871"/>
      <c r="BJ742" s="871"/>
      <c r="BK742" s="871"/>
      <c r="BL742" s="871"/>
      <c r="BM742" s="871"/>
      <c r="BN742" s="871"/>
      <c r="BO742" s="871"/>
      <c r="BQ742" s="630"/>
      <c r="BU742" s="1830"/>
    </row>
    <row r="743" spans="37:73" s="496" customFormat="1" ht="12.75" x14ac:dyDescent="0.25">
      <c r="AK743" s="1828"/>
      <c r="AL743" s="1964">
        <f>AL740+1</f>
        <v>35</v>
      </c>
      <c r="AM743" s="641" t="s">
        <v>1451</v>
      </c>
      <c r="AN743" s="2002">
        <f>IF(OR(AN713=0,AN584=0),0,(AN704+IF(AND($B$617=$B$623,$B$617&lt;&gt;0),0,AN657))/((AN713*360/AN584)+IF(AND($B$617=$B$623,$B$617&lt;&gt;0),0,AN657)))</f>
        <v>0</v>
      </c>
      <c r="AO743" s="2003"/>
      <c r="AP743" s="2004">
        <f>IF(OR(AP713=0,AP584=0),0,(AP704+IF(AND($B$617=$B$623,$B$617&lt;&gt;0),0,AP657))/((AP713*360/AP584)+IF(AND($B$617=$B$623,$B$617&lt;&gt;0),0,AP657)))</f>
        <v>1.3850415512465374E-2</v>
      </c>
      <c r="AQ743" s="2003"/>
      <c r="AR743" s="2003"/>
      <c r="AS743" s="2004">
        <f>IF(OR(AS713=0,AS584=0),0,(AS704+IF(AND($B$617=$B$623,$B$617&lt;&gt;0),0,AS657))/((AS713*360/AS584)+IF(AND($B$617=$B$623,$B$617&lt;&gt;0),0,AS657)))</f>
        <v>1.3850415512465374E-2</v>
      </c>
      <c r="AT743" s="2003"/>
      <c r="AU743" s="2003"/>
      <c r="AV743" s="2004">
        <f>IF(OR(AV713=0,AV584=0),0,(AV704+IF(AND($B$617=$B$623,$B$617&lt;&gt;0),0,AV657))/((AV713*360/AV584)+IF(AND($B$617=$B$623,$B$617&lt;&gt;0),0,AV657)))</f>
        <v>6.9252077562326868E-3</v>
      </c>
      <c r="AW743" s="2003"/>
      <c r="AX743" s="2003"/>
      <c r="AY743" s="2004">
        <f>IF(OR(AY713=0,AY584=0),0,(AY704+IF(AND($B$617=$B$623,$B$617&lt;&gt;0),0,AY657))/((AY713*360/AY584)+IF(AND($B$617=$B$623,$B$617&lt;&gt;0),0,AY657)))</f>
        <v>1.3850415512465374E-2</v>
      </c>
      <c r="AZ743" s="2003"/>
      <c r="BA743" s="2003"/>
      <c r="BB743" s="2004">
        <f>IF(OR(BB713=0,BB584=0),0,(BB704+IF(AND($B$617=$B$623,$B$617&lt;&gt;0),0,BB657))/((BB713*360/BB584)+IF(AND($B$617=$B$623,$B$617&lt;&gt;0),0,BB657)))</f>
        <v>6.9252077562326868E-3</v>
      </c>
      <c r="BC743" s="2003"/>
      <c r="BD743" s="2003"/>
      <c r="BE743" s="2004">
        <f t="shared" ref="BE743:BT743" si="695">IF(OR(BE713=0,BE584=0),0,(BE704+IF(AND($B$617=$B$623,$B$617&lt;&gt;0),0,BE657))/((BE713*360/BE584)+IF(AND($B$617=$B$623,$B$617&lt;&gt;0),0,BE657)))</f>
        <v>1.1080332409972299E-2</v>
      </c>
      <c r="BF743" s="2005">
        <f t="shared" si="695"/>
        <v>1.1080332409972299E-2</v>
      </c>
      <c r="BG743" s="2004">
        <f t="shared" si="695"/>
        <v>1.1080332409972299E-2</v>
      </c>
      <c r="BH743" s="2004">
        <f t="shared" si="695"/>
        <v>1.1080332409972299E-2</v>
      </c>
      <c r="BI743" s="2004">
        <f t="shared" si="695"/>
        <v>1.1080332409972299E-2</v>
      </c>
      <c r="BJ743" s="2004">
        <f t="shared" si="695"/>
        <v>1.1080332409972299E-2</v>
      </c>
      <c r="BK743" s="2004">
        <f t="shared" si="695"/>
        <v>1.1080332409972299E-2</v>
      </c>
      <c r="BL743" s="2004">
        <f t="shared" si="695"/>
        <v>1.1080332409972299E-2</v>
      </c>
      <c r="BM743" s="2004">
        <f t="shared" si="695"/>
        <v>1.1080332409972299E-2</v>
      </c>
      <c r="BN743" s="2004">
        <f t="shared" si="695"/>
        <v>1.1080332409972299E-2</v>
      </c>
      <c r="BO743" s="2004">
        <f t="shared" si="695"/>
        <v>1.1080332409972299E-2</v>
      </c>
      <c r="BP743" s="2004">
        <f t="shared" si="695"/>
        <v>1.1080332409972299E-2</v>
      </c>
      <c r="BQ743" s="2004">
        <f t="shared" si="695"/>
        <v>1.1080332409972299E-2</v>
      </c>
      <c r="BR743" s="2004">
        <f t="shared" si="695"/>
        <v>1.1080332409972299E-2</v>
      </c>
      <c r="BS743" s="2004">
        <f t="shared" si="695"/>
        <v>1.1080332409972299E-2</v>
      </c>
      <c r="BT743" s="2004">
        <f t="shared" si="695"/>
        <v>1.1080332409972299E-2</v>
      </c>
      <c r="BU743" s="1830"/>
    </row>
    <row r="744" spans="37:73" s="496" customFormat="1" ht="12.75" x14ac:dyDescent="0.25">
      <c r="AK744" s="1828"/>
      <c r="AL744" s="1968">
        <f t="shared" ref="AL744:AL752" si="696">AL743+1</f>
        <v>36</v>
      </c>
      <c r="AM744" s="2006" t="s">
        <v>1452</v>
      </c>
      <c r="AN744" s="2007">
        <f>IF(OR(AN683=0,AN584=0),0,(AN704+IF(AND($B$617=$B$623,$B$617&lt;&gt;0),0,AN657))/((AN683*360/AN584)+IF(AND($B$617=$B$623,$B$617&lt;&gt;0),0,AN657)))</f>
        <v>0</v>
      </c>
      <c r="AO744" s="2008"/>
      <c r="AP744" s="2009">
        <f>IF(OR(AP683=0,AP584=0),0,(AP704+IF(AND($B$617=$B$623,$B$617&lt;&gt;0),0,AP657))/((AP683*360/AP584)+IF(AND($B$617=$B$623,$B$617&lt;&gt;0),0,AP657)))</f>
        <v>1.7543859649122806E-2</v>
      </c>
      <c r="AQ744" s="2008"/>
      <c r="AR744" s="2008"/>
      <c r="AS744" s="2009">
        <f>IF(OR(AS683=0,AS584=0),0,(AS704+IF(AND($B$617=$B$623,$B$617&lt;&gt;0),0,AS657))/((AS683*360/AS584)+IF(AND($B$617=$B$623,$B$617&lt;&gt;0),0,AS657)))</f>
        <v>1.7543859649122806E-2</v>
      </c>
      <c r="AT744" s="2008"/>
      <c r="AU744" s="2008"/>
      <c r="AV744" s="2009">
        <f>IF(OR(AV683=0,AV584=0),0,(AV704+IF(AND($B$617=$B$623,$B$617&lt;&gt;0),0,AV657))/((AV683*360/AV584)+IF(AND($B$617=$B$623,$B$617&lt;&gt;0),0,AV657)))</f>
        <v>8.771929824561403E-3</v>
      </c>
      <c r="AW744" s="2008"/>
      <c r="AX744" s="2008"/>
      <c r="AY744" s="2009">
        <f>IF(OR(AY683=0,AY584=0),0,(AY704+IF(AND($B$617=$B$623,$B$617&lt;&gt;0),0,AY657))/((AY683*360/AY584)+IF(AND($B$617=$B$623,$B$617&lt;&gt;0),0,AY657)))</f>
        <v>1.7543859649122806E-2</v>
      </c>
      <c r="AZ744" s="2008"/>
      <c r="BA744" s="2008"/>
      <c r="BB744" s="2009">
        <f>IF(OR(BB683=0,BB584=0),0,(BB704+IF(AND($B$617=$B$623,$B$617&lt;&gt;0),0,BB657))/((BB683*360/BB584)+IF(AND($B$617=$B$623,$B$617&lt;&gt;0),0,BB657)))</f>
        <v>8.771929824561403E-3</v>
      </c>
      <c r="BC744" s="2010"/>
      <c r="BD744" s="2008"/>
      <c r="BE744" s="2009">
        <f t="shared" ref="BE744:BT744" si="697">IF(OR(BE683=0,BE584=0),0,(BE704+IF(AND($B$617=$B$623,$B$617&lt;&gt;0),0,BE657))/((BE683*360/BE584)+IF(AND($B$617=$B$623,$B$617&lt;&gt;0),0,BE657)))</f>
        <v>1.3970382788488405E-2</v>
      </c>
      <c r="BF744" s="2011">
        <f t="shared" si="697"/>
        <v>1.3906271728549576E-2</v>
      </c>
      <c r="BG744" s="2009">
        <f t="shared" si="697"/>
        <v>1.3842746400885937E-2</v>
      </c>
      <c r="BH744" s="2009">
        <f t="shared" si="697"/>
        <v>1.3779798814937301E-2</v>
      </c>
      <c r="BI744" s="2009">
        <f t="shared" si="697"/>
        <v>1.3717421124828532E-2</v>
      </c>
      <c r="BJ744" s="2009">
        <f t="shared" si="697"/>
        <v>1.365560562610952E-2</v>
      </c>
      <c r="BK744" s="2009">
        <f t="shared" si="697"/>
        <v>1.3594344752582924E-2</v>
      </c>
      <c r="BL744" s="2009">
        <f t="shared" si="697"/>
        <v>1.3533631073216944E-2</v>
      </c>
      <c r="BM744" s="2009">
        <f t="shared" si="697"/>
        <v>1.3473457289140393E-2</v>
      </c>
      <c r="BN744" s="2009">
        <f t="shared" si="697"/>
        <v>1.341381623071764E-2</v>
      </c>
      <c r="BO744" s="2009">
        <f t="shared" si="697"/>
        <v>1.3354700854700856E-2</v>
      </c>
      <c r="BP744" s="2009">
        <f t="shared" si="697"/>
        <v>1.3296104241457253E-2</v>
      </c>
      <c r="BQ744" s="2009">
        <f t="shared" si="697"/>
        <v>1.3238019592268996E-2</v>
      </c>
      <c r="BR744" s="2009">
        <f t="shared" si="697"/>
        <v>1.3180440226703571E-2</v>
      </c>
      <c r="BS744" s="2009">
        <f t="shared" si="697"/>
        <v>1.3123359580052493E-2</v>
      </c>
      <c r="BT744" s="2009">
        <f t="shared" si="697"/>
        <v>1.3066771200836274E-2</v>
      </c>
      <c r="BU744" s="1830"/>
    </row>
    <row r="745" spans="37:73" s="496" customFormat="1" ht="12.75" x14ac:dyDescent="0.25">
      <c r="AK745" s="1828"/>
      <c r="AL745" s="1968">
        <f t="shared" si="696"/>
        <v>37</v>
      </c>
      <c r="AM745" s="2006" t="s">
        <v>1453</v>
      </c>
      <c r="AN745" s="2007">
        <f>IF(AN655=0,0,((AN619+AN620+AN621+AN622+AN633+AN634+AN635)+IF(AND($B$617=$B$623,$B$617&lt;&gt;0),0,AN657))/(AN683+IF(AND($B$617=$B$623,$B$617&lt;&gt;0),0,AN657)))</f>
        <v>0</v>
      </c>
      <c r="AO745" s="2008"/>
      <c r="AP745" s="2009">
        <f>IF(AP655=0,0,((AP619+AP620+AP621+AP622+AP633+AP634+AP635)+IF(AND($B$617=$B$623,$B$617&lt;&gt;0),0,AP657))/(AP683))</f>
        <v>1.7543859649122806E-2</v>
      </c>
      <c r="AQ745" s="2008"/>
      <c r="AR745" s="2008"/>
      <c r="AS745" s="2009">
        <f>IF(AS655=0,0,((AS619+AS620+AS621+AS622+AS633+AS634+AS635)+IF(AND($B$617=$B$623,$B$617&lt;&gt;0),0,AS657))/(AS683))</f>
        <v>1.7543859649122806E-2</v>
      </c>
      <c r="AT745" s="2008"/>
      <c r="AU745" s="2008"/>
      <c r="AV745" s="2009">
        <f>IF(AV655=0,0,((AV619+AV620+AV621+AV622+AV633+AV634+AV635)+IF(AND($B$617=$B$623,$B$617&lt;&gt;0),0,AV657))/(AV683/AW745*12))</f>
        <v>8.771929824561403E-3</v>
      </c>
      <c r="AW745" s="2012">
        <f>IF(AV697=30,1,IF(AV697=60,2,IF(AV697=90,3,IF(AV697=120,4,IF(AV697=150,5,IF(AV697=180,6,IF(AV697=210,7,IF(AV697=240,8,IF(AV697=270,9,IF(AV697=300,10,IF(AV697=330,11,IF(AV697=360,12))))))))))))</f>
        <v>6</v>
      </c>
      <c r="AX745" s="2008"/>
      <c r="AY745" s="2009">
        <f>IF(AY655=0,0,((AY619+AY620+AY621+AY622+AY633+AY634+AY635)+IF(AND($B$617=$B$623,$B$617&lt;&gt;0),0,AY657))/(AY683))</f>
        <v>1.7543859649122806E-2</v>
      </c>
      <c r="AZ745" s="2008"/>
      <c r="BA745" s="2008"/>
      <c r="BB745" s="2009">
        <f>IF(BB655=0,0,((BB619+BB620+BB621+BB622+BB633+BB634+BB635)+IF(AND($B$617=$B$623,$B$617&lt;&gt;0),0,BB657))/(BB683/BC745*12))</f>
        <v>8.771929824561403E-3</v>
      </c>
      <c r="BC745" s="2012">
        <f>IF(BB697=30,1,IF(BB697=60,2,IF(BB697=90,3,IF(BB697=120,4,IF(BB697=150,5,IF(BB697=180,6,IF(BB697=210,7,IF(BB697=240,8,IF(BB697=270,9,IF(BB697=300,10,IF(BB697=330,11,IF(BB697=360,12))))))))))))</f>
        <v>6</v>
      </c>
      <c r="BD745" s="2008"/>
      <c r="BE745" s="2009">
        <f t="shared" ref="BE745:BT745" si="698">IF(BE655=0,0,((BE619+BE620+BE621+BE622+BE633+BE634+BE635)+IF(AND($B$617=$B$623,$B$617&lt;&gt;0),0,BE657))/(BE683))</f>
        <v>1.3970382788488405E-2</v>
      </c>
      <c r="BF745" s="2011">
        <f t="shared" si="698"/>
        <v>1.3906271728549576E-2</v>
      </c>
      <c r="BG745" s="2009">
        <f t="shared" si="698"/>
        <v>1.3842746400885937E-2</v>
      </c>
      <c r="BH745" s="2009">
        <f t="shared" si="698"/>
        <v>1.3779798814937301E-2</v>
      </c>
      <c r="BI745" s="2009">
        <f t="shared" si="698"/>
        <v>1.3717421124828532E-2</v>
      </c>
      <c r="BJ745" s="2009">
        <f t="shared" si="698"/>
        <v>1.365560562610952E-2</v>
      </c>
      <c r="BK745" s="2009">
        <f t="shared" si="698"/>
        <v>1.3594344752582924E-2</v>
      </c>
      <c r="BL745" s="2009">
        <f t="shared" si="698"/>
        <v>1.3533631073216944E-2</v>
      </c>
      <c r="BM745" s="2009">
        <f t="shared" si="698"/>
        <v>1.3473457289140393E-2</v>
      </c>
      <c r="BN745" s="2009">
        <f t="shared" si="698"/>
        <v>1.341381623071764E-2</v>
      </c>
      <c r="BO745" s="2009">
        <f t="shared" si="698"/>
        <v>1.3354700854700856E-2</v>
      </c>
      <c r="BP745" s="2009">
        <f t="shared" si="698"/>
        <v>1.3296104241457253E-2</v>
      </c>
      <c r="BQ745" s="2009">
        <f t="shared" si="698"/>
        <v>1.3238019592268996E-2</v>
      </c>
      <c r="BR745" s="2009">
        <f t="shared" si="698"/>
        <v>1.3180440226703572E-2</v>
      </c>
      <c r="BS745" s="2009">
        <f t="shared" si="698"/>
        <v>1.3123359580052493E-2</v>
      </c>
      <c r="BT745" s="2009">
        <f t="shared" si="698"/>
        <v>1.3066771200836274E-2</v>
      </c>
      <c r="BU745" s="1830"/>
    </row>
    <row r="746" spans="37:73" s="496" customFormat="1" ht="12.75" x14ac:dyDescent="0.25">
      <c r="AK746" s="1828"/>
      <c r="AL746" s="1968">
        <f t="shared" si="696"/>
        <v>38</v>
      </c>
      <c r="AM746" s="2006" t="s">
        <v>1454</v>
      </c>
      <c r="AN746" s="2013"/>
      <c r="AO746" s="2008"/>
      <c r="AP746" s="2009">
        <f>IF(OR(AP683=0,AP584=0),0,((AP704-AP586)+IF(AND($B$617=$B$623,$B$617&lt;&gt;0),0,AP657))/((AP683*360/AP584)+IF(AND($B$617=$B$623,$B$617&lt;&gt;0),0,AP657)))</f>
        <v>-0.11929824561403508</v>
      </c>
      <c r="AQ746" s="2008"/>
      <c r="AR746" s="2008"/>
      <c r="AS746" s="2009">
        <f>IF(OR(AS683=0,AS584=0),0,((AS704-AS586)+IF(AND($B$617=$B$623,$B$617&lt;&gt;0),0,AS657))/((AS683*360/AS584)+IF(AND($B$617=$B$623,$B$617&lt;&gt;0),0,AS657)))</f>
        <v>-0.11929824561403508</v>
      </c>
      <c r="AT746" s="2008"/>
      <c r="AU746" s="2008"/>
      <c r="AV746" s="2009">
        <f>IF(OR(AV683=0,AV584=0),0,((AV704-AV586)+IF(AND($B$617=$B$623,$B$617&lt;&gt;0),0,AV657))/((AV683*360/AV584)+IF(AND($B$617=$B$623,$B$617&lt;&gt;0),0,AV657)))</f>
        <v>-5.9649122807017542E-2</v>
      </c>
      <c r="AW746" s="2014"/>
      <c r="AX746" s="2008"/>
      <c r="AY746" s="2009">
        <f>IF(OR(AY683=0,AY584=0),0,((AY704-AY586)+IF(AND($B$617=$B$623,$B$617&lt;&gt;0),0,AY657))/((AY683*360/AY584)+IF(AND($B$617=$B$623,$B$617&lt;&gt;0),0,AY657)))</f>
        <v>-0.11929824561403508</v>
      </c>
      <c r="AZ746" s="2008"/>
      <c r="BA746" s="2008"/>
      <c r="BB746" s="2009">
        <f>IF(OR(BB683=0,BB584=0),0,((BB704-BB586)+IF(AND($B$617=$B$623,$B$617&lt;&gt;0),0,BB657))/((BB683*360/BB584)+IF(AND($B$617=$B$623,$B$617&lt;&gt;0),0,BB657)))</f>
        <v>-5.9649122807017542E-2</v>
      </c>
      <c r="BC746" s="2014"/>
      <c r="BD746" s="2008"/>
      <c r="BE746" s="2009">
        <f t="shared" ref="BE746:BT746" si="699">IF(OR(BE683=0,BE584=0),0,((BE704-BE586)+IF(AND($B$617=$B$623,$B$617&lt;&gt;0),0,BE657))/((BE683*360/BE584)+IF(AND($B$617=$B$623,$B$617&lt;&gt;0),0,BE657)))</f>
        <v>-0.37201941883207579</v>
      </c>
      <c r="BF746" s="2011">
        <f t="shared" si="699"/>
        <v>-0.61972952301487938</v>
      </c>
      <c r="BG746" s="2009">
        <f t="shared" si="699"/>
        <v>-0.86420681063122895</v>
      </c>
      <c r="BH746" s="2009">
        <f t="shared" si="699"/>
        <v>-1.1032864820173622</v>
      </c>
      <c r="BI746" s="2009">
        <f t="shared" si="699"/>
        <v>-1.3379609053497938</v>
      </c>
      <c r="BJ746" s="2009">
        <f t="shared" si="699"/>
        <v>-1.5682896353953293</v>
      </c>
      <c r="BK746" s="2009">
        <f t="shared" si="699"/>
        <v>-1.7943311582381725</v>
      </c>
      <c r="BL746" s="2009">
        <f t="shared" si="699"/>
        <v>-2.0161429151441319</v>
      </c>
      <c r="BM746" s="2009">
        <f t="shared" si="699"/>
        <v>-2.2337813257881964</v>
      </c>
      <c r="BN746" s="2009">
        <f t="shared" si="699"/>
        <v>-2.4473018108651901</v>
      </c>
      <c r="BO746" s="2009">
        <f t="shared" si="699"/>
        <v>-2.6567588141025635</v>
      </c>
      <c r="BP746" s="2009">
        <f t="shared" si="699"/>
        <v>-2.8622058236936563</v>
      </c>
      <c r="BQ746" s="2009">
        <f t="shared" si="699"/>
        <v>-3.0636953931691808</v>
      </c>
      <c r="BR746" s="2009">
        <f t="shared" si="699"/>
        <v>-3.261279161724</v>
      </c>
      <c r="BS746" s="2009">
        <f t="shared" si="699"/>
        <v>-3.4550078740157475</v>
      </c>
      <c r="BT746" s="2009">
        <f t="shared" si="699"/>
        <v>-3.6449313994511945</v>
      </c>
      <c r="BU746" s="1830"/>
    </row>
    <row r="747" spans="37:73" s="496" customFormat="1" ht="12.75" x14ac:dyDescent="0.25">
      <c r="AK747" s="1828"/>
      <c r="AL747" s="1968">
        <f t="shared" si="696"/>
        <v>39</v>
      </c>
      <c r="AM747" s="2006" t="s">
        <v>1432</v>
      </c>
      <c r="AN747" s="2013">
        <f>IF(AN660=0,0,(AN683/AN660))</f>
        <v>0</v>
      </c>
      <c r="AO747" s="2008"/>
      <c r="AP747" s="2015">
        <f>IF(AP660=0,0,(AP683/AP660))</f>
        <v>0.78947368421052633</v>
      </c>
      <c r="AQ747" s="2008"/>
      <c r="AR747" s="2008"/>
      <c r="AS747" s="2015">
        <f>IF(AS660=0,0,(AS683/AS660))</f>
        <v>0.78947368421052633</v>
      </c>
      <c r="AT747" s="2008"/>
      <c r="AU747" s="2008"/>
      <c r="AV747" s="2015">
        <f>IF(AV660=0,0,(AV683/AV660))</f>
        <v>0.78947368421052633</v>
      </c>
      <c r="AW747" s="2008"/>
      <c r="AX747" s="2008"/>
      <c r="AY747" s="2015">
        <f>IF(AY660=0,0,(AY683/AY660))</f>
        <v>0.78947368421052633</v>
      </c>
      <c r="AZ747" s="2008"/>
      <c r="BA747" s="2008"/>
      <c r="BB747" s="2015">
        <f>IF(BB660=0,0,(BB683/BB660))</f>
        <v>0.78947368421052633</v>
      </c>
      <c r="BC747" s="2008"/>
      <c r="BD747" s="2008"/>
      <c r="BE747" s="2009">
        <f t="shared" ref="BE747:BT747" si="700">IF(BE660=0,0,(BE683/BE660))</f>
        <v>0.79313019390581707</v>
      </c>
      <c r="BF747" s="2011">
        <f t="shared" si="700"/>
        <v>0.79678670360110804</v>
      </c>
      <c r="BG747" s="2009">
        <f t="shared" si="700"/>
        <v>0.80044321329639889</v>
      </c>
      <c r="BH747" s="2009">
        <f t="shared" si="700"/>
        <v>0.80409972299168975</v>
      </c>
      <c r="BI747" s="2009">
        <f t="shared" si="700"/>
        <v>0.8077562326869806</v>
      </c>
      <c r="BJ747" s="2009">
        <f t="shared" si="700"/>
        <v>0.81141274238227146</v>
      </c>
      <c r="BK747" s="2009">
        <f t="shared" si="700"/>
        <v>0.81506925207756231</v>
      </c>
      <c r="BL747" s="2009">
        <f t="shared" si="700"/>
        <v>0.81872576177285317</v>
      </c>
      <c r="BM747" s="2009">
        <f t="shared" si="700"/>
        <v>0.82238227146814413</v>
      </c>
      <c r="BN747" s="2009">
        <f t="shared" si="700"/>
        <v>0.82603878116343488</v>
      </c>
      <c r="BO747" s="2009">
        <f t="shared" si="700"/>
        <v>0.82969529085872573</v>
      </c>
      <c r="BP747" s="2009">
        <f t="shared" si="700"/>
        <v>0.8333518005540167</v>
      </c>
      <c r="BQ747" s="2009">
        <f t="shared" si="700"/>
        <v>0.83700831024930744</v>
      </c>
      <c r="BR747" s="2009">
        <f t="shared" si="700"/>
        <v>0.8406648199445983</v>
      </c>
      <c r="BS747" s="2009">
        <f t="shared" si="700"/>
        <v>0.84432132963988915</v>
      </c>
      <c r="BT747" s="2009">
        <f t="shared" si="700"/>
        <v>0.84797783933518001</v>
      </c>
      <c r="BU747" s="1830"/>
    </row>
    <row r="748" spans="37:73" s="496" customFormat="1" ht="12.75" x14ac:dyDescent="0.25">
      <c r="AK748" s="1828"/>
      <c r="AL748" s="1968">
        <f t="shared" si="696"/>
        <v>40</v>
      </c>
      <c r="AM748" s="1969" t="s">
        <v>1455</v>
      </c>
      <c r="AN748" s="2007">
        <f>IF(AN710=0,0,(AN646+IF(AND($B$617=$B$623,$B$617&lt;&gt;0),0,AN657))/AN710)</f>
        <v>0</v>
      </c>
      <c r="AP748" s="2009">
        <f>IF(AP710=0,0,(AP646+IF(AND($B$617=$B$623,$B$617&lt;&gt;0),0,AP657))/AP710)</f>
        <v>0.35227272727272729</v>
      </c>
      <c r="AQ748" s="871"/>
      <c r="AS748" s="2009">
        <f>IF(AS710=0,0,(AS646+IF(AND($B$617=$B$623,$B$617&lt;&gt;0),0,AS657))/AS710)</f>
        <v>0.35227272727272729</v>
      </c>
      <c r="AT748" s="495"/>
      <c r="AU748" s="495"/>
      <c r="AV748" s="2009">
        <f>IF(AV710=0,0,(AV646+IF(AND($B$617=$B$623,$B$617&lt;&gt;0),0,AV657))/AV710)</f>
        <v>0.35227272727272729</v>
      </c>
      <c r="AX748" s="500"/>
      <c r="AY748" s="2009">
        <f>IF(AY710=0,0,(AY646+IF(AND($B$617=$B$623,$B$617&lt;&gt;0),0,AY657))/AY710)</f>
        <v>0.35227272727272729</v>
      </c>
      <c r="BA748" s="500"/>
      <c r="BB748" s="2009">
        <f>IF(BB710=0,0,(BB646+IF(AND($B$617=$B$623,$B$617&lt;&gt;0),0,BB657))/BB710)</f>
        <v>0.35227272727272729</v>
      </c>
      <c r="BD748" s="500"/>
      <c r="BE748" s="2009">
        <f t="shared" ref="BE748:BT748" si="701">IF(BE710=0,0,(BE646+IF(AND($B$617=$B$623,$B$617&lt;&gt;0),0,BE657))/BE710)</f>
        <v>0.25772473877356644</v>
      </c>
      <c r="BF748" s="2009">
        <f t="shared" si="701"/>
        <v>0.20452661869480004</v>
      </c>
      <c r="BG748" s="2009">
        <f t="shared" si="701"/>
        <v>0.16941611839682263</v>
      </c>
      <c r="BH748" s="2009">
        <f t="shared" si="701"/>
        <v>0.14465499783017502</v>
      </c>
      <c r="BI748" s="2009">
        <f t="shared" si="701"/>
        <v>0.12620886139852588</v>
      </c>
      <c r="BJ748" s="2009">
        <f t="shared" si="701"/>
        <v>0.11193510489292678</v>
      </c>
      <c r="BK748" s="2009">
        <f t="shared" si="701"/>
        <v>0.10056192253409049</v>
      </c>
      <c r="BL748" s="2009">
        <f t="shared" si="701"/>
        <v>9.1286722068446E-2</v>
      </c>
      <c r="BM748" s="2009">
        <f t="shared" si="701"/>
        <v>8.3578010988691526E-2</v>
      </c>
      <c r="BN748" s="2009">
        <f t="shared" si="701"/>
        <v>7.7069844714315494E-2</v>
      </c>
      <c r="BO748" s="2009">
        <f t="shared" si="701"/>
        <v>7.1502027548798586E-2</v>
      </c>
      <c r="BP748" s="2009">
        <f t="shared" si="701"/>
        <v>6.6684487854435315E-2</v>
      </c>
      <c r="BQ748" s="2009">
        <f t="shared" si="701"/>
        <v>6.2475145757231364E-2</v>
      </c>
      <c r="BR748" s="2009">
        <f t="shared" si="701"/>
        <v>5.8765665521162039E-2</v>
      </c>
      <c r="BS748" s="2009">
        <f t="shared" si="701"/>
        <v>5.5471999181908607E-2</v>
      </c>
      <c r="BT748" s="2009">
        <f t="shared" si="701"/>
        <v>5.2527941439110305E-2</v>
      </c>
      <c r="BU748" s="1830"/>
    </row>
    <row r="749" spans="37:73" s="496" customFormat="1" ht="12.75" x14ac:dyDescent="0.25">
      <c r="AK749" s="1828"/>
      <c r="AL749" s="1968">
        <f t="shared" si="696"/>
        <v>41</v>
      </c>
      <c r="AM749" s="1969" t="s">
        <v>1456</v>
      </c>
      <c r="AN749" s="2007">
        <f>IF(AN710=0,0,(AN704+IF(AND($B$617=$B$623,$B$617&lt;&gt;0),0,AN657))/AN710)</f>
        <v>0</v>
      </c>
      <c r="AP749" s="2009">
        <f>IF(AP710=0,0,(AP704+IF(AND($B$617=$B$623,$B$617&lt;&gt;0),0,AP657))/AP710)</f>
        <v>1.893939393939394E-2</v>
      </c>
      <c r="AQ749" s="871"/>
      <c r="AS749" s="2009">
        <f>IF(AS710=0,0,(AS704+IF(AND($B$617=$B$623,$B$617&lt;&gt;0),0,AS657))/AS710)</f>
        <v>1.893939393939394E-2</v>
      </c>
      <c r="AT749" s="495"/>
      <c r="AU749" s="495"/>
      <c r="AV749" s="2009">
        <f>IF(AV710=0,0,(AV704+IF(AND($B$617=$B$623,$B$617&lt;&gt;0),0,AV657))/AV710)</f>
        <v>1.893939393939394E-2</v>
      </c>
      <c r="AX749" s="500"/>
      <c r="AY749" s="2009">
        <f>IF(AY710=0,0,(AY704+IF(AND($B$617=$B$623,$B$617&lt;&gt;0),0,AY657))/AY710)</f>
        <v>1.893939393939394E-2</v>
      </c>
      <c r="BA749" s="500"/>
      <c r="BB749" s="2009">
        <f>IF(BB710=0,0,(BB704+IF(AND($B$617=$B$623,$B$617&lt;&gt;0),0,BB657))/BB710)</f>
        <v>1.893939393939394E-2</v>
      </c>
      <c r="BD749" s="500"/>
      <c r="BE749" s="2009">
        <f t="shared" ref="BE749:BT749" si="702">IF(BE710=0,0,(BE704+IF(AND($B$617=$B$623,$B$617&lt;&gt;0),0,BE657))/BE710)</f>
        <v>1.1205423424937671E-2</v>
      </c>
      <c r="BF749" s="2009">
        <f t="shared" si="702"/>
        <v>8.8924616823826113E-3</v>
      </c>
      <c r="BG749" s="2009">
        <f t="shared" si="702"/>
        <v>7.3659181911662017E-3</v>
      </c>
      <c r="BH749" s="2009">
        <f t="shared" si="702"/>
        <v>6.2893477317467403E-3</v>
      </c>
      <c r="BI749" s="2009">
        <f t="shared" si="702"/>
        <v>5.4873417999359081E-3</v>
      </c>
      <c r="BJ749" s="2009">
        <f t="shared" si="702"/>
        <v>4.8667436909968168E-3</v>
      </c>
      <c r="BK749" s="2009">
        <f t="shared" si="702"/>
        <v>4.3722575014821952E-3</v>
      </c>
      <c r="BL749" s="2009">
        <f t="shared" si="702"/>
        <v>3.9689879160193916E-3</v>
      </c>
      <c r="BM749" s="2009">
        <f t="shared" si="702"/>
        <v>3.6338265647257186E-3</v>
      </c>
      <c r="BN749" s="2009">
        <f t="shared" si="702"/>
        <v>3.3508628136658912E-3</v>
      </c>
      <c r="BO749" s="2009">
        <f t="shared" si="702"/>
        <v>3.1087838064695035E-3</v>
      </c>
      <c r="BP749" s="2009">
        <f t="shared" si="702"/>
        <v>2.8993255588884918E-3</v>
      </c>
      <c r="BQ749" s="2009">
        <f t="shared" si="702"/>
        <v>2.716310685097016E-3</v>
      </c>
      <c r="BR749" s="2009">
        <f t="shared" si="702"/>
        <v>2.5550289357026972E-3</v>
      </c>
      <c r="BS749" s="2009">
        <f t="shared" si="702"/>
        <v>2.4118260513873307E-3</v>
      </c>
      <c r="BT749" s="2009">
        <f t="shared" si="702"/>
        <v>2.2838235408308826E-3</v>
      </c>
      <c r="BU749" s="1830"/>
    </row>
    <row r="750" spans="37:73" s="496" customFormat="1" ht="12.75" x14ac:dyDescent="0.25">
      <c r="AK750" s="1828"/>
      <c r="AL750" s="1968">
        <f t="shared" si="696"/>
        <v>42</v>
      </c>
      <c r="AM750" s="2016" t="str">
        <f>IF(AND(B617=B623,B617&lt;&gt;0),"ENDEUDAMIENTO CON VALORIZACIONES, SIN ANTICIPOS RECIBIDOS","ENDEUDAMIENTO CON VALORIZACIONES")</f>
        <v>ENDEUDAMIENTO CON VALORIZACIONES</v>
      </c>
      <c r="AN750" s="2017">
        <f>IF(AN617=0,0,(AN646+IF(AND($B$617=$B$623,$B$617&lt;&gt;0),0,AN657))/(AN617+IF(AND($B$617=$B$623,$B$617&lt;&gt;0),0,AN657)))</f>
        <v>0</v>
      </c>
      <c r="AO750" s="1999"/>
      <c r="AP750" s="2018">
        <f>IF(AP617=0,0,(AP646+IF(AND($B$617=$B$623,$B$617&lt;&gt;0),0,AP657))/(AP617+IF(AND($B$617=$B$623,$B$617&lt;&gt;0),0,AP657)))</f>
        <v>0.23484848484848486</v>
      </c>
      <c r="AQ750" s="1999"/>
      <c r="AR750" s="1999"/>
      <c r="AS750" s="2018">
        <f>IF(AS617=0,0,(AS646+IF(AND($B$617=$B$623,$B$617&lt;&gt;0),0,AS657))/(AS617+IF(AND($B$617=$B$623,$B$617&lt;&gt;0),0,AS657)))</f>
        <v>0.23484848484848486</v>
      </c>
      <c r="AT750" s="1999"/>
      <c r="AU750" s="1999"/>
      <c r="AV750" s="2018">
        <f>IF(AV617=0,0,(AV646+IF(AND($B$617=$B$623,$B$617&lt;&gt;0),0,AV657))/(AV617+IF(AND($B$617=$B$623,$B$617&lt;&gt;0),0,AV657)))</f>
        <v>0.23484848484848486</v>
      </c>
      <c r="AW750" s="1999"/>
      <c r="AX750" s="1999"/>
      <c r="AY750" s="2018">
        <f>IF(AY617=0,0,(AY646+IF(AND($B$617=$B$623,$B$617&lt;&gt;0),0,AY657))/(AY617+IF(AND($B$617=$B$623,$B$617&lt;&gt;0),0,AY657)))</f>
        <v>0.23484848484848486</v>
      </c>
      <c r="AZ750" s="1999"/>
      <c r="BA750" s="1999"/>
      <c r="BB750" s="2018">
        <f>IF(BB617=0,0,(BB646+IF(AND($B$617=$B$623,$B$617&lt;&gt;0),0,BB657))/(BB617+IF(AND($B$617=$B$623,$B$617&lt;&gt;0),0,BB657)))</f>
        <v>0.23484848484848486</v>
      </c>
      <c r="BC750" s="1999"/>
      <c r="BD750" s="1999"/>
      <c r="BE750" s="2018">
        <f t="shared" ref="BE750:BT750" si="703">IF(BE617=0,0,(BE646+IF(AND($B$617=$B$623,$B$617&lt;&gt;0),0,BE657))/(BE617+IF(AND($B$617=$B$623,$B$617&lt;&gt;0),0,BE657)))</f>
        <v>0.1885361805028998</v>
      </c>
      <c r="BF750" s="2019">
        <f t="shared" si="703"/>
        <v>0.15839696759335781</v>
      </c>
      <c r="BG750" s="2018">
        <f t="shared" si="703"/>
        <v>0.13649009200619072</v>
      </c>
      <c r="BH750" s="2018">
        <f t="shared" si="703"/>
        <v>0.11994847430755833</v>
      </c>
      <c r="BI750" s="2018">
        <f t="shared" si="703"/>
        <v>0.10698291436343306</v>
      </c>
      <c r="BJ750" s="2018">
        <f t="shared" si="703"/>
        <v>9.6546895345684072E-2</v>
      </c>
      <c r="BK750" s="2018">
        <f t="shared" si="703"/>
        <v>8.7965951822195576E-2</v>
      </c>
      <c r="BL750" s="2018">
        <f t="shared" si="703"/>
        <v>8.0785828339247107E-2</v>
      </c>
      <c r="BM750" s="2018">
        <f t="shared" si="703"/>
        <v>7.4689389560371772E-2</v>
      </c>
      <c r="BN750" s="2018">
        <f t="shared" si="703"/>
        <v>6.9448512382669789E-2</v>
      </c>
      <c r="BO750" s="2018">
        <f t="shared" si="703"/>
        <v>6.4894904113546911E-2</v>
      </c>
      <c r="BP750" s="2018">
        <f t="shared" si="703"/>
        <v>6.090169460289184E-2</v>
      </c>
      <c r="BQ750" s="2018">
        <f t="shared" si="703"/>
        <v>5.7371430623971695E-2</v>
      </c>
      <c r="BR750" s="2018">
        <f t="shared" si="703"/>
        <v>5.4228017022881887E-2</v>
      </c>
      <c r="BS750" s="2018">
        <f t="shared" si="703"/>
        <v>5.1411169545990211E-2</v>
      </c>
      <c r="BT750" s="2018">
        <f t="shared" si="703"/>
        <v>4.8872511167368821E-2</v>
      </c>
      <c r="BU750" s="1830"/>
    </row>
    <row r="751" spans="37:73" s="496" customFormat="1" ht="12.75" x14ac:dyDescent="0.25">
      <c r="AK751" s="1828"/>
      <c r="AL751" s="1968">
        <f t="shared" si="696"/>
        <v>43</v>
      </c>
      <c r="AM751" s="2016" t="str">
        <f>IF(AND(B617=B623,B617&lt;&gt;0),"ENDEUDAMIENTO SIN VALORIZACIONES, SIN ANTICIPOS RECIBIDOS","ENDEUDAMIENTO SIN VALORIZACIONES")</f>
        <v>ENDEUDAMIENTO SIN VALORIZACIONES</v>
      </c>
      <c r="AN751" s="2017">
        <f>IF(AN616=0,0,(AN646+IF(AND($B$617=$B$623,$B$617&lt;&gt;0),0,AN657)-IF(AND($B$617=$B$623,$B$617&lt;&gt;0),'Estados Financieros'!C256,0))/(AN616-IF(AND($B$617=$B$623,$B$617&lt;&gt;0),'Estados Financieros'!C256,0)+IF(AND($B$617=$B$623,$B$617&lt;&gt;0),0,AN657)))</f>
        <v>0</v>
      </c>
      <c r="AO751" s="1999"/>
      <c r="AP751" s="2018">
        <f>IF(AP616=0,0,(AP646+IF(AND($B$617=$B$623,$B$617&lt;&gt;0),0,AP657)-IF(AND($B$617=$B$623,$B$617&lt;&gt;0),'Estados Financieros'!E256,0))/(AP616-IF(AND($B$617=$B$623,$B$617&lt;&gt;0),'Estados Financieros'!E256,0)+IF(AND($B$617=$B$623,$B$617&lt;&gt;0),0,AP657)))</f>
        <v>0.24031007751937986</v>
      </c>
      <c r="AQ751" s="1999"/>
      <c r="AR751" s="1999"/>
      <c r="AS751" s="2018">
        <f>IF(AS616=0,0,(AS646+IF(AND($B$617=$B$623,$B$617&lt;&gt;0),0,AS657)-IF(AND($B$617=$B$623,$B$617&lt;&gt;0),'Estados Financieros'!H256,0))/(AS616-IF(AND($B$617=$B$623,$B$617&lt;&gt;0),'Estados Financieros'!H256,0)+IF(AND($B$617=$B$623,$B$617&lt;&gt;0),0,AS657)))</f>
        <v>0.24031007751937986</v>
      </c>
      <c r="AT751" s="1999"/>
      <c r="AU751" s="1999"/>
      <c r="AV751" s="2018">
        <f>IF(AV616=0,0,(AV646+IF(AND($B$617=$B$623,$B$617&lt;&gt;0),0,AV657)-IF(AND($B$617=$B$623,$B$617&lt;&gt;0),'Estados Financieros'!K256,0))/(AV616-IF(AND($B$617=$B$623,$B$617&lt;&gt;0),'Estados Financieros'!K256,0)+IF(AND($B$617=$B$623,$B$617&lt;&gt;0),0,AV657)))</f>
        <v>0.24031007751937986</v>
      </c>
      <c r="AW751" s="1999"/>
      <c r="AX751" s="1999"/>
      <c r="AY751" s="2018">
        <f>IF(AY616=0,0,(AY646+IF(AND($B$617=$B$623,$B$617&lt;&gt;0),0,AY657)-IF(AND($B$617=$B$623,$B$617&lt;&gt;0),'Estados Financieros'!N256,0))/(AY616-IF(AND($B$617=$B$623,$B$617&lt;&gt;0),'Estados Financieros'!N256,0)+IF(AND($B$617=$B$623,$B$617&lt;&gt;0),0,AY657)))</f>
        <v>0.24031007751937986</v>
      </c>
      <c r="AZ751" s="1999"/>
      <c r="BA751" s="1999"/>
      <c r="BB751" s="2018">
        <f>IF(BB616=0,0,(BB646+IF(AND($B$617=$B$623,$B$617&lt;&gt;0),0,BB657)-IF(AND($B$617=$B$623,$B$617&lt;&gt;0),'Estados Financieros'!R256,0))/(BB616-IF(AND($B$617=$B$623,$B$617&lt;&gt;0),'Estados Financieros'!R256,0)+IF(AND($B$617=$B$623,$B$617&lt;&gt;0),0,BB657)))</f>
        <v>0.24031007751937986</v>
      </c>
      <c r="BC751" s="1999"/>
      <c r="BD751" s="1999"/>
      <c r="BE751" s="2018">
        <f>IF(BE616=0,0,(BE646+IF(AND($B$617=$B$623,$B$617&lt;&gt;0),0,BE657)-IF(AND($B$617=$B$623,$B$617&lt;&gt;0),'Estados Financieros'!U256,0))/(BE616-IF(AND($B$617=$B$623,$B$617&lt;&gt;0),'Estados Financieros'!U256,0)+IF(AND($B$617=$B$623,$B$617&lt;&gt;0),0,BE657)))</f>
        <v>0.19207883583522981</v>
      </c>
      <c r="BF751" s="2019">
        <f>IF(BF616=0,0,(BF646+IF(AND($B$617=$B$623,$B$617&lt;&gt;0),0,BF657)-IF(AND($B$617=$B$623,$B$617&lt;&gt;0),'Estados Financieros'!V256,0))/(BF616-IF(AND($B$617=$B$623,$B$617&lt;&gt;0),'Estados Financieros'!V256,0)+IF(AND($B$617=$B$623,$B$617&lt;&gt;0),0,BF657)))</f>
        <v>0.16089001558534588</v>
      </c>
      <c r="BG751" s="2018">
        <f>IF(BG616=0,0,(BG646+IF(AND($B$617=$B$623,$B$617&lt;&gt;0),0,BG657)-IF(AND($B$617=$B$623,$B$617&lt;&gt;0),'Estados Financieros'!W256,0))/(BG616-IF(AND($B$617=$B$623,$B$617&lt;&gt;0),'Estados Financieros'!W256,0)+IF(AND($B$617=$B$623,$B$617&lt;&gt;0),0,BG657)))</f>
        <v>0.13833721078500955</v>
      </c>
      <c r="BH751" s="2018">
        <f>IF(BH616=0,0,(BH646+IF(AND($B$617=$B$623,$B$617&lt;&gt;0),0,BH657)-IF(AND($B$617=$B$623,$B$617&lt;&gt;0),'Estados Financieros'!X256,0))/(BH616-IF(AND($B$617=$B$623,$B$617&lt;&gt;0),'Estados Financieros'!X256,0)+IF(AND($B$617=$B$623,$B$617&lt;&gt;0),0,BH657)))</f>
        <v>0.12137267215130425</v>
      </c>
      <c r="BI751" s="2018">
        <f>IF(BI616=0,0,(BI646+IF(AND($B$617=$B$623,$B$617&lt;&gt;0),0,BI657)-IF(AND($B$617=$B$623,$B$617&lt;&gt;0),'Estados Financieros'!Y256,0))/(BI616-IF(AND($B$617=$B$623,$B$617&lt;&gt;0),'Estados Financieros'!Y256,0)+IF(AND($B$617=$B$623,$B$617&lt;&gt;0),0,BI657)))</f>
        <v>0.10811440948849664</v>
      </c>
      <c r="BJ751" s="2018">
        <f>IF(BJ616=0,0,(BJ646+IF(AND($B$617=$B$623,$B$617&lt;&gt;0),0,BJ657)-IF(AND($B$617=$B$623,$B$617&lt;&gt;0),'Estados Financieros'!Z256,0))/(BJ616-IF(AND($B$617=$B$623,$B$617&lt;&gt;0),'Estados Financieros'!Z256,0)+IF(AND($B$617=$B$623,$B$617&lt;&gt;0),0,BJ657)))</f>
        <v>9.7467456463829844E-2</v>
      </c>
      <c r="BK751" s="2018">
        <f>IF(BK616=0,0,(BK646+IF(AND($B$617=$B$623,$B$617&lt;&gt;0),0,BK657)-IF(AND($B$617=$B$623,$B$617&lt;&gt;0),'Estados Financieros'!AA256,0))/(BK616-IF(AND($B$617=$B$623,$B$617&lt;&gt;0),'Estados Financieros'!AA256,0)+IF(AND($B$617=$B$623,$B$617&lt;&gt;0),0,BK657)))</f>
        <v>8.8729501556238308E-2</v>
      </c>
      <c r="BL751" s="2018">
        <f>IF(BL616=0,0,(BL646+IF(AND($B$617=$B$623,$B$617&lt;&gt;0),0,BL657)-IF(AND($B$617=$B$623,$B$617&lt;&gt;0),'Estados Financieros'!AB256,0))/(BL616-IF(AND($B$617=$B$623,$B$617&lt;&gt;0),'Estados Financieros'!AB256,0)+IF(AND($B$617=$B$623,$B$617&lt;&gt;0),0,BL657)))</f>
        <v>8.1429361445109205E-2</v>
      </c>
      <c r="BM751" s="2018">
        <f>IF(BM616=0,0,(BM646+IF(AND($B$617=$B$623,$B$617&lt;&gt;0),0,BM657)-IF(AND($B$617=$B$623,$B$617&lt;&gt;0),'Estados Financieros'!AC256,0))/(BM616-IF(AND($B$617=$B$623,$B$617&lt;&gt;0),'Estados Financieros'!AC256,0)+IF(AND($B$617=$B$623,$B$617&lt;&gt;0),0,BM657)))</f>
        <v>7.5239129581408742E-2</v>
      </c>
      <c r="BN751" s="2018">
        <f>IF(BN616=0,0,(BN646+IF(AND($B$617=$B$623,$B$617&lt;&gt;0),0,BN657)-IF(AND($B$617=$B$623,$B$617&lt;&gt;0),'Estados Financieros'!AD256,0))/(BN616-IF(AND($B$617=$B$623,$B$617&lt;&gt;0),'Estados Financieros'!AD256,0)+IF(AND($B$617=$B$623,$B$617&lt;&gt;0),0,BN657)))</f>
        <v>6.9923564423620091E-2</v>
      </c>
      <c r="BO751" s="2018">
        <f>IF(BO616=0,0,(BO646+IF(AND($B$617=$B$623,$B$617&lt;&gt;0),0,BO657)-IF(AND($B$617=$B$623,$B$617&lt;&gt;0),'Estados Financieros'!AE256,0))/(BO616-IF(AND($B$617=$B$623,$B$617&lt;&gt;0),'Estados Financieros'!AE256,0)+IF(AND($B$617=$B$623,$B$617&lt;&gt;0),0,BO657)))</f>
        <v>6.5309515994016534E-2</v>
      </c>
      <c r="BP751" s="2018">
        <f>IF(BP616=0,0,(BP646+IF(AND($B$617=$B$623,$B$617&lt;&gt;0),0,BP657)-IF(AND($B$617=$B$623,$B$617&lt;&gt;0),'Estados Financieros'!AF256,0))/(BP616-IF(AND($B$617=$B$623,$B$617&lt;&gt;0),'Estados Financieros'!AF256,0)+IF(AND($B$617=$B$623,$B$617&lt;&gt;0),0,BP657)))</f>
        <v>6.126670783079096E-2</v>
      </c>
      <c r="BQ751" s="2018">
        <f>IF(BQ616=0,0,(BQ646+IF(AND($B$617=$B$623,$B$617&lt;&gt;0),0,BQ657)-IF(AND($B$617=$B$623,$B$617&lt;&gt;0),'Estados Financieros'!AG256,0))/(BQ616-IF(AND($B$617=$B$623,$B$617&lt;&gt;0),'Estados Financieros'!AG256,0)+IF(AND($B$617=$B$623,$B$617&lt;&gt;0),0,BQ657)))</f>
        <v>5.7695240694510236E-2</v>
      </c>
      <c r="BR751" s="2018">
        <f>IF(BR616=0,0,(BR646+IF(AND($B$617=$B$623,$B$617&lt;&gt;0),0,BR657)-IF(AND($B$617=$B$623,$B$617&lt;&gt;0),'Estados Financieros'!AH256,0))/(BR616-IF(AND($B$617=$B$623,$B$617&lt;&gt;0),'Estados Financieros'!AH256,0)+IF(AND($B$617=$B$623,$B$617&lt;&gt;0),0,BR657)))</f>
        <v>5.4517226258340559E-2</v>
      </c>
      <c r="BS751" s="2018">
        <f>IF(BS616=0,0,(BS646+IF(AND($B$617=$B$623,$B$617&lt;&gt;0),0,BS657)-IF(AND($B$617=$B$623,$B$617&lt;&gt;0),'Estados Financieros'!AI256,0))/(BS616-IF(AND($B$617=$B$623,$B$617&lt;&gt;0),'Estados Financieros'!AI256,0)+IF(AND($B$617=$B$623,$B$617&lt;&gt;0),0,BS657)))</f>
        <v>5.1671041481512116E-2</v>
      </c>
      <c r="BT751" s="2018">
        <f>IF(BT616=0,0,(BT646+IF(AND($B$617=$B$623,$B$617&lt;&gt;0),0,BT657)-IF(AND($B$617=$B$623,$B$617&lt;&gt;0),'Estados Financieros'!AJ256,0))/(BT616-IF(AND($B$617=$B$623,$B$617&lt;&gt;0),'Estados Financieros'!AJ256,0)+IF(AND($B$617=$B$623,$B$617&lt;&gt;0),0,BT657)))</f>
        <v>4.9107293457926381E-2</v>
      </c>
      <c r="BU751" s="1830"/>
    </row>
    <row r="752" spans="37:73" s="496" customFormat="1" ht="12.75" x14ac:dyDescent="0.25">
      <c r="AK752" s="1828"/>
      <c r="AL752" s="1968">
        <f t="shared" si="696"/>
        <v>44</v>
      </c>
      <c r="AM752" s="658" t="s">
        <v>1457</v>
      </c>
      <c r="AN752" s="1998"/>
      <c r="AO752" s="1999"/>
      <c r="AP752" s="2020">
        <f>IF(OR(AP683=0,AP584=0),0,AP704/(AP709+AP615))</f>
        <v>1.6025641025641024E-2</v>
      </c>
      <c r="AQ752" s="1999"/>
      <c r="AR752" s="1999"/>
      <c r="AS752" s="2020">
        <f>IF(OR(AS683=0,AS584=0),0,AS704/(AS709+AS615))</f>
        <v>1.6025641025641024E-2</v>
      </c>
      <c r="AT752" s="1999"/>
      <c r="AU752" s="1999"/>
      <c r="AV752" s="2020">
        <f>IF(OR(AV683=0,AV584=0),0,AV704/(AV709+AV615))</f>
        <v>1.6025641025641024E-2</v>
      </c>
      <c r="AW752" s="1999"/>
      <c r="AX752" s="1999"/>
      <c r="AY752" s="2020">
        <f>IF(OR(AY683=0,AY584=0),0,AY704/(AY709+AY615))</f>
        <v>1.6025641025641024E-2</v>
      </c>
      <c r="AZ752" s="1999"/>
      <c r="BA752" s="1999"/>
      <c r="BB752" s="2020">
        <f>IF(OR(BB683=0,BB584=0),0,BB704/(BB709+BB615))</f>
        <v>1.6025641025641024E-2</v>
      </c>
      <c r="BC752" s="1999"/>
      <c r="BD752" s="1999"/>
      <c r="BE752" s="2021">
        <f t="shared" ref="BE752:BT752" si="704">IF(OR(BE683=0,BE584=0),0,BE704/BE709)</f>
        <v>1.0101775387024271E-2</v>
      </c>
      <c r="BF752" s="2021">
        <f t="shared" si="704"/>
        <v>8.182984629081673E-3</v>
      </c>
      <c r="BG752" s="2021">
        <f t="shared" si="704"/>
        <v>6.8723610133708656E-3</v>
      </c>
      <c r="BH752" s="2021">
        <f t="shared" si="704"/>
        <v>5.9259610427321047E-3</v>
      </c>
      <c r="BI752" s="2021">
        <f t="shared" si="704"/>
        <v>5.2086697265865088E-3</v>
      </c>
      <c r="BJ752" s="2021">
        <f t="shared" si="704"/>
        <v>4.6462744777355175E-3</v>
      </c>
      <c r="BK752" s="2021">
        <f t="shared" si="704"/>
        <v>4.1934910309613825E-3</v>
      </c>
      <c r="BL752" s="2021">
        <f t="shared" si="704"/>
        <v>3.8211196339061706E-3</v>
      </c>
      <c r="BM752" s="2021">
        <f t="shared" si="704"/>
        <v>3.5094861410392289E-3</v>
      </c>
      <c r="BN752" s="2021">
        <f t="shared" si="704"/>
        <v>3.2448505843651423E-3</v>
      </c>
      <c r="BO752" s="2021">
        <f t="shared" si="704"/>
        <v>3.0173266968238411E-3</v>
      </c>
      <c r="BP752" s="2021">
        <f t="shared" si="704"/>
        <v>2.819619362664518E-3</v>
      </c>
      <c r="BQ752" s="2021">
        <f t="shared" si="704"/>
        <v>2.6462279079663103E-3</v>
      </c>
      <c r="BR752" s="2021">
        <f t="shared" si="704"/>
        <v>2.4929263215625664E-3</v>
      </c>
      <c r="BS752" s="2021">
        <f t="shared" si="704"/>
        <v>2.3564142538555649E-3</v>
      </c>
      <c r="BT752" s="2021">
        <f t="shared" si="704"/>
        <v>2.2340767298121011E-3</v>
      </c>
      <c r="BU752" s="1830"/>
    </row>
    <row r="753" spans="37:73" s="496" customFormat="1" ht="12.75" x14ac:dyDescent="0.25">
      <c r="AK753" s="1828"/>
      <c r="AL753" s="507"/>
      <c r="AM753" s="507"/>
      <c r="AN753" s="625"/>
      <c r="AP753" s="625"/>
      <c r="AS753" s="625"/>
      <c r="AT753" s="495"/>
      <c r="AU753" s="495"/>
      <c r="AV753" s="625"/>
      <c r="AX753" s="500"/>
      <c r="AY753" s="625"/>
      <c r="BA753" s="500"/>
      <c r="BB753" s="625"/>
      <c r="BD753" s="500"/>
      <c r="BE753" s="625"/>
      <c r="BF753" s="625"/>
      <c r="BG753" s="627"/>
      <c r="BH753" s="627"/>
      <c r="BI753" s="627"/>
      <c r="BJ753" s="627"/>
      <c r="BK753" s="627"/>
      <c r="BL753" s="627"/>
      <c r="BM753" s="627"/>
      <c r="BN753" s="627"/>
      <c r="BO753" s="627"/>
      <c r="BU753" s="1830"/>
    </row>
    <row r="754" spans="37:73" s="496" customFormat="1" ht="12.75" x14ac:dyDescent="0.25">
      <c r="AK754" s="1828"/>
      <c r="AL754" s="507"/>
      <c r="AM754" s="1978" t="s">
        <v>531</v>
      </c>
      <c r="AN754" s="871"/>
      <c r="AP754" s="871"/>
      <c r="AQ754" s="871"/>
      <c r="AS754" s="871"/>
      <c r="AT754" s="495"/>
      <c r="AU754" s="495"/>
      <c r="AV754" s="871"/>
      <c r="AX754" s="500"/>
      <c r="AY754" s="871"/>
      <c r="BA754" s="500"/>
      <c r="BB754" s="871"/>
      <c r="BD754" s="500"/>
      <c r="BE754" s="871"/>
      <c r="BF754" s="871"/>
      <c r="BG754" s="871"/>
      <c r="BH754" s="871"/>
      <c r="BI754" s="871"/>
      <c r="BJ754" s="871"/>
      <c r="BK754" s="871"/>
      <c r="BL754" s="871"/>
      <c r="BM754" s="871"/>
      <c r="BN754" s="871"/>
      <c r="BO754" s="871"/>
      <c r="BQ754" s="630"/>
      <c r="BU754" s="1830"/>
    </row>
    <row r="755" spans="37:73" s="496" customFormat="1" ht="12.75" x14ac:dyDescent="0.25">
      <c r="AK755" s="1828"/>
      <c r="AL755" s="1964">
        <f>AL752+1</f>
        <v>45</v>
      </c>
      <c r="AM755" s="641" t="s">
        <v>1458</v>
      </c>
      <c r="AN755" s="2022"/>
      <c r="AO755" s="2003"/>
      <c r="AP755" s="2023">
        <f>IF(OR($AP$679=0,$AP$617=0),0,$AP$679/$AS$617)</f>
        <v>0.70959595959595956</v>
      </c>
      <c r="AQ755" s="2003"/>
      <c r="AR755" s="2003"/>
      <c r="AS755" s="2023">
        <f>IF(OR($AS$679=0,$AS$617=0),0,$AS$679/$AS$617)</f>
        <v>0.70959595959595956</v>
      </c>
      <c r="AT755" s="2003"/>
      <c r="AU755" s="2003"/>
      <c r="AV755" s="2023">
        <f>IF(OR($AV$679=0,$AV$617=0),0,($AV$679*(12/$AW$757))/$AV$617)</f>
        <v>1.4191919191919191</v>
      </c>
      <c r="AW755" s="2003"/>
      <c r="AX755" s="2003"/>
      <c r="AY755" s="2023">
        <f>IF(OR($AY$679=0,$AY$617=0),0,$AY$679/$AY$617)</f>
        <v>0.70959595959595956</v>
      </c>
      <c r="AZ755" s="2003"/>
      <c r="BA755" s="2003"/>
      <c r="BB755" s="2023">
        <f>IF(OR($BB$679=0,$BB$617=0),0,($BB$679*(12/$BC$757))/$BB$617)</f>
        <v>1.4191919191919191</v>
      </c>
      <c r="BC755" s="2003"/>
      <c r="BD755" s="2003"/>
      <c r="BE755" s="2004">
        <f t="shared" ref="BE755:BT755" si="705">IF(OR(BE724=0,BE595=0),0,(BE715+IF(AND($B$617=$B$623,$B$617&lt;&gt;0),0,BE668))/((BE724*360/BE595)+IF(AND($B$617=$B$623,$B$617&lt;&gt;0),0,BE668)))</f>
        <v>0</v>
      </c>
      <c r="BF755" s="2005">
        <f t="shared" si="705"/>
        <v>0</v>
      </c>
      <c r="BG755" s="2004">
        <f t="shared" si="705"/>
        <v>0</v>
      </c>
      <c r="BH755" s="2004">
        <f t="shared" si="705"/>
        <v>0</v>
      </c>
      <c r="BI755" s="2004">
        <f t="shared" si="705"/>
        <v>0</v>
      </c>
      <c r="BJ755" s="2004">
        <f t="shared" si="705"/>
        <v>0</v>
      </c>
      <c r="BK755" s="2004">
        <f t="shared" si="705"/>
        <v>0</v>
      </c>
      <c r="BL755" s="2004">
        <f t="shared" si="705"/>
        <v>0</v>
      </c>
      <c r="BM755" s="2004">
        <f t="shared" si="705"/>
        <v>0</v>
      </c>
      <c r="BN755" s="2004">
        <f t="shared" si="705"/>
        <v>0</v>
      </c>
      <c r="BO755" s="2004">
        <f t="shared" si="705"/>
        <v>0</v>
      </c>
      <c r="BP755" s="2004">
        <f t="shared" si="705"/>
        <v>0</v>
      </c>
      <c r="BQ755" s="2004">
        <f t="shared" si="705"/>
        <v>0</v>
      </c>
      <c r="BR755" s="2004">
        <f t="shared" si="705"/>
        <v>0</v>
      </c>
      <c r="BS755" s="2004">
        <f t="shared" si="705"/>
        <v>0</v>
      </c>
      <c r="BT755" s="2004">
        <f t="shared" si="705"/>
        <v>0</v>
      </c>
      <c r="BU755" s="1830"/>
    </row>
    <row r="756" spans="37:73" s="496" customFormat="1" ht="12.75" x14ac:dyDescent="0.25">
      <c r="AK756" s="1828"/>
      <c r="AL756" s="1968">
        <f>AL755+1</f>
        <v>46</v>
      </c>
      <c r="AM756" s="2006" t="s">
        <v>1459</v>
      </c>
      <c r="AN756" s="2013"/>
      <c r="AO756" s="2008"/>
      <c r="AP756" s="2024">
        <f>IF(OR($AP$679=0,$AP$616=0),0,$AP$679/$AP$616)</f>
        <v>0.72609819121447028</v>
      </c>
      <c r="AQ756" s="2008"/>
      <c r="AR756" s="2008"/>
      <c r="AS756" s="2024">
        <f>IF(OR($AS$679=0,$AS$616=0),0,$AS$679/$AS$616)</f>
        <v>0.72609819121447028</v>
      </c>
      <c r="AT756" s="2008"/>
      <c r="AU756" s="2008"/>
      <c r="AV756" s="2024">
        <f>IF(OR($AV$679=0,$AV$616=0),0,($AV$679*(12/$AW$757))/$AV$616)</f>
        <v>1.4521963824289406</v>
      </c>
      <c r="AW756" s="2008"/>
      <c r="AX756" s="2008"/>
      <c r="AY756" s="2024">
        <f>IF(OR($AY$679=0,$AY$616=0),0,$AY$679/$AY$616)</f>
        <v>0.72609819121447028</v>
      </c>
      <c r="AZ756" s="2008"/>
      <c r="BA756" s="2008"/>
      <c r="BB756" s="2024">
        <f>IF(OR($BB$679=0,$BB$616=0),0,($BB$679*(12/$BC$757))/$BB$616)</f>
        <v>1.4521963824289406</v>
      </c>
      <c r="BC756" s="2010"/>
      <c r="BD756" s="2008"/>
      <c r="BE756" s="2009">
        <f t="shared" ref="BE756:BT756" si="706">IF(OR(BE694=0,BE595=0),0,(BE715+IF(AND($B$617=$B$623,$B$617&lt;&gt;0),0,BE668))/((BE694*360/BE595)+IF(AND($B$617=$B$623,$B$617&lt;&gt;0),0,BE668)))</f>
        <v>0</v>
      </c>
      <c r="BF756" s="2011">
        <f t="shared" si="706"/>
        <v>0</v>
      </c>
      <c r="BG756" s="2009">
        <f t="shared" si="706"/>
        <v>0</v>
      </c>
      <c r="BH756" s="2009">
        <f t="shared" si="706"/>
        <v>0</v>
      </c>
      <c r="BI756" s="2009">
        <f t="shared" si="706"/>
        <v>0</v>
      </c>
      <c r="BJ756" s="2009">
        <f t="shared" si="706"/>
        <v>0</v>
      </c>
      <c r="BK756" s="2009">
        <f t="shared" si="706"/>
        <v>0</v>
      </c>
      <c r="BL756" s="2009">
        <f t="shared" si="706"/>
        <v>0</v>
      </c>
      <c r="BM756" s="2009">
        <f t="shared" si="706"/>
        <v>0</v>
      </c>
      <c r="BN756" s="2009">
        <f t="shared" si="706"/>
        <v>0</v>
      </c>
      <c r="BO756" s="2009">
        <f t="shared" si="706"/>
        <v>0</v>
      </c>
      <c r="BP756" s="2009">
        <f t="shared" si="706"/>
        <v>0</v>
      </c>
      <c r="BQ756" s="2009">
        <f t="shared" si="706"/>
        <v>0</v>
      </c>
      <c r="BR756" s="2009">
        <f t="shared" si="706"/>
        <v>0</v>
      </c>
      <c r="BS756" s="2009">
        <f t="shared" si="706"/>
        <v>0</v>
      </c>
      <c r="BT756" s="2009">
        <f t="shared" si="706"/>
        <v>0</v>
      </c>
      <c r="BU756" s="1830"/>
    </row>
    <row r="757" spans="37:73" s="496" customFormat="1" ht="12.75" x14ac:dyDescent="0.25">
      <c r="AK757" s="1828"/>
      <c r="AL757" s="1968">
        <f>AL756+1</f>
        <v>47</v>
      </c>
      <c r="AM757" s="2006" t="s">
        <v>1460</v>
      </c>
      <c r="AN757" s="2013"/>
      <c r="AO757" s="2008"/>
      <c r="AP757" s="1980">
        <f>IF(OR($AP$679=0,$AP$655=0),0,$AP$679/($AP$655+$AP$615))</f>
        <v>0.90064102564102566</v>
      </c>
      <c r="AQ757" s="2008"/>
      <c r="AR757" s="2008"/>
      <c r="AS757" s="1980">
        <f>IF(OR($AS$679=0,$AS$655=0),0,$AS$679/($AS$655+AS615))</f>
        <v>0.90064102564102566</v>
      </c>
      <c r="AT757" s="2008"/>
      <c r="AU757" s="2008"/>
      <c r="AV757" s="2024">
        <f>IF(OR($AV$679=0,$AV$655=0),0,($AV$679*(12/$AW$757))/($AV$655+AV615))</f>
        <v>1.8012820512820513</v>
      </c>
      <c r="AW757" s="2012">
        <f>IF(AV697=30,1,IF(AV697=60,2,IF(AV697=90,3,IF(AV697=120,4,IF(AV697=150,5,IF(AV697=180,6,IF(AV697=210,7,IF(AV697=240,8,IF(AV697=270,9,IF(AV697=300,10,IF(AV697=330,11,IF(AV697=360,12))))))))))))</f>
        <v>6</v>
      </c>
      <c r="AX757" s="2008"/>
      <c r="AY757" s="1980">
        <f>IF(OR($AY$679=0,$AY$655=0),0,$AY$679/($AY$655+AY615))</f>
        <v>0.90064102564102566</v>
      </c>
      <c r="AZ757" s="2008"/>
      <c r="BA757" s="2008"/>
      <c r="BB757" s="2024">
        <f>IF(OR($BB$679=0,$BB$655=0),0,($BB$679*(12/$BC$757))/($BB$655+BB615))</f>
        <v>1.8012820512820513</v>
      </c>
      <c r="BC757" s="2012">
        <f>IF(BB697=30,1,IF(BB697=60,2,IF(BB697=90,3,IF(BB697=120,4,IF(BB697=150,5,IF(BB697=180,6,IF(BB697=210,7,IF(BB697=240,8,IF(BB697=270,9,IF(BB697=300,10,IF(BB697=330,11,IF(BB697=360,12))))))))))))</f>
        <v>6</v>
      </c>
      <c r="BD757" s="2008"/>
      <c r="BE757" s="2009">
        <f t="shared" ref="BE757:BT757" si="707">IF(BE666=0,0,((BE630+BE631+BE632+BE633+BE644+BE645+BE646)+IF(AND($B$617=$B$623,$B$617&lt;&gt;0),0,BE668))/(BE694))</f>
        <v>0</v>
      </c>
      <c r="BF757" s="2011">
        <f t="shared" si="707"/>
        <v>0</v>
      </c>
      <c r="BG757" s="2009">
        <f t="shared" si="707"/>
        <v>0</v>
      </c>
      <c r="BH757" s="2009">
        <f t="shared" si="707"/>
        <v>0</v>
      </c>
      <c r="BI757" s="2009">
        <f t="shared" si="707"/>
        <v>0</v>
      </c>
      <c r="BJ757" s="2009">
        <f t="shared" si="707"/>
        <v>0</v>
      </c>
      <c r="BK757" s="2009">
        <f t="shared" si="707"/>
        <v>0</v>
      </c>
      <c r="BL757" s="2009">
        <f t="shared" si="707"/>
        <v>0</v>
      </c>
      <c r="BM757" s="2009">
        <f t="shared" si="707"/>
        <v>0</v>
      </c>
      <c r="BN757" s="2009">
        <f t="shared" si="707"/>
        <v>0</v>
      </c>
      <c r="BO757" s="2009">
        <f t="shared" si="707"/>
        <v>0</v>
      </c>
      <c r="BP757" s="2009">
        <f t="shared" si="707"/>
        <v>0</v>
      </c>
      <c r="BQ757" s="2009">
        <f t="shared" si="707"/>
        <v>0</v>
      </c>
      <c r="BR757" s="2009">
        <f t="shared" si="707"/>
        <v>0</v>
      </c>
      <c r="BS757" s="2009">
        <f t="shared" si="707"/>
        <v>0</v>
      </c>
      <c r="BT757" s="2009">
        <f t="shared" si="707"/>
        <v>0</v>
      </c>
      <c r="BU757" s="1830"/>
    </row>
    <row r="758" spans="37:73" s="496" customFormat="1" ht="12.75" x14ac:dyDescent="0.25">
      <c r="AK758" s="1828"/>
      <c r="AL758" s="1968">
        <f>AL757+1</f>
        <v>48</v>
      </c>
      <c r="AM758" s="2006" t="s">
        <v>1461</v>
      </c>
      <c r="AN758" s="2013"/>
      <c r="AO758" s="2008"/>
      <c r="AP758" s="2024">
        <f>IF(OR($AP$679=0,$AP$655=0),0,$AP$679/$AP$655)</f>
        <v>0.9273927392739274</v>
      </c>
      <c r="AQ758" s="2008"/>
      <c r="AR758" s="2008"/>
      <c r="AS758" s="2024">
        <f>IF(OR($AS$679=0,$AS$655=0),0,$AS$679/$AS$655)</f>
        <v>0.9273927392739274</v>
      </c>
      <c r="AT758" s="2008"/>
      <c r="AU758" s="2008"/>
      <c r="AV758" s="2024">
        <f>IF(OR($AV$679=0,$AV$655=0),0,($AV$679*(12/$AW$757))/$AV$655)</f>
        <v>1.8547854785478548</v>
      </c>
      <c r="AW758" s="2008"/>
      <c r="AX758" s="2008"/>
      <c r="AY758" s="2024">
        <f>IF(OR($AY$679=0,$AY$655=0),0,$AY$679/$AY$655)</f>
        <v>0.9273927392739274</v>
      </c>
      <c r="AZ758" s="2008"/>
      <c r="BA758" s="2008"/>
      <c r="BB758" s="2024">
        <f>IF(OR($BB$679=0,$BB$655=0),0,($BB$679*(12/$BC$757))/$BB$655)</f>
        <v>1.8547854785478548</v>
      </c>
      <c r="BC758" s="2008"/>
      <c r="BD758" s="2008"/>
      <c r="BE758" s="2015">
        <f t="shared" ref="BE758:BT758" si="708">IF(BE671=0,0,(BE694/BE671))</f>
        <v>0</v>
      </c>
      <c r="BF758" s="2025">
        <f t="shared" si="708"/>
        <v>0</v>
      </c>
      <c r="BG758" s="2015">
        <f t="shared" si="708"/>
        <v>0</v>
      </c>
      <c r="BH758" s="2015">
        <f t="shared" si="708"/>
        <v>0</v>
      </c>
      <c r="BI758" s="2015">
        <f t="shared" si="708"/>
        <v>0</v>
      </c>
      <c r="BJ758" s="2015">
        <f t="shared" si="708"/>
        <v>0</v>
      </c>
      <c r="BK758" s="2015">
        <f t="shared" si="708"/>
        <v>0</v>
      </c>
      <c r="BL758" s="2015">
        <f t="shared" si="708"/>
        <v>0</v>
      </c>
      <c r="BM758" s="2015">
        <f t="shared" si="708"/>
        <v>0</v>
      </c>
      <c r="BN758" s="2015">
        <f t="shared" si="708"/>
        <v>0</v>
      </c>
      <c r="BO758" s="2015">
        <f t="shared" si="708"/>
        <v>0</v>
      </c>
      <c r="BP758" s="2015">
        <f t="shared" si="708"/>
        <v>0</v>
      </c>
      <c r="BQ758" s="2015">
        <f t="shared" si="708"/>
        <v>0</v>
      </c>
      <c r="BR758" s="2015">
        <f t="shared" si="708"/>
        <v>0</v>
      </c>
      <c r="BS758" s="2015">
        <f t="shared" si="708"/>
        <v>0</v>
      </c>
      <c r="BT758" s="2015">
        <f t="shared" si="708"/>
        <v>0</v>
      </c>
      <c r="BU758" s="1830"/>
    </row>
    <row r="759" spans="37:73" s="496" customFormat="1" ht="12.75" x14ac:dyDescent="0.25">
      <c r="AK759" s="1828"/>
      <c r="AL759" s="507"/>
      <c r="AM759" s="507"/>
      <c r="AN759" s="625"/>
      <c r="AP759" s="625"/>
      <c r="AS759" s="625"/>
      <c r="AT759" s="495"/>
      <c r="AU759" s="495"/>
      <c r="AV759" s="625"/>
      <c r="AX759" s="500"/>
      <c r="AY759" s="625"/>
      <c r="BA759" s="500"/>
      <c r="BB759" s="625"/>
      <c r="BD759" s="500"/>
      <c r="BE759" s="625"/>
      <c r="BF759" s="625"/>
      <c r="BG759" s="627"/>
      <c r="BH759" s="627"/>
      <c r="BI759" s="627"/>
      <c r="BJ759" s="627"/>
      <c r="BK759" s="627"/>
      <c r="BL759" s="627"/>
      <c r="BM759" s="627"/>
      <c r="BN759" s="627"/>
      <c r="BO759" s="627"/>
      <c r="BU759" s="1830"/>
    </row>
    <row r="760" spans="37:73" s="496" customFormat="1" ht="12.75" x14ac:dyDescent="0.25">
      <c r="AK760" s="1828"/>
      <c r="AL760" s="507"/>
      <c r="AM760" s="603"/>
      <c r="AT760" s="495"/>
      <c r="AU760" s="495"/>
      <c r="AX760" s="500"/>
      <c r="BA760" s="500"/>
      <c r="BD760" s="500"/>
      <c r="BG760" s="495"/>
      <c r="BH760" s="495"/>
      <c r="BI760" s="495"/>
      <c r="BJ760" s="495"/>
      <c r="BK760" s="495"/>
      <c r="BL760" s="495"/>
      <c r="BM760" s="495"/>
      <c r="BN760" s="495"/>
      <c r="BO760" s="495"/>
      <c r="BU760" s="1830"/>
    </row>
    <row r="761" spans="37:73" s="496" customFormat="1" ht="15" x14ac:dyDescent="0.25">
      <c r="AK761" s="1828"/>
      <c r="AL761" s="507"/>
      <c r="AM761" s="628" t="str">
        <f>AM582</f>
        <v>Prueba Da 27.08.23</v>
      </c>
      <c r="AN761" s="632"/>
      <c r="AT761" s="495"/>
      <c r="AU761" s="495"/>
      <c r="AX761" s="500"/>
      <c r="BA761" s="500"/>
      <c r="BD761" s="500"/>
      <c r="BE761" s="502" t="str">
        <f>IF($W$241="SI","ESCENARIO "&amp;$V$242,0)</f>
        <v>ESCENARIO BASE</v>
      </c>
      <c r="BG761" s="495"/>
      <c r="BH761" s="495"/>
      <c r="BI761" s="495"/>
      <c r="BJ761" s="495"/>
      <c r="BK761" s="495"/>
      <c r="BL761" s="495"/>
      <c r="BM761" s="495"/>
      <c r="BN761" s="495"/>
      <c r="BO761" s="495"/>
      <c r="BQ761" s="630"/>
      <c r="BU761" s="1830"/>
    </row>
    <row r="762" spans="37:73" s="655" customFormat="1" ht="12.75" x14ac:dyDescent="0.25">
      <c r="AK762" s="1828"/>
      <c r="AL762" s="507"/>
      <c r="AM762" s="631">
        <f ca="1">NOW()</f>
        <v>45165.397987962962</v>
      </c>
      <c r="AN762" s="2026"/>
      <c r="AO762" s="496"/>
      <c r="AP762" s="632"/>
      <c r="AQ762" s="496"/>
      <c r="AR762" s="496"/>
      <c r="AS762" s="632"/>
      <c r="AT762" s="495"/>
      <c r="AU762" s="495"/>
      <c r="AV762" s="632"/>
      <c r="AW762" s="496"/>
      <c r="AX762" s="500"/>
      <c r="AY762" s="880" t="str">
        <f>C13</f>
        <v>Miles de Lempira HNL</v>
      </c>
      <c r="AZ762" s="496"/>
      <c r="BA762" s="500"/>
      <c r="BB762" s="880">
        <f>IF(AY762=0,"(CIFRAS EN $MM)",0)</f>
        <v>0</v>
      </c>
      <c r="BC762" s="496"/>
      <c r="BD762" s="500"/>
      <c r="BE762" s="634" t="s">
        <v>1044</v>
      </c>
      <c r="BF762" s="634" t="s">
        <v>1044</v>
      </c>
      <c r="BG762" s="634" t="s">
        <v>1044</v>
      </c>
      <c r="BH762" s="634" t="s">
        <v>1044</v>
      </c>
      <c r="BI762" s="634" t="s">
        <v>1044</v>
      </c>
      <c r="BJ762" s="634" t="s">
        <v>1044</v>
      </c>
      <c r="BK762" s="634" t="s">
        <v>1044</v>
      </c>
      <c r="BL762" s="634" t="s">
        <v>1044</v>
      </c>
      <c r="BM762" s="634" t="s">
        <v>1044</v>
      </c>
      <c r="BN762" s="634" t="s">
        <v>1044</v>
      </c>
      <c r="BO762" s="634" t="s">
        <v>1044</v>
      </c>
      <c r="BP762" s="634" t="s">
        <v>1044</v>
      </c>
      <c r="BQ762" s="634" t="s">
        <v>1044</v>
      </c>
      <c r="BR762" s="634" t="s">
        <v>1044</v>
      </c>
      <c r="BS762" s="634" t="s">
        <v>1044</v>
      </c>
      <c r="BT762" s="634" t="s">
        <v>1044</v>
      </c>
      <c r="BU762" s="1830"/>
    </row>
    <row r="763" spans="37:73" s="655" customFormat="1" ht="15" x14ac:dyDescent="0.25">
      <c r="AK763" s="1828"/>
      <c r="AL763" s="507"/>
      <c r="AM763" s="635" t="str">
        <f>B134</f>
        <v>FLUJO DE CAJA 0</v>
      </c>
      <c r="AN763" s="881"/>
      <c r="AO763" s="496"/>
      <c r="AP763" s="636">
        <f>AP583</f>
        <v>2019</v>
      </c>
      <c r="AQ763" s="496"/>
      <c r="AR763" s="496"/>
      <c r="AS763" s="636">
        <f>AS583</f>
        <v>2020</v>
      </c>
      <c r="AT763" s="495"/>
      <c r="AU763" s="495"/>
      <c r="AV763" s="636">
        <f>AV583</f>
        <v>2020</v>
      </c>
      <c r="AW763" s="496"/>
      <c r="AX763" s="500"/>
      <c r="AY763" s="636">
        <f>AY583</f>
        <v>2021</v>
      </c>
      <c r="AZ763" s="496"/>
      <c r="BA763" s="500"/>
      <c r="BB763" s="636">
        <f>BB583</f>
        <v>2021</v>
      </c>
      <c r="BC763" s="496"/>
      <c r="BD763" s="500"/>
      <c r="BE763" s="636">
        <f t="shared" ref="BE763:BT763" si="709">BE583</f>
        <v>2022</v>
      </c>
      <c r="BF763" s="636">
        <f t="shared" si="709"/>
        <v>2023</v>
      </c>
      <c r="BG763" s="636">
        <f t="shared" si="709"/>
        <v>2024</v>
      </c>
      <c r="BH763" s="636">
        <f t="shared" si="709"/>
        <v>2025</v>
      </c>
      <c r="BI763" s="636">
        <f t="shared" si="709"/>
        <v>2026</v>
      </c>
      <c r="BJ763" s="636">
        <f t="shared" si="709"/>
        <v>2027</v>
      </c>
      <c r="BK763" s="636">
        <f t="shared" si="709"/>
        <v>2028</v>
      </c>
      <c r="BL763" s="636">
        <f t="shared" si="709"/>
        <v>2029</v>
      </c>
      <c r="BM763" s="636">
        <f t="shared" si="709"/>
        <v>2030</v>
      </c>
      <c r="BN763" s="636">
        <f t="shared" si="709"/>
        <v>2031</v>
      </c>
      <c r="BO763" s="636">
        <f t="shared" si="709"/>
        <v>2032</v>
      </c>
      <c r="BP763" s="636">
        <f t="shared" si="709"/>
        <v>2033</v>
      </c>
      <c r="BQ763" s="636">
        <f t="shared" si="709"/>
        <v>2034</v>
      </c>
      <c r="BR763" s="636">
        <f t="shared" si="709"/>
        <v>2035</v>
      </c>
      <c r="BS763" s="636">
        <f t="shared" si="709"/>
        <v>2036</v>
      </c>
      <c r="BT763" s="636">
        <f t="shared" si="709"/>
        <v>2037</v>
      </c>
      <c r="BU763" s="1830"/>
    </row>
    <row r="764" spans="37:73" s="632" customFormat="1" ht="15" x14ac:dyDescent="0.25">
      <c r="AK764" s="1828"/>
      <c r="AL764" s="507"/>
      <c r="AM764" s="635" t="s">
        <v>871</v>
      </c>
      <c r="AN764" s="2027"/>
      <c r="AO764" s="496"/>
      <c r="AP764" s="636">
        <f>AP584</f>
        <v>360</v>
      </c>
      <c r="AQ764" s="496"/>
      <c r="AR764" s="496"/>
      <c r="AS764" s="636">
        <f>AS584</f>
        <v>360</v>
      </c>
      <c r="AT764" s="495"/>
      <c r="AU764" s="495"/>
      <c r="AV764" s="2028">
        <f>AV584</f>
        <v>180</v>
      </c>
      <c r="AW764" s="496"/>
      <c r="AX764" s="500"/>
      <c r="AY764" s="636">
        <f>AY584</f>
        <v>360</v>
      </c>
      <c r="AZ764" s="496"/>
      <c r="BA764" s="500"/>
      <c r="BB764" s="2028">
        <f>BB584</f>
        <v>180</v>
      </c>
      <c r="BC764" s="496"/>
      <c r="BD764" s="500"/>
      <c r="BE764" s="636">
        <f t="shared" ref="BE764:BT764" si="710">BE584</f>
        <v>360</v>
      </c>
      <c r="BF764" s="636">
        <f t="shared" si="710"/>
        <v>360</v>
      </c>
      <c r="BG764" s="636">
        <f t="shared" si="710"/>
        <v>360</v>
      </c>
      <c r="BH764" s="636">
        <f t="shared" si="710"/>
        <v>360</v>
      </c>
      <c r="BI764" s="636">
        <f t="shared" si="710"/>
        <v>360</v>
      </c>
      <c r="BJ764" s="636">
        <f t="shared" si="710"/>
        <v>360</v>
      </c>
      <c r="BK764" s="636">
        <f t="shared" si="710"/>
        <v>360</v>
      </c>
      <c r="BL764" s="636">
        <f t="shared" si="710"/>
        <v>360</v>
      </c>
      <c r="BM764" s="636">
        <f t="shared" si="710"/>
        <v>360</v>
      </c>
      <c r="BN764" s="636">
        <f t="shared" si="710"/>
        <v>360</v>
      </c>
      <c r="BO764" s="636">
        <f t="shared" si="710"/>
        <v>360</v>
      </c>
      <c r="BP764" s="636">
        <f t="shared" si="710"/>
        <v>360</v>
      </c>
      <c r="BQ764" s="636">
        <f t="shared" si="710"/>
        <v>360</v>
      </c>
      <c r="BR764" s="636">
        <f t="shared" si="710"/>
        <v>360</v>
      </c>
      <c r="BS764" s="636">
        <f t="shared" si="710"/>
        <v>360</v>
      </c>
      <c r="BT764" s="636">
        <f t="shared" si="710"/>
        <v>360</v>
      </c>
      <c r="BU764" s="1830"/>
    </row>
    <row r="765" spans="37:73" s="632" customFormat="1" ht="12.75" x14ac:dyDescent="0.25">
      <c r="AK765" s="1828"/>
      <c r="AL765" s="2029">
        <v>1</v>
      </c>
      <c r="AM765" s="2030" t="s">
        <v>826</v>
      </c>
      <c r="AN765" s="2031"/>
      <c r="AO765" s="496"/>
      <c r="AP765" s="2032">
        <f>AP664</f>
        <v>2810</v>
      </c>
      <c r="AQ765" s="496"/>
      <c r="AR765" s="496"/>
      <c r="AS765" s="2032">
        <f>AS664</f>
        <v>2810</v>
      </c>
      <c r="AT765" s="495"/>
      <c r="AU765" s="495"/>
      <c r="AV765" s="2032">
        <f>AV664</f>
        <v>2810</v>
      </c>
      <c r="AW765" s="496"/>
      <c r="AX765" s="500"/>
      <c r="AY765" s="2032">
        <f>AY664</f>
        <v>2810</v>
      </c>
      <c r="AZ765" s="496"/>
      <c r="BA765" s="500"/>
      <c r="BB765" s="2032">
        <f>BB664</f>
        <v>2810</v>
      </c>
      <c r="BC765" s="496"/>
      <c r="BD765" s="500"/>
      <c r="BE765" s="2033">
        <f t="shared" ref="BE765:BT765" si="711">BE664</f>
        <v>2810</v>
      </c>
      <c r="BF765" s="2033">
        <f t="shared" si="711"/>
        <v>2810</v>
      </c>
      <c r="BG765" s="2033">
        <f t="shared" si="711"/>
        <v>2810</v>
      </c>
      <c r="BH765" s="2033">
        <f t="shared" si="711"/>
        <v>2810</v>
      </c>
      <c r="BI765" s="2033">
        <f t="shared" si="711"/>
        <v>2810</v>
      </c>
      <c r="BJ765" s="2033">
        <f t="shared" si="711"/>
        <v>2810</v>
      </c>
      <c r="BK765" s="2033">
        <f t="shared" si="711"/>
        <v>2810</v>
      </c>
      <c r="BL765" s="2033">
        <f t="shared" si="711"/>
        <v>2810</v>
      </c>
      <c r="BM765" s="2033">
        <f t="shared" si="711"/>
        <v>2810</v>
      </c>
      <c r="BN765" s="2033">
        <f t="shared" si="711"/>
        <v>2810</v>
      </c>
      <c r="BO765" s="2033">
        <f t="shared" si="711"/>
        <v>2810</v>
      </c>
      <c r="BP765" s="2033">
        <f t="shared" si="711"/>
        <v>2810</v>
      </c>
      <c r="BQ765" s="2033">
        <f t="shared" si="711"/>
        <v>2810</v>
      </c>
      <c r="BR765" s="2033">
        <f t="shared" si="711"/>
        <v>2810</v>
      </c>
      <c r="BS765" s="2033">
        <f t="shared" si="711"/>
        <v>2810</v>
      </c>
      <c r="BT765" s="2033">
        <f t="shared" si="711"/>
        <v>2810</v>
      </c>
      <c r="BU765" s="1830"/>
    </row>
    <row r="766" spans="37:73" s="496" customFormat="1" ht="12.75" x14ac:dyDescent="0.25">
      <c r="AK766" s="1828"/>
      <c r="AL766" s="2034">
        <v>2</v>
      </c>
      <c r="AM766" s="666" t="s">
        <v>1150</v>
      </c>
      <c r="AN766" s="904"/>
      <c r="AP766" s="667">
        <f>SUM(AP680:AP682)</f>
        <v>40</v>
      </c>
      <c r="AS766" s="667">
        <f>SUM(AS680:AS682)</f>
        <v>40</v>
      </c>
      <c r="AT766" s="495"/>
      <c r="AU766" s="495"/>
      <c r="AV766" s="667">
        <f>SUM(AV680:AV682)</f>
        <v>40</v>
      </c>
      <c r="AX766" s="500"/>
      <c r="AY766" s="667">
        <f>SUM(AY680:AY682)</f>
        <v>40</v>
      </c>
      <c r="BA766" s="500"/>
      <c r="BB766" s="667">
        <f>SUM(BB680:BB682)</f>
        <v>40</v>
      </c>
      <c r="BD766" s="500"/>
      <c r="BE766" s="668">
        <f t="shared" ref="BE766:BT766" si="712">SUM(BE680:BE682)</f>
        <v>53.2</v>
      </c>
      <c r="BF766" s="668">
        <f t="shared" si="712"/>
        <v>66.400000000000006</v>
      </c>
      <c r="BG766" s="668">
        <f t="shared" si="712"/>
        <v>79.600000000000009</v>
      </c>
      <c r="BH766" s="668">
        <f t="shared" si="712"/>
        <v>92.800000000000011</v>
      </c>
      <c r="BI766" s="668">
        <f t="shared" si="712"/>
        <v>106.00000000000001</v>
      </c>
      <c r="BJ766" s="668">
        <f t="shared" si="712"/>
        <v>119.20000000000002</v>
      </c>
      <c r="BK766" s="668">
        <f t="shared" si="712"/>
        <v>132.4</v>
      </c>
      <c r="BL766" s="668">
        <f t="shared" si="712"/>
        <v>145.60000000000002</v>
      </c>
      <c r="BM766" s="668">
        <f t="shared" si="712"/>
        <v>158.80000000000001</v>
      </c>
      <c r="BN766" s="668">
        <f t="shared" si="712"/>
        <v>172</v>
      </c>
      <c r="BO766" s="668">
        <f t="shared" si="712"/>
        <v>185.2</v>
      </c>
      <c r="BP766" s="668">
        <f t="shared" si="712"/>
        <v>198.39999999999995</v>
      </c>
      <c r="BQ766" s="668">
        <f t="shared" si="712"/>
        <v>211.59999999999994</v>
      </c>
      <c r="BR766" s="668">
        <f t="shared" si="712"/>
        <v>224.79999999999993</v>
      </c>
      <c r="BS766" s="668">
        <f t="shared" si="712"/>
        <v>237.99999999999991</v>
      </c>
      <c r="BT766" s="668">
        <f t="shared" si="712"/>
        <v>251.1999999999999</v>
      </c>
      <c r="BU766" s="1830"/>
    </row>
    <row r="767" spans="37:73" s="496" customFormat="1" ht="12.75" x14ac:dyDescent="0.25">
      <c r="AK767" s="2035"/>
      <c r="AL767" s="2036"/>
      <c r="AM767" s="2037" t="s">
        <v>881</v>
      </c>
      <c r="AN767" s="2038"/>
      <c r="AO767" s="655"/>
      <c r="AP767" s="2039">
        <f>AP765+AP766</f>
        <v>2850</v>
      </c>
      <c r="AQ767" s="655"/>
      <c r="AR767" s="655"/>
      <c r="AS767" s="2039">
        <f>AS765+AS766</f>
        <v>2850</v>
      </c>
      <c r="AT767" s="886"/>
      <c r="AU767" s="886"/>
      <c r="AV767" s="2039">
        <f>AV765+AV766</f>
        <v>2850</v>
      </c>
      <c r="AW767" s="655"/>
      <c r="AX767" s="653"/>
      <c r="AY767" s="2039">
        <f>AY765+AY766</f>
        <v>2850</v>
      </c>
      <c r="AZ767" s="655"/>
      <c r="BA767" s="653"/>
      <c r="BB767" s="2039">
        <f>BB765+BB766</f>
        <v>2850</v>
      </c>
      <c r="BC767" s="655"/>
      <c r="BD767" s="653"/>
      <c r="BE767" s="2040">
        <f t="shared" ref="BE767:BT767" si="713">BE765+BE766</f>
        <v>2863.2</v>
      </c>
      <c r="BF767" s="2040">
        <f t="shared" si="713"/>
        <v>2876.4</v>
      </c>
      <c r="BG767" s="2040">
        <f t="shared" si="713"/>
        <v>2889.6</v>
      </c>
      <c r="BH767" s="2040">
        <f t="shared" si="713"/>
        <v>2902.8</v>
      </c>
      <c r="BI767" s="2040">
        <f t="shared" si="713"/>
        <v>2916</v>
      </c>
      <c r="BJ767" s="2040">
        <f t="shared" si="713"/>
        <v>2929.2</v>
      </c>
      <c r="BK767" s="2040">
        <f t="shared" si="713"/>
        <v>2942.4</v>
      </c>
      <c r="BL767" s="2040">
        <f t="shared" si="713"/>
        <v>2955.6</v>
      </c>
      <c r="BM767" s="2040">
        <f t="shared" si="713"/>
        <v>2968.8</v>
      </c>
      <c r="BN767" s="2040">
        <f t="shared" si="713"/>
        <v>2982</v>
      </c>
      <c r="BO767" s="2040">
        <f t="shared" si="713"/>
        <v>2995.2</v>
      </c>
      <c r="BP767" s="2040">
        <f t="shared" si="713"/>
        <v>3008.4</v>
      </c>
      <c r="BQ767" s="2040">
        <f t="shared" si="713"/>
        <v>3021.6</v>
      </c>
      <c r="BR767" s="2040">
        <f t="shared" si="713"/>
        <v>3034.7999999999997</v>
      </c>
      <c r="BS767" s="2040">
        <f t="shared" si="713"/>
        <v>3048</v>
      </c>
      <c r="BT767" s="2040">
        <f t="shared" si="713"/>
        <v>3061.2</v>
      </c>
      <c r="BU767" s="2041"/>
    </row>
    <row r="768" spans="37:73" s="496" customFormat="1" ht="12.75" x14ac:dyDescent="0.25">
      <c r="AK768" s="2035"/>
      <c r="AL768" s="2029">
        <v>3</v>
      </c>
      <c r="AM768" s="666" t="s">
        <v>1151</v>
      </c>
      <c r="AN768" s="893"/>
      <c r="AO768" s="655"/>
      <c r="AP768" s="668">
        <f>-AN678</f>
        <v>0</v>
      </c>
      <c r="AQ768" s="655"/>
      <c r="AR768" s="655"/>
      <c r="AS768" s="668">
        <f>-AP678</f>
        <v>0</v>
      </c>
      <c r="AT768" s="886"/>
      <c r="AU768" s="886"/>
      <c r="AV768" s="668">
        <f>-AS678</f>
        <v>0</v>
      </c>
      <c r="AW768" s="655"/>
      <c r="AX768" s="653"/>
      <c r="AY768" s="668">
        <f>-AS678</f>
        <v>0</v>
      </c>
      <c r="AZ768" s="655"/>
      <c r="BA768" s="653"/>
      <c r="BB768" s="668">
        <f>IF(OR($C$3=$L$913,$C$3=0),-AY678,-AV678)</f>
        <v>0</v>
      </c>
      <c r="BC768" s="655"/>
      <c r="BD768" s="653"/>
      <c r="BE768" s="668">
        <f>-AY678</f>
        <v>0</v>
      </c>
      <c r="BF768" s="668">
        <f t="shared" ref="BF768:BT768" si="714">-BE678</f>
        <v>0</v>
      </c>
      <c r="BG768" s="668">
        <f t="shared" si="714"/>
        <v>0</v>
      </c>
      <c r="BH768" s="668">
        <f t="shared" si="714"/>
        <v>0</v>
      </c>
      <c r="BI768" s="668">
        <f t="shared" si="714"/>
        <v>0</v>
      </c>
      <c r="BJ768" s="668">
        <f t="shared" si="714"/>
        <v>0</v>
      </c>
      <c r="BK768" s="668">
        <f t="shared" si="714"/>
        <v>0</v>
      </c>
      <c r="BL768" s="668">
        <f t="shared" si="714"/>
        <v>0</v>
      </c>
      <c r="BM768" s="668">
        <f t="shared" si="714"/>
        <v>0</v>
      </c>
      <c r="BN768" s="668">
        <f t="shared" si="714"/>
        <v>0</v>
      </c>
      <c r="BO768" s="668">
        <f t="shared" si="714"/>
        <v>0</v>
      </c>
      <c r="BP768" s="668">
        <f t="shared" si="714"/>
        <v>0</v>
      </c>
      <c r="BQ768" s="668">
        <f t="shared" si="714"/>
        <v>0</v>
      </c>
      <c r="BR768" s="668">
        <f t="shared" si="714"/>
        <v>0</v>
      </c>
      <c r="BS768" s="668">
        <f t="shared" si="714"/>
        <v>0</v>
      </c>
      <c r="BT768" s="668">
        <f t="shared" si="714"/>
        <v>0</v>
      </c>
      <c r="BU768" s="2041"/>
    </row>
    <row r="769" spans="37:73" s="496" customFormat="1" ht="12.75" x14ac:dyDescent="0.25">
      <c r="AK769" s="2042"/>
      <c r="AL769" s="2034">
        <v>4</v>
      </c>
      <c r="AM769" s="2006" t="str">
        <f>"-  DIVIDENDOS PAGADOS "&amp;IF(AND($C$3=$L$914,Q234&lt;&gt;0,OR($R$956&lt;&gt;$E$913,$R$956=0)),CONCATENATE("+ RESULTADO ",LEFT(K16,3),". '",RIGHT(TEXT(K15,"0.00"),2)," A ",LEFT(N16,3),". '",RIGHT(TEXT(N15,"0.00"),2)," (PARA EL FLUJO DE ",LEFT(Q16,3),". '",RIGHT(TEXT(Q15,"0.00"),2),")"),0)</f>
        <v>-  DIVIDENDOS PAGADOS 0</v>
      </c>
      <c r="AN769" s="893"/>
      <c r="AO769" s="632"/>
      <c r="AP769" s="668">
        <f>-E233</f>
        <v>0</v>
      </c>
      <c r="AQ769" s="632"/>
      <c r="AR769" s="632"/>
      <c r="AS769" s="668">
        <f>-H233</f>
        <v>-2810</v>
      </c>
      <c r="AT769" s="890"/>
      <c r="AU769" s="890"/>
      <c r="AV769" s="668">
        <f>-K233</f>
        <v>-2810</v>
      </c>
      <c r="AW769" s="632"/>
      <c r="AX769" s="659"/>
      <c r="AY769" s="668">
        <f>-N233</f>
        <v>-2810</v>
      </c>
      <c r="AZ769" s="632"/>
      <c r="BA769" s="659"/>
      <c r="BB769" s="668">
        <f>IF(OR($C$3=$L$913,$C$3=0),-Q233,-Q233+Q234)</f>
        <v>-2810</v>
      </c>
      <c r="BC769" s="632"/>
      <c r="BD769" s="659"/>
      <c r="BE769" s="668">
        <f t="shared" ref="BE769:BT769" si="715">-T233</f>
        <v>-1882.7000000000003</v>
      </c>
      <c r="BF769" s="668">
        <f t="shared" si="715"/>
        <v>-1884.308</v>
      </c>
      <c r="BG769" s="668">
        <f t="shared" si="715"/>
        <v>-1884.576</v>
      </c>
      <c r="BH769" s="668">
        <f t="shared" si="715"/>
        <v>-1887.2560000000003</v>
      </c>
      <c r="BI769" s="668">
        <f t="shared" si="715"/>
        <v>-1887.2560000000003</v>
      </c>
      <c r="BJ769" s="668">
        <f t="shared" si="715"/>
        <v>-1887.2560000000003</v>
      </c>
      <c r="BK769" s="668">
        <f t="shared" si="715"/>
        <v>-1887.2559999999994</v>
      </c>
      <c r="BL769" s="668">
        <f t="shared" si="715"/>
        <v>-1887.2560000000012</v>
      </c>
      <c r="BM769" s="668">
        <f t="shared" si="715"/>
        <v>-1887.2559999999994</v>
      </c>
      <c r="BN769" s="668">
        <f t="shared" si="715"/>
        <v>-1887.2560000000012</v>
      </c>
      <c r="BO769" s="668">
        <f t="shared" si="715"/>
        <v>-1887.2559999999994</v>
      </c>
      <c r="BP769" s="668">
        <f t="shared" si="715"/>
        <v>-1887.2560000000012</v>
      </c>
      <c r="BQ769" s="668">
        <f t="shared" si="715"/>
        <v>-1887.2559999999994</v>
      </c>
      <c r="BR769" s="668">
        <f t="shared" si="715"/>
        <v>-1887.2560000000012</v>
      </c>
      <c r="BS769" s="668">
        <f t="shared" si="715"/>
        <v>-1887.2559999999994</v>
      </c>
      <c r="BT769" s="668">
        <f t="shared" si="715"/>
        <v>-1887.2560000000012</v>
      </c>
      <c r="BU769" s="2043"/>
    </row>
    <row r="770" spans="37:73" s="675" customFormat="1" ht="12.75" x14ac:dyDescent="0.25">
      <c r="AK770" s="2042"/>
      <c r="AL770" s="1930"/>
      <c r="AM770" s="2044" t="s">
        <v>1152</v>
      </c>
      <c r="AN770" s="2045"/>
      <c r="AO770" s="632"/>
      <c r="AP770" s="2046">
        <f>AP767+AP768+AP769</f>
        <v>2850</v>
      </c>
      <c r="AQ770" s="632"/>
      <c r="AR770" s="632"/>
      <c r="AS770" s="2046">
        <f>AS767+AS768+AS769</f>
        <v>40</v>
      </c>
      <c r="AT770" s="890"/>
      <c r="AU770" s="890"/>
      <c r="AV770" s="2046">
        <f>AV767+AV768+AV769</f>
        <v>40</v>
      </c>
      <c r="AW770" s="632"/>
      <c r="AX770" s="664"/>
      <c r="AY770" s="2046">
        <f>AY767+AY768+AY769</f>
        <v>40</v>
      </c>
      <c r="AZ770" s="632"/>
      <c r="BA770" s="664"/>
      <c r="BB770" s="2046">
        <f>BB767+BB768+BB769</f>
        <v>40</v>
      </c>
      <c r="BC770" s="632"/>
      <c r="BD770" s="664"/>
      <c r="BE770" s="2046">
        <f t="shared" ref="BE770:BT770" si="716">BE767+BE768+BE769</f>
        <v>980.49999999999955</v>
      </c>
      <c r="BF770" s="2046">
        <f t="shared" si="716"/>
        <v>992.0920000000001</v>
      </c>
      <c r="BG770" s="2046">
        <f t="shared" si="716"/>
        <v>1005.0239999999999</v>
      </c>
      <c r="BH770" s="2046">
        <f t="shared" si="716"/>
        <v>1015.5439999999999</v>
      </c>
      <c r="BI770" s="2046">
        <f t="shared" si="716"/>
        <v>1028.7439999999997</v>
      </c>
      <c r="BJ770" s="2046">
        <f t="shared" si="716"/>
        <v>1041.9439999999995</v>
      </c>
      <c r="BK770" s="2046">
        <f t="shared" si="716"/>
        <v>1055.1440000000007</v>
      </c>
      <c r="BL770" s="2046">
        <f t="shared" si="716"/>
        <v>1068.3439999999987</v>
      </c>
      <c r="BM770" s="2046">
        <f t="shared" si="716"/>
        <v>1081.5440000000008</v>
      </c>
      <c r="BN770" s="2046">
        <f t="shared" si="716"/>
        <v>1094.7439999999988</v>
      </c>
      <c r="BO770" s="2046">
        <f t="shared" si="716"/>
        <v>1107.9440000000004</v>
      </c>
      <c r="BP770" s="2046">
        <f t="shared" si="716"/>
        <v>1121.1439999999989</v>
      </c>
      <c r="BQ770" s="2046">
        <f t="shared" si="716"/>
        <v>1134.3440000000005</v>
      </c>
      <c r="BR770" s="2046">
        <f t="shared" si="716"/>
        <v>1147.5439999999985</v>
      </c>
      <c r="BS770" s="2046">
        <f t="shared" si="716"/>
        <v>1160.7440000000006</v>
      </c>
      <c r="BT770" s="2046">
        <f t="shared" si="716"/>
        <v>1173.9439999999986</v>
      </c>
      <c r="BU770" s="2043"/>
    </row>
    <row r="771" spans="37:73" s="675" customFormat="1" ht="12.75" x14ac:dyDescent="0.25">
      <c r="AK771" s="1828"/>
      <c r="AL771" s="2029">
        <v>5</v>
      </c>
      <c r="AM771" s="666" t="s">
        <v>1153</v>
      </c>
      <c r="AN771" s="893"/>
      <c r="AO771" s="496"/>
      <c r="AP771" s="667">
        <f>-(AP587-AN587)</f>
        <v>-120</v>
      </c>
      <c r="AQ771" s="496"/>
      <c r="AR771" s="496"/>
      <c r="AS771" s="667">
        <f>-(AS587-AP587)</f>
        <v>0</v>
      </c>
      <c r="AT771" s="495"/>
      <c r="AU771" s="495"/>
      <c r="AV771" s="667">
        <f>-(AV587-AS587)</f>
        <v>0</v>
      </c>
      <c r="AW771" s="496"/>
      <c r="AX771" s="500"/>
      <c r="AY771" s="667">
        <f>-(AY587-AS587)</f>
        <v>0</v>
      </c>
      <c r="AZ771" s="496"/>
      <c r="BA771" s="500"/>
      <c r="BB771" s="667">
        <f>IF(OR($C$3=$L$913,$C$3=0),-(BB587-AY587),-(BB587-AV587))</f>
        <v>0</v>
      </c>
      <c r="BC771" s="496"/>
      <c r="BD771" s="500"/>
      <c r="BE771" s="668">
        <f>-(BE587-AY587)</f>
        <v>0</v>
      </c>
      <c r="BF771" s="668">
        <f t="shared" ref="BF771:BT771" si="717">-(BF587-BE587)</f>
        <v>0</v>
      </c>
      <c r="BG771" s="668">
        <f t="shared" si="717"/>
        <v>0</v>
      </c>
      <c r="BH771" s="668">
        <f t="shared" si="717"/>
        <v>0</v>
      </c>
      <c r="BI771" s="668">
        <f t="shared" si="717"/>
        <v>0</v>
      </c>
      <c r="BJ771" s="668">
        <f t="shared" si="717"/>
        <v>0</v>
      </c>
      <c r="BK771" s="668">
        <f t="shared" si="717"/>
        <v>0</v>
      </c>
      <c r="BL771" s="668">
        <f t="shared" si="717"/>
        <v>0</v>
      </c>
      <c r="BM771" s="668">
        <f t="shared" si="717"/>
        <v>0</v>
      </c>
      <c r="BN771" s="668">
        <f t="shared" si="717"/>
        <v>0</v>
      </c>
      <c r="BO771" s="668">
        <f t="shared" si="717"/>
        <v>0</v>
      </c>
      <c r="BP771" s="668">
        <f t="shared" si="717"/>
        <v>0</v>
      </c>
      <c r="BQ771" s="668">
        <f t="shared" si="717"/>
        <v>0</v>
      </c>
      <c r="BR771" s="668">
        <f t="shared" si="717"/>
        <v>0</v>
      </c>
      <c r="BS771" s="668">
        <f t="shared" si="717"/>
        <v>0</v>
      </c>
      <c r="BT771" s="668">
        <f t="shared" si="717"/>
        <v>0</v>
      </c>
      <c r="BU771" s="1830"/>
    </row>
    <row r="772" spans="37:73" s="675" customFormat="1" ht="12.75" x14ac:dyDescent="0.25">
      <c r="AK772" s="1828"/>
      <c r="AL772" s="2047">
        <v>6</v>
      </c>
      <c r="AM772" s="666" t="s">
        <v>1154</v>
      </c>
      <c r="AN772" s="893"/>
      <c r="AO772" s="496"/>
      <c r="AP772" s="667">
        <f>-(AP590-AN590)</f>
        <v>-360</v>
      </c>
      <c r="AQ772" s="496"/>
      <c r="AR772" s="496"/>
      <c r="AS772" s="667">
        <f>-(AS590-AP590)</f>
        <v>0</v>
      </c>
      <c r="AT772" s="495"/>
      <c r="AU772" s="495"/>
      <c r="AV772" s="667">
        <f>-(AV590-AS590)</f>
        <v>0</v>
      </c>
      <c r="AW772" s="496"/>
      <c r="AX772" s="500"/>
      <c r="AY772" s="667">
        <f>-(AY590-AS590)</f>
        <v>0</v>
      </c>
      <c r="AZ772" s="496"/>
      <c r="BA772" s="500"/>
      <c r="BB772" s="667">
        <f>IF(OR($C$3=$L$913,$C$3=0),-(BB590-AY590),-(BB590-AV590))</f>
        <v>0</v>
      </c>
      <c r="BC772" s="496"/>
      <c r="BD772" s="500"/>
      <c r="BE772" s="668">
        <f>-(BE590-AY590)</f>
        <v>-5.6843418860808015E-14</v>
      </c>
      <c r="BF772" s="668">
        <f t="shared" ref="BF772:BT772" si="718">-(BF590-BE590)</f>
        <v>0</v>
      </c>
      <c r="BG772" s="668">
        <f t="shared" si="718"/>
        <v>0</v>
      </c>
      <c r="BH772" s="668">
        <f t="shared" si="718"/>
        <v>0</v>
      </c>
      <c r="BI772" s="668">
        <f t="shared" si="718"/>
        <v>0</v>
      </c>
      <c r="BJ772" s="668">
        <f t="shared" si="718"/>
        <v>0</v>
      </c>
      <c r="BK772" s="668">
        <f t="shared" si="718"/>
        <v>0</v>
      </c>
      <c r="BL772" s="668">
        <f t="shared" si="718"/>
        <v>0</v>
      </c>
      <c r="BM772" s="668">
        <f t="shared" si="718"/>
        <v>0</v>
      </c>
      <c r="BN772" s="668">
        <f t="shared" si="718"/>
        <v>0</v>
      </c>
      <c r="BO772" s="668">
        <f t="shared" si="718"/>
        <v>0</v>
      </c>
      <c r="BP772" s="668">
        <f t="shared" si="718"/>
        <v>0</v>
      </c>
      <c r="BQ772" s="668">
        <f t="shared" si="718"/>
        <v>0</v>
      </c>
      <c r="BR772" s="668">
        <f t="shared" si="718"/>
        <v>0</v>
      </c>
      <c r="BS772" s="668">
        <f t="shared" si="718"/>
        <v>0</v>
      </c>
      <c r="BT772" s="668">
        <f t="shared" si="718"/>
        <v>0</v>
      </c>
      <c r="BU772" s="1830"/>
    </row>
    <row r="773" spans="37:73" s="655" customFormat="1" ht="12.75" x14ac:dyDescent="0.25">
      <c r="AK773" s="1828"/>
      <c r="AL773" s="2047">
        <v>7</v>
      </c>
      <c r="AM773" s="666" t="s">
        <v>1155</v>
      </c>
      <c r="AN773" s="893"/>
      <c r="AO773" s="496"/>
      <c r="AP773" s="667">
        <f>-(AP594-AN594)</f>
        <v>-60</v>
      </c>
      <c r="AQ773" s="496"/>
      <c r="AR773" s="496"/>
      <c r="AS773" s="667">
        <f>-(AS594-AP594)</f>
        <v>0</v>
      </c>
      <c r="AT773" s="495"/>
      <c r="AU773" s="495"/>
      <c r="AV773" s="667">
        <f>-(AV594-AS594)</f>
        <v>0</v>
      </c>
      <c r="AW773" s="496"/>
      <c r="AX773" s="500"/>
      <c r="AY773" s="667">
        <f>-(AY594-AS594)</f>
        <v>0</v>
      </c>
      <c r="AZ773" s="496"/>
      <c r="BA773" s="500"/>
      <c r="BB773" s="667">
        <f>IF(OR($C$3=$L$913,$C$3=0),-(BB594-AY594),-(BB594-AV594))</f>
        <v>0</v>
      </c>
      <c r="BC773" s="496"/>
      <c r="BD773" s="500"/>
      <c r="BE773" s="668">
        <f>-(BE594-AY594)</f>
        <v>-1.4210854715202004E-14</v>
      </c>
      <c r="BF773" s="668">
        <f t="shared" ref="BF773:BT773" si="719">-(BF594-BE594)</f>
        <v>0</v>
      </c>
      <c r="BG773" s="668">
        <f t="shared" si="719"/>
        <v>0</v>
      </c>
      <c r="BH773" s="668">
        <f t="shared" si="719"/>
        <v>0</v>
      </c>
      <c r="BI773" s="668">
        <f t="shared" si="719"/>
        <v>0</v>
      </c>
      <c r="BJ773" s="668">
        <f t="shared" si="719"/>
        <v>0</v>
      </c>
      <c r="BK773" s="668">
        <f t="shared" si="719"/>
        <v>0</v>
      </c>
      <c r="BL773" s="668">
        <f t="shared" si="719"/>
        <v>0</v>
      </c>
      <c r="BM773" s="668">
        <f t="shared" si="719"/>
        <v>0</v>
      </c>
      <c r="BN773" s="668">
        <f t="shared" si="719"/>
        <v>0</v>
      </c>
      <c r="BO773" s="668">
        <f t="shared" si="719"/>
        <v>0</v>
      </c>
      <c r="BP773" s="668">
        <f t="shared" si="719"/>
        <v>0</v>
      </c>
      <c r="BQ773" s="668">
        <f t="shared" si="719"/>
        <v>0</v>
      </c>
      <c r="BR773" s="668">
        <f t="shared" si="719"/>
        <v>0</v>
      </c>
      <c r="BS773" s="668">
        <f t="shared" si="719"/>
        <v>0</v>
      </c>
      <c r="BT773" s="668">
        <f t="shared" si="719"/>
        <v>0</v>
      </c>
      <c r="BU773" s="1830"/>
    </row>
    <row r="774" spans="37:73" s="655" customFormat="1" ht="12.75" x14ac:dyDescent="0.25">
      <c r="AK774" s="1828"/>
      <c r="AL774" s="2047">
        <v>8</v>
      </c>
      <c r="AM774" s="666" t="s">
        <v>1156</v>
      </c>
      <c r="AN774" s="893"/>
      <c r="AO774" s="496"/>
      <c r="AP774" s="667">
        <f>AP623-AN623</f>
        <v>30</v>
      </c>
      <c r="AQ774" s="496"/>
      <c r="AR774" s="496"/>
      <c r="AS774" s="667">
        <f>AS623-AP623</f>
        <v>0</v>
      </c>
      <c r="AT774" s="495"/>
      <c r="AU774" s="495"/>
      <c r="AV774" s="667">
        <f>AV623-AS623</f>
        <v>0</v>
      </c>
      <c r="AW774" s="496"/>
      <c r="AX774" s="500"/>
      <c r="AY774" s="667">
        <f>AY623-AS623</f>
        <v>0</v>
      </c>
      <c r="AZ774" s="496"/>
      <c r="BA774" s="500"/>
      <c r="BB774" s="667">
        <f>IF(OR($C$3=$L$913,$C$3=0),BB623-AY623,BB623-AV623)</f>
        <v>0</v>
      </c>
      <c r="BC774" s="496"/>
      <c r="BD774" s="500"/>
      <c r="BE774" s="668">
        <f>BE623-AY623</f>
        <v>0</v>
      </c>
      <c r="BF774" s="668">
        <f t="shared" ref="BF774:BT774" si="720">BF623-BE623</f>
        <v>0</v>
      </c>
      <c r="BG774" s="668">
        <f t="shared" si="720"/>
        <v>0</v>
      </c>
      <c r="BH774" s="668">
        <f t="shared" si="720"/>
        <v>0</v>
      </c>
      <c r="BI774" s="668">
        <f t="shared" si="720"/>
        <v>0</v>
      </c>
      <c r="BJ774" s="668">
        <f t="shared" si="720"/>
        <v>0</v>
      </c>
      <c r="BK774" s="668">
        <f t="shared" si="720"/>
        <v>0</v>
      </c>
      <c r="BL774" s="668">
        <f t="shared" si="720"/>
        <v>0</v>
      </c>
      <c r="BM774" s="668">
        <f t="shared" si="720"/>
        <v>0</v>
      </c>
      <c r="BN774" s="668">
        <f t="shared" si="720"/>
        <v>0</v>
      </c>
      <c r="BO774" s="668">
        <f t="shared" si="720"/>
        <v>0</v>
      </c>
      <c r="BP774" s="668">
        <f t="shared" si="720"/>
        <v>0</v>
      </c>
      <c r="BQ774" s="668">
        <f t="shared" si="720"/>
        <v>0</v>
      </c>
      <c r="BR774" s="668">
        <f t="shared" si="720"/>
        <v>0</v>
      </c>
      <c r="BS774" s="668">
        <f t="shared" si="720"/>
        <v>0</v>
      </c>
      <c r="BT774" s="668">
        <f t="shared" si="720"/>
        <v>0</v>
      </c>
      <c r="BU774" s="1830"/>
    </row>
    <row r="775" spans="37:73" s="496" customFormat="1" ht="12.75" x14ac:dyDescent="0.25">
      <c r="AK775" s="2048"/>
      <c r="AL775" s="2049" t="s">
        <v>1157</v>
      </c>
      <c r="AM775" s="670" t="s">
        <v>1158</v>
      </c>
      <c r="AN775" s="894"/>
      <c r="AO775" s="675"/>
      <c r="AP775" s="671">
        <f>AP624-AN624</f>
        <v>60</v>
      </c>
      <c r="AQ775" s="675"/>
      <c r="AR775" s="675"/>
      <c r="AS775" s="671">
        <f>AS624-AP624</f>
        <v>0</v>
      </c>
      <c r="AT775" s="895"/>
      <c r="AU775" s="895"/>
      <c r="AV775" s="671">
        <f>AV624-AS624</f>
        <v>0</v>
      </c>
      <c r="AW775" s="675"/>
      <c r="AX775" s="673"/>
      <c r="AY775" s="671">
        <f>AY624-AS624</f>
        <v>0</v>
      </c>
      <c r="AZ775" s="675"/>
      <c r="BA775" s="673"/>
      <c r="BB775" s="671">
        <f>IF(OR($C$3=$L$913,$C$3=0),BB624-AY624,BB624-AV624)</f>
        <v>0</v>
      </c>
      <c r="BC775" s="675"/>
      <c r="BD775" s="673"/>
      <c r="BE775" s="674">
        <f>BE624-AY624</f>
        <v>0</v>
      </c>
      <c r="BF775" s="674">
        <f t="shared" ref="BF775:BT775" si="721">BF624-BE624</f>
        <v>0</v>
      </c>
      <c r="BG775" s="674">
        <f t="shared" si="721"/>
        <v>0</v>
      </c>
      <c r="BH775" s="674">
        <f t="shared" si="721"/>
        <v>0</v>
      </c>
      <c r="BI775" s="674">
        <f t="shared" si="721"/>
        <v>0</v>
      </c>
      <c r="BJ775" s="674">
        <f t="shared" si="721"/>
        <v>0</v>
      </c>
      <c r="BK775" s="674">
        <f t="shared" si="721"/>
        <v>0</v>
      </c>
      <c r="BL775" s="674">
        <f t="shared" si="721"/>
        <v>0</v>
      </c>
      <c r="BM775" s="674">
        <f t="shared" si="721"/>
        <v>0</v>
      </c>
      <c r="BN775" s="674">
        <f t="shared" si="721"/>
        <v>0</v>
      </c>
      <c r="BO775" s="674">
        <f t="shared" si="721"/>
        <v>0</v>
      </c>
      <c r="BP775" s="674">
        <f t="shared" si="721"/>
        <v>0</v>
      </c>
      <c r="BQ775" s="674">
        <f t="shared" si="721"/>
        <v>0</v>
      </c>
      <c r="BR775" s="674">
        <f t="shared" si="721"/>
        <v>0</v>
      </c>
      <c r="BS775" s="674">
        <f t="shared" si="721"/>
        <v>0</v>
      </c>
      <c r="BT775" s="674">
        <f t="shared" si="721"/>
        <v>0</v>
      </c>
      <c r="BU775" s="2050"/>
    </row>
    <row r="776" spans="37:73" s="632" customFormat="1" ht="12.75" x14ac:dyDescent="0.25">
      <c r="AK776" s="2048"/>
      <c r="AL776" s="2049" t="s">
        <v>1159</v>
      </c>
      <c r="AM776" s="670" t="s">
        <v>1160</v>
      </c>
      <c r="AN776" s="894"/>
      <c r="AO776" s="675"/>
      <c r="AP776" s="671">
        <f>AP625-AN625-(AP678-AN678)</f>
        <v>40</v>
      </c>
      <c r="AQ776" s="675"/>
      <c r="AR776" s="675"/>
      <c r="AS776" s="671">
        <f>AS625-AP625-(AS678-AP678)</f>
        <v>0</v>
      </c>
      <c r="AT776" s="895"/>
      <c r="AU776" s="895"/>
      <c r="AV776" s="671">
        <f>AV625-AS625-(AV678-AS678)</f>
        <v>0</v>
      </c>
      <c r="AW776" s="675"/>
      <c r="AX776" s="676"/>
      <c r="AY776" s="671">
        <f>AY625-AS625-(AY678-AS678)</f>
        <v>0</v>
      </c>
      <c r="AZ776" s="675"/>
      <c r="BA776" s="676"/>
      <c r="BB776" s="671">
        <f>IF(OR($C$3=$L$913,$C$3=0),BB625-AY625-(BB678-AY678),BB625-AV625-(BB678-AV678))</f>
        <v>0</v>
      </c>
      <c r="BC776" s="675"/>
      <c r="BD776" s="676"/>
      <c r="BE776" s="674">
        <f>BE625-AY625-(BE678-AY678)</f>
        <v>0</v>
      </c>
      <c r="BF776" s="674">
        <f t="shared" ref="BF776:BT776" si="722">BF625-BE625-(BF678-BE678)</f>
        <v>0</v>
      </c>
      <c r="BG776" s="674">
        <f t="shared" si="722"/>
        <v>0</v>
      </c>
      <c r="BH776" s="674">
        <f t="shared" si="722"/>
        <v>0</v>
      </c>
      <c r="BI776" s="674">
        <f t="shared" si="722"/>
        <v>0</v>
      </c>
      <c r="BJ776" s="674">
        <f t="shared" si="722"/>
        <v>0</v>
      </c>
      <c r="BK776" s="674">
        <f t="shared" si="722"/>
        <v>0</v>
      </c>
      <c r="BL776" s="674">
        <f t="shared" si="722"/>
        <v>0</v>
      </c>
      <c r="BM776" s="674">
        <f t="shared" si="722"/>
        <v>0</v>
      </c>
      <c r="BN776" s="674">
        <f t="shared" si="722"/>
        <v>0</v>
      </c>
      <c r="BO776" s="674">
        <f t="shared" si="722"/>
        <v>0</v>
      </c>
      <c r="BP776" s="674">
        <f t="shared" si="722"/>
        <v>0</v>
      </c>
      <c r="BQ776" s="674">
        <f t="shared" si="722"/>
        <v>0</v>
      </c>
      <c r="BR776" s="674">
        <f t="shared" si="722"/>
        <v>0</v>
      </c>
      <c r="BS776" s="674">
        <f t="shared" si="722"/>
        <v>0</v>
      </c>
      <c r="BT776" s="674">
        <f t="shared" si="722"/>
        <v>0</v>
      </c>
      <c r="BU776" s="2050"/>
    </row>
    <row r="777" spans="37:73" s="632" customFormat="1" ht="12.75" x14ac:dyDescent="0.25">
      <c r="AK777" s="2048"/>
      <c r="AL777" s="2049" t="s">
        <v>1161</v>
      </c>
      <c r="AM777" s="670" t="s">
        <v>1162</v>
      </c>
      <c r="AN777" s="897"/>
      <c r="AO777" s="675"/>
      <c r="AP777" s="671">
        <f>AP627-AN627</f>
        <v>120</v>
      </c>
      <c r="AQ777" s="675"/>
      <c r="AR777" s="675"/>
      <c r="AS777" s="671">
        <f>AS627-AP627</f>
        <v>0</v>
      </c>
      <c r="AT777" s="895"/>
      <c r="AU777" s="895"/>
      <c r="AV777" s="671">
        <f>AV627-AS627</f>
        <v>0</v>
      </c>
      <c r="AW777" s="675"/>
      <c r="AX777" s="673"/>
      <c r="AY777" s="671">
        <f>AY627-AS627</f>
        <v>0</v>
      </c>
      <c r="AZ777" s="675"/>
      <c r="BA777" s="673"/>
      <c r="BB777" s="671">
        <f>IF(OR($C$3=$L$913,$C$3=0),BB627-AY627,BB627-AV627)</f>
        <v>0</v>
      </c>
      <c r="BC777" s="675"/>
      <c r="BD777" s="673"/>
      <c r="BE777" s="674">
        <f>BE627-AY627</f>
        <v>0</v>
      </c>
      <c r="BF777" s="674">
        <f t="shared" ref="BF777:BT777" si="723">BF627-BE627</f>
        <v>0</v>
      </c>
      <c r="BG777" s="674">
        <f t="shared" si="723"/>
        <v>0</v>
      </c>
      <c r="BH777" s="674">
        <f t="shared" si="723"/>
        <v>0</v>
      </c>
      <c r="BI777" s="674">
        <f t="shared" si="723"/>
        <v>0</v>
      </c>
      <c r="BJ777" s="674">
        <f t="shared" si="723"/>
        <v>0</v>
      </c>
      <c r="BK777" s="674">
        <f t="shared" si="723"/>
        <v>0</v>
      </c>
      <c r="BL777" s="674">
        <f t="shared" si="723"/>
        <v>0</v>
      </c>
      <c r="BM777" s="674">
        <f t="shared" si="723"/>
        <v>0</v>
      </c>
      <c r="BN777" s="674">
        <f t="shared" si="723"/>
        <v>0</v>
      </c>
      <c r="BO777" s="674">
        <f t="shared" si="723"/>
        <v>0</v>
      </c>
      <c r="BP777" s="674">
        <f t="shared" si="723"/>
        <v>0</v>
      </c>
      <c r="BQ777" s="674">
        <f t="shared" si="723"/>
        <v>0</v>
      </c>
      <c r="BR777" s="674">
        <f t="shared" si="723"/>
        <v>0</v>
      </c>
      <c r="BS777" s="674">
        <f t="shared" si="723"/>
        <v>0</v>
      </c>
      <c r="BT777" s="674">
        <f t="shared" si="723"/>
        <v>0</v>
      </c>
      <c r="BU777" s="2050"/>
    </row>
    <row r="778" spans="37:73" s="632" customFormat="1" ht="12.75" x14ac:dyDescent="0.25">
      <c r="AK778" s="2035"/>
      <c r="AL778" s="2034">
        <v>9</v>
      </c>
      <c r="AM778" s="705" t="s">
        <v>1163</v>
      </c>
      <c r="AN778" s="897"/>
      <c r="AO778" s="655"/>
      <c r="AP778" s="2051">
        <f>SUM(AP775:AP777)</f>
        <v>220</v>
      </c>
      <c r="AQ778" s="655"/>
      <c r="AR778" s="655"/>
      <c r="AS778" s="706">
        <f>SUM(AS775:AS777)</f>
        <v>0</v>
      </c>
      <c r="AT778" s="886"/>
      <c r="AU778" s="886"/>
      <c r="AV778" s="706">
        <f>SUM(AV775:AV777)</f>
        <v>0</v>
      </c>
      <c r="AW778" s="655"/>
      <c r="AX778" s="680"/>
      <c r="AY778" s="706">
        <f>SUM(AY775:AY777)</f>
        <v>0</v>
      </c>
      <c r="AZ778" s="655"/>
      <c r="BA778" s="680"/>
      <c r="BB778" s="706">
        <f>SUM(BB775:BB777)</f>
        <v>0</v>
      </c>
      <c r="BC778" s="655"/>
      <c r="BD778" s="680"/>
      <c r="BE778" s="704">
        <f t="shared" ref="BE778:BT778" si="724">SUM(BE775:BE777)</f>
        <v>0</v>
      </c>
      <c r="BF778" s="704">
        <f t="shared" si="724"/>
        <v>0</v>
      </c>
      <c r="BG778" s="704">
        <f t="shared" si="724"/>
        <v>0</v>
      </c>
      <c r="BH778" s="704">
        <f t="shared" si="724"/>
        <v>0</v>
      </c>
      <c r="BI778" s="704">
        <f t="shared" si="724"/>
        <v>0</v>
      </c>
      <c r="BJ778" s="704">
        <f t="shared" si="724"/>
        <v>0</v>
      </c>
      <c r="BK778" s="704">
        <f t="shared" si="724"/>
        <v>0</v>
      </c>
      <c r="BL778" s="704">
        <f t="shared" si="724"/>
        <v>0</v>
      </c>
      <c r="BM778" s="704">
        <f t="shared" si="724"/>
        <v>0</v>
      </c>
      <c r="BN778" s="704">
        <f t="shared" si="724"/>
        <v>0</v>
      </c>
      <c r="BO778" s="704">
        <f t="shared" si="724"/>
        <v>0</v>
      </c>
      <c r="BP778" s="704">
        <f t="shared" si="724"/>
        <v>0</v>
      </c>
      <c r="BQ778" s="704">
        <f t="shared" si="724"/>
        <v>0</v>
      </c>
      <c r="BR778" s="704">
        <f t="shared" si="724"/>
        <v>0</v>
      </c>
      <c r="BS778" s="704">
        <f t="shared" si="724"/>
        <v>0</v>
      </c>
      <c r="BT778" s="704">
        <f t="shared" si="724"/>
        <v>0</v>
      </c>
      <c r="BU778" s="2041"/>
    </row>
    <row r="779" spans="37:73" s="632" customFormat="1" ht="12.75" x14ac:dyDescent="0.25">
      <c r="AK779" s="2035"/>
      <c r="AL779" s="2052"/>
      <c r="AM779" s="2044" t="s">
        <v>1164</v>
      </c>
      <c r="AN779" s="2045"/>
      <c r="AO779" s="686"/>
      <c r="AP779" s="2053">
        <f>SUM(AP771:AP774)+AP778+AP822+AP823</f>
        <v>-290</v>
      </c>
      <c r="AQ779" s="686"/>
      <c r="AR779" s="686"/>
      <c r="AS779" s="2054">
        <f>SUM(AS771:AS774)+AS778+AS822+AS823</f>
        <v>0</v>
      </c>
      <c r="AT779" s="901"/>
      <c r="AU779" s="901"/>
      <c r="AV779" s="2054">
        <f>SUM(AV771:AV774)+AV778+AV822+AV823</f>
        <v>0</v>
      </c>
      <c r="AW779" s="686"/>
      <c r="AX779" s="685"/>
      <c r="AY779" s="2054">
        <f>SUM(AY771:AY774)+AY778+AY822+AY823</f>
        <v>0</v>
      </c>
      <c r="AZ779" s="686"/>
      <c r="BA779" s="685"/>
      <c r="BB779" s="2054">
        <f>SUM(BB771:BB774)+BB778+BB822+BB823</f>
        <v>0</v>
      </c>
      <c r="BC779" s="686"/>
      <c r="BD779" s="685"/>
      <c r="BE779" s="2046">
        <f t="shared" ref="BE779:BT779" si="725">SUM(BE771:BE774)+BE778+BE822+BE823</f>
        <v>-7.1054273576010019E-14</v>
      </c>
      <c r="BF779" s="2046">
        <f t="shared" si="725"/>
        <v>0</v>
      </c>
      <c r="BG779" s="2046">
        <f t="shared" si="725"/>
        <v>0</v>
      </c>
      <c r="BH779" s="2046">
        <f t="shared" si="725"/>
        <v>0</v>
      </c>
      <c r="BI779" s="2046">
        <f t="shared" si="725"/>
        <v>0</v>
      </c>
      <c r="BJ779" s="2046">
        <f t="shared" si="725"/>
        <v>0</v>
      </c>
      <c r="BK779" s="2046">
        <f t="shared" si="725"/>
        <v>0</v>
      </c>
      <c r="BL779" s="2046">
        <f t="shared" si="725"/>
        <v>0</v>
      </c>
      <c r="BM779" s="2046">
        <f t="shared" si="725"/>
        <v>0</v>
      </c>
      <c r="BN779" s="2046">
        <f t="shared" si="725"/>
        <v>0</v>
      </c>
      <c r="BO779" s="2046">
        <f t="shared" si="725"/>
        <v>0</v>
      </c>
      <c r="BP779" s="2046">
        <f t="shared" si="725"/>
        <v>0</v>
      </c>
      <c r="BQ779" s="2046">
        <f t="shared" si="725"/>
        <v>0</v>
      </c>
      <c r="BR779" s="2046">
        <f t="shared" si="725"/>
        <v>0</v>
      </c>
      <c r="BS779" s="2046">
        <f t="shared" si="725"/>
        <v>0</v>
      </c>
      <c r="BT779" s="2046">
        <f t="shared" si="725"/>
        <v>0</v>
      </c>
      <c r="BU779" s="2041"/>
    </row>
    <row r="780" spans="37:73" s="698" customFormat="1" ht="12.75" x14ac:dyDescent="0.25">
      <c r="AK780" s="1828"/>
      <c r="AL780" s="507"/>
      <c r="AM780" s="2055" t="s">
        <v>1165</v>
      </c>
      <c r="AN780" s="2056"/>
      <c r="AO780" s="632"/>
      <c r="AP780" s="2057">
        <f>AP770+AP779</f>
        <v>2560</v>
      </c>
      <c r="AQ780" s="496"/>
      <c r="AR780" s="496"/>
      <c r="AS780" s="2057">
        <f>AS770+AS779</f>
        <v>40</v>
      </c>
      <c r="AT780" s="495"/>
      <c r="AU780" s="495"/>
      <c r="AV780" s="2057">
        <f>AV770+AV779</f>
        <v>40</v>
      </c>
      <c r="AW780" s="496"/>
      <c r="AX780" s="500"/>
      <c r="AY780" s="2057">
        <f>AY770+AY779</f>
        <v>40</v>
      </c>
      <c r="AZ780" s="496"/>
      <c r="BA780" s="500"/>
      <c r="BB780" s="2057">
        <f>BB770+BB779</f>
        <v>40</v>
      </c>
      <c r="BC780" s="496"/>
      <c r="BD780" s="500"/>
      <c r="BE780" s="2058">
        <f t="shared" ref="BE780:BT780" si="726">BE770+BE779</f>
        <v>980.49999999999943</v>
      </c>
      <c r="BF780" s="2058">
        <f t="shared" si="726"/>
        <v>992.0920000000001</v>
      </c>
      <c r="BG780" s="2058">
        <f t="shared" si="726"/>
        <v>1005.0239999999999</v>
      </c>
      <c r="BH780" s="2058">
        <f t="shared" si="726"/>
        <v>1015.5439999999999</v>
      </c>
      <c r="BI780" s="2058">
        <f t="shared" si="726"/>
        <v>1028.7439999999997</v>
      </c>
      <c r="BJ780" s="2058">
        <f t="shared" si="726"/>
        <v>1041.9439999999995</v>
      </c>
      <c r="BK780" s="2058">
        <f t="shared" si="726"/>
        <v>1055.1440000000007</v>
      </c>
      <c r="BL780" s="2058">
        <f t="shared" si="726"/>
        <v>1068.3439999999987</v>
      </c>
      <c r="BM780" s="2058">
        <f t="shared" si="726"/>
        <v>1081.5440000000008</v>
      </c>
      <c r="BN780" s="2058">
        <f t="shared" si="726"/>
        <v>1094.7439999999988</v>
      </c>
      <c r="BO780" s="2058">
        <f t="shared" si="726"/>
        <v>1107.9440000000004</v>
      </c>
      <c r="BP780" s="2058">
        <f t="shared" si="726"/>
        <v>1121.1439999999989</v>
      </c>
      <c r="BQ780" s="2058">
        <f t="shared" si="726"/>
        <v>1134.3440000000005</v>
      </c>
      <c r="BR780" s="2058">
        <f t="shared" si="726"/>
        <v>1147.5439999999985</v>
      </c>
      <c r="BS780" s="2058">
        <f t="shared" si="726"/>
        <v>1160.7440000000006</v>
      </c>
      <c r="BT780" s="2058">
        <f t="shared" si="726"/>
        <v>1173.9439999999986</v>
      </c>
      <c r="BU780" s="1830"/>
    </row>
    <row r="781" spans="37:73" s="698" customFormat="1" ht="12" x14ac:dyDescent="0.25">
      <c r="AK781" s="2042"/>
      <c r="AL781" s="2059" t="s">
        <v>1166</v>
      </c>
      <c r="AM781" s="694" t="s">
        <v>1462</v>
      </c>
      <c r="AN781" s="893"/>
      <c r="AO781" s="632"/>
      <c r="AP781" s="667">
        <f>IF(AP619-AN619&lt;0,AP619-AN619,0)</f>
        <v>0</v>
      </c>
      <c r="AQ781" s="632"/>
      <c r="AR781" s="632"/>
      <c r="AS781" s="667">
        <f>IF(AS619-AP619&lt;0,AS619-AP619,0)</f>
        <v>0</v>
      </c>
      <c r="AT781" s="890"/>
      <c r="AU781" s="890"/>
      <c r="AV781" s="668">
        <f>IF(AV619-AS619&lt;0,AV619-AS619,0)</f>
        <v>0</v>
      </c>
      <c r="AW781" s="632"/>
      <c r="AX781" s="664"/>
      <c r="AY781" s="668">
        <f>IF(AY619-AS619&lt;0,AY619-AS619,0)</f>
        <v>0</v>
      </c>
      <c r="AZ781" s="632"/>
      <c r="BA781" s="664"/>
      <c r="BB781" s="668">
        <f>IF(OR($C$3=$L$913,$C$3=0),IF(BB619-AY619&lt;0,BB619-AY619,0),IF(BB619-AV619&lt;0,BB619-AV619,0))</f>
        <v>0</v>
      </c>
      <c r="BC781" s="632"/>
      <c r="BD781" s="664"/>
      <c r="BE781" s="2060">
        <f>IF(BE619-AY619&lt;0,BE619-AY619,0)</f>
        <v>-10</v>
      </c>
      <c r="BF781" s="674">
        <f t="shared" ref="BF781:BT781" si="727">IF(BF619-BE619&lt;0,BF619-BE619,0)</f>
        <v>0</v>
      </c>
      <c r="BG781" s="674">
        <f t="shared" si="727"/>
        <v>0</v>
      </c>
      <c r="BH781" s="674">
        <f t="shared" si="727"/>
        <v>0</v>
      </c>
      <c r="BI781" s="674">
        <f t="shared" si="727"/>
        <v>0</v>
      </c>
      <c r="BJ781" s="674">
        <f t="shared" si="727"/>
        <v>0</v>
      </c>
      <c r="BK781" s="674">
        <f t="shared" si="727"/>
        <v>0</v>
      </c>
      <c r="BL781" s="674">
        <f t="shared" si="727"/>
        <v>0</v>
      </c>
      <c r="BM781" s="674">
        <f t="shared" si="727"/>
        <v>0</v>
      </c>
      <c r="BN781" s="674">
        <f t="shared" si="727"/>
        <v>0</v>
      </c>
      <c r="BO781" s="674">
        <f t="shared" si="727"/>
        <v>0</v>
      </c>
      <c r="BP781" s="674">
        <f t="shared" si="727"/>
        <v>0</v>
      </c>
      <c r="BQ781" s="674">
        <f t="shared" si="727"/>
        <v>0</v>
      </c>
      <c r="BR781" s="674">
        <f t="shared" si="727"/>
        <v>0</v>
      </c>
      <c r="BS781" s="674">
        <f t="shared" si="727"/>
        <v>0</v>
      </c>
      <c r="BT781" s="674">
        <f t="shared" si="727"/>
        <v>0</v>
      </c>
      <c r="BU781" s="2043"/>
    </row>
    <row r="782" spans="37:73" s="496" customFormat="1" ht="12.75" x14ac:dyDescent="0.25">
      <c r="AK782" s="2042"/>
      <c r="AL782" s="2049" t="s">
        <v>1168</v>
      </c>
      <c r="AM782" s="694" t="s">
        <v>1463</v>
      </c>
      <c r="AN782" s="893"/>
      <c r="AO782" s="632"/>
      <c r="AP782" s="668">
        <f>IF(((AP633-AN633)+(AP634-AN634)+(AP620-AN620)+(AP621-AN621))&lt;0,(AP633-AN633)+(AP634-AN634)+(AP620-AN620)+(AP621-AN621),0)</f>
        <v>0</v>
      </c>
      <c r="AQ782" s="632"/>
      <c r="AR782" s="632"/>
      <c r="AS782" s="668">
        <f>IF(((AS633-AP633)+(AS634-AP634)+(AS620-AP620)+(AS621-AP621))&lt;0,(AS633-AP633)+(AS634-AP634)+(AS620-AP620)+(AS621-AP621),0)</f>
        <v>0</v>
      </c>
      <c r="AT782" s="890"/>
      <c r="AU782" s="890"/>
      <c r="AV782" s="668">
        <f>IF(((AV633-AS633)+(AV634-AS634)+(AV620-AS620)+(AV621-AS621))&lt;0,(AV633-AS633)+(AV634-AS634)+(AV620-AS620)+(AV621-AS621),0)</f>
        <v>0</v>
      </c>
      <c r="AW782" s="632"/>
      <c r="AX782" s="664"/>
      <c r="AY782" s="668">
        <f>IF(((AY633-AS633)+(AY634-AS634)+(AY620-AS620)+(AY621-AS621))&lt;0,(AY633-AS633)+(AY634-AS634)+(AY620-AS620)+(AY621-AS621),0)</f>
        <v>0</v>
      </c>
      <c r="AZ782" s="632"/>
      <c r="BA782" s="664"/>
      <c r="BB782" s="668">
        <f>IF(OR($C$3=$L$913,$C$3=0),IF(((BB633-AY633)+(BB634-AY634)+(BB620-AY620)+(BB621-AY621))&lt;0,(BB633-AY633)+(BB634-AY634)+(BB620-AY620)+(BB621-AY621),0),IF(((BB633-AV633)+(BB634-AV634)+(BB620-AV620)+(BB621-AV621))&lt;0,(BB633-AV633)+(BB634-AV634)+(BB620-AV620)+(BB621-AV621),0))</f>
        <v>0</v>
      </c>
      <c r="BC782" s="632"/>
      <c r="BD782" s="664"/>
      <c r="BE782" s="2060">
        <f>-SUM($T$249,$T$261,$T$275,$T$313,$T$323,$T$333)</f>
        <v>0</v>
      </c>
      <c r="BF782" s="674">
        <f>-SUM($U$249,$U$261,$U$275,$U$313,$U$323,$U$333)</f>
        <v>0</v>
      </c>
      <c r="BG782" s="674">
        <f>-SUM($V$249,$V$261,$V$275,$V$313,$V$323,$V$333)</f>
        <v>0</v>
      </c>
      <c r="BH782" s="674">
        <f>-SUM($W$249,$W$261,$W$275,$W$313,$W$323,$W$333)</f>
        <v>0</v>
      </c>
      <c r="BI782" s="674">
        <f>-SUM($X$249,$X$261,$X$275,$X$313,$X$323,$X$333)</f>
        <v>0</v>
      </c>
      <c r="BJ782" s="674">
        <f>-SUM($Y$249,$Y$261,$Y$275,$Y$313,$Y$323,$Y$333)</f>
        <v>0</v>
      </c>
      <c r="BK782" s="674">
        <f>-SUM($Z$249,$Z$261,$Z$275,$Z$313,$Z$323,$Z$333)</f>
        <v>0</v>
      </c>
      <c r="BL782" s="674">
        <f>-SUM($AA$249,$AA$261,$AA$275,$AA$313,$AA$323,$AA$333)</f>
        <v>0</v>
      </c>
      <c r="BM782" s="674">
        <f>-SUM($AB$249,$AB$261,$AB$275,$AB$313,$AB$323,$AB$333)</f>
        <v>0</v>
      </c>
      <c r="BN782" s="674">
        <f>-SUM($AC$249,$AC$261,$AC$275,$AC$313,$AC$323,$AC$333)</f>
        <v>0</v>
      </c>
      <c r="BO782" s="674">
        <f>-SUM($AD$249,$AD$261,$AD$275,$AD$313,$AD$323,$AD$333)</f>
        <v>0</v>
      </c>
      <c r="BP782" s="674">
        <f>-SUM($AE$249,$AE$261,$AE$275,$AE$313,$AE$323,$AE$333)</f>
        <v>0</v>
      </c>
      <c r="BQ782" s="674">
        <f>-SUM($AF$249,$AF$261,$AF$275,$AF$313,$AF$323,$AF$333)</f>
        <v>0</v>
      </c>
      <c r="BR782" s="674">
        <f>-SUM($AG$249,$AG$261,$AG$275,$AG$313,$AG$323,$AG$333)</f>
        <v>0</v>
      </c>
      <c r="BS782" s="674">
        <f>-SUM($AH$249,$AH$261,$AH$275,$AH$313,$AH$323,$AH$333)</f>
        <v>0</v>
      </c>
      <c r="BT782" s="674">
        <f>-SUM($AI$249,$AI$261,$AI$275,$AI$313,$AI$323,$AI$333)</f>
        <v>0</v>
      </c>
      <c r="BU782" s="2043"/>
    </row>
    <row r="783" spans="37:73" s="496" customFormat="1" ht="12.75" x14ac:dyDescent="0.25">
      <c r="AK783" s="2042"/>
      <c r="AL783" s="2049" t="s">
        <v>1170</v>
      </c>
      <c r="AM783" s="694" t="s">
        <v>1171</v>
      </c>
      <c r="AN783" s="893"/>
      <c r="AO783" s="632"/>
      <c r="AP783" s="668">
        <f>IF(((AP635-AN635)+(AP622-AN622))&lt;0,(AP635-AN635)+(AP622-AN622),0)</f>
        <v>0</v>
      </c>
      <c r="AQ783" s="632"/>
      <c r="AR783" s="632"/>
      <c r="AS783" s="668">
        <f>IF(((AS635-AP635)+(AS622-AP622))&lt;0,(AS635-AP635)+(AS622-AP622),0)</f>
        <v>0</v>
      </c>
      <c r="AT783" s="890"/>
      <c r="AU783" s="890"/>
      <c r="AV783" s="668">
        <f>IF(((AV635-AS635)+(AV622-AS622))&lt;0,(AV635-AS635)+(AV622-AS622),0)</f>
        <v>0</v>
      </c>
      <c r="AW783" s="632"/>
      <c r="AX783" s="664"/>
      <c r="AY783" s="668">
        <f>IF(((AY635-AS635)+(AY622-AS622))&lt;0,(AY635-AS635)+(AY622-AS622),0)</f>
        <v>0</v>
      </c>
      <c r="AZ783" s="632"/>
      <c r="BA783" s="664"/>
      <c r="BB783" s="668">
        <f>IF(((BB635-AY635)+(BB622-AY622))&lt;0,(BB635-AY635)+(BB622-AY622),0)</f>
        <v>0</v>
      </c>
      <c r="BC783" s="632"/>
      <c r="BD783" s="664"/>
      <c r="BE783" s="2060">
        <f>-SUM($T$353,$T$363,$T$373)</f>
        <v>0</v>
      </c>
      <c r="BF783" s="674">
        <f>-SUM($U$353,$U$363,$U$373)</f>
        <v>0</v>
      </c>
      <c r="BG783" s="674">
        <f>-SUM($V$353,$V$363,$V$373)</f>
        <v>0</v>
      </c>
      <c r="BH783" s="674">
        <f>-SUM($W$353,$W$363,$W$373)</f>
        <v>0</v>
      </c>
      <c r="BI783" s="674">
        <f>-SUM($X$353,$X$363,$X$373)</f>
        <v>0</v>
      </c>
      <c r="BJ783" s="674">
        <f>-SUM($Y$353,$Y$363,$Y$373)</f>
        <v>0</v>
      </c>
      <c r="BK783" s="674">
        <f>-SUM($Z$353,$Z$363,$Z$373)</f>
        <v>0</v>
      </c>
      <c r="BL783" s="674">
        <f>-SUM($AA$353,$AA$363,$AA$373)</f>
        <v>0</v>
      </c>
      <c r="BM783" s="674">
        <f>-SUM($AB$353,$AB$363,$AB$373)</f>
        <v>0</v>
      </c>
      <c r="BN783" s="674">
        <f>-SUM($AC$353,$AC$363,$AC$373)</f>
        <v>0</v>
      </c>
      <c r="BO783" s="674">
        <f>-SUM($AD$353,$AD$363,$AD$373)</f>
        <v>0</v>
      </c>
      <c r="BP783" s="674">
        <f>-SUM($AE$353,$AE$363,$AE$373)</f>
        <v>0</v>
      </c>
      <c r="BQ783" s="674">
        <f>-SUM($AF$353,$AF$363,$AF$373)</f>
        <v>0</v>
      </c>
      <c r="BR783" s="674">
        <f>-SUM($AG$353,$AG$363,$AG$373)</f>
        <v>0</v>
      </c>
      <c r="BS783" s="674">
        <f>-SUM($AH$353,$AH$363,$AH$373)</f>
        <v>0</v>
      </c>
      <c r="BT783" s="674">
        <f>-SUM($AI$353,$AI$363,$AI$373)</f>
        <v>0</v>
      </c>
      <c r="BU783" s="2043"/>
    </row>
    <row r="784" spans="37:73" s="496" customFormat="1" ht="12.75" x14ac:dyDescent="0.25">
      <c r="AK784" s="2042"/>
      <c r="AL784" s="2049" t="s">
        <v>1172</v>
      </c>
      <c r="AM784" s="670" t="s">
        <v>1464</v>
      </c>
      <c r="AN784" s="904"/>
      <c r="AO784" s="632"/>
      <c r="AP784" s="668">
        <f>IF(AP667&lt;0,-AP665+AP667,-AP665)</f>
        <v>-10</v>
      </c>
      <c r="AQ784" s="632"/>
      <c r="AR784" s="632"/>
      <c r="AS784" s="668">
        <f>IF(AS667&lt;0,-AS665+AS667,-AS665)</f>
        <v>-10</v>
      </c>
      <c r="AT784" s="890"/>
      <c r="AU784" s="890"/>
      <c r="AV784" s="668">
        <f>IF(AV667&lt;0,-AV665+AV667,-AV665)</f>
        <v>-10</v>
      </c>
      <c r="AW784" s="632"/>
      <c r="AX784" s="664"/>
      <c r="AY784" s="668">
        <f>IF(AY667&lt;0,-AY665+AY667,-AY665)</f>
        <v>-10</v>
      </c>
      <c r="AZ784" s="632"/>
      <c r="BA784" s="664"/>
      <c r="BB784" s="668">
        <f>IF(BB667&lt;0,-BB665+BB667,-BB665)</f>
        <v>-10</v>
      </c>
      <c r="BC784" s="632"/>
      <c r="BD784" s="664"/>
      <c r="BE784" s="674">
        <f t="shared" ref="BE784:BT784" si="728">IF(BE667&lt;0,-BE665+BE667,-BE665)</f>
        <v>-7.6000000000000014</v>
      </c>
      <c r="BF784" s="674">
        <f t="shared" si="728"/>
        <v>-7.2000000000000011</v>
      </c>
      <c r="BG784" s="674">
        <f t="shared" si="728"/>
        <v>-3.2000000000000006</v>
      </c>
      <c r="BH784" s="674">
        <f t="shared" si="728"/>
        <v>-3.2000000000000006</v>
      </c>
      <c r="BI784" s="674">
        <f t="shared" si="728"/>
        <v>-3.2000000000000006</v>
      </c>
      <c r="BJ784" s="674">
        <f t="shared" si="728"/>
        <v>-3.2000000000000006</v>
      </c>
      <c r="BK784" s="674">
        <f t="shared" si="728"/>
        <v>-3.2000000000000006</v>
      </c>
      <c r="BL784" s="674">
        <f t="shared" si="728"/>
        <v>-3.2000000000000006</v>
      </c>
      <c r="BM784" s="674">
        <f t="shared" si="728"/>
        <v>-3.2000000000000006</v>
      </c>
      <c r="BN784" s="674">
        <f t="shared" si="728"/>
        <v>-3.2000000000000006</v>
      </c>
      <c r="BO784" s="674">
        <f t="shared" si="728"/>
        <v>-3.2000000000000006</v>
      </c>
      <c r="BP784" s="674">
        <f t="shared" si="728"/>
        <v>-3.2000000000000006</v>
      </c>
      <c r="BQ784" s="674">
        <f t="shared" si="728"/>
        <v>-3.2000000000000006</v>
      </c>
      <c r="BR784" s="674">
        <f t="shared" si="728"/>
        <v>-3.2000000000000006</v>
      </c>
      <c r="BS784" s="674">
        <f t="shared" si="728"/>
        <v>-3.2000000000000006</v>
      </c>
      <c r="BT784" s="674">
        <f t="shared" si="728"/>
        <v>-3.2000000000000006</v>
      </c>
      <c r="BU784" s="2043"/>
    </row>
    <row r="785" spans="37:73" s="675" customFormat="1" ht="12.75" x14ac:dyDescent="0.25">
      <c r="AK785" s="2061"/>
      <c r="AL785" s="2034">
        <v>10</v>
      </c>
      <c r="AM785" s="705" t="s">
        <v>1174</v>
      </c>
      <c r="AN785" s="897"/>
      <c r="AO785" s="698"/>
      <c r="AP785" s="704">
        <f>SUM(AP781:AP784)</f>
        <v>-10</v>
      </c>
      <c r="AQ785" s="698"/>
      <c r="AR785" s="698"/>
      <c r="AS785" s="704">
        <f>SUM(AS781:AS784)</f>
        <v>-10</v>
      </c>
      <c r="AT785" s="905"/>
      <c r="AU785" s="905"/>
      <c r="AV785" s="704">
        <f>SUM(AV781:AV784)</f>
        <v>-10</v>
      </c>
      <c r="AW785" s="698"/>
      <c r="AX785" s="697"/>
      <c r="AY785" s="704">
        <f>SUM(AY781:AY784)</f>
        <v>-10</v>
      </c>
      <c r="AZ785" s="698"/>
      <c r="BA785" s="697"/>
      <c r="BB785" s="704">
        <f>SUM(BB781:BB784)</f>
        <v>-10</v>
      </c>
      <c r="BC785" s="698"/>
      <c r="BD785" s="697"/>
      <c r="BE785" s="704">
        <f t="shared" ref="BE785:BT785" si="729">SUM(BE781:BE784)</f>
        <v>-17.600000000000001</v>
      </c>
      <c r="BF785" s="704">
        <f t="shared" si="729"/>
        <v>-7.2000000000000011</v>
      </c>
      <c r="BG785" s="704">
        <f t="shared" si="729"/>
        <v>-3.2000000000000006</v>
      </c>
      <c r="BH785" s="704">
        <f t="shared" si="729"/>
        <v>-3.2000000000000006</v>
      </c>
      <c r="BI785" s="704">
        <f t="shared" si="729"/>
        <v>-3.2000000000000006</v>
      </c>
      <c r="BJ785" s="704">
        <f t="shared" si="729"/>
        <v>-3.2000000000000006</v>
      </c>
      <c r="BK785" s="704">
        <f t="shared" si="729"/>
        <v>-3.2000000000000006</v>
      </c>
      <c r="BL785" s="704">
        <f t="shared" si="729"/>
        <v>-3.2000000000000006</v>
      </c>
      <c r="BM785" s="704">
        <f t="shared" si="729"/>
        <v>-3.2000000000000006</v>
      </c>
      <c r="BN785" s="704">
        <f t="shared" si="729"/>
        <v>-3.2000000000000006</v>
      </c>
      <c r="BO785" s="704">
        <f t="shared" si="729"/>
        <v>-3.2000000000000006</v>
      </c>
      <c r="BP785" s="704">
        <f t="shared" si="729"/>
        <v>-3.2000000000000006</v>
      </c>
      <c r="BQ785" s="704">
        <f t="shared" si="729"/>
        <v>-3.2000000000000006</v>
      </c>
      <c r="BR785" s="704">
        <f t="shared" si="729"/>
        <v>-3.2000000000000006</v>
      </c>
      <c r="BS785" s="704">
        <f t="shared" si="729"/>
        <v>-3.2000000000000006</v>
      </c>
      <c r="BT785" s="704">
        <f t="shared" si="729"/>
        <v>-3.2000000000000006</v>
      </c>
      <c r="BU785" s="2062"/>
    </row>
    <row r="786" spans="37:73" s="675" customFormat="1" ht="12.75" x14ac:dyDescent="0.25">
      <c r="AK786" s="2061"/>
      <c r="AL786" s="2063"/>
      <c r="AM786" s="2055" t="s">
        <v>1175</v>
      </c>
      <c r="AN786" s="2064"/>
      <c r="AO786" s="702"/>
      <c r="AP786" s="2058">
        <f>AP780+AP785</f>
        <v>2550</v>
      </c>
      <c r="AQ786" s="702"/>
      <c r="AR786" s="702"/>
      <c r="AS786" s="2058">
        <f>AS780+AS785</f>
        <v>30</v>
      </c>
      <c r="AT786" s="908"/>
      <c r="AU786" s="908"/>
      <c r="AV786" s="2058">
        <f>AV780+AV785</f>
        <v>30</v>
      </c>
      <c r="AW786" s="702"/>
      <c r="AX786" s="701"/>
      <c r="AY786" s="2058">
        <f>AY780+AY785</f>
        <v>30</v>
      </c>
      <c r="AZ786" s="702"/>
      <c r="BA786" s="701"/>
      <c r="BB786" s="2058">
        <f>BB780+BB785</f>
        <v>30</v>
      </c>
      <c r="BC786" s="702"/>
      <c r="BD786" s="701"/>
      <c r="BE786" s="2058">
        <f t="shared" ref="BE786:BT786" si="730">BE780+BE785</f>
        <v>962.89999999999941</v>
      </c>
      <c r="BF786" s="2058">
        <f t="shared" si="730"/>
        <v>984.89200000000005</v>
      </c>
      <c r="BG786" s="2058">
        <f t="shared" si="730"/>
        <v>1001.8239999999998</v>
      </c>
      <c r="BH786" s="2058">
        <f t="shared" si="730"/>
        <v>1012.3439999999998</v>
      </c>
      <c r="BI786" s="2058">
        <f t="shared" si="730"/>
        <v>1025.5439999999996</v>
      </c>
      <c r="BJ786" s="2058">
        <f t="shared" si="730"/>
        <v>1038.7439999999995</v>
      </c>
      <c r="BK786" s="2058">
        <f t="shared" si="730"/>
        <v>1051.9440000000006</v>
      </c>
      <c r="BL786" s="2058">
        <f t="shared" si="730"/>
        <v>1065.1439999999986</v>
      </c>
      <c r="BM786" s="2058">
        <f t="shared" si="730"/>
        <v>1078.3440000000007</v>
      </c>
      <c r="BN786" s="2058">
        <f t="shared" si="730"/>
        <v>1091.5439999999987</v>
      </c>
      <c r="BO786" s="2058">
        <f t="shared" si="730"/>
        <v>1104.7440000000004</v>
      </c>
      <c r="BP786" s="2058">
        <f t="shared" si="730"/>
        <v>1117.9439999999988</v>
      </c>
      <c r="BQ786" s="2058">
        <f t="shared" si="730"/>
        <v>1131.1440000000005</v>
      </c>
      <c r="BR786" s="2058">
        <f t="shared" si="730"/>
        <v>1144.3439999999985</v>
      </c>
      <c r="BS786" s="2058">
        <f t="shared" si="730"/>
        <v>1157.5440000000006</v>
      </c>
      <c r="BT786" s="2058">
        <f t="shared" si="730"/>
        <v>1170.7439999999986</v>
      </c>
      <c r="BU786" s="2062"/>
    </row>
    <row r="787" spans="37:73" s="675" customFormat="1" ht="12.75" x14ac:dyDescent="0.25">
      <c r="AK787" s="1828"/>
      <c r="AL787" s="2029">
        <v>11</v>
      </c>
      <c r="AM787" s="666" t="s">
        <v>1176</v>
      </c>
      <c r="AN787" s="893"/>
      <c r="AO787" s="496"/>
      <c r="AP787" s="667">
        <f>IF(AP619-AN619&gt;=0,AP619-AN619,0)</f>
        <v>10</v>
      </c>
      <c r="AQ787" s="496"/>
      <c r="AR787" s="496"/>
      <c r="AS787" s="667">
        <f>IF(AS619-AP619&gt;=0,AS619-AP619,0)</f>
        <v>0</v>
      </c>
      <c r="AT787" s="495"/>
      <c r="AU787" s="495"/>
      <c r="AV787" s="667">
        <f>IF(AV619-AS619&gt;=0,AV619-AS619,0)</f>
        <v>0</v>
      </c>
      <c r="AW787" s="496"/>
      <c r="AX787" s="500"/>
      <c r="AY787" s="667">
        <f>IF(AY619-AS619&gt;=0,AY619-AS619,0)</f>
        <v>0</v>
      </c>
      <c r="AZ787" s="496"/>
      <c r="BA787" s="500"/>
      <c r="BB787" s="667">
        <f>IF(OR($C$3=$L$913,$C$3=0),IF(BB619-AY619&gt;=0,BB619-AY619,0),IF(BB619-AV619&gt;=0,BB619-AV619,0))</f>
        <v>0</v>
      </c>
      <c r="BC787" s="496"/>
      <c r="BD787" s="500"/>
      <c r="BE787" s="668">
        <f>IF(BE619-AY619&gt;=0,BE619-AY619,0)</f>
        <v>0</v>
      </c>
      <c r="BF787" s="668">
        <f t="shared" ref="BF787:BT787" si="731">IF(BF619-BE619&gt;=0,BF619-BE619,0)</f>
        <v>0</v>
      </c>
      <c r="BG787" s="668">
        <f t="shared" si="731"/>
        <v>0</v>
      </c>
      <c r="BH787" s="668">
        <f t="shared" si="731"/>
        <v>0</v>
      </c>
      <c r="BI787" s="668">
        <f t="shared" si="731"/>
        <v>0</v>
      </c>
      <c r="BJ787" s="668">
        <f t="shared" si="731"/>
        <v>0</v>
      </c>
      <c r="BK787" s="668">
        <f t="shared" si="731"/>
        <v>0</v>
      </c>
      <c r="BL787" s="668">
        <f t="shared" si="731"/>
        <v>0</v>
      </c>
      <c r="BM787" s="668">
        <f t="shared" si="731"/>
        <v>0</v>
      </c>
      <c r="BN787" s="668">
        <f t="shared" si="731"/>
        <v>0</v>
      </c>
      <c r="BO787" s="668">
        <f t="shared" si="731"/>
        <v>0</v>
      </c>
      <c r="BP787" s="668">
        <f t="shared" si="731"/>
        <v>0</v>
      </c>
      <c r="BQ787" s="668">
        <f t="shared" si="731"/>
        <v>0</v>
      </c>
      <c r="BR787" s="668">
        <f t="shared" si="731"/>
        <v>0</v>
      </c>
      <c r="BS787" s="668">
        <f t="shared" si="731"/>
        <v>0</v>
      </c>
      <c r="BT787" s="668">
        <f t="shared" si="731"/>
        <v>0</v>
      </c>
      <c r="BU787" s="1830"/>
    </row>
    <row r="788" spans="37:73" s="675" customFormat="1" ht="12.75" x14ac:dyDescent="0.25">
      <c r="AK788" s="1828"/>
      <c r="AL788" s="2049" t="s">
        <v>1177</v>
      </c>
      <c r="AM788" s="666" t="s">
        <v>1178</v>
      </c>
      <c r="AN788" s="893"/>
      <c r="AO788" s="496"/>
      <c r="AP788" s="667">
        <f>IF(((AP633-AN633)+(AP634-AN634)+(AP620-AN620)+(AP621-AN621))&gt;=0,(AP633-AN633)+(AP634-AN634)+(AP620-AN620)+(AP621-AN621),0)</f>
        <v>40</v>
      </c>
      <c r="AQ788" s="496"/>
      <c r="AR788" s="496"/>
      <c r="AS788" s="667">
        <f>IF(((AS633-AP633)+(AS634-AP634)+(AS620-AP620)+(AS621-AP621))&gt;=0,(AS633-AP633)+(AS634-AP634)+(AS620-AP620)+(AS621-AP621),0)</f>
        <v>0</v>
      </c>
      <c r="AT788" s="495"/>
      <c r="AU788" s="495"/>
      <c r="AV788" s="667">
        <f>IF(((AV633-AS633)+(AV634-AS634)+(AV620-AS620)+(AV621-AS621))&gt;=0,(AV633-AS633)+(AV634-AS634)+(AV620-AS620)+(AV621-AS621),0)</f>
        <v>0</v>
      </c>
      <c r="AW788" s="496"/>
      <c r="AX788" s="500"/>
      <c r="AY788" s="667">
        <f>IF(((AY633-AS633)+(AY634-AS634)+(AY620-AS620)+(AY621-AS621))&gt;=0,(AY633-AS633)+(AY634-AS634)+(AY620-AS620)+(AY621-AS621),0)</f>
        <v>0</v>
      </c>
      <c r="AZ788" s="496"/>
      <c r="BA788" s="500"/>
      <c r="BB788" s="667">
        <f>IF(OR($C$3=$L$913,$C$3=0),IF(((BB633-AY633)+(BB634-AY634)+(BB620-AY620)+(BB621-AY621))&gt;=0,(BB633-AY633)+(BB634-AY634)+(BB620-AY620)+(BB621-AY621),0),IF(((BB633-AV633)+(BB634-AV634)+(BB620-AV620)+(BB621-AV621))&gt;=0,(BB633-AV633)+(BB634-AV634)+(BB620-AV620)+(BB621-AV621),0))</f>
        <v>0</v>
      </c>
      <c r="BC788" s="496"/>
      <c r="BD788" s="500"/>
      <c r="BE788" s="668">
        <f>$T$272+IF(AND($C$310&lt;&gt;0,$C$314=BE763),$C$310,0)+IF(AND($C$320&lt;&gt;0,$C$324=BE763),$C$320,0)+IF(AND($C$330&lt;&gt;0,$C$334=BE763),$C$330,0)</f>
        <v>0</v>
      </c>
      <c r="BF788" s="668">
        <f>$U$272+IF(AND($C$310&lt;&gt;0,$C$314=BF763),$C$310,0)+IF(AND($C$320&lt;&gt;0,$C$324=BF763),$C$320,0)+IF(AND($C$330&lt;&gt;0,$C$334=BF763),$C$330,0)</f>
        <v>0</v>
      </c>
      <c r="BG788" s="668">
        <f>$V$272+IF(AND($C$310&lt;&gt;0,$C$314=BG763),$C$310,0)+IF(AND($C$320&lt;&gt;0,$C$324=BG763),$C$320,0)+IF(AND($C$330&lt;&gt;0,$C$334=BG763),$C$330,0)</f>
        <v>0</v>
      </c>
      <c r="BH788" s="668">
        <f>$W$272+IF(AND($C$310&lt;&gt;0,$C$314=BH763),$C$310,0)+IF(AND($C$320&lt;&gt;0,$C$324=BH763),$C$320,0)+IF(AND($C$330&lt;&gt;0,$C$334=BH763),$C$330,0)</f>
        <v>0</v>
      </c>
      <c r="BI788" s="668">
        <f>$X$272+IF(AND($C$310&lt;&gt;0,$C$314=BI763),$C$310,0)+IF(AND($C$320&lt;&gt;0,$C$324=BI763),$C$320,0)+IF(AND($C$330&lt;&gt;0,$C$334=BI763),$C$330,0)</f>
        <v>0</v>
      </c>
      <c r="BJ788" s="668">
        <f>$Y$272+IF(AND($C$310&lt;&gt;0,$C$314=BJ763),$C$310,0)+IF(AND($C$320&lt;&gt;0,$C$324=BJ763),$C$320,0)+IF(AND($C$330&lt;&gt;0,$C$334=BJ763),$C$330,0)</f>
        <v>0</v>
      </c>
      <c r="BK788" s="668">
        <f>$Z$272+IF(AND($C$310&lt;&gt;0,$C$314=BK763),$C$310,0)+IF(AND($C$320&lt;&gt;0,$C$324=BK763),$C$320,0)+IF(AND($C$330&lt;&gt;0,$C$334=BK763),$C$330,0)</f>
        <v>0</v>
      </c>
      <c r="BL788" s="668">
        <f>$AA$272+IF(AND($C$310&lt;&gt;0,$C$314=BL763),$C$310,0)+IF(AND($C$320&lt;&gt;0,$C$324=BL763),$C$320,0)+IF(AND($C$330&lt;&gt;0,$C$334=BL763),$C$330,0)</f>
        <v>0</v>
      </c>
      <c r="BM788" s="668">
        <f>$AB$272+IF(AND($C$310&lt;&gt;0,$C$314=BM763),$C$310,0)+IF(AND($C$320&lt;&gt;0,$C$324=BM763),$C$320,0)+IF(AND($C$330&lt;&gt;0,$C$334=BM763),$C$330,0)</f>
        <v>0</v>
      </c>
      <c r="BN788" s="668">
        <f>$AC$272+IF(AND($C$310&lt;&gt;0,$C$314=BN763),$C$310,0)+IF(AND($C$320&lt;&gt;0,$C$324=BN763),$C$320,0)+IF(AND($C$330&lt;&gt;0,$C$334=BN763),$C$330,0)</f>
        <v>0</v>
      </c>
      <c r="BO788" s="668">
        <f>$AD$272+IF(AND($C$310&lt;&gt;0,$C$314=BO763),$C$310,0)+IF(AND($C$320&lt;&gt;0,$C$324=BO763),$C$320,0)+IF(AND($C$330&lt;&gt;0,$C$334=BO763),$C$330,0)</f>
        <v>0</v>
      </c>
      <c r="BP788" s="668">
        <f>$AE$272+IF(AND($C$310&lt;&gt;0,$C$314=BP763),$C$310,0)+IF(AND($C$320&lt;&gt;0,$C$324=BP763),$C$320,0)+IF(AND($C$330&lt;&gt;0,$C$334=BP763),$C$330,0)</f>
        <v>0</v>
      </c>
      <c r="BQ788" s="668">
        <f>$AF$272+IF(AND($C$310&lt;&gt;0,$C$314=BQ763),$C$310,0)+IF(AND($C$320&lt;&gt;0,$C$324=BQ763),$C$320,0)+IF(AND($C$330&lt;&gt;0,$C$334=BQ763),$C$330,0)</f>
        <v>0</v>
      </c>
      <c r="BR788" s="668">
        <f>$AG$272+IF(AND($C$310&lt;&gt;0,$C$314=BR763),$C$310,0)+IF(AND($C$320&lt;&gt;0,$C$324=BR763),$C$320,0)+IF(AND($C$330&lt;&gt;0,$C$334=BR763),$C$330,0)</f>
        <v>0</v>
      </c>
      <c r="BS788" s="668">
        <f>$AH$272+IF(AND($C$310&lt;&gt;0,$C$314=BS763),$C$310,0)+IF(AND($C$320&lt;&gt;0,$C$324=BS763),$C$320,0)+IF(AND($C$330&lt;&gt;0,$C$334=BS763),$C$330,0)</f>
        <v>0</v>
      </c>
      <c r="BT788" s="668">
        <f>$AI$272+IF(AND($C$310&lt;&gt;0,$C$314=BT763),$C$310,0)+IF(AND($C$320&lt;&gt;0,$C$324=BT763),$C$320,0)+IF(AND($C$330&lt;&gt;0,$C$334=BT763),$C$330,0)</f>
        <v>0</v>
      </c>
      <c r="BU788" s="1830"/>
    </row>
    <row r="789" spans="37:73" s="655" customFormat="1" ht="12.75" x14ac:dyDescent="0.25">
      <c r="AK789" s="1828"/>
      <c r="AL789" s="2049" t="s">
        <v>1179</v>
      </c>
      <c r="AM789" s="666" t="s">
        <v>1180</v>
      </c>
      <c r="AN789" s="893"/>
      <c r="AO789" s="496"/>
      <c r="AP789" s="667">
        <f>IF(((AP635-AN635)+(AP622-AN622))&gt;=0,(AP635-AN635)+(AP622-AN622),0)</f>
        <v>0</v>
      </c>
      <c r="AQ789" s="496"/>
      <c r="AR789" s="496"/>
      <c r="AS789" s="667">
        <f>IF(((AS635-AP635)+(AS622-AP622))&gt;=0,(AS635-AP635)+(AS622-AP622),0)</f>
        <v>0</v>
      </c>
      <c r="AT789" s="495"/>
      <c r="AU789" s="495"/>
      <c r="AV789" s="667">
        <f>IF(((AV635-AS635)+(AV622-AS622))&gt;=0,(AV635-AS635)+(AV622-AS622),0)</f>
        <v>0</v>
      </c>
      <c r="AW789" s="496"/>
      <c r="AX789" s="500"/>
      <c r="AY789" s="667">
        <f>IF(((AY635-AS635)+(AY622-AS622))&gt;=0,(AY635-AS635)+(AY622-AS622),0)</f>
        <v>0</v>
      </c>
      <c r="AZ789" s="496"/>
      <c r="BA789" s="500"/>
      <c r="BB789" s="667">
        <f>IF(((BB635-AY635)+(BB622-AY622))&gt;=0,(BB635-AY635)+(BB622-AY622),0)</f>
        <v>0</v>
      </c>
      <c r="BC789" s="496"/>
      <c r="BD789" s="500"/>
      <c r="BE789" s="668">
        <f t="shared" ref="BE789:BT789" si="732">IF(AND($C$350&lt;&gt;0,$C$354=BE763),$C$350,0)+IF(AND($C$360&lt;&gt;0,$C$364=BE763),$C$360,0)+IF(AND($C$370&lt;&gt;0,$C$374=BE763),$C$370,0)</f>
        <v>0</v>
      </c>
      <c r="BF789" s="668">
        <f t="shared" si="732"/>
        <v>0</v>
      </c>
      <c r="BG789" s="668">
        <f t="shared" si="732"/>
        <v>0</v>
      </c>
      <c r="BH789" s="668">
        <f t="shared" si="732"/>
        <v>0</v>
      </c>
      <c r="BI789" s="668">
        <f t="shared" si="732"/>
        <v>0</v>
      </c>
      <c r="BJ789" s="668">
        <f t="shared" si="732"/>
        <v>0</v>
      </c>
      <c r="BK789" s="668">
        <f t="shared" si="732"/>
        <v>0</v>
      </c>
      <c r="BL789" s="668">
        <f t="shared" si="732"/>
        <v>0</v>
      </c>
      <c r="BM789" s="668">
        <f t="shared" si="732"/>
        <v>0</v>
      </c>
      <c r="BN789" s="668">
        <f t="shared" si="732"/>
        <v>0</v>
      </c>
      <c r="BO789" s="668">
        <f t="shared" si="732"/>
        <v>0</v>
      </c>
      <c r="BP789" s="668">
        <f t="shared" si="732"/>
        <v>0</v>
      </c>
      <c r="BQ789" s="668">
        <f t="shared" si="732"/>
        <v>0</v>
      </c>
      <c r="BR789" s="668">
        <f t="shared" si="732"/>
        <v>0</v>
      </c>
      <c r="BS789" s="668">
        <f t="shared" si="732"/>
        <v>0</v>
      </c>
      <c r="BT789" s="668">
        <f t="shared" si="732"/>
        <v>0</v>
      </c>
      <c r="BU789" s="1830"/>
    </row>
    <row r="790" spans="37:73" s="675" customFormat="1" ht="12.75" x14ac:dyDescent="0.25">
      <c r="AK790" s="2048"/>
      <c r="AL790" s="2049" t="s">
        <v>1070</v>
      </c>
      <c r="AM790" s="703" t="str">
        <f>"+ / - "&amp;AM626</f>
        <v>+ / - PASIVOS DIFERIDOS C.P.</v>
      </c>
      <c r="AN790" s="897"/>
      <c r="AP790" s="671">
        <f>AP626-AN626</f>
        <v>40</v>
      </c>
      <c r="AS790" s="671">
        <f>AS626-AP626</f>
        <v>0</v>
      </c>
      <c r="AT790" s="895"/>
      <c r="AU790" s="895"/>
      <c r="AV790" s="671">
        <f>AV626-AS626</f>
        <v>0</v>
      </c>
      <c r="AX790" s="676"/>
      <c r="AY790" s="671">
        <f>AY626-AS626</f>
        <v>0</v>
      </c>
      <c r="BA790" s="676"/>
      <c r="BB790" s="671">
        <f>IF(OR($C$3=$L$913,$C$3=0),BB626-AY626,BB626-AV626)</f>
        <v>0</v>
      </c>
      <c r="BD790" s="676"/>
      <c r="BE790" s="674">
        <f>BE626-AY626</f>
        <v>0</v>
      </c>
      <c r="BF790" s="674">
        <f t="shared" ref="BF790:BT790" si="733">BF626-BE626</f>
        <v>0</v>
      </c>
      <c r="BG790" s="674">
        <f t="shared" si="733"/>
        <v>0</v>
      </c>
      <c r="BH790" s="674">
        <f t="shared" si="733"/>
        <v>0</v>
      </c>
      <c r="BI790" s="674">
        <f t="shared" si="733"/>
        <v>0</v>
      </c>
      <c r="BJ790" s="674">
        <f t="shared" si="733"/>
        <v>0</v>
      </c>
      <c r="BK790" s="674">
        <f t="shared" si="733"/>
        <v>0</v>
      </c>
      <c r="BL790" s="674">
        <f t="shared" si="733"/>
        <v>0</v>
      </c>
      <c r="BM790" s="674">
        <f t="shared" si="733"/>
        <v>0</v>
      </c>
      <c r="BN790" s="674">
        <f t="shared" si="733"/>
        <v>0</v>
      </c>
      <c r="BO790" s="674">
        <f t="shared" si="733"/>
        <v>0</v>
      </c>
      <c r="BP790" s="674">
        <f t="shared" si="733"/>
        <v>0</v>
      </c>
      <c r="BQ790" s="674">
        <f t="shared" si="733"/>
        <v>0</v>
      </c>
      <c r="BR790" s="674">
        <f t="shared" si="733"/>
        <v>0</v>
      </c>
      <c r="BS790" s="674">
        <f t="shared" si="733"/>
        <v>0</v>
      </c>
      <c r="BT790" s="674">
        <f t="shared" si="733"/>
        <v>0</v>
      </c>
      <c r="BU790" s="2050"/>
    </row>
    <row r="791" spans="37:73" s="675" customFormat="1" ht="12.75" x14ac:dyDescent="0.25">
      <c r="AK791" s="2048"/>
      <c r="AL791" s="2049" t="s">
        <v>1072</v>
      </c>
      <c r="AM791" s="703" t="str">
        <f>"+ / - "&amp;AM628</f>
        <v>+ / - DEUDAS CON SOCIOS  C.P.</v>
      </c>
      <c r="AN791" s="897"/>
      <c r="AP791" s="671">
        <f>AP628-AN628</f>
        <v>20</v>
      </c>
      <c r="AS791" s="671">
        <f>AS628-AP628</f>
        <v>0</v>
      </c>
      <c r="AT791" s="895"/>
      <c r="AU791" s="895"/>
      <c r="AV791" s="671">
        <f>AV628-AS628</f>
        <v>0</v>
      </c>
      <c r="AX791" s="676"/>
      <c r="AY791" s="671">
        <f>AY628-AS628</f>
        <v>0</v>
      </c>
      <c r="BA791" s="676"/>
      <c r="BB791" s="671">
        <f>IF(OR($C$3=$L$913,$C$3=0),BB628-AY628,BB628-AV628)</f>
        <v>0</v>
      </c>
      <c r="BD791" s="676"/>
      <c r="BE791" s="674">
        <f>BE628-AY628</f>
        <v>0</v>
      </c>
      <c r="BF791" s="674">
        <f t="shared" ref="BF791:BT791" si="734">BF628-BE628</f>
        <v>0</v>
      </c>
      <c r="BG791" s="674">
        <f t="shared" si="734"/>
        <v>0</v>
      </c>
      <c r="BH791" s="674">
        <f t="shared" si="734"/>
        <v>0</v>
      </c>
      <c r="BI791" s="674">
        <f t="shared" si="734"/>
        <v>0</v>
      </c>
      <c r="BJ791" s="674">
        <f t="shared" si="734"/>
        <v>0</v>
      </c>
      <c r="BK791" s="674">
        <f t="shared" si="734"/>
        <v>0</v>
      </c>
      <c r="BL791" s="674">
        <f t="shared" si="734"/>
        <v>0</v>
      </c>
      <c r="BM791" s="674">
        <f t="shared" si="734"/>
        <v>0</v>
      </c>
      <c r="BN791" s="674">
        <f t="shared" si="734"/>
        <v>0</v>
      </c>
      <c r="BO791" s="674">
        <f t="shared" si="734"/>
        <v>0</v>
      </c>
      <c r="BP791" s="674">
        <f t="shared" si="734"/>
        <v>0</v>
      </c>
      <c r="BQ791" s="674">
        <f t="shared" si="734"/>
        <v>0</v>
      </c>
      <c r="BR791" s="674">
        <f t="shared" si="734"/>
        <v>0</v>
      </c>
      <c r="BS791" s="674">
        <f t="shared" si="734"/>
        <v>0</v>
      </c>
      <c r="BT791" s="674">
        <f t="shared" si="734"/>
        <v>0</v>
      </c>
      <c r="BU791" s="2050"/>
    </row>
    <row r="792" spans="37:73" s="675" customFormat="1" ht="12.75" x14ac:dyDescent="0.25">
      <c r="AK792" s="2048"/>
      <c r="AL792" s="2049" t="s">
        <v>1074</v>
      </c>
      <c r="AM792" s="703" t="str">
        <f>"+ / - "&amp;AM629</f>
        <v>+ / - PASIVOS ESTIMADOS Y PROVISIONES</v>
      </c>
      <c r="AN792" s="897"/>
      <c r="AP792" s="671">
        <f>AP629-AN629</f>
        <v>90</v>
      </c>
      <c r="AS792" s="671">
        <f>AS629-AP629</f>
        <v>0</v>
      </c>
      <c r="AT792" s="895"/>
      <c r="AU792" s="895"/>
      <c r="AV792" s="671">
        <f>AV629-AS629</f>
        <v>0</v>
      </c>
      <c r="AX792" s="676"/>
      <c r="AY792" s="671">
        <f>AY629-AS629</f>
        <v>0</v>
      </c>
      <c r="BA792" s="676"/>
      <c r="BB792" s="671">
        <f>IF(OR($C$3=$L$913,$C$3=0),BB629-AY629,BB629-AV629)</f>
        <v>0</v>
      </c>
      <c r="BD792" s="676"/>
      <c r="BE792" s="674">
        <f>BE629-AY629</f>
        <v>0</v>
      </c>
      <c r="BF792" s="674">
        <f t="shared" ref="BF792:BT792" si="735">BF629-BE629</f>
        <v>0</v>
      </c>
      <c r="BG792" s="674">
        <f t="shared" si="735"/>
        <v>0</v>
      </c>
      <c r="BH792" s="674">
        <f t="shared" si="735"/>
        <v>0</v>
      </c>
      <c r="BI792" s="674">
        <f t="shared" si="735"/>
        <v>0</v>
      </c>
      <c r="BJ792" s="674">
        <f t="shared" si="735"/>
        <v>0</v>
      </c>
      <c r="BK792" s="674">
        <f t="shared" si="735"/>
        <v>0</v>
      </c>
      <c r="BL792" s="674">
        <f t="shared" si="735"/>
        <v>0</v>
      </c>
      <c r="BM792" s="674">
        <f t="shared" si="735"/>
        <v>0</v>
      </c>
      <c r="BN792" s="674">
        <f t="shared" si="735"/>
        <v>0</v>
      </c>
      <c r="BO792" s="674">
        <f t="shared" si="735"/>
        <v>0</v>
      </c>
      <c r="BP792" s="674">
        <f t="shared" si="735"/>
        <v>0</v>
      </c>
      <c r="BQ792" s="674">
        <f t="shared" si="735"/>
        <v>0</v>
      </c>
      <c r="BR792" s="674">
        <f t="shared" si="735"/>
        <v>0</v>
      </c>
      <c r="BS792" s="674">
        <f t="shared" si="735"/>
        <v>0</v>
      </c>
      <c r="BT792" s="674">
        <f t="shared" si="735"/>
        <v>0</v>
      </c>
      <c r="BU792" s="2050"/>
    </row>
    <row r="793" spans="37:73" s="675" customFormat="1" ht="12.75" x14ac:dyDescent="0.25">
      <c r="AK793" s="2048"/>
      <c r="AL793" s="2049" t="s">
        <v>1181</v>
      </c>
      <c r="AM793" s="703" t="str">
        <f>"+ / - "&amp;AM630</f>
        <v>+ / - OTROS CORRIENTES</v>
      </c>
      <c r="AN793" s="897"/>
      <c r="AP793" s="671">
        <f>AP630-AN630</f>
        <v>50</v>
      </c>
      <c r="AS793" s="671">
        <f>AS630-AP630</f>
        <v>0</v>
      </c>
      <c r="AT793" s="895"/>
      <c r="AU793" s="895"/>
      <c r="AV793" s="671">
        <f>AV630-AS630</f>
        <v>0</v>
      </c>
      <c r="AX793" s="676"/>
      <c r="AY793" s="671">
        <f>AY630-AS630</f>
        <v>0</v>
      </c>
      <c r="BA793" s="676"/>
      <c r="BB793" s="671">
        <f>IF(OR($C$3=$L$913,$C$3=0),BB630-AY630,BB630-AV630)</f>
        <v>0</v>
      </c>
      <c r="BD793" s="676"/>
      <c r="BE793" s="674">
        <f>BE630-AY630</f>
        <v>0</v>
      </c>
      <c r="BF793" s="674">
        <f t="shared" ref="BF793:BT793" si="736">BF630-BE630</f>
        <v>0</v>
      </c>
      <c r="BG793" s="674">
        <f t="shared" si="736"/>
        <v>0</v>
      </c>
      <c r="BH793" s="674">
        <f t="shared" si="736"/>
        <v>0</v>
      </c>
      <c r="BI793" s="674">
        <f t="shared" si="736"/>
        <v>0</v>
      </c>
      <c r="BJ793" s="674">
        <f t="shared" si="736"/>
        <v>0</v>
      </c>
      <c r="BK793" s="674">
        <f t="shared" si="736"/>
        <v>0</v>
      </c>
      <c r="BL793" s="674">
        <f t="shared" si="736"/>
        <v>0</v>
      </c>
      <c r="BM793" s="674">
        <f t="shared" si="736"/>
        <v>0</v>
      </c>
      <c r="BN793" s="674">
        <f t="shared" si="736"/>
        <v>0</v>
      </c>
      <c r="BO793" s="674">
        <f t="shared" si="736"/>
        <v>0</v>
      </c>
      <c r="BP793" s="674">
        <f t="shared" si="736"/>
        <v>0</v>
      </c>
      <c r="BQ793" s="674">
        <f t="shared" si="736"/>
        <v>0</v>
      </c>
      <c r="BR793" s="674">
        <f t="shared" si="736"/>
        <v>0</v>
      </c>
      <c r="BS793" s="674">
        <f t="shared" si="736"/>
        <v>0</v>
      </c>
      <c r="BT793" s="674">
        <f t="shared" si="736"/>
        <v>0</v>
      </c>
      <c r="BU793" s="2050"/>
    </row>
    <row r="794" spans="37:73" s="675" customFormat="1" ht="12.75" x14ac:dyDescent="0.25">
      <c r="AK794" s="2035"/>
      <c r="AL794" s="2047">
        <v>13</v>
      </c>
      <c r="AM794" s="705" t="s">
        <v>1182</v>
      </c>
      <c r="AN794" s="897"/>
      <c r="AO794" s="655"/>
      <c r="AP794" s="706">
        <f>SUM(AP790:AP793)</f>
        <v>200</v>
      </c>
      <c r="AQ794" s="655"/>
      <c r="AR794" s="655"/>
      <c r="AS794" s="706">
        <f>SUM(AS790:AS793)</f>
        <v>0</v>
      </c>
      <c r="AT794" s="886"/>
      <c r="AU794" s="886"/>
      <c r="AV794" s="706">
        <f>SUM(AV790:AV793)</f>
        <v>0</v>
      </c>
      <c r="AW794" s="655"/>
      <c r="AX794" s="653"/>
      <c r="AY794" s="706">
        <f>SUM(AY790:AY793)</f>
        <v>0</v>
      </c>
      <c r="AZ794" s="655"/>
      <c r="BA794" s="653"/>
      <c r="BB794" s="706">
        <f>SUM(BB790:BB793)</f>
        <v>0</v>
      </c>
      <c r="BC794" s="655"/>
      <c r="BD794" s="653"/>
      <c r="BE794" s="704">
        <f t="shared" ref="BE794:BT794" si="737">SUM(BE790:BE793)</f>
        <v>0</v>
      </c>
      <c r="BF794" s="704">
        <f t="shared" si="737"/>
        <v>0</v>
      </c>
      <c r="BG794" s="704">
        <f t="shared" si="737"/>
        <v>0</v>
      </c>
      <c r="BH794" s="704">
        <f t="shared" si="737"/>
        <v>0</v>
      </c>
      <c r="BI794" s="704">
        <f t="shared" si="737"/>
        <v>0</v>
      </c>
      <c r="BJ794" s="704">
        <f t="shared" si="737"/>
        <v>0</v>
      </c>
      <c r="BK794" s="704">
        <f t="shared" si="737"/>
        <v>0</v>
      </c>
      <c r="BL794" s="704">
        <f t="shared" si="737"/>
        <v>0</v>
      </c>
      <c r="BM794" s="704">
        <f t="shared" si="737"/>
        <v>0</v>
      </c>
      <c r="BN794" s="704">
        <f t="shared" si="737"/>
        <v>0</v>
      </c>
      <c r="BO794" s="704">
        <f t="shared" si="737"/>
        <v>0</v>
      </c>
      <c r="BP794" s="704">
        <f t="shared" si="737"/>
        <v>0</v>
      </c>
      <c r="BQ794" s="704">
        <f t="shared" si="737"/>
        <v>0</v>
      </c>
      <c r="BR794" s="704">
        <f t="shared" si="737"/>
        <v>0</v>
      </c>
      <c r="BS794" s="704">
        <f t="shared" si="737"/>
        <v>0</v>
      </c>
      <c r="BT794" s="704">
        <f t="shared" si="737"/>
        <v>0</v>
      </c>
      <c r="BU794" s="2041"/>
    </row>
    <row r="795" spans="37:73" s="675" customFormat="1" ht="12.75" x14ac:dyDescent="0.25">
      <c r="AK795" s="2048"/>
      <c r="AL795" s="2049" t="s">
        <v>1183</v>
      </c>
      <c r="AM795" s="703" t="str">
        <f>"+ / - "&amp;AM636</f>
        <v>+ / - PRESTACIONES SOCIALES L.P.</v>
      </c>
      <c r="AN795" s="894"/>
      <c r="AP795" s="910">
        <f>AP636-AN636</f>
        <v>60</v>
      </c>
      <c r="AS795" s="671">
        <f>AS636-AP636</f>
        <v>0</v>
      </c>
      <c r="AT795" s="895"/>
      <c r="AU795" s="895"/>
      <c r="AV795" s="671">
        <f>AV636-AS636</f>
        <v>0</v>
      </c>
      <c r="AX795" s="676"/>
      <c r="AY795" s="671">
        <f>AY636-AS636</f>
        <v>0</v>
      </c>
      <c r="BA795" s="676"/>
      <c r="BB795" s="671">
        <f>IF(OR($C$3=$L$913,$C$3=0),BB636-AY636,BB636-AV636)</f>
        <v>0</v>
      </c>
      <c r="BD795" s="676"/>
      <c r="BE795" s="674">
        <f>BE636-AY636</f>
        <v>0</v>
      </c>
      <c r="BF795" s="674">
        <f t="shared" ref="BF795:BT795" si="738">BF636-BE636</f>
        <v>0</v>
      </c>
      <c r="BG795" s="674">
        <f t="shared" si="738"/>
        <v>0</v>
      </c>
      <c r="BH795" s="674">
        <f t="shared" si="738"/>
        <v>0</v>
      </c>
      <c r="BI795" s="674">
        <f t="shared" si="738"/>
        <v>0</v>
      </c>
      <c r="BJ795" s="674">
        <f t="shared" si="738"/>
        <v>0</v>
      </c>
      <c r="BK795" s="674">
        <f t="shared" si="738"/>
        <v>0</v>
      </c>
      <c r="BL795" s="674">
        <f t="shared" si="738"/>
        <v>0</v>
      </c>
      <c r="BM795" s="674">
        <f t="shared" si="738"/>
        <v>0</v>
      </c>
      <c r="BN795" s="674">
        <f t="shared" si="738"/>
        <v>0</v>
      </c>
      <c r="BO795" s="674">
        <f t="shared" si="738"/>
        <v>0</v>
      </c>
      <c r="BP795" s="674">
        <f t="shared" si="738"/>
        <v>0</v>
      </c>
      <c r="BQ795" s="674">
        <f t="shared" si="738"/>
        <v>0</v>
      </c>
      <c r="BR795" s="674">
        <f t="shared" si="738"/>
        <v>0</v>
      </c>
      <c r="BS795" s="674">
        <f t="shared" si="738"/>
        <v>0</v>
      </c>
      <c r="BT795" s="674">
        <f t="shared" si="738"/>
        <v>0</v>
      </c>
      <c r="BU795" s="2050"/>
    </row>
    <row r="796" spans="37:73" s="655" customFormat="1" ht="12.75" x14ac:dyDescent="0.25">
      <c r="AK796" s="2048"/>
      <c r="AL796" s="2049" t="s">
        <v>1184</v>
      </c>
      <c r="AM796" s="703" t="str">
        <f>"+ / - "&amp;AM637</f>
        <v>+ / - PENSIONES DE JUBILACIÓN</v>
      </c>
      <c r="AN796" s="894"/>
      <c r="AO796" s="675"/>
      <c r="AP796" s="910">
        <f>AP637-AN637</f>
        <v>10</v>
      </c>
      <c r="AQ796" s="675"/>
      <c r="AR796" s="675"/>
      <c r="AS796" s="671">
        <f>AS637-AP637</f>
        <v>0</v>
      </c>
      <c r="AT796" s="895"/>
      <c r="AU796" s="895"/>
      <c r="AV796" s="671">
        <f>AV637-AS637</f>
        <v>0</v>
      </c>
      <c r="AW796" s="675"/>
      <c r="AX796" s="676"/>
      <c r="AY796" s="671">
        <f>AY637-AS637</f>
        <v>0</v>
      </c>
      <c r="AZ796" s="675"/>
      <c r="BA796" s="676"/>
      <c r="BB796" s="671">
        <f>IF(OR($C$3=$L$913,$C$3=0),BB637-AY637,BB637-AV637)</f>
        <v>0</v>
      </c>
      <c r="BC796" s="675"/>
      <c r="BD796" s="676"/>
      <c r="BE796" s="674">
        <f>BE637-AY637</f>
        <v>0</v>
      </c>
      <c r="BF796" s="674">
        <f t="shared" ref="BF796:BT796" si="739">BF637-BE637</f>
        <v>0</v>
      </c>
      <c r="BG796" s="674">
        <f t="shared" si="739"/>
        <v>0</v>
      </c>
      <c r="BH796" s="674">
        <f t="shared" si="739"/>
        <v>0</v>
      </c>
      <c r="BI796" s="674">
        <f t="shared" si="739"/>
        <v>0</v>
      </c>
      <c r="BJ796" s="674">
        <f t="shared" si="739"/>
        <v>0</v>
      </c>
      <c r="BK796" s="674">
        <f t="shared" si="739"/>
        <v>0</v>
      </c>
      <c r="BL796" s="674">
        <f t="shared" si="739"/>
        <v>0</v>
      </c>
      <c r="BM796" s="674">
        <f t="shared" si="739"/>
        <v>0</v>
      </c>
      <c r="BN796" s="674">
        <f t="shared" si="739"/>
        <v>0</v>
      </c>
      <c r="BO796" s="674">
        <f t="shared" si="739"/>
        <v>0</v>
      </c>
      <c r="BP796" s="674">
        <f t="shared" si="739"/>
        <v>0</v>
      </c>
      <c r="BQ796" s="674">
        <f t="shared" si="739"/>
        <v>0</v>
      </c>
      <c r="BR796" s="674">
        <f t="shared" si="739"/>
        <v>0</v>
      </c>
      <c r="BS796" s="674">
        <f t="shared" si="739"/>
        <v>0</v>
      </c>
      <c r="BT796" s="674">
        <f t="shared" si="739"/>
        <v>0</v>
      </c>
      <c r="BU796" s="2050"/>
    </row>
    <row r="797" spans="37:73" s="496" customFormat="1" ht="12.75" x14ac:dyDescent="0.25">
      <c r="AK797" s="2048"/>
      <c r="AL797" s="2049" t="s">
        <v>1185</v>
      </c>
      <c r="AM797" s="703" t="str">
        <f>"+ / - "&amp;AM639</f>
        <v>+ / - DEUDAS CON SOCIOS L.P.</v>
      </c>
      <c r="AN797" s="894"/>
      <c r="AO797" s="675"/>
      <c r="AP797" s="910">
        <f>AP639-AN639</f>
        <v>20</v>
      </c>
      <c r="AQ797" s="675"/>
      <c r="AR797" s="675"/>
      <c r="AS797" s="671">
        <f>AS639-AP639</f>
        <v>0</v>
      </c>
      <c r="AT797" s="895"/>
      <c r="AU797" s="895"/>
      <c r="AV797" s="671">
        <f>AV639-AS639</f>
        <v>0</v>
      </c>
      <c r="AW797" s="675"/>
      <c r="AX797" s="676"/>
      <c r="AY797" s="671">
        <f>AY639-AS639</f>
        <v>0</v>
      </c>
      <c r="AZ797" s="675"/>
      <c r="BA797" s="676"/>
      <c r="BB797" s="671">
        <f>IF(OR($C$3=$L$913,$C$3=0),BB639-AY639,BB639-AV639)</f>
        <v>0</v>
      </c>
      <c r="BC797" s="675"/>
      <c r="BD797" s="676"/>
      <c r="BE797" s="674">
        <f>BE639-AY639</f>
        <v>0</v>
      </c>
      <c r="BF797" s="674">
        <f t="shared" ref="BF797:BT797" si="740">BF639-BE639</f>
        <v>0</v>
      </c>
      <c r="BG797" s="674">
        <f t="shared" si="740"/>
        <v>0</v>
      </c>
      <c r="BH797" s="674">
        <f t="shared" si="740"/>
        <v>0</v>
      </c>
      <c r="BI797" s="674">
        <f t="shared" si="740"/>
        <v>0</v>
      </c>
      <c r="BJ797" s="674">
        <f t="shared" si="740"/>
        <v>0</v>
      </c>
      <c r="BK797" s="674">
        <f t="shared" si="740"/>
        <v>0</v>
      </c>
      <c r="BL797" s="674">
        <f t="shared" si="740"/>
        <v>0</v>
      </c>
      <c r="BM797" s="674">
        <f t="shared" si="740"/>
        <v>0</v>
      </c>
      <c r="BN797" s="674">
        <f t="shared" si="740"/>
        <v>0</v>
      </c>
      <c r="BO797" s="674">
        <f t="shared" si="740"/>
        <v>0</v>
      </c>
      <c r="BP797" s="674">
        <f t="shared" si="740"/>
        <v>0</v>
      </c>
      <c r="BQ797" s="674">
        <f t="shared" si="740"/>
        <v>0</v>
      </c>
      <c r="BR797" s="674">
        <f t="shared" si="740"/>
        <v>0</v>
      </c>
      <c r="BS797" s="674">
        <f t="shared" si="740"/>
        <v>0</v>
      </c>
      <c r="BT797" s="674">
        <f t="shared" si="740"/>
        <v>0</v>
      </c>
      <c r="BU797" s="2050"/>
    </row>
    <row r="798" spans="37:73" s="632" customFormat="1" ht="12.75" x14ac:dyDescent="0.25">
      <c r="AK798" s="2048"/>
      <c r="AL798" s="2049" t="s">
        <v>1186</v>
      </c>
      <c r="AM798" s="703" t="str">
        <f>"+ / - "&amp;AM640</f>
        <v>+ / - IMPUESTOS DE L.P. (DIFERIDOS)</v>
      </c>
      <c r="AN798" s="894"/>
      <c r="AO798" s="675"/>
      <c r="AP798" s="910">
        <f>AP640-AN640</f>
        <v>40</v>
      </c>
      <c r="AQ798" s="675"/>
      <c r="AR798" s="675"/>
      <c r="AS798" s="671">
        <f>AS640-AP640</f>
        <v>0</v>
      </c>
      <c r="AT798" s="895"/>
      <c r="AU798" s="895"/>
      <c r="AV798" s="671">
        <f>AV640-AS640</f>
        <v>0</v>
      </c>
      <c r="AW798" s="675"/>
      <c r="AX798" s="676"/>
      <c r="AY798" s="671">
        <f>AY640-AS640</f>
        <v>0</v>
      </c>
      <c r="AZ798" s="675"/>
      <c r="BA798" s="676"/>
      <c r="BB798" s="671">
        <f>IF(OR($C$3=$L$913,$C$3=0),BB640-AY640,BB640-AV640)</f>
        <v>0</v>
      </c>
      <c r="BC798" s="675"/>
      <c r="BD798" s="676"/>
      <c r="BE798" s="674">
        <f>BE640-AY640</f>
        <v>0</v>
      </c>
      <c r="BF798" s="674">
        <f t="shared" ref="BF798:BT798" si="741">BF640-BE640</f>
        <v>0</v>
      </c>
      <c r="BG798" s="674">
        <f t="shared" si="741"/>
        <v>0</v>
      </c>
      <c r="BH798" s="674">
        <f t="shared" si="741"/>
        <v>0</v>
      </c>
      <c r="BI798" s="674">
        <f t="shared" si="741"/>
        <v>0</v>
      </c>
      <c r="BJ798" s="674">
        <f t="shared" si="741"/>
        <v>0</v>
      </c>
      <c r="BK798" s="674">
        <f t="shared" si="741"/>
        <v>0</v>
      </c>
      <c r="BL798" s="674">
        <f t="shared" si="741"/>
        <v>0</v>
      </c>
      <c r="BM798" s="674">
        <f t="shared" si="741"/>
        <v>0</v>
      </c>
      <c r="BN798" s="674">
        <f t="shared" si="741"/>
        <v>0</v>
      </c>
      <c r="BO798" s="674">
        <f t="shared" si="741"/>
        <v>0</v>
      </c>
      <c r="BP798" s="674">
        <f t="shared" si="741"/>
        <v>0</v>
      </c>
      <c r="BQ798" s="674">
        <f t="shared" si="741"/>
        <v>0</v>
      </c>
      <c r="BR798" s="674">
        <f t="shared" si="741"/>
        <v>0</v>
      </c>
      <c r="BS798" s="674">
        <f t="shared" si="741"/>
        <v>0</v>
      </c>
      <c r="BT798" s="674">
        <f t="shared" si="741"/>
        <v>0</v>
      </c>
      <c r="BU798" s="2050"/>
    </row>
    <row r="799" spans="37:73" s="675" customFormat="1" ht="12.75" x14ac:dyDescent="0.25">
      <c r="AK799" s="2048"/>
      <c r="AL799" s="2049" t="s">
        <v>1187</v>
      </c>
      <c r="AM799" s="707" t="str">
        <f>"+ / - "&amp;AM641</f>
        <v>+ / - PASIVOS ESTIMADOS Y PROVISIONES (DIFERIDOS)</v>
      </c>
      <c r="AN799" s="911"/>
      <c r="AP799" s="671">
        <f>AP641-AN641</f>
        <v>80</v>
      </c>
      <c r="AS799" s="671">
        <f>AS641-AP641</f>
        <v>0</v>
      </c>
      <c r="AT799" s="895"/>
      <c r="AU799" s="895"/>
      <c r="AV799" s="671">
        <f>AV641-AS641</f>
        <v>0</v>
      </c>
      <c r="AX799" s="676"/>
      <c r="AY799" s="671">
        <f>AY641-AS641</f>
        <v>0</v>
      </c>
      <c r="BA799" s="676"/>
      <c r="BB799" s="671">
        <f>IF(OR($C$3=$L$913,$C$3=0),BB641-AY641,BB641-AV641)</f>
        <v>0</v>
      </c>
      <c r="BD799" s="676"/>
      <c r="BE799" s="674">
        <f>BE641-AY641</f>
        <v>0</v>
      </c>
      <c r="BF799" s="674">
        <f t="shared" ref="BF799:BT799" si="742">BF641-BE641</f>
        <v>0</v>
      </c>
      <c r="BG799" s="674">
        <f t="shared" si="742"/>
        <v>0</v>
      </c>
      <c r="BH799" s="674">
        <f t="shared" si="742"/>
        <v>0</v>
      </c>
      <c r="BI799" s="674">
        <f t="shared" si="742"/>
        <v>0</v>
      </c>
      <c r="BJ799" s="674">
        <f t="shared" si="742"/>
        <v>0</v>
      </c>
      <c r="BK799" s="674">
        <f t="shared" si="742"/>
        <v>0</v>
      </c>
      <c r="BL799" s="674">
        <f t="shared" si="742"/>
        <v>0</v>
      </c>
      <c r="BM799" s="674">
        <f t="shared" si="742"/>
        <v>0</v>
      </c>
      <c r="BN799" s="674">
        <f t="shared" si="742"/>
        <v>0</v>
      </c>
      <c r="BO799" s="674">
        <f t="shared" si="742"/>
        <v>0</v>
      </c>
      <c r="BP799" s="674">
        <f t="shared" si="742"/>
        <v>0</v>
      </c>
      <c r="BQ799" s="674">
        <f t="shared" si="742"/>
        <v>0</v>
      </c>
      <c r="BR799" s="674">
        <f t="shared" si="742"/>
        <v>0</v>
      </c>
      <c r="BS799" s="674">
        <f t="shared" si="742"/>
        <v>0</v>
      </c>
      <c r="BT799" s="674">
        <f t="shared" si="742"/>
        <v>0</v>
      </c>
      <c r="BU799" s="2050"/>
    </row>
    <row r="800" spans="37:73" s="675" customFormat="1" ht="12.75" x14ac:dyDescent="0.25">
      <c r="AK800" s="2048"/>
      <c r="AL800" s="2049" t="s">
        <v>1188</v>
      </c>
      <c r="AM800" s="703" t="str">
        <f>"+ / - "&amp;AM642</f>
        <v xml:space="preserve">+ / - OTROS PASIVOS DE LARGO PLAZO </v>
      </c>
      <c r="AN800" s="894"/>
      <c r="AP800" s="910">
        <f>AP642-AN642</f>
        <v>220</v>
      </c>
      <c r="AS800" s="671">
        <f>AS642-AP642</f>
        <v>0</v>
      </c>
      <c r="AT800" s="895"/>
      <c r="AU800" s="895"/>
      <c r="AV800" s="671">
        <f>AV642-AS642</f>
        <v>0</v>
      </c>
      <c r="AX800" s="676"/>
      <c r="AY800" s="671">
        <f>AY642-AS642</f>
        <v>0</v>
      </c>
      <c r="BA800" s="676"/>
      <c r="BB800" s="671">
        <f>IF(OR($C$3=$L$913,$C$3=0),BB642-AY642,BB642-AV642)</f>
        <v>0</v>
      </c>
      <c r="BD800" s="676"/>
      <c r="BE800" s="674">
        <f>BE642-AY642</f>
        <v>0</v>
      </c>
      <c r="BF800" s="674">
        <f t="shared" ref="BF800:BT800" si="743">BF642-BE642</f>
        <v>0</v>
      </c>
      <c r="BG800" s="674">
        <f t="shared" si="743"/>
        <v>0</v>
      </c>
      <c r="BH800" s="674">
        <f t="shared" si="743"/>
        <v>0</v>
      </c>
      <c r="BI800" s="674">
        <f t="shared" si="743"/>
        <v>0</v>
      </c>
      <c r="BJ800" s="674">
        <f t="shared" si="743"/>
        <v>0</v>
      </c>
      <c r="BK800" s="674">
        <f t="shared" si="743"/>
        <v>0</v>
      </c>
      <c r="BL800" s="674">
        <f t="shared" si="743"/>
        <v>0</v>
      </c>
      <c r="BM800" s="674">
        <f t="shared" si="743"/>
        <v>0</v>
      </c>
      <c r="BN800" s="674">
        <f t="shared" si="743"/>
        <v>0</v>
      </c>
      <c r="BO800" s="674">
        <f t="shared" si="743"/>
        <v>0</v>
      </c>
      <c r="BP800" s="674">
        <f t="shared" si="743"/>
        <v>0</v>
      </c>
      <c r="BQ800" s="674">
        <f t="shared" si="743"/>
        <v>0</v>
      </c>
      <c r="BR800" s="674">
        <f t="shared" si="743"/>
        <v>0</v>
      </c>
      <c r="BS800" s="674">
        <f t="shared" si="743"/>
        <v>0</v>
      </c>
      <c r="BT800" s="674">
        <f t="shared" si="743"/>
        <v>0</v>
      </c>
      <c r="BU800" s="2050"/>
    </row>
    <row r="801" spans="37:73" s="675" customFormat="1" ht="12.75" x14ac:dyDescent="0.25">
      <c r="AK801" s="2035"/>
      <c r="AL801" s="2047">
        <v>14</v>
      </c>
      <c r="AM801" s="705" t="s">
        <v>1189</v>
      </c>
      <c r="AN801" s="897"/>
      <c r="AO801" s="655"/>
      <c r="AP801" s="912">
        <f>SUM(AP795:AP800)</f>
        <v>430</v>
      </c>
      <c r="AQ801" s="655"/>
      <c r="AR801" s="655"/>
      <c r="AS801" s="706">
        <f>SUM(AS795:AS800)</f>
        <v>0</v>
      </c>
      <c r="AT801" s="886"/>
      <c r="AU801" s="886"/>
      <c r="AV801" s="706">
        <f>SUM(AV795:AV800)</f>
        <v>0</v>
      </c>
      <c r="AW801" s="655"/>
      <c r="AX801" s="653"/>
      <c r="AY801" s="706">
        <f>SUM(AY795:AY800)</f>
        <v>0</v>
      </c>
      <c r="AZ801" s="655"/>
      <c r="BA801" s="653"/>
      <c r="BB801" s="706">
        <f>SUM(BB795:BB800)</f>
        <v>0</v>
      </c>
      <c r="BC801" s="655"/>
      <c r="BD801" s="653"/>
      <c r="BE801" s="704">
        <f t="shared" ref="BE801:BT801" si="744">SUM(BE795:BE800)</f>
        <v>0</v>
      </c>
      <c r="BF801" s="704">
        <f t="shared" si="744"/>
        <v>0</v>
      </c>
      <c r="BG801" s="704">
        <f t="shared" si="744"/>
        <v>0</v>
      </c>
      <c r="BH801" s="704">
        <f t="shared" si="744"/>
        <v>0</v>
      </c>
      <c r="BI801" s="704">
        <f t="shared" si="744"/>
        <v>0</v>
      </c>
      <c r="BJ801" s="704">
        <f t="shared" si="744"/>
        <v>0</v>
      </c>
      <c r="BK801" s="704">
        <f t="shared" si="744"/>
        <v>0</v>
      </c>
      <c r="BL801" s="704">
        <f t="shared" si="744"/>
        <v>0</v>
      </c>
      <c r="BM801" s="704">
        <f t="shared" si="744"/>
        <v>0</v>
      </c>
      <c r="BN801" s="704">
        <f t="shared" si="744"/>
        <v>0</v>
      </c>
      <c r="BO801" s="704">
        <f t="shared" si="744"/>
        <v>0</v>
      </c>
      <c r="BP801" s="704">
        <f t="shared" si="744"/>
        <v>0</v>
      </c>
      <c r="BQ801" s="704">
        <f t="shared" si="744"/>
        <v>0</v>
      </c>
      <c r="BR801" s="704">
        <f t="shared" si="744"/>
        <v>0</v>
      </c>
      <c r="BS801" s="704">
        <f t="shared" si="744"/>
        <v>0</v>
      </c>
      <c r="BT801" s="704">
        <f t="shared" si="744"/>
        <v>0</v>
      </c>
      <c r="BU801" s="2041"/>
    </row>
    <row r="802" spans="37:73" s="675" customFormat="1" ht="12.75" x14ac:dyDescent="0.25">
      <c r="AK802" s="1828"/>
      <c r="AL802" s="2047">
        <v>15</v>
      </c>
      <c r="AM802" s="666" t="s">
        <v>1190</v>
      </c>
      <c r="AN802" s="893"/>
      <c r="AO802" s="496"/>
      <c r="AP802" s="667">
        <f>E232</f>
        <v>120</v>
      </c>
      <c r="AQ802" s="496"/>
      <c r="AR802" s="496"/>
      <c r="AS802" s="667">
        <f>H232</f>
        <v>0</v>
      </c>
      <c r="AT802" s="495"/>
      <c r="AU802" s="495"/>
      <c r="AV802" s="667">
        <f>K232</f>
        <v>0</v>
      </c>
      <c r="AW802" s="496"/>
      <c r="AX802" s="500"/>
      <c r="AY802" s="667">
        <f>N232</f>
        <v>0</v>
      </c>
      <c r="AZ802" s="496"/>
      <c r="BA802" s="500"/>
      <c r="BB802" s="667">
        <f>Q232</f>
        <v>0</v>
      </c>
      <c r="BC802" s="496"/>
      <c r="BD802" s="500"/>
      <c r="BE802" s="668">
        <f t="shared" ref="BE802:BT802" si="745">T232</f>
        <v>0</v>
      </c>
      <c r="BF802" s="668">
        <f t="shared" si="745"/>
        <v>0</v>
      </c>
      <c r="BG802" s="668">
        <f t="shared" si="745"/>
        <v>0</v>
      </c>
      <c r="BH802" s="668">
        <f t="shared" si="745"/>
        <v>0</v>
      </c>
      <c r="BI802" s="668">
        <f t="shared" si="745"/>
        <v>0</v>
      </c>
      <c r="BJ802" s="668">
        <f t="shared" si="745"/>
        <v>0</v>
      </c>
      <c r="BK802" s="668">
        <f t="shared" si="745"/>
        <v>0</v>
      </c>
      <c r="BL802" s="668">
        <f t="shared" si="745"/>
        <v>0</v>
      </c>
      <c r="BM802" s="668">
        <f t="shared" si="745"/>
        <v>0</v>
      </c>
      <c r="BN802" s="668">
        <f t="shared" si="745"/>
        <v>0</v>
      </c>
      <c r="BO802" s="668">
        <f t="shared" si="745"/>
        <v>0</v>
      </c>
      <c r="BP802" s="668">
        <f t="shared" si="745"/>
        <v>0</v>
      </c>
      <c r="BQ802" s="668">
        <f t="shared" si="745"/>
        <v>0</v>
      </c>
      <c r="BR802" s="668">
        <f t="shared" si="745"/>
        <v>0</v>
      </c>
      <c r="BS802" s="668">
        <f t="shared" si="745"/>
        <v>0</v>
      </c>
      <c r="BT802" s="668">
        <f t="shared" si="745"/>
        <v>0</v>
      </c>
      <c r="BU802" s="1830"/>
    </row>
    <row r="803" spans="37:73" s="675" customFormat="1" ht="12.75" x14ac:dyDescent="0.25">
      <c r="AK803" s="2042"/>
      <c r="AL803" s="2049" t="s">
        <v>1191</v>
      </c>
      <c r="AM803" s="670" t="s">
        <v>1192</v>
      </c>
      <c r="AN803" s="894"/>
      <c r="AO803" s="632"/>
      <c r="AP803" s="674">
        <f>AP668-AP669</f>
        <v>0</v>
      </c>
      <c r="AQ803" s="632"/>
      <c r="AR803" s="632"/>
      <c r="AS803" s="674">
        <f>AS668-AS669</f>
        <v>0</v>
      </c>
      <c r="AT803" s="890"/>
      <c r="AU803" s="890"/>
      <c r="AV803" s="674">
        <f>AV668-AV669</f>
        <v>0</v>
      </c>
      <c r="AW803" s="632"/>
      <c r="AX803" s="664"/>
      <c r="AY803" s="674">
        <f>AY668-AY669</f>
        <v>0</v>
      </c>
      <c r="AZ803" s="632"/>
      <c r="BA803" s="664"/>
      <c r="BB803" s="674">
        <f>BB668-BB669</f>
        <v>0</v>
      </c>
      <c r="BC803" s="632"/>
      <c r="BD803" s="664"/>
      <c r="BE803" s="674">
        <f t="shared" ref="BE803:BT803" si="746">BE668-BE669</f>
        <v>0</v>
      </c>
      <c r="BF803" s="674">
        <f t="shared" si="746"/>
        <v>0</v>
      </c>
      <c r="BG803" s="674">
        <f t="shared" si="746"/>
        <v>0</v>
      </c>
      <c r="BH803" s="674">
        <f t="shared" si="746"/>
        <v>0</v>
      </c>
      <c r="BI803" s="674">
        <f t="shared" si="746"/>
        <v>0</v>
      </c>
      <c r="BJ803" s="674">
        <f t="shared" si="746"/>
        <v>0</v>
      </c>
      <c r="BK803" s="674">
        <f t="shared" si="746"/>
        <v>0</v>
      </c>
      <c r="BL803" s="674">
        <f t="shared" si="746"/>
        <v>0</v>
      </c>
      <c r="BM803" s="674">
        <f t="shared" si="746"/>
        <v>0</v>
      </c>
      <c r="BN803" s="674">
        <f t="shared" si="746"/>
        <v>0</v>
      </c>
      <c r="BO803" s="674">
        <f t="shared" si="746"/>
        <v>0</v>
      </c>
      <c r="BP803" s="674">
        <f t="shared" si="746"/>
        <v>0</v>
      </c>
      <c r="BQ803" s="674">
        <f t="shared" si="746"/>
        <v>0</v>
      </c>
      <c r="BR803" s="674">
        <f t="shared" si="746"/>
        <v>0</v>
      </c>
      <c r="BS803" s="674">
        <f t="shared" si="746"/>
        <v>0</v>
      </c>
      <c r="BT803" s="674">
        <f t="shared" si="746"/>
        <v>0</v>
      </c>
      <c r="BU803" s="2043"/>
    </row>
    <row r="804" spans="37:73" s="655" customFormat="1" ht="12.75" x14ac:dyDescent="0.25">
      <c r="AK804" s="2048"/>
      <c r="AL804" s="2065" t="s">
        <v>1193</v>
      </c>
      <c r="AM804" s="670" t="s">
        <v>1465</v>
      </c>
      <c r="AN804" s="894"/>
      <c r="AO804" s="675"/>
      <c r="AP804" s="671">
        <f>AP670</f>
        <v>20</v>
      </c>
      <c r="AQ804" s="675"/>
      <c r="AR804" s="675"/>
      <c r="AS804" s="671">
        <f>AS670</f>
        <v>20</v>
      </c>
      <c r="AT804" s="895"/>
      <c r="AU804" s="895"/>
      <c r="AV804" s="671">
        <f>AV670</f>
        <v>20</v>
      </c>
      <c r="AW804" s="675"/>
      <c r="AX804" s="676"/>
      <c r="AY804" s="671">
        <f>AY670</f>
        <v>20</v>
      </c>
      <c r="AZ804" s="675"/>
      <c r="BA804" s="676"/>
      <c r="BB804" s="671">
        <f>BB670</f>
        <v>20</v>
      </c>
      <c r="BC804" s="675"/>
      <c r="BD804" s="676"/>
      <c r="BE804" s="674">
        <f t="shared" ref="BE804:BT804" si="747">BE670</f>
        <v>20</v>
      </c>
      <c r="BF804" s="674">
        <f t="shared" si="747"/>
        <v>20</v>
      </c>
      <c r="BG804" s="674">
        <f t="shared" si="747"/>
        <v>20</v>
      </c>
      <c r="BH804" s="674">
        <f t="shared" si="747"/>
        <v>20</v>
      </c>
      <c r="BI804" s="674">
        <f t="shared" si="747"/>
        <v>20</v>
      </c>
      <c r="BJ804" s="674">
        <f t="shared" si="747"/>
        <v>20</v>
      </c>
      <c r="BK804" s="674">
        <f t="shared" si="747"/>
        <v>20</v>
      </c>
      <c r="BL804" s="674">
        <f t="shared" si="747"/>
        <v>20</v>
      </c>
      <c r="BM804" s="674">
        <f t="shared" si="747"/>
        <v>20</v>
      </c>
      <c r="BN804" s="674">
        <f t="shared" si="747"/>
        <v>20</v>
      </c>
      <c r="BO804" s="674">
        <f t="shared" si="747"/>
        <v>20</v>
      </c>
      <c r="BP804" s="674">
        <f t="shared" si="747"/>
        <v>20</v>
      </c>
      <c r="BQ804" s="674">
        <f t="shared" si="747"/>
        <v>20</v>
      </c>
      <c r="BR804" s="674">
        <f t="shared" si="747"/>
        <v>20</v>
      </c>
      <c r="BS804" s="674">
        <f t="shared" si="747"/>
        <v>20</v>
      </c>
      <c r="BT804" s="674">
        <f t="shared" si="747"/>
        <v>20</v>
      </c>
      <c r="BU804" s="2050"/>
    </row>
    <row r="805" spans="37:73" s="496" customFormat="1" ht="12.75" x14ac:dyDescent="0.25">
      <c r="AK805" s="2048"/>
      <c r="AL805" s="2049" t="s">
        <v>1194</v>
      </c>
      <c r="AM805" s="670" t="s">
        <v>1466</v>
      </c>
      <c r="AN805" s="894"/>
      <c r="AO805" s="675"/>
      <c r="AP805" s="671">
        <f>AP671</f>
        <v>0</v>
      </c>
      <c r="AQ805" s="675"/>
      <c r="AR805" s="675"/>
      <c r="AS805" s="671">
        <f>AS671</f>
        <v>0</v>
      </c>
      <c r="AT805" s="895"/>
      <c r="AU805" s="895"/>
      <c r="AV805" s="671">
        <f>AV671</f>
        <v>0</v>
      </c>
      <c r="AW805" s="675"/>
      <c r="AX805" s="676"/>
      <c r="AY805" s="671">
        <f>AY671</f>
        <v>0</v>
      </c>
      <c r="AZ805" s="675"/>
      <c r="BA805" s="676"/>
      <c r="BB805" s="671">
        <f>BB671</f>
        <v>0</v>
      </c>
      <c r="BC805" s="675"/>
      <c r="BD805" s="676"/>
      <c r="BE805" s="674">
        <f t="shared" ref="BE805:BT805" si="748">BE671</f>
        <v>0</v>
      </c>
      <c r="BF805" s="674">
        <f t="shared" si="748"/>
        <v>0</v>
      </c>
      <c r="BG805" s="674">
        <f t="shared" si="748"/>
        <v>0</v>
      </c>
      <c r="BH805" s="674">
        <f t="shared" si="748"/>
        <v>0</v>
      </c>
      <c r="BI805" s="674">
        <f t="shared" si="748"/>
        <v>0</v>
      </c>
      <c r="BJ805" s="674">
        <f t="shared" si="748"/>
        <v>0</v>
      </c>
      <c r="BK805" s="674">
        <f t="shared" si="748"/>
        <v>0</v>
      </c>
      <c r="BL805" s="674">
        <f t="shared" si="748"/>
        <v>0</v>
      </c>
      <c r="BM805" s="674">
        <f t="shared" si="748"/>
        <v>0</v>
      </c>
      <c r="BN805" s="674">
        <f t="shared" si="748"/>
        <v>0</v>
      </c>
      <c r="BO805" s="674">
        <f t="shared" si="748"/>
        <v>0</v>
      </c>
      <c r="BP805" s="674">
        <f t="shared" si="748"/>
        <v>0</v>
      </c>
      <c r="BQ805" s="674">
        <f t="shared" si="748"/>
        <v>0</v>
      </c>
      <c r="BR805" s="674">
        <f t="shared" si="748"/>
        <v>0</v>
      </c>
      <c r="BS805" s="674">
        <f t="shared" si="748"/>
        <v>0</v>
      </c>
      <c r="BT805" s="674">
        <f t="shared" si="748"/>
        <v>0</v>
      </c>
      <c r="BU805" s="2050"/>
    </row>
    <row r="806" spans="37:73" s="632" customFormat="1" ht="12.75" x14ac:dyDescent="0.25">
      <c r="AK806" s="2048"/>
      <c r="AL806" s="2049" t="s">
        <v>1195</v>
      </c>
      <c r="AM806" s="670" t="s">
        <v>1467</v>
      </c>
      <c r="AN806" s="894"/>
      <c r="AO806" s="675"/>
      <c r="AP806" s="671">
        <f>AP672</f>
        <v>0</v>
      </c>
      <c r="AQ806" s="675"/>
      <c r="AR806" s="675"/>
      <c r="AS806" s="671">
        <f>AS672</f>
        <v>0</v>
      </c>
      <c r="AT806" s="895"/>
      <c r="AU806" s="895"/>
      <c r="AV806" s="671">
        <f>AV672</f>
        <v>0</v>
      </c>
      <c r="AW806" s="675"/>
      <c r="AX806" s="676"/>
      <c r="AY806" s="671">
        <f>AY672</f>
        <v>0</v>
      </c>
      <c r="AZ806" s="675"/>
      <c r="BA806" s="676"/>
      <c r="BB806" s="671">
        <f>BB672</f>
        <v>0</v>
      </c>
      <c r="BC806" s="675"/>
      <c r="BD806" s="676"/>
      <c r="BE806" s="674">
        <f t="shared" ref="BE806:BT806" si="749">BE672</f>
        <v>0</v>
      </c>
      <c r="BF806" s="674">
        <f t="shared" si="749"/>
        <v>0</v>
      </c>
      <c r="BG806" s="674">
        <f t="shared" si="749"/>
        <v>0</v>
      </c>
      <c r="BH806" s="674">
        <f t="shared" si="749"/>
        <v>0</v>
      </c>
      <c r="BI806" s="674">
        <f t="shared" si="749"/>
        <v>0</v>
      </c>
      <c r="BJ806" s="674">
        <f t="shared" si="749"/>
        <v>0</v>
      </c>
      <c r="BK806" s="674">
        <f t="shared" si="749"/>
        <v>0</v>
      </c>
      <c r="BL806" s="674">
        <f t="shared" si="749"/>
        <v>0</v>
      </c>
      <c r="BM806" s="674">
        <f t="shared" si="749"/>
        <v>0</v>
      </c>
      <c r="BN806" s="674">
        <f t="shared" si="749"/>
        <v>0</v>
      </c>
      <c r="BO806" s="674">
        <f t="shared" si="749"/>
        <v>0</v>
      </c>
      <c r="BP806" s="674">
        <f t="shared" si="749"/>
        <v>0</v>
      </c>
      <c r="BQ806" s="674">
        <f t="shared" si="749"/>
        <v>0</v>
      </c>
      <c r="BR806" s="674">
        <f t="shared" si="749"/>
        <v>0</v>
      </c>
      <c r="BS806" s="674">
        <f t="shared" si="749"/>
        <v>0</v>
      </c>
      <c r="BT806" s="674">
        <f t="shared" si="749"/>
        <v>0</v>
      </c>
      <c r="BU806" s="2050"/>
    </row>
    <row r="807" spans="37:73" s="675" customFormat="1" ht="12.75" x14ac:dyDescent="0.25">
      <c r="AK807" s="2048"/>
      <c r="AL807" s="2049" t="s">
        <v>1196</v>
      </c>
      <c r="AM807" s="710" t="s">
        <v>1468</v>
      </c>
      <c r="AN807" s="911"/>
      <c r="AP807" s="671">
        <f>AP673</f>
        <v>0</v>
      </c>
      <c r="AS807" s="671">
        <f>AS673</f>
        <v>0</v>
      </c>
      <c r="AT807" s="895"/>
      <c r="AU807" s="895"/>
      <c r="AV807" s="671">
        <f>AV673</f>
        <v>0</v>
      </c>
      <c r="AX807" s="676"/>
      <c r="AY807" s="671">
        <f>AY673</f>
        <v>0</v>
      </c>
      <c r="BA807" s="676"/>
      <c r="BB807" s="671">
        <f>BB673</f>
        <v>0</v>
      </c>
      <c r="BD807" s="676"/>
      <c r="BE807" s="674">
        <f t="shared" ref="BE807:BT807" si="750">BE673</f>
        <v>0</v>
      </c>
      <c r="BF807" s="674">
        <f t="shared" si="750"/>
        <v>0</v>
      </c>
      <c r="BG807" s="674">
        <f t="shared" si="750"/>
        <v>0</v>
      </c>
      <c r="BH807" s="674">
        <f t="shared" si="750"/>
        <v>0</v>
      </c>
      <c r="BI807" s="674">
        <f t="shared" si="750"/>
        <v>0</v>
      </c>
      <c r="BJ807" s="674">
        <f t="shared" si="750"/>
        <v>0</v>
      </c>
      <c r="BK807" s="674">
        <f t="shared" si="750"/>
        <v>0</v>
      </c>
      <c r="BL807" s="674">
        <f t="shared" si="750"/>
        <v>0</v>
      </c>
      <c r="BM807" s="674">
        <f t="shared" si="750"/>
        <v>0</v>
      </c>
      <c r="BN807" s="674">
        <f t="shared" si="750"/>
        <v>0</v>
      </c>
      <c r="BO807" s="674">
        <f t="shared" si="750"/>
        <v>0</v>
      </c>
      <c r="BP807" s="674">
        <f t="shared" si="750"/>
        <v>0</v>
      </c>
      <c r="BQ807" s="674">
        <f t="shared" si="750"/>
        <v>0</v>
      </c>
      <c r="BR807" s="674">
        <f t="shared" si="750"/>
        <v>0</v>
      </c>
      <c r="BS807" s="674">
        <f t="shared" si="750"/>
        <v>0</v>
      </c>
      <c r="BT807" s="674">
        <f t="shared" si="750"/>
        <v>0</v>
      </c>
      <c r="BU807" s="2050"/>
    </row>
    <row r="808" spans="37:73" s="675" customFormat="1" ht="12.75" x14ac:dyDescent="0.25">
      <c r="AK808" s="2048"/>
      <c r="AL808" s="2049" t="s">
        <v>1197</v>
      </c>
      <c r="AM808" s="710" t="s">
        <v>1198</v>
      </c>
      <c r="AN808" s="911"/>
      <c r="AP808" s="671">
        <f>IF(AP667&gt;=0,AP667+AP674-AP675,AP674-AP675)</f>
        <v>-10</v>
      </c>
      <c r="AS808" s="671">
        <f>IF(AS667&gt;=0,AS667+AS674-AS675,AS674-AS675)</f>
        <v>-10</v>
      </c>
      <c r="AT808" s="895"/>
      <c r="AU808" s="895"/>
      <c r="AV808" s="671">
        <f>IF(AV667&gt;=0,AV667+AV674-AV675,AV674-AV675)</f>
        <v>-10</v>
      </c>
      <c r="AX808" s="676"/>
      <c r="AY808" s="671">
        <f>IF(AY667&gt;=0,AY667+AY674-AY675,AY674-AY675)</f>
        <v>-10</v>
      </c>
      <c r="BA808" s="676"/>
      <c r="BB808" s="671">
        <f>IF(BB667&gt;=0,BB667+BB674-BB675,BB674-BB675)</f>
        <v>-10</v>
      </c>
      <c r="BD808" s="676"/>
      <c r="BE808" s="674">
        <f t="shared" ref="BE808:BT808" si="751">IF(BE667&gt;=0,BE667+BE674-BE675,BE674-BE675)</f>
        <v>-10.000000000000014</v>
      </c>
      <c r="BF808" s="674">
        <f t="shared" si="751"/>
        <v>-10.000000000000014</v>
      </c>
      <c r="BG808" s="674">
        <f t="shared" si="751"/>
        <v>-10.000000000000014</v>
      </c>
      <c r="BH808" s="674">
        <f t="shared" si="751"/>
        <v>-10.000000000000014</v>
      </c>
      <c r="BI808" s="674">
        <f t="shared" si="751"/>
        <v>-10.000000000000014</v>
      </c>
      <c r="BJ808" s="674">
        <f t="shared" si="751"/>
        <v>-10.000000000000014</v>
      </c>
      <c r="BK808" s="674">
        <f t="shared" si="751"/>
        <v>-10.000000000000014</v>
      </c>
      <c r="BL808" s="674">
        <f t="shared" si="751"/>
        <v>-10.000000000000014</v>
      </c>
      <c r="BM808" s="674">
        <f t="shared" si="751"/>
        <v>-10.000000000000014</v>
      </c>
      <c r="BN808" s="674">
        <f t="shared" si="751"/>
        <v>-10.000000000000014</v>
      </c>
      <c r="BO808" s="674">
        <f t="shared" si="751"/>
        <v>-10.000000000000014</v>
      </c>
      <c r="BP808" s="674">
        <f t="shared" si="751"/>
        <v>-10.000000000000014</v>
      </c>
      <c r="BQ808" s="674">
        <f t="shared" si="751"/>
        <v>-10.000000000000014</v>
      </c>
      <c r="BR808" s="674">
        <f t="shared" si="751"/>
        <v>-10.000000000000014</v>
      </c>
      <c r="BS808" s="674">
        <f t="shared" si="751"/>
        <v>-10.000000000000014</v>
      </c>
      <c r="BT808" s="674">
        <f t="shared" si="751"/>
        <v>-10.000000000000014</v>
      </c>
      <c r="BU808" s="2050"/>
    </row>
    <row r="809" spans="37:73" s="655" customFormat="1" ht="12.75" x14ac:dyDescent="0.25">
      <c r="AK809" s="2035"/>
      <c r="AL809" s="2034">
        <v>16</v>
      </c>
      <c r="AM809" s="2066" t="s">
        <v>1199</v>
      </c>
      <c r="AN809" s="897"/>
      <c r="AP809" s="706">
        <f>SUM(AP803:AP808)</f>
        <v>10</v>
      </c>
      <c r="AS809" s="706">
        <f>SUM(AS803:AS808)</f>
        <v>10</v>
      </c>
      <c r="AT809" s="886"/>
      <c r="AU809" s="886"/>
      <c r="AV809" s="706">
        <f>SUM(AV803:AV808)</f>
        <v>10</v>
      </c>
      <c r="AX809" s="653"/>
      <c r="AY809" s="706">
        <f>SUM(AY803:AY808)</f>
        <v>10</v>
      </c>
      <c r="BA809" s="653"/>
      <c r="BB809" s="706">
        <f>SUM(BB803:BB808)</f>
        <v>10</v>
      </c>
      <c r="BD809" s="653"/>
      <c r="BE809" s="704">
        <f t="shared" ref="BE809:BT809" si="752">SUM(BE803:BE808)</f>
        <v>9.9999999999999858</v>
      </c>
      <c r="BF809" s="704">
        <f t="shared" si="752"/>
        <v>9.9999999999999858</v>
      </c>
      <c r="BG809" s="704">
        <f t="shared" si="752"/>
        <v>9.9999999999999858</v>
      </c>
      <c r="BH809" s="704">
        <f t="shared" si="752"/>
        <v>9.9999999999999858</v>
      </c>
      <c r="BI809" s="704">
        <f t="shared" si="752"/>
        <v>9.9999999999999858</v>
      </c>
      <c r="BJ809" s="704">
        <f t="shared" si="752"/>
        <v>9.9999999999999858</v>
      </c>
      <c r="BK809" s="704">
        <f t="shared" si="752"/>
        <v>9.9999999999999858</v>
      </c>
      <c r="BL809" s="704">
        <f t="shared" si="752"/>
        <v>9.9999999999999858</v>
      </c>
      <c r="BM809" s="704">
        <f t="shared" si="752"/>
        <v>9.9999999999999858</v>
      </c>
      <c r="BN809" s="704">
        <f t="shared" si="752"/>
        <v>9.9999999999999858</v>
      </c>
      <c r="BO809" s="704">
        <f t="shared" si="752"/>
        <v>9.9999999999999858</v>
      </c>
      <c r="BP809" s="704">
        <f t="shared" si="752"/>
        <v>9.9999999999999858</v>
      </c>
      <c r="BQ809" s="704">
        <f t="shared" si="752"/>
        <v>9.9999999999999858</v>
      </c>
      <c r="BR809" s="704">
        <f t="shared" si="752"/>
        <v>9.9999999999999858</v>
      </c>
      <c r="BS809" s="704">
        <f t="shared" si="752"/>
        <v>9.9999999999999858</v>
      </c>
      <c r="BT809" s="704">
        <f t="shared" si="752"/>
        <v>9.9999999999999858</v>
      </c>
      <c r="BU809" s="2041"/>
    </row>
    <row r="810" spans="37:73" s="714" customFormat="1" ht="12.75" x14ac:dyDescent="0.25">
      <c r="AK810" s="1828"/>
      <c r="AL810" s="2067"/>
      <c r="AM810" s="2044" t="s">
        <v>1200</v>
      </c>
      <c r="AN810" s="2068"/>
      <c r="AO810" s="496"/>
      <c r="AP810" s="2054">
        <f>SUM(AP787:AP789)+AP794+SUM(AP801:AP802)+AP809</f>
        <v>810</v>
      </c>
      <c r="AQ810" s="496"/>
      <c r="AR810" s="496"/>
      <c r="AS810" s="2054">
        <f>SUM(AS787:AS789)+AS794+SUM(AS801:AS802)+AS809</f>
        <v>10</v>
      </c>
      <c r="AT810" s="495"/>
      <c r="AU810" s="495"/>
      <c r="AV810" s="2054">
        <f>SUM(AV787:AV789)+AV794+SUM(AV801:AV802)+AV809</f>
        <v>10</v>
      </c>
      <c r="AW810" s="496"/>
      <c r="AX810" s="500"/>
      <c r="AY810" s="2054">
        <f>SUM(AY787:AY789)+AY794+SUM(AY801:AY802)+AY809</f>
        <v>10</v>
      </c>
      <c r="AZ810" s="496"/>
      <c r="BA810" s="500"/>
      <c r="BB810" s="2054">
        <f>SUM(BB787:BB789)+BB794+SUM(BB801:BB802)+BB809</f>
        <v>10</v>
      </c>
      <c r="BC810" s="496"/>
      <c r="BD810" s="500"/>
      <c r="BE810" s="2046">
        <f t="shared" ref="BE810:BT810" si="753">SUM(BE787:BE789)+BE794+SUM(BE801:BE802)+BE809</f>
        <v>9.9999999999999858</v>
      </c>
      <c r="BF810" s="2046">
        <f t="shared" si="753"/>
        <v>9.9999999999999858</v>
      </c>
      <c r="BG810" s="2046">
        <f t="shared" si="753"/>
        <v>9.9999999999999858</v>
      </c>
      <c r="BH810" s="2046">
        <f t="shared" si="753"/>
        <v>9.9999999999999858</v>
      </c>
      <c r="BI810" s="2046">
        <f t="shared" si="753"/>
        <v>9.9999999999999858</v>
      </c>
      <c r="BJ810" s="2046">
        <f t="shared" si="753"/>
        <v>9.9999999999999858</v>
      </c>
      <c r="BK810" s="2046">
        <f t="shared" si="753"/>
        <v>9.9999999999999858</v>
      </c>
      <c r="BL810" s="2046">
        <f t="shared" si="753"/>
        <v>9.9999999999999858</v>
      </c>
      <c r="BM810" s="2046">
        <f t="shared" si="753"/>
        <v>9.9999999999999858</v>
      </c>
      <c r="BN810" s="2046">
        <f t="shared" si="753"/>
        <v>9.9999999999999858</v>
      </c>
      <c r="BO810" s="2046">
        <f t="shared" si="753"/>
        <v>9.9999999999999858</v>
      </c>
      <c r="BP810" s="2046">
        <f t="shared" si="753"/>
        <v>9.9999999999999858</v>
      </c>
      <c r="BQ810" s="2046">
        <f t="shared" si="753"/>
        <v>9.9999999999999858</v>
      </c>
      <c r="BR810" s="2046">
        <f t="shared" si="753"/>
        <v>9.9999999999999858</v>
      </c>
      <c r="BS810" s="2046">
        <f t="shared" si="753"/>
        <v>9.9999999999999858</v>
      </c>
      <c r="BT810" s="2046">
        <f t="shared" si="753"/>
        <v>9.9999999999999858</v>
      </c>
      <c r="BU810" s="1830"/>
    </row>
    <row r="811" spans="37:73" s="714" customFormat="1" ht="12" x14ac:dyDescent="0.25">
      <c r="AK811" s="2042"/>
      <c r="AL811" s="2029">
        <v>17</v>
      </c>
      <c r="AM811" s="666" t="s">
        <v>1201</v>
      </c>
      <c r="AN811" s="893"/>
      <c r="AO811" s="632"/>
      <c r="AP811" s="2069">
        <f>-AP685</f>
        <v>-540</v>
      </c>
      <c r="AQ811" s="632"/>
      <c r="AR811" s="632"/>
      <c r="AS811" s="667">
        <f>-AS685</f>
        <v>0</v>
      </c>
      <c r="AT811" s="890"/>
      <c r="AU811" s="890"/>
      <c r="AV811" s="667">
        <f>-AV685</f>
        <v>0</v>
      </c>
      <c r="AW811" s="632"/>
      <c r="AX811" s="664"/>
      <c r="AY811" s="667">
        <f>-AY685</f>
        <v>0</v>
      </c>
      <c r="AZ811" s="632"/>
      <c r="BA811" s="664"/>
      <c r="BB811" s="667">
        <f>-BB685</f>
        <v>0</v>
      </c>
      <c r="BC811" s="632"/>
      <c r="BD811" s="664"/>
      <c r="BE811" s="668">
        <f t="shared" ref="BE811:BT811" si="754">-BE685</f>
        <v>-178.20000000000005</v>
      </c>
      <c r="BF811" s="668">
        <f t="shared" si="754"/>
        <v>-178.20000000000005</v>
      </c>
      <c r="BG811" s="668">
        <f t="shared" si="754"/>
        <v>-178.20000000000005</v>
      </c>
      <c r="BH811" s="668">
        <f t="shared" si="754"/>
        <v>-178.20000000000005</v>
      </c>
      <c r="BI811" s="668">
        <f t="shared" si="754"/>
        <v>-178.20000000000005</v>
      </c>
      <c r="BJ811" s="668">
        <f t="shared" si="754"/>
        <v>-178.20000000000005</v>
      </c>
      <c r="BK811" s="668">
        <f t="shared" si="754"/>
        <v>-178.20000000000005</v>
      </c>
      <c r="BL811" s="668">
        <f t="shared" si="754"/>
        <v>-178.20000000000005</v>
      </c>
      <c r="BM811" s="668">
        <f t="shared" si="754"/>
        <v>-178.19999999999982</v>
      </c>
      <c r="BN811" s="668">
        <f t="shared" si="754"/>
        <v>-178.19999999999982</v>
      </c>
      <c r="BO811" s="668">
        <f t="shared" si="754"/>
        <v>-178.19999999999982</v>
      </c>
      <c r="BP811" s="668">
        <f t="shared" si="754"/>
        <v>-178.19999999999982</v>
      </c>
      <c r="BQ811" s="668">
        <f t="shared" si="754"/>
        <v>-178.19999999999982</v>
      </c>
      <c r="BR811" s="668">
        <f t="shared" si="754"/>
        <v>-178.19999999999982</v>
      </c>
      <c r="BS811" s="668">
        <f t="shared" si="754"/>
        <v>-178.19999999999982</v>
      </c>
      <c r="BT811" s="668">
        <f t="shared" si="754"/>
        <v>-178.19999999999982</v>
      </c>
      <c r="BU811" s="2043"/>
    </row>
    <row r="812" spans="37:73" s="675" customFormat="1" ht="12.75" x14ac:dyDescent="0.25">
      <c r="AK812" s="2048"/>
      <c r="AL812" s="2049" t="s">
        <v>1202</v>
      </c>
      <c r="AM812" s="703" t="str">
        <f>"- / + "&amp;AM595</f>
        <v>- / + DEUDORES VARIOS</v>
      </c>
      <c r="AN812" s="897"/>
      <c r="AP812" s="671">
        <f>-(AP595-AN595)</f>
        <v>-360</v>
      </c>
      <c r="AS812" s="706">
        <f>-(AS595-AP595)</f>
        <v>0</v>
      </c>
      <c r="AT812" s="895"/>
      <c r="AU812" s="895"/>
      <c r="AV812" s="706">
        <f>-(AV595-AS595)</f>
        <v>0</v>
      </c>
      <c r="AX812" s="676"/>
      <c r="AY812" s="706">
        <f>-(AY595-AS595)</f>
        <v>0</v>
      </c>
      <c r="BA812" s="676"/>
      <c r="BB812" s="706">
        <f>IF(OR($C$3=$L$913,$C$3=0),-(BB595-AY595),-(BB595-AV595))</f>
        <v>0</v>
      </c>
      <c r="BD812" s="676"/>
      <c r="BE812" s="674">
        <f>-(BE595-AY595)</f>
        <v>0</v>
      </c>
      <c r="BF812" s="674">
        <f t="shared" ref="BF812:BT812" si="755">-(BF595-BE595)</f>
        <v>0</v>
      </c>
      <c r="BG812" s="674">
        <f t="shared" si="755"/>
        <v>0</v>
      </c>
      <c r="BH812" s="674">
        <f t="shared" si="755"/>
        <v>0</v>
      </c>
      <c r="BI812" s="674">
        <f t="shared" si="755"/>
        <v>0</v>
      </c>
      <c r="BJ812" s="674">
        <f t="shared" si="755"/>
        <v>0</v>
      </c>
      <c r="BK812" s="674">
        <f t="shared" si="755"/>
        <v>0</v>
      </c>
      <c r="BL812" s="674">
        <f t="shared" si="755"/>
        <v>0</v>
      </c>
      <c r="BM812" s="674">
        <f t="shared" si="755"/>
        <v>0</v>
      </c>
      <c r="BN812" s="674">
        <f t="shared" si="755"/>
        <v>0</v>
      </c>
      <c r="BO812" s="674">
        <f t="shared" si="755"/>
        <v>0</v>
      </c>
      <c r="BP812" s="674">
        <f t="shared" si="755"/>
        <v>0</v>
      </c>
      <c r="BQ812" s="674">
        <f t="shared" si="755"/>
        <v>0</v>
      </c>
      <c r="BR812" s="674">
        <f t="shared" si="755"/>
        <v>0</v>
      </c>
      <c r="BS812" s="674">
        <f t="shared" si="755"/>
        <v>0</v>
      </c>
      <c r="BT812" s="674">
        <f t="shared" si="755"/>
        <v>0</v>
      </c>
      <c r="BU812" s="2050"/>
    </row>
    <row r="813" spans="37:73" s="675" customFormat="1" ht="12.75" x14ac:dyDescent="0.25">
      <c r="AK813" s="2048"/>
      <c r="AL813" s="2049" t="s">
        <v>1203</v>
      </c>
      <c r="AM813" s="703" t="str">
        <f>"- / + "&amp;AM596</f>
        <v>- / + OTROS CORRIENTES</v>
      </c>
      <c r="AN813" s="897"/>
      <c r="AP813" s="671">
        <f>-(AP596-AN596)</f>
        <v>-570</v>
      </c>
      <c r="AS813" s="706">
        <f>-(AS596-AP596)</f>
        <v>0</v>
      </c>
      <c r="AT813" s="895"/>
      <c r="AU813" s="895"/>
      <c r="AV813" s="706">
        <f>-(AV596-AS596)</f>
        <v>0</v>
      </c>
      <c r="AX813" s="676"/>
      <c r="AY813" s="706">
        <f>-(AY596-AS596)</f>
        <v>0</v>
      </c>
      <c r="BA813" s="676"/>
      <c r="BB813" s="706">
        <f>IF(OR($C$3=$L$913,$C$3=0),-(BB596-AY596),-(BB596-AV596))</f>
        <v>0</v>
      </c>
      <c r="BD813" s="676"/>
      <c r="BE813" s="674">
        <f>-(BE596-AY596)</f>
        <v>0</v>
      </c>
      <c r="BF813" s="674">
        <f t="shared" ref="BF813:BT813" si="756">-(BF596-BE596)</f>
        <v>0</v>
      </c>
      <c r="BG813" s="674">
        <f t="shared" si="756"/>
        <v>0</v>
      </c>
      <c r="BH813" s="674">
        <f t="shared" si="756"/>
        <v>0</v>
      </c>
      <c r="BI813" s="674">
        <f t="shared" si="756"/>
        <v>0</v>
      </c>
      <c r="BJ813" s="674">
        <f t="shared" si="756"/>
        <v>0</v>
      </c>
      <c r="BK813" s="674">
        <f t="shared" si="756"/>
        <v>0</v>
      </c>
      <c r="BL813" s="674">
        <f t="shared" si="756"/>
        <v>0</v>
      </c>
      <c r="BM813" s="674">
        <f t="shared" si="756"/>
        <v>0</v>
      </c>
      <c r="BN813" s="674">
        <f t="shared" si="756"/>
        <v>0</v>
      </c>
      <c r="BO813" s="674">
        <f t="shared" si="756"/>
        <v>0</v>
      </c>
      <c r="BP813" s="674">
        <f t="shared" si="756"/>
        <v>0</v>
      </c>
      <c r="BQ813" s="674">
        <f t="shared" si="756"/>
        <v>0</v>
      </c>
      <c r="BR813" s="674">
        <f t="shared" si="756"/>
        <v>0</v>
      </c>
      <c r="BS813" s="674">
        <f t="shared" si="756"/>
        <v>0</v>
      </c>
      <c r="BT813" s="674">
        <f t="shared" si="756"/>
        <v>0</v>
      </c>
      <c r="BU813" s="2050"/>
    </row>
    <row r="814" spans="37:73" s="655" customFormat="1" ht="12.75" x14ac:dyDescent="0.25">
      <c r="AK814" s="2035"/>
      <c r="AL814" s="2047">
        <v>18</v>
      </c>
      <c r="AM814" s="705" t="s">
        <v>1204</v>
      </c>
      <c r="AN814" s="897"/>
      <c r="AP814" s="706">
        <f>SUM(AP812:AP813)</f>
        <v>-930</v>
      </c>
      <c r="AS814" s="706">
        <f>SUM(AS812:AS813)</f>
        <v>0</v>
      </c>
      <c r="AT814" s="886"/>
      <c r="AU814" s="886"/>
      <c r="AV814" s="706">
        <f>SUM(AV812:AV813)</f>
        <v>0</v>
      </c>
      <c r="AX814" s="653"/>
      <c r="AY814" s="706">
        <f>SUM(AY812:AY813)</f>
        <v>0</v>
      </c>
      <c r="BA814" s="653"/>
      <c r="BB814" s="706">
        <f>SUM(BB812:BB813)</f>
        <v>0</v>
      </c>
      <c r="BD814" s="653"/>
      <c r="BE814" s="704">
        <f t="shared" ref="BE814:BT814" si="757">SUM(BE812:BE813)</f>
        <v>0</v>
      </c>
      <c r="BF814" s="704">
        <f t="shared" si="757"/>
        <v>0</v>
      </c>
      <c r="BG814" s="704">
        <f t="shared" si="757"/>
        <v>0</v>
      </c>
      <c r="BH814" s="704">
        <f t="shared" si="757"/>
        <v>0</v>
      </c>
      <c r="BI814" s="704">
        <f t="shared" si="757"/>
        <v>0</v>
      </c>
      <c r="BJ814" s="704">
        <f t="shared" si="757"/>
        <v>0</v>
      </c>
      <c r="BK814" s="704">
        <f t="shared" si="757"/>
        <v>0</v>
      </c>
      <c r="BL814" s="704">
        <f t="shared" si="757"/>
        <v>0</v>
      </c>
      <c r="BM814" s="704">
        <f t="shared" si="757"/>
        <v>0</v>
      </c>
      <c r="BN814" s="704">
        <f t="shared" si="757"/>
        <v>0</v>
      </c>
      <c r="BO814" s="704">
        <f t="shared" si="757"/>
        <v>0</v>
      </c>
      <c r="BP814" s="704">
        <f t="shared" si="757"/>
        <v>0</v>
      </c>
      <c r="BQ814" s="704">
        <f t="shared" si="757"/>
        <v>0</v>
      </c>
      <c r="BR814" s="704">
        <f t="shared" si="757"/>
        <v>0</v>
      </c>
      <c r="BS814" s="704">
        <f t="shared" si="757"/>
        <v>0</v>
      </c>
      <c r="BT814" s="704">
        <f t="shared" si="757"/>
        <v>0</v>
      </c>
      <c r="BU814" s="2041"/>
    </row>
    <row r="815" spans="37:73" s="496" customFormat="1" ht="12.75" x14ac:dyDescent="0.25">
      <c r="AK815" s="2070"/>
      <c r="AL815" s="2049" t="s">
        <v>1205</v>
      </c>
      <c r="AM815" s="703" t="str">
        <f>"- / + "&amp;AM599</f>
        <v>- / + INVERSIONES EN FILIALES Y ASOCIADAS (PERMANENTES)</v>
      </c>
      <c r="AN815" s="894"/>
      <c r="AO815" s="714"/>
      <c r="AP815" s="910">
        <f>-(AP599-AN599)</f>
        <v>-270</v>
      </c>
      <c r="AQ815" s="714"/>
      <c r="AR815" s="714"/>
      <c r="AS815" s="671">
        <f>-(AS599-AP599)</f>
        <v>0</v>
      </c>
      <c r="AT815" s="915"/>
      <c r="AU815" s="915"/>
      <c r="AV815" s="671">
        <f>-(AV599-AS599)</f>
        <v>0</v>
      </c>
      <c r="AW815" s="714"/>
      <c r="AX815" s="713"/>
      <c r="AY815" s="671">
        <f>-(AY599-AS599)</f>
        <v>0</v>
      </c>
      <c r="AZ815" s="714"/>
      <c r="BA815" s="713"/>
      <c r="BB815" s="671">
        <f>IF(OR($C$3=$L$913,$C$3=0),-(BB599-AY599),-(BB599-AV599))</f>
        <v>0</v>
      </c>
      <c r="BC815" s="714"/>
      <c r="BD815" s="713"/>
      <c r="BE815" s="674">
        <f>-(BE599-AY599)</f>
        <v>0</v>
      </c>
      <c r="BF815" s="674">
        <f t="shared" ref="BF815:BT815" si="758">-(BF599-BE599)</f>
        <v>0</v>
      </c>
      <c r="BG815" s="674">
        <f t="shared" si="758"/>
        <v>0</v>
      </c>
      <c r="BH815" s="674">
        <f t="shared" si="758"/>
        <v>0</v>
      </c>
      <c r="BI815" s="674">
        <f t="shared" si="758"/>
        <v>0</v>
      </c>
      <c r="BJ815" s="674">
        <f t="shared" si="758"/>
        <v>0</v>
      </c>
      <c r="BK815" s="674">
        <f t="shared" si="758"/>
        <v>0</v>
      </c>
      <c r="BL815" s="674">
        <f t="shared" si="758"/>
        <v>0</v>
      </c>
      <c r="BM815" s="674">
        <f t="shared" si="758"/>
        <v>0</v>
      </c>
      <c r="BN815" s="674">
        <f t="shared" si="758"/>
        <v>0</v>
      </c>
      <c r="BO815" s="674">
        <f t="shared" si="758"/>
        <v>0</v>
      </c>
      <c r="BP815" s="674">
        <f t="shared" si="758"/>
        <v>0</v>
      </c>
      <c r="BQ815" s="674">
        <f t="shared" si="758"/>
        <v>0</v>
      </c>
      <c r="BR815" s="674">
        <f t="shared" si="758"/>
        <v>0</v>
      </c>
      <c r="BS815" s="674">
        <f t="shared" si="758"/>
        <v>0</v>
      </c>
      <c r="BT815" s="674">
        <f t="shared" si="758"/>
        <v>0</v>
      </c>
      <c r="BU815" s="2071"/>
    </row>
    <row r="816" spans="37:73" s="698" customFormat="1" ht="12" x14ac:dyDescent="0.25">
      <c r="AK816" s="2070"/>
      <c r="AL816" s="2049" t="s">
        <v>1206</v>
      </c>
      <c r="AM816" s="703" t="str">
        <f>"- / + "&amp;AM606</f>
        <v>- / + INTANGIBLES NETO</v>
      </c>
      <c r="AN816" s="894"/>
      <c r="AO816" s="714"/>
      <c r="AP816" s="910">
        <f>-(AP606-AN606+AP681)</f>
        <v>-210</v>
      </c>
      <c r="AQ816" s="714"/>
      <c r="AR816" s="714"/>
      <c r="AS816" s="671">
        <f>-(AS606-AP606+AS681)</f>
        <v>0</v>
      </c>
      <c r="AT816" s="915"/>
      <c r="AU816" s="915"/>
      <c r="AV816" s="671">
        <f>-(AV606-AS606+AV681)</f>
        <v>0</v>
      </c>
      <c r="AW816" s="714"/>
      <c r="AX816" s="713"/>
      <c r="AY816" s="671">
        <f>-(AY606-AS606+AY681)</f>
        <v>0</v>
      </c>
      <c r="AZ816" s="714"/>
      <c r="BA816" s="713"/>
      <c r="BB816" s="671">
        <f>IF(OR($C$3=$L$913,$C$3=0),-(BB606-AY606+BB681),-(BB606-AV606+BB681))</f>
        <v>0</v>
      </c>
      <c r="BC816" s="714"/>
      <c r="BD816" s="713"/>
      <c r="BE816" s="674">
        <f>-(BE606-AY606+BE681)</f>
        <v>0</v>
      </c>
      <c r="BF816" s="674">
        <f t="shared" ref="BF816:BT816" si="759">-(BF606-BE606+BF681)</f>
        <v>0</v>
      </c>
      <c r="BG816" s="674">
        <f t="shared" si="759"/>
        <v>0</v>
      </c>
      <c r="BH816" s="674">
        <f t="shared" si="759"/>
        <v>0</v>
      </c>
      <c r="BI816" s="674">
        <f t="shared" si="759"/>
        <v>0</v>
      </c>
      <c r="BJ816" s="674">
        <f t="shared" si="759"/>
        <v>0</v>
      </c>
      <c r="BK816" s="674">
        <f t="shared" si="759"/>
        <v>0</v>
      </c>
      <c r="BL816" s="674">
        <f t="shared" si="759"/>
        <v>0</v>
      </c>
      <c r="BM816" s="674">
        <f t="shared" si="759"/>
        <v>0</v>
      </c>
      <c r="BN816" s="674">
        <f t="shared" si="759"/>
        <v>0</v>
      </c>
      <c r="BO816" s="674">
        <f t="shared" si="759"/>
        <v>0</v>
      </c>
      <c r="BP816" s="674">
        <f t="shared" si="759"/>
        <v>0</v>
      </c>
      <c r="BQ816" s="674">
        <f t="shared" si="759"/>
        <v>0</v>
      </c>
      <c r="BR816" s="674">
        <f t="shared" si="759"/>
        <v>0</v>
      </c>
      <c r="BS816" s="674">
        <f t="shared" si="759"/>
        <v>0</v>
      </c>
      <c r="BT816" s="674">
        <f t="shared" si="759"/>
        <v>0</v>
      </c>
      <c r="BU816" s="2071"/>
    </row>
    <row r="817" spans="37:73" s="2072" customFormat="1" ht="12.75" x14ac:dyDescent="0.25">
      <c r="AK817" s="2048"/>
      <c r="AL817" s="2049" t="s">
        <v>1207</v>
      </c>
      <c r="AM817" s="703" t="str">
        <f>"- / + "&amp;AM609</f>
        <v>- / + CARGOS DIFERIDOS NETO</v>
      </c>
      <c r="AN817" s="894"/>
      <c r="AO817" s="675"/>
      <c r="AP817" s="910">
        <f>-(AP609-AN609+AP682)</f>
        <v>-180</v>
      </c>
      <c r="AQ817" s="675"/>
      <c r="AR817" s="675"/>
      <c r="AS817" s="671">
        <f>-(AS609-AP609+AS682)</f>
        <v>0</v>
      </c>
      <c r="AT817" s="895"/>
      <c r="AU817" s="895"/>
      <c r="AV817" s="671">
        <f>-(AV609-AS609+AV682)</f>
        <v>0</v>
      </c>
      <c r="AW817" s="675"/>
      <c r="AX817" s="673"/>
      <c r="AY817" s="671">
        <f>-(AY609-AS609+AY682)</f>
        <v>0</v>
      </c>
      <c r="AZ817" s="675"/>
      <c r="BA817" s="673"/>
      <c r="BB817" s="671">
        <f>IF(OR($C$3=$L$913,$C$3=0),-(BB609-AY609+BB682),-(BB609-AV609+BB682))</f>
        <v>0</v>
      </c>
      <c r="BC817" s="675"/>
      <c r="BD817" s="673"/>
      <c r="BE817" s="674">
        <f>-(BE609-AY609+BE682)</f>
        <v>0</v>
      </c>
      <c r="BF817" s="674">
        <f t="shared" ref="BF817:BT817" si="760">-(BF609-BE609+BF682)</f>
        <v>0</v>
      </c>
      <c r="BG817" s="674">
        <f t="shared" si="760"/>
        <v>0</v>
      </c>
      <c r="BH817" s="674">
        <f t="shared" si="760"/>
        <v>0</v>
      </c>
      <c r="BI817" s="674">
        <f t="shared" si="760"/>
        <v>0</v>
      </c>
      <c r="BJ817" s="674">
        <f t="shared" si="760"/>
        <v>0</v>
      </c>
      <c r="BK817" s="674">
        <f t="shared" si="760"/>
        <v>0</v>
      </c>
      <c r="BL817" s="674">
        <f t="shared" si="760"/>
        <v>0</v>
      </c>
      <c r="BM817" s="674">
        <f t="shared" si="760"/>
        <v>0</v>
      </c>
      <c r="BN817" s="674">
        <f t="shared" si="760"/>
        <v>0</v>
      </c>
      <c r="BO817" s="674">
        <f t="shared" si="760"/>
        <v>0</v>
      </c>
      <c r="BP817" s="674">
        <f t="shared" si="760"/>
        <v>0</v>
      </c>
      <c r="BQ817" s="674">
        <f t="shared" si="760"/>
        <v>0</v>
      </c>
      <c r="BR817" s="674">
        <f t="shared" si="760"/>
        <v>0</v>
      </c>
      <c r="BS817" s="674">
        <f t="shared" si="760"/>
        <v>0</v>
      </c>
      <c r="BT817" s="674">
        <f t="shared" si="760"/>
        <v>0</v>
      </c>
      <c r="BU817" s="2050"/>
    </row>
    <row r="818" spans="37:73" s="2072" customFormat="1" ht="12.75" x14ac:dyDescent="0.25">
      <c r="AK818" s="2048"/>
      <c r="AL818" s="2049" t="s">
        <v>1208</v>
      </c>
      <c r="AM818" s="703" t="str">
        <f>"- / + "&amp;AM612</f>
        <v>- / + OTROS ACTIVOS L.P.</v>
      </c>
      <c r="AN818" s="894"/>
      <c r="AO818" s="675"/>
      <c r="AP818" s="910">
        <f>-(AP612-AN612)</f>
        <v>-750</v>
      </c>
      <c r="AQ818" s="675"/>
      <c r="AR818" s="675"/>
      <c r="AS818" s="671">
        <f>-(AS612-AP612)</f>
        <v>0</v>
      </c>
      <c r="AT818" s="895"/>
      <c r="AU818" s="895"/>
      <c r="AV818" s="671">
        <f>-(AV612-AS612)</f>
        <v>0</v>
      </c>
      <c r="AW818" s="675"/>
      <c r="AX818" s="676"/>
      <c r="AY818" s="671">
        <f>-(AY612-AS612)</f>
        <v>0</v>
      </c>
      <c r="AZ818" s="675"/>
      <c r="BA818" s="676"/>
      <c r="BB818" s="671">
        <f>IF(OR($C$3=$L$913,$C$3=0),-(BB612-AY612),-(BB612-AV612))</f>
        <v>0</v>
      </c>
      <c r="BC818" s="675"/>
      <c r="BD818" s="676"/>
      <c r="BE818" s="674">
        <f>-(BE612-AY612)</f>
        <v>0</v>
      </c>
      <c r="BF818" s="674">
        <f t="shared" ref="BF818:BT818" si="761">-(BF612-BE612)</f>
        <v>0</v>
      </c>
      <c r="BG818" s="674">
        <f t="shared" si="761"/>
        <v>0</v>
      </c>
      <c r="BH818" s="674">
        <f t="shared" si="761"/>
        <v>0</v>
      </c>
      <c r="BI818" s="674">
        <f t="shared" si="761"/>
        <v>0</v>
      </c>
      <c r="BJ818" s="674">
        <f t="shared" si="761"/>
        <v>0</v>
      </c>
      <c r="BK818" s="674">
        <f t="shared" si="761"/>
        <v>0</v>
      </c>
      <c r="BL818" s="674">
        <f t="shared" si="761"/>
        <v>0</v>
      </c>
      <c r="BM818" s="674">
        <f t="shared" si="761"/>
        <v>0</v>
      </c>
      <c r="BN818" s="674">
        <f t="shared" si="761"/>
        <v>0</v>
      </c>
      <c r="BO818" s="674">
        <f t="shared" si="761"/>
        <v>0</v>
      </c>
      <c r="BP818" s="674">
        <f t="shared" si="761"/>
        <v>0</v>
      </c>
      <c r="BQ818" s="674">
        <f t="shared" si="761"/>
        <v>0</v>
      </c>
      <c r="BR818" s="674">
        <f t="shared" si="761"/>
        <v>0</v>
      </c>
      <c r="BS818" s="674">
        <f t="shared" si="761"/>
        <v>0</v>
      </c>
      <c r="BT818" s="674">
        <f t="shared" si="761"/>
        <v>0</v>
      </c>
      <c r="BU818" s="2050"/>
    </row>
    <row r="819" spans="37:73" s="675" customFormat="1" ht="12.75" x14ac:dyDescent="0.25">
      <c r="AK819" s="2035"/>
      <c r="AL819" s="2034">
        <v>19</v>
      </c>
      <c r="AM819" s="705" t="s">
        <v>1209</v>
      </c>
      <c r="AN819" s="897"/>
      <c r="AO819" s="655"/>
      <c r="AP819" s="912">
        <f>SUM(AP815:AP818)</f>
        <v>-1410</v>
      </c>
      <c r="AQ819" s="655"/>
      <c r="AR819" s="655"/>
      <c r="AS819" s="706">
        <f>SUM(AS815:AS818)</f>
        <v>0</v>
      </c>
      <c r="AT819" s="886"/>
      <c r="AU819" s="886"/>
      <c r="AV819" s="706">
        <f>SUM(AV815:AV818)</f>
        <v>0</v>
      </c>
      <c r="AW819" s="655"/>
      <c r="AX819" s="653"/>
      <c r="AY819" s="706">
        <f>SUM(AY815:AY818)</f>
        <v>0</v>
      </c>
      <c r="AZ819" s="655"/>
      <c r="BA819" s="653"/>
      <c r="BB819" s="706">
        <f>SUM(BB815:BB818)</f>
        <v>0</v>
      </c>
      <c r="BC819" s="655"/>
      <c r="BD819" s="653"/>
      <c r="BE819" s="704">
        <f t="shared" ref="BE819:BT819" si="762">SUM(BE815:BE818)</f>
        <v>0</v>
      </c>
      <c r="BF819" s="704">
        <f t="shared" si="762"/>
        <v>0</v>
      </c>
      <c r="BG819" s="704">
        <f t="shared" si="762"/>
        <v>0</v>
      </c>
      <c r="BH819" s="704">
        <f t="shared" si="762"/>
        <v>0</v>
      </c>
      <c r="BI819" s="704">
        <f t="shared" si="762"/>
        <v>0</v>
      </c>
      <c r="BJ819" s="704">
        <f t="shared" si="762"/>
        <v>0</v>
      </c>
      <c r="BK819" s="704">
        <f t="shared" si="762"/>
        <v>0</v>
      </c>
      <c r="BL819" s="704">
        <f t="shared" si="762"/>
        <v>0</v>
      </c>
      <c r="BM819" s="704">
        <f t="shared" si="762"/>
        <v>0</v>
      </c>
      <c r="BN819" s="704">
        <f t="shared" si="762"/>
        <v>0</v>
      </c>
      <c r="BO819" s="704">
        <f t="shared" si="762"/>
        <v>0</v>
      </c>
      <c r="BP819" s="704">
        <f t="shared" si="762"/>
        <v>0</v>
      </c>
      <c r="BQ819" s="704">
        <f t="shared" si="762"/>
        <v>0</v>
      </c>
      <c r="BR819" s="704">
        <f t="shared" si="762"/>
        <v>0</v>
      </c>
      <c r="BS819" s="704">
        <f t="shared" si="762"/>
        <v>0</v>
      </c>
      <c r="BT819" s="704">
        <f t="shared" si="762"/>
        <v>0</v>
      </c>
      <c r="BU819" s="2041"/>
    </row>
    <row r="820" spans="37:73" s="655" customFormat="1" ht="12.75" x14ac:dyDescent="0.25">
      <c r="AK820" s="1828"/>
      <c r="AL820" s="1888"/>
      <c r="AM820" s="2073" t="s">
        <v>1210</v>
      </c>
      <c r="AN820" s="2074"/>
      <c r="AO820" s="496"/>
      <c r="AP820" s="2075">
        <f>AP811+AP814+AP819</f>
        <v>-2880</v>
      </c>
      <c r="AQ820" s="496"/>
      <c r="AR820" s="496"/>
      <c r="AS820" s="2075">
        <f>AS811+AS814+AS819</f>
        <v>0</v>
      </c>
      <c r="AT820" s="495"/>
      <c r="AU820" s="495"/>
      <c r="AV820" s="2075">
        <f>AV811+AV814+AV819</f>
        <v>0</v>
      </c>
      <c r="AW820" s="496"/>
      <c r="AX820" s="500"/>
      <c r="AY820" s="2075">
        <f>AY811+AY814+AY819</f>
        <v>0</v>
      </c>
      <c r="AZ820" s="496"/>
      <c r="BA820" s="500"/>
      <c r="BB820" s="2075">
        <f>BB811+BB814+BB819</f>
        <v>0</v>
      </c>
      <c r="BC820" s="496"/>
      <c r="BD820" s="500"/>
      <c r="BE820" s="2076">
        <f t="shared" ref="BE820:BT820" si="763">BE811+BE814+BE819</f>
        <v>-178.20000000000005</v>
      </c>
      <c r="BF820" s="2076">
        <f t="shared" si="763"/>
        <v>-178.20000000000005</v>
      </c>
      <c r="BG820" s="2076">
        <f t="shared" si="763"/>
        <v>-178.20000000000005</v>
      </c>
      <c r="BH820" s="2076">
        <f t="shared" si="763"/>
        <v>-178.20000000000005</v>
      </c>
      <c r="BI820" s="2076">
        <f t="shared" si="763"/>
        <v>-178.20000000000005</v>
      </c>
      <c r="BJ820" s="2076">
        <f t="shared" si="763"/>
        <v>-178.20000000000005</v>
      </c>
      <c r="BK820" s="2076">
        <f t="shared" si="763"/>
        <v>-178.20000000000005</v>
      </c>
      <c r="BL820" s="2076">
        <f t="shared" si="763"/>
        <v>-178.20000000000005</v>
      </c>
      <c r="BM820" s="2076">
        <f t="shared" si="763"/>
        <v>-178.19999999999982</v>
      </c>
      <c r="BN820" s="2076">
        <f t="shared" si="763"/>
        <v>-178.19999999999982</v>
      </c>
      <c r="BO820" s="2076">
        <f t="shared" si="763"/>
        <v>-178.19999999999982</v>
      </c>
      <c r="BP820" s="2076">
        <f t="shared" si="763"/>
        <v>-178.19999999999982</v>
      </c>
      <c r="BQ820" s="2076">
        <f t="shared" si="763"/>
        <v>-178.19999999999982</v>
      </c>
      <c r="BR820" s="2076">
        <f t="shared" si="763"/>
        <v>-178.19999999999982</v>
      </c>
      <c r="BS820" s="2076">
        <f t="shared" si="763"/>
        <v>-178.19999999999982</v>
      </c>
      <c r="BT820" s="2076">
        <f t="shared" si="763"/>
        <v>-178.19999999999982</v>
      </c>
      <c r="BU820" s="1830"/>
    </row>
    <row r="821" spans="37:73" s="675" customFormat="1" ht="12.75" x14ac:dyDescent="0.25">
      <c r="AK821" s="2061"/>
      <c r="AL821" s="2059" t="s">
        <v>1080</v>
      </c>
      <c r="AM821" s="670" t="s">
        <v>1211</v>
      </c>
      <c r="AN821" s="894"/>
      <c r="AO821" s="702"/>
      <c r="AP821" s="674">
        <f>-AP603+AN603</f>
        <v>-60</v>
      </c>
      <c r="AQ821" s="702"/>
      <c r="AR821" s="702"/>
      <c r="AS821" s="674">
        <f>-AS603+AP603</f>
        <v>0</v>
      </c>
      <c r="AT821" s="908"/>
      <c r="AU821" s="908"/>
      <c r="AV821" s="674">
        <f>-AV603+AS603</f>
        <v>0</v>
      </c>
      <c r="AW821" s="702"/>
      <c r="AX821" s="701"/>
      <c r="AY821" s="674">
        <f>-AY603+AS603</f>
        <v>0</v>
      </c>
      <c r="AZ821" s="702"/>
      <c r="BA821" s="701"/>
      <c r="BB821" s="674">
        <f>IF(OR($C$3=$L$913,$C$3=0),-BB603+AY603,-BB603+AV603)</f>
        <v>0</v>
      </c>
      <c r="BC821" s="702"/>
      <c r="BD821" s="701"/>
      <c r="BE821" s="674">
        <f>-BE603+AY603</f>
        <v>-26.334000000000003</v>
      </c>
      <c r="BF821" s="674">
        <f t="shared" ref="BF821:BT821" si="764">-BF603+BE603</f>
        <v>-32.867999999999995</v>
      </c>
      <c r="BG821" s="674">
        <f t="shared" si="764"/>
        <v>-39.402000000000015</v>
      </c>
      <c r="BH821" s="674">
        <f t="shared" si="764"/>
        <v>-45.936000000000007</v>
      </c>
      <c r="BI821" s="674">
        <f t="shared" si="764"/>
        <v>-52.470000000000027</v>
      </c>
      <c r="BJ821" s="674">
        <f t="shared" si="764"/>
        <v>-59.004000000000019</v>
      </c>
      <c r="BK821" s="674">
        <f t="shared" si="764"/>
        <v>-65.538000000000011</v>
      </c>
      <c r="BL821" s="674">
        <f t="shared" si="764"/>
        <v>-72.072000000000003</v>
      </c>
      <c r="BM821" s="674">
        <f t="shared" si="764"/>
        <v>-78.606000000000051</v>
      </c>
      <c r="BN821" s="674">
        <f t="shared" si="764"/>
        <v>-85.139999999999986</v>
      </c>
      <c r="BO821" s="674">
        <f t="shared" si="764"/>
        <v>-91.673999999999978</v>
      </c>
      <c r="BP821" s="674">
        <f t="shared" si="764"/>
        <v>-98.20799999999997</v>
      </c>
      <c r="BQ821" s="674">
        <f t="shared" si="764"/>
        <v>-104.74199999999996</v>
      </c>
      <c r="BR821" s="674">
        <f t="shared" si="764"/>
        <v>-111.27599999999995</v>
      </c>
      <c r="BS821" s="674">
        <f t="shared" si="764"/>
        <v>-117.80999999999995</v>
      </c>
      <c r="BT821" s="674">
        <f t="shared" si="764"/>
        <v>-124.34400000000005</v>
      </c>
      <c r="BU821" s="2062"/>
    </row>
    <row r="822" spans="37:73" s="675" customFormat="1" ht="12.75" x14ac:dyDescent="0.25">
      <c r="AK822" s="2077"/>
      <c r="AL822" s="2078" t="s">
        <v>1081</v>
      </c>
      <c r="AM822" s="2079" t="s">
        <v>1212</v>
      </c>
      <c r="AN822" s="2080"/>
      <c r="AO822" s="2072"/>
      <c r="AP822" s="2081">
        <f>-AP588+AN588</f>
        <v>30</v>
      </c>
      <c r="AQ822" s="2072"/>
      <c r="AR822" s="2072"/>
      <c r="AS822" s="2081">
        <f>-AS588+AP588</f>
        <v>0</v>
      </c>
      <c r="AT822" s="2082"/>
      <c r="AU822" s="2082"/>
      <c r="AV822" s="2081">
        <f>-AV588+AS588</f>
        <v>0</v>
      </c>
      <c r="AW822" s="2072"/>
      <c r="AX822" s="2083"/>
      <c r="AY822" s="2081">
        <f>-AY588+AS588</f>
        <v>0</v>
      </c>
      <c r="AZ822" s="2072"/>
      <c r="BA822" s="2083"/>
      <c r="BB822" s="2081">
        <f>IF(OR($C$3=$L$913,$C$3=0),-BB588+AY588,-BB588+AV588)</f>
        <v>0</v>
      </c>
      <c r="BC822" s="2072"/>
      <c r="BD822" s="2083"/>
      <c r="BE822" s="2084">
        <f>-BE588+AY588</f>
        <v>0</v>
      </c>
      <c r="BF822" s="2084">
        <f t="shared" ref="BF822:BT822" si="765">-BF588+BE588</f>
        <v>0</v>
      </c>
      <c r="BG822" s="2084">
        <f t="shared" si="765"/>
        <v>0</v>
      </c>
      <c r="BH822" s="2084">
        <f t="shared" si="765"/>
        <v>0</v>
      </c>
      <c r="BI822" s="2084">
        <f t="shared" si="765"/>
        <v>0</v>
      </c>
      <c r="BJ822" s="2084">
        <f t="shared" si="765"/>
        <v>0</v>
      </c>
      <c r="BK822" s="2084">
        <f t="shared" si="765"/>
        <v>0</v>
      </c>
      <c r="BL822" s="2084">
        <f t="shared" si="765"/>
        <v>0</v>
      </c>
      <c r="BM822" s="2084">
        <f t="shared" si="765"/>
        <v>0</v>
      </c>
      <c r="BN822" s="2084">
        <f t="shared" si="765"/>
        <v>0</v>
      </c>
      <c r="BO822" s="2084">
        <f t="shared" si="765"/>
        <v>0</v>
      </c>
      <c r="BP822" s="2084">
        <f t="shared" si="765"/>
        <v>0</v>
      </c>
      <c r="BQ822" s="2084">
        <f t="shared" si="765"/>
        <v>0</v>
      </c>
      <c r="BR822" s="2084">
        <f t="shared" si="765"/>
        <v>0</v>
      </c>
      <c r="BS822" s="2084">
        <f t="shared" si="765"/>
        <v>0</v>
      </c>
      <c r="BT822" s="2084">
        <f t="shared" si="765"/>
        <v>0</v>
      </c>
      <c r="BU822" s="2085"/>
    </row>
    <row r="823" spans="37:73" s="675" customFormat="1" ht="12.75" x14ac:dyDescent="0.25">
      <c r="AK823" s="2077"/>
      <c r="AL823" s="2078" t="s">
        <v>1213</v>
      </c>
      <c r="AM823" s="2079" t="s">
        <v>1214</v>
      </c>
      <c r="AN823" s="2080"/>
      <c r="AO823" s="2072"/>
      <c r="AP823" s="2081">
        <f>-AP591+AN591</f>
        <v>-30</v>
      </c>
      <c r="AQ823" s="2072"/>
      <c r="AR823" s="2072"/>
      <c r="AS823" s="2081">
        <f>-AS591+AP591</f>
        <v>0</v>
      </c>
      <c r="AT823" s="2082"/>
      <c r="AU823" s="2082"/>
      <c r="AV823" s="2081">
        <f>-AV591+AS591</f>
        <v>0</v>
      </c>
      <c r="AW823" s="2072"/>
      <c r="AX823" s="2083"/>
      <c r="AY823" s="2081">
        <f>-AY591+AS591</f>
        <v>0</v>
      </c>
      <c r="AZ823" s="2072"/>
      <c r="BA823" s="2083"/>
      <c r="BB823" s="2081">
        <f>IF(OR($C$3=$L$913,$C$3=0),-BB591+AY591,-BB591+AV591)</f>
        <v>0</v>
      </c>
      <c r="BC823" s="2072"/>
      <c r="BD823" s="2083"/>
      <c r="BE823" s="2084">
        <f>-BE591+AY591</f>
        <v>0</v>
      </c>
      <c r="BF823" s="2084">
        <f t="shared" ref="BF823:BT823" si="766">-BF591+BE591</f>
        <v>0</v>
      </c>
      <c r="BG823" s="2084">
        <f t="shared" si="766"/>
        <v>0</v>
      </c>
      <c r="BH823" s="2084">
        <f t="shared" si="766"/>
        <v>0</v>
      </c>
      <c r="BI823" s="2084">
        <f t="shared" si="766"/>
        <v>0</v>
      </c>
      <c r="BJ823" s="2084">
        <f t="shared" si="766"/>
        <v>0</v>
      </c>
      <c r="BK823" s="2084">
        <f t="shared" si="766"/>
        <v>0</v>
      </c>
      <c r="BL823" s="2084">
        <f t="shared" si="766"/>
        <v>0</v>
      </c>
      <c r="BM823" s="2084">
        <f t="shared" si="766"/>
        <v>0</v>
      </c>
      <c r="BN823" s="2084">
        <f t="shared" si="766"/>
        <v>0</v>
      </c>
      <c r="BO823" s="2084">
        <f t="shared" si="766"/>
        <v>0</v>
      </c>
      <c r="BP823" s="2084">
        <f t="shared" si="766"/>
        <v>0</v>
      </c>
      <c r="BQ823" s="2084">
        <f t="shared" si="766"/>
        <v>0</v>
      </c>
      <c r="BR823" s="2084">
        <f t="shared" si="766"/>
        <v>0</v>
      </c>
      <c r="BS823" s="2084">
        <f t="shared" si="766"/>
        <v>0</v>
      </c>
      <c r="BT823" s="2084">
        <f t="shared" si="766"/>
        <v>0</v>
      </c>
      <c r="BU823" s="2085"/>
    </row>
    <row r="824" spans="37:73" s="675" customFormat="1" ht="12.75" x14ac:dyDescent="0.25">
      <c r="AK824" s="2048"/>
      <c r="AL824" s="2049" t="s">
        <v>1215</v>
      </c>
      <c r="AM824" s="670" t="s">
        <v>1216</v>
      </c>
      <c r="AN824" s="894"/>
      <c r="AP824" s="671">
        <f>-AP680</f>
        <v>-40</v>
      </c>
      <c r="AS824" s="671">
        <f>-AS680</f>
        <v>-40</v>
      </c>
      <c r="AT824" s="895"/>
      <c r="AU824" s="895"/>
      <c r="AV824" s="671">
        <f>-AV680</f>
        <v>-40</v>
      </c>
      <c r="AX824" s="676"/>
      <c r="AY824" s="671">
        <f>-AY680</f>
        <v>-40</v>
      </c>
      <c r="BA824" s="676"/>
      <c r="BB824" s="671">
        <f>-BB680</f>
        <v>-40</v>
      </c>
      <c r="BD824" s="676"/>
      <c r="BE824" s="674">
        <f t="shared" ref="BE824:BT824" si="767">-BE680</f>
        <v>-53.2</v>
      </c>
      <c r="BF824" s="674">
        <f t="shared" si="767"/>
        <v>-66.400000000000006</v>
      </c>
      <c r="BG824" s="674">
        <f t="shared" si="767"/>
        <v>-79.600000000000009</v>
      </c>
      <c r="BH824" s="674">
        <f t="shared" si="767"/>
        <v>-92.800000000000011</v>
      </c>
      <c r="BI824" s="674">
        <f t="shared" si="767"/>
        <v>-106.00000000000001</v>
      </c>
      <c r="BJ824" s="674">
        <f t="shared" si="767"/>
        <v>-119.20000000000002</v>
      </c>
      <c r="BK824" s="674">
        <f t="shared" si="767"/>
        <v>-132.4</v>
      </c>
      <c r="BL824" s="674">
        <f t="shared" si="767"/>
        <v>-145.60000000000002</v>
      </c>
      <c r="BM824" s="674">
        <f t="shared" si="767"/>
        <v>-158.80000000000001</v>
      </c>
      <c r="BN824" s="674">
        <f t="shared" si="767"/>
        <v>-172</v>
      </c>
      <c r="BO824" s="674">
        <f t="shared" si="767"/>
        <v>-185.2</v>
      </c>
      <c r="BP824" s="674">
        <f t="shared" si="767"/>
        <v>-198.39999999999995</v>
      </c>
      <c r="BQ824" s="674">
        <f t="shared" si="767"/>
        <v>-211.59999999999994</v>
      </c>
      <c r="BR824" s="674">
        <f t="shared" si="767"/>
        <v>-224.79999999999993</v>
      </c>
      <c r="BS824" s="674">
        <f t="shared" si="767"/>
        <v>-237.99999999999991</v>
      </c>
      <c r="BT824" s="674">
        <f t="shared" si="767"/>
        <v>-251.1999999999999</v>
      </c>
      <c r="BU824" s="2050"/>
    </row>
    <row r="825" spans="37:73" s="675" customFormat="1" ht="12.75" x14ac:dyDescent="0.25">
      <c r="AK825" s="2035"/>
      <c r="AL825" s="2047">
        <v>20</v>
      </c>
      <c r="AM825" s="705" t="s">
        <v>1217</v>
      </c>
      <c r="AN825" s="897"/>
      <c r="AO825" s="655"/>
      <c r="AP825" s="706">
        <f>SUM(AP821:AP824)</f>
        <v>-100</v>
      </c>
      <c r="AQ825" s="655"/>
      <c r="AR825" s="655"/>
      <c r="AS825" s="706">
        <f>SUM(AS821:AS824)</f>
        <v>-40</v>
      </c>
      <c r="AT825" s="886"/>
      <c r="AU825" s="886"/>
      <c r="AV825" s="706">
        <f>SUM(AV821:AV824)</f>
        <v>-40</v>
      </c>
      <c r="AW825" s="655"/>
      <c r="AX825" s="653"/>
      <c r="AY825" s="706">
        <f>SUM(AY821:AY824)</f>
        <v>-40</v>
      </c>
      <c r="AZ825" s="655"/>
      <c r="BA825" s="653"/>
      <c r="BB825" s="706">
        <f>SUM(BB821:BB824)</f>
        <v>-40</v>
      </c>
      <c r="BC825" s="655"/>
      <c r="BD825" s="653"/>
      <c r="BE825" s="704">
        <f t="shared" ref="BE825:BT825" si="768">SUM(BE821:BE824)</f>
        <v>-79.534000000000006</v>
      </c>
      <c r="BF825" s="704">
        <f t="shared" si="768"/>
        <v>-99.268000000000001</v>
      </c>
      <c r="BG825" s="704">
        <f t="shared" si="768"/>
        <v>-119.00200000000002</v>
      </c>
      <c r="BH825" s="704">
        <f t="shared" si="768"/>
        <v>-138.73600000000002</v>
      </c>
      <c r="BI825" s="704">
        <f t="shared" si="768"/>
        <v>-158.47000000000003</v>
      </c>
      <c r="BJ825" s="704">
        <f t="shared" si="768"/>
        <v>-178.20400000000004</v>
      </c>
      <c r="BK825" s="704">
        <f t="shared" si="768"/>
        <v>-197.93800000000002</v>
      </c>
      <c r="BL825" s="704">
        <f t="shared" si="768"/>
        <v>-217.67200000000003</v>
      </c>
      <c r="BM825" s="704">
        <f t="shared" si="768"/>
        <v>-237.40600000000006</v>
      </c>
      <c r="BN825" s="704">
        <f t="shared" si="768"/>
        <v>-257.14</v>
      </c>
      <c r="BO825" s="704">
        <f t="shared" si="768"/>
        <v>-276.87399999999997</v>
      </c>
      <c r="BP825" s="704">
        <f t="shared" si="768"/>
        <v>-296.60799999999995</v>
      </c>
      <c r="BQ825" s="704">
        <f t="shared" si="768"/>
        <v>-316.34199999999987</v>
      </c>
      <c r="BR825" s="704">
        <f t="shared" si="768"/>
        <v>-336.07599999999991</v>
      </c>
      <c r="BS825" s="704">
        <f t="shared" si="768"/>
        <v>-355.80999999999983</v>
      </c>
      <c r="BT825" s="704">
        <f t="shared" si="768"/>
        <v>-375.54399999999998</v>
      </c>
      <c r="BU825" s="2041"/>
    </row>
    <row r="826" spans="37:73" s="675" customFormat="1" ht="12.75" x14ac:dyDescent="0.25">
      <c r="AK826" s="2048"/>
      <c r="AL826" s="2049" t="s">
        <v>1082</v>
      </c>
      <c r="AM826" s="670" t="s">
        <v>1218</v>
      </c>
      <c r="AN826" s="894"/>
      <c r="AP826" s="910">
        <f>-(E113-C113)</f>
        <v>0</v>
      </c>
      <c r="AS826" s="671">
        <f>-(H113-E113)</f>
        <v>0</v>
      </c>
      <c r="AT826" s="895"/>
      <c r="AU826" s="895"/>
      <c r="AV826" s="671">
        <f>-(K113-E113)</f>
        <v>0</v>
      </c>
      <c r="AX826" s="676"/>
      <c r="AY826" s="671">
        <f>-(N113-H113)</f>
        <v>0</v>
      </c>
      <c r="BA826" s="676"/>
      <c r="BB826" s="671">
        <f>IF(OR($C$3=$L$913,$C$3=0),-(Q113-N113),-(Q113-K113))</f>
        <v>0</v>
      </c>
      <c r="BD826" s="676"/>
      <c r="BE826" s="671">
        <f>-(T113-N113)</f>
        <v>0</v>
      </c>
      <c r="BF826" s="674">
        <f t="shared" ref="BF826:BT826" si="769">-(U113-T113)</f>
        <v>0</v>
      </c>
      <c r="BG826" s="674">
        <f t="shared" si="769"/>
        <v>0</v>
      </c>
      <c r="BH826" s="674">
        <f t="shared" si="769"/>
        <v>0</v>
      </c>
      <c r="BI826" s="674">
        <f t="shared" si="769"/>
        <v>0</v>
      </c>
      <c r="BJ826" s="674">
        <f t="shared" si="769"/>
        <v>0</v>
      </c>
      <c r="BK826" s="674">
        <f t="shared" si="769"/>
        <v>0</v>
      </c>
      <c r="BL826" s="674">
        <f t="shared" si="769"/>
        <v>0</v>
      </c>
      <c r="BM826" s="674">
        <f t="shared" si="769"/>
        <v>0</v>
      </c>
      <c r="BN826" s="674">
        <f t="shared" si="769"/>
        <v>0</v>
      </c>
      <c r="BO826" s="674">
        <f t="shared" si="769"/>
        <v>0</v>
      </c>
      <c r="BP826" s="674">
        <f t="shared" si="769"/>
        <v>0</v>
      </c>
      <c r="BQ826" s="674">
        <f t="shared" si="769"/>
        <v>0</v>
      </c>
      <c r="BR826" s="674">
        <f t="shared" si="769"/>
        <v>0</v>
      </c>
      <c r="BS826" s="674">
        <f t="shared" si="769"/>
        <v>0</v>
      </c>
      <c r="BT826" s="674">
        <f t="shared" si="769"/>
        <v>0</v>
      </c>
      <c r="BU826" s="2050"/>
    </row>
    <row r="827" spans="37:73" s="675" customFormat="1" ht="12.75" x14ac:dyDescent="0.25">
      <c r="AK827" s="2048"/>
      <c r="AL827" s="2049" t="s">
        <v>1083</v>
      </c>
      <c r="AM827" s="710" t="s">
        <v>1219</v>
      </c>
      <c r="AN827" s="911"/>
      <c r="AP827" s="671">
        <f>-E114</f>
        <v>0</v>
      </c>
      <c r="AS827" s="671">
        <f>-H114</f>
        <v>0</v>
      </c>
      <c r="AT827" s="895"/>
      <c r="AU827" s="895"/>
      <c r="AV827" s="671">
        <f>-K114</f>
        <v>0</v>
      </c>
      <c r="AX827" s="676"/>
      <c r="AY827" s="671">
        <f>-N114</f>
        <v>0</v>
      </c>
      <c r="BA827" s="676"/>
      <c r="BB827" s="671">
        <f>-Q114</f>
        <v>0</v>
      </c>
      <c r="BD827" s="676"/>
      <c r="BE827" s="671">
        <f t="shared" ref="BE827:BT827" si="770">-T114</f>
        <v>0</v>
      </c>
      <c r="BF827" s="674">
        <f t="shared" si="770"/>
        <v>0</v>
      </c>
      <c r="BG827" s="674">
        <f t="shared" si="770"/>
        <v>0</v>
      </c>
      <c r="BH827" s="674">
        <f t="shared" si="770"/>
        <v>0</v>
      </c>
      <c r="BI827" s="674">
        <f t="shared" si="770"/>
        <v>0</v>
      </c>
      <c r="BJ827" s="674">
        <f t="shared" si="770"/>
        <v>0</v>
      </c>
      <c r="BK827" s="674">
        <f t="shared" si="770"/>
        <v>0</v>
      </c>
      <c r="BL827" s="674">
        <f t="shared" si="770"/>
        <v>0</v>
      </c>
      <c r="BM827" s="674">
        <f t="shared" si="770"/>
        <v>0</v>
      </c>
      <c r="BN827" s="674">
        <f t="shared" si="770"/>
        <v>0</v>
      </c>
      <c r="BO827" s="674">
        <f t="shared" si="770"/>
        <v>0</v>
      </c>
      <c r="BP827" s="674">
        <f t="shared" si="770"/>
        <v>0</v>
      </c>
      <c r="BQ827" s="674">
        <f t="shared" si="770"/>
        <v>0</v>
      </c>
      <c r="BR827" s="674">
        <f t="shared" si="770"/>
        <v>0</v>
      </c>
      <c r="BS827" s="674">
        <f t="shared" si="770"/>
        <v>0</v>
      </c>
      <c r="BT827" s="674">
        <f t="shared" si="770"/>
        <v>0</v>
      </c>
      <c r="BU827" s="2050"/>
    </row>
    <row r="828" spans="37:73" s="675" customFormat="1" ht="12.75" x14ac:dyDescent="0.25">
      <c r="AK828" s="2048"/>
      <c r="AL828" s="2049" t="s">
        <v>1085</v>
      </c>
      <c r="AM828" s="710" t="s">
        <v>1220</v>
      </c>
      <c r="AN828" s="911"/>
      <c r="AP828" s="671">
        <f>E115</f>
        <v>0</v>
      </c>
      <c r="AS828" s="671">
        <f>H115</f>
        <v>0</v>
      </c>
      <c r="AT828" s="895"/>
      <c r="AU828" s="895"/>
      <c r="AV828" s="671">
        <f>K115</f>
        <v>0</v>
      </c>
      <c r="AX828" s="676"/>
      <c r="AY828" s="671">
        <f>N115</f>
        <v>0</v>
      </c>
      <c r="BA828" s="676"/>
      <c r="BB828" s="671">
        <f>Q115</f>
        <v>0</v>
      </c>
      <c r="BD828" s="676"/>
      <c r="BE828" s="671">
        <f t="shared" ref="BE828:BT828" si="771">T115</f>
        <v>0</v>
      </c>
      <c r="BF828" s="674">
        <f t="shared" si="771"/>
        <v>0</v>
      </c>
      <c r="BG828" s="674">
        <f t="shared" si="771"/>
        <v>0</v>
      </c>
      <c r="BH828" s="674">
        <f t="shared" si="771"/>
        <v>0</v>
      </c>
      <c r="BI828" s="674">
        <f t="shared" si="771"/>
        <v>0</v>
      </c>
      <c r="BJ828" s="674">
        <f t="shared" si="771"/>
        <v>0</v>
      </c>
      <c r="BK828" s="674">
        <f t="shared" si="771"/>
        <v>0</v>
      </c>
      <c r="BL828" s="674">
        <f t="shared" si="771"/>
        <v>0</v>
      </c>
      <c r="BM828" s="674">
        <f t="shared" si="771"/>
        <v>0</v>
      </c>
      <c r="BN828" s="674">
        <f t="shared" si="771"/>
        <v>0</v>
      </c>
      <c r="BO828" s="674">
        <f t="shared" si="771"/>
        <v>0</v>
      </c>
      <c r="BP828" s="674">
        <f t="shared" si="771"/>
        <v>0</v>
      </c>
      <c r="BQ828" s="674">
        <f t="shared" si="771"/>
        <v>0</v>
      </c>
      <c r="BR828" s="674">
        <f t="shared" si="771"/>
        <v>0</v>
      </c>
      <c r="BS828" s="674">
        <f t="shared" si="771"/>
        <v>0</v>
      </c>
      <c r="BT828" s="674">
        <f t="shared" si="771"/>
        <v>0</v>
      </c>
      <c r="BU828" s="2050"/>
    </row>
    <row r="829" spans="37:73" s="675" customFormat="1" ht="12.75" x14ac:dyDescent="0.25">
      <c r="AK829" s="2048"/>
      <c r="AL829" s="2049" t="s">
        <v>1221</v>
      </c>
      <c r="AM829" s="710" t="s">
        <v>1222</v>
      </c>
      <c r="AN829" s="911"/>
      <c r="AP829" s="671">
        <f>-(E118-C118)</f>
        <v>0</v>
      </c>
      <c r="AS829" s="671">
        <f>-(H118-E118)</f>
        <v>0</v>
      </c>
      <c r="AT829" s="895"/>
      <c r="AU829" s="895"/>
      <c r="AV829" s="671">
        <f>-(K118-E118)</f>
        <v>0</v>
      </c>
      <c r="AX829" s="676"/>
      <c r="AY829" s="671">
        <f>-(N118-H118)</f>
        <v>0</v>
      </c>
      <c r="BA829" s="676"/>
      <c r="BB829" s="671">
        <f>IF(OR($C$3=$L$913,$C$3=0),-(Q118-N118),-(Q118-K118))</f>
        <v>0</v>
      </c>
      <c r="BD829" s="676"/>
      <c r="BE829" s="671">
        <f>-(T118-N118)</f>
        <v>0</v>
      </c>
      <c r="BF829" s="674">
        <f t="shared" ref="BF829:BT829" si="772">-(U118-T118)</f>
        <v>0</v>
      </c>
      <c r="BG829" s="674">
        <f t="shared" si="772"/>
        <v>0</v>
      </c>
      <c r="BH829" s="674">
        <f t="shared" si="772"/>
        <v>0</v>
      </c>
      <c r="BI829" s="674">
        <f t="shared" si="772"/>
        <v>0</v>
      </c>
      <c r="BJ829" s="674">
        <f t="shared" si="772"/>
        <v>0</v>
      </c>
      <c r="BK829" s="674">
        <f t="shared" si="772"/>
        <v>0</v>
      </c>
      <c r="BL829" s="674">
        <f t="shared" si="772"/>
        <v>0</v>
      </c>
      <c r="BM829" s="674">
        <f t="shared" si="772"/>
        <v>0</v>
      </c>
      <c r="BN829" s="674">
        <f t="shared" si="772"/>
        <v>0</v>
      </c>
      <c r="BO829" s="674">
        <f t="shared" si="772"/>
        <v>0</v>
      </c>
      <c r="BP829" s="674">
        <f t="shared" si="772"/>
        <v>0</v>
      </c>
      <c r="BQ829" s="674">
        <f t="shared" si="772"/>
        <v>0</v>
      </c>
      <c r="BR829" s="674">
        <f t="shared" si="772"/>
        <v>0</v>
      </c>
      <c r="BS829" s="674">
        <f t="shared" si="772"/>
        <v>0</v>
      </c>
      <c r="BT829" s="674">
        <f t="shared" si="772"/>
        <v>0</v>
      </c>
      <c r="BU829" s="2050"/>
    </row>
    <row r="830" spans="37:73" s="675" customFormat="1" ht="12.75" x14ac:dyDescent="0.25">
      <c r="AK830" s="2048"/>
      <c r="AL830" s="2049" t="s">
        <v>1223</v>
      </c>
      <c r="AM830" s="710" t="s">
        <v>1224</v>
      </c>
      <c r="AN830" s="911"/>
      <c r="AP830" s="671">
        <f>-(E116-C116)</f>
        <v>0</v>
      </c>
      <c r="AS830" s="671">
        <f>-(H116-E116)</f>
        <v>0</v>
      </c>
      <c r="AT830" s="895"/>
      <c r="AU830" s="895"/>
      <c r="AV830" s="671">
        <f>-(K116-E116)</f>
        <v>0</v>
      </c>
      <c r="AX830" s="676"/>
      <c r="AY830" s="671">
        <f>-(N116-H116)</f>
        <v>0</v>
      </c>
      <c r="BA830" s="676"/>
      <c r="BB830" s="671">
        <f>IF(OR($C$3=$L$913,$C$3=0),-(Q116-N116),-(Q116-K116))</f>
        <v>0</v>
      </c>
      <c r="BD830" s="676"/>
      <c r="BE830" s="671">
        <f>-(T116-N116)</f>
        <v>0</v>
      </c>
      <c r="BF830" s="674">
        <f t="shared" ref="BF830:BT830" si="773">-(U116-T116)</f>
        <v>0</v>
      </c>
      <c r="BG830" s="674">
        <f t="shared" si="773"/>
        <v>0</v>
      </c>
      <c r="BH830" s="674">
        <f t="shared" si="773"/>
        <v>0</v>
      </c>
      <c r="BI830" s="674">
        <f t="shared" si="773"/>
        <v>0</v>
      </c>
      <c r="BJ830" s="674">
        <f t="shared" si="773"/>
        <v>0</v>
      </c>
      <c r="BK830" s="674">
        <f t="shared" si="773"/>
        <v>0</v>
      </c>
      <c r="BL830" s="674">
        <f t="shared" si="773"/>
        <v>0</v>
      </c>
      <c r="BM830" s="674">
        <f t="shared" si="773"/>
        <v>0</v>
      </c>
      <c r="BN830" s="674">
        <f t="shared" si="773"/>
        <v>0</v>
      </c>
      <c r="BO830" s="674">
        <f t="shared" si="773"/>
        <v>0</v>
      </c>
      <c r="BP830" s="674">
        <f t="shared" si="773"/>
        <v>0</v>
      </c>
      <c r="BQ830" s="674">
        <f t="shared" si="773"/>
        <v>0</v>
      </c>
      <c r="BR830" s="674">
        <f t="shared" si="773"/>
        <v>0</v>
      </c>
      <c r="BS830" s="674">
        <f t="shared" si="773"/>
        <v>0</v>
      </c>
      <c r="BT830" s="674">
        <f t="shared" si="773"/>
        <v>0</v>
      </c>
      <c r="BU830" s="2050"/>
    </row>
    <row r="831" spans="37:73" s="675" customFormat="1" ht="12.75" x14ac:dyDescent="0.25">
      <c r="AK831" s="2048"/>
      <c r="AL831" s="2049" t="s">
        <v>1225</v>
      </c>
      <c r="AM831" s="710" t="s">
        <v>1226</v>
      </c>
      <c r="AN831" s="911"/>
      <c r="AP831" s="671">
        <f>E117-C117</f>
        <v>0</v>
      </c>
      <c r="AS831" s="671">
        <f>H117-E117</f>
        <v>0</v>
      </c>
      <c r="AT831" s="895"/>
      <c r="AU831" s="895"/>
      <c r="AV831" s="671">
        <f>K117-E117</f>
        <v>0</v>
      </c>
      <c r="AX831" s="676"/>
      <c r="AY831" s="671">
        <f>N117-H117</f>
        <v>0</v>
      </c>
      <c r="BA831" s="676"/>
      <c r="BB831" s="671">
        <f>IF(OR($C$3=$L$913,$C$3=0),Q117-N117,Q117-K117)</f>
        <v>0</v>
      </c>
      <c r="BD831" s="676"/>
      <c r="BE831" s="671">
        <f>T117-N117</f>
        <v>0</v>
      </c>
      <c r="BF831" s="674">
        <f t="shared" ref="BF831:BT831" si="774">U117-T117</f>
        <v>0</v>
      </c>
      <c r="BG831" s="674">
        <f t="shared" si="774"/>
        <v>0</v>
      </c>
      <c r="BH831" s="674">
        <f t="shared" si="774"/>
        <v>0</v>
      </c>
      <c r="BI831" s="674">
        <f t="shared" si="774"/>
        <v>0</v>
      </c>
      <c r="BJ831" s="674">
        <f t="shared" si="774"/>
        <v>0</v>
      </c>
      <c r="BK831" s="674">
        <f t="shared" si="774"/>
        <v>0</v>
      </c>
      <c r="BL831" s="674">
        <f t="shared" si="774"/>
        <v>0</v>
      </c>
      <c r="BM831" s="674">
        <f t="shared" si="774"/>
        <v>0</v>
      </c>
      <c r="BN831" s="674">
        <f t="shared" si="774"/>
        <v>0</v>
      </c>
      <c r="BO831" s="674">
        <f t="shared" si="774"/>
        <v>0</v>
      </c>
      <c r="BP831" s="674">
        <f t="shared" si="774"/>
        <v>0</v>
      </c>
      <c r="BQ831" s="674">
        <f t="shared" si="774"/>
        <v>0</v>
      </c>
      <c r="BR831" s="674">
        <f t="shared" si="774"/>
        <v>0</v>
      </c>
      <c r="BS831" s="674">
        <f t="shared" si="774"/>
        <v>0</v>
      </c>
      <c r="BT831" s="674">
        <f t="shared" si="774"/>
        <v>0</v>
      </c>
      <c r="BU831" s="2050"/>
    </row>
    <row r="832" spans="37:73" s="675" customFormat="1" ht="12.75" x14ac:dyDescent="0.25">
      <c r="AK832" s="2048"/>
      <c r="AL832" s="2049" t="s">
        <v>1227</v>
      </c>
      <c r="AM832" s="710" t="s">
        <v>1228</v>
      </c>
      <c r="AN832" s="911"/>
      <c r="AP832" s="671">
        <f>-(E119-C119)</f>
        <v>0</v>
      </c>
      <c r="AS832" s="671">
        <f>-(H119-E119)</f>
        <v>0</v>
      </c>
      <c r="AT832" s="895"/>
      <c r="AU832" s="895"/>
      <c r="AV832" s="671">
        <f>-(K119-E119)</f>
        <v>0</v>
      </c>
      <c r="AX832" s="673"/>
      <c r="AY832" s="671">
        <f>-(N119-H119)</f>
        <v>0</v>
      </c>
      <c r="BA832" s="673"/>
      <c r="BB832" s="671">
        <f>IF(OR($C$3=$L$913,$C$3=0),-(Q119-N119),-(Q119-K119))</f>
        <v>0</v>
      </c>
      <c r="BD832" s="673"/>
      <c r="BE832" s="671">
        <f>-(T119-N119)</f>
        <v>0</v>
      </c>
      <c r="BF832" s="674">
        <f t="shared" ref="BF832:BT832" si="775">-(U119-T119)</f>
        <v>0</v>
      </c>
      <c r="BG832" s="674">
        <f t="shared" si="775"/>
        <v>0</v>
      </c>
      <c r="BH832" s="674">
        <f t="shared" si="775"/>
        <v>0</v>
      </c>
      <c r="BI832" s="674">
        <f t="shared" si="775"/>
        <v>0</v>
      </c>
      <c r="BJ832" s="674">
        <f t="shared" si="775"/>
        <v>0</v>
      </c>
      <c r="BK832" s="674">
        <f t="shared" si="775"/>
        <v>0</v>
      </c>
      <c r="BL832" s="674">
        <f t="shared" si="775"/>
        <v>0</v>
      </c>
      <c r="BM832" s="674">
        <f t="shared" si="775"/>
        <v>0</v>
      </c>
      <c r="BN832" s="674">
        <f t="shared" si="775"/>
        <v>0</v>
      </c>
      <c r="BO832" s="674">
        <f t="shared" si="775"/>
        <v>0</v>
      </c>
      <c r="BP832" s="674">
        <f t="shared" si="775"/>
        <v>0</v>
      </c>
      <c r="BQ832" s="674">
        <f t="shared" si="775"/>
        <v>0</v>
      </c>
      <c r="BR832" s="674">
        <f t="shared" si="775"/>
        <v>0</v>
      </c>
      <c r="BS832" s="674">
        <f t="shared" si="775"/>
        <v>0</v>
      </c>
      <c r="BT832" s="674">
        <f t="shared" si="775"/>
        <v>0</v>
      </c>
      <c r="BU832" s="2050"/>
    </row>
    <row r="833" spans="32:129" s="655" customFormat="1" ht="12.75" x14ac:dyDescent="0.25">
      <c r="AK833" s="2048"/>
      <c r="AL833" s="2049" t="s">
        <v>1229</v>
      </c>
      <c r="AM833" s="710" t="s">
        <v>1230</v>
      </c>
      <c r="AN833" s="911"/>
      <c r="AO833" s="675"/>
      <c r="AP833" s="671">
        <f>E120-C120</f>
        <v>0</v>
      </c>
      <c r="AQ833" s="675"/>
      <c r="AR833" s="675"/>
      <c r="AS833" s="671">
        <f>H120-E120</f>
        <v>0</v>
      </c>
      <c r="AT833" s="895"/>
      <c r="AU833" s="895"/>
      <c r="AV833" s="671">
        <f>K120-E120</f>
        <v>0</v>
      </c>
      <c r="AW833" s="675"/>
      <c r="AX833" s="676"/>
      <c r="AY833" s="671">
        <f>N120-H120</f>
        <v>0</v>
      </c>
      <c r="AZ833" s="675"/>
      <c r="BA833" s="676"/>
      <c r="BB833" s="671">
        <f>IF(OR($C$3=$L$913,$C$3=0),Q120-N120,Q120-K120)</f>
        <v>0</v>
      </c>
      <c r="BC833" s="675"/>
      <c r="BD833" s="676"/>
      <c r="BE833" s="671">
        <f>T120-N120</f>
        <v>0</v>
      </c>
      <c r="BF833" s="674">
        <f t="shared" ref="BF833:BT833" si="776">U120-T120</f>
        <v>0</v>
      </c>
      <c r="BG833" s="674">
        <f t="shared" si="776"/>
        <v>0</v>
      </c>
      <c r="BH833" s="674">
        <f t="shared" si="776"/>
        <v>0</v>
      </c>
      <c r="BI833" s="674">
        <f t="shared" si="776"/>
        <v>0</v>
      </c>
      <c r="BJ833" s="674">
        <f t="shared" si="776"/>
        <v>0</v>
      </c>
      <c r="BK833" s="674">
        <f t="shared" si="776"/>
        <v>0</v>
      </c>
      <c r="BL833" s="674">
        <f t="shared" si="776"/>
        <v>0</v>
      </c>
      <c r="BM833" s="674">
        <f t="shared" si="776"/>
        <v>0</v>
      </c>
      <c r="BN833" s="674">
        <f t="shared" si="776"/>
        <v>0</v>
      </c>
      <c r="BO833" s="674">
        <f t="shared" si="776"/>
        <v>0</v>
      </c>
      <c r="BP833" s="674">
        <f t="shared" si="776"/>
        <v>0</v>
      </c>
      <c r="BQ833" s="674">
        <f t="shared" si="776"/>
        <v>0</v>
      </c>
      <c r="BR833" s="674">
        <f t="shared" si="776"/>
        <v>0</v>
      </c>
      <c r="BS833" s="674">
        <f t="shared" si="776"/>
        <v>0</v>
      </c>
      <c r="BT833" s="674">
        <f t="shared" si="776"/>
        <v>0</v>
      </c>
      <c r="BU833" s="2050"/>
    </row>
    <row r="834" spans="32:129" s="655" customFormat="1" ht="12.75" x14ac:dyDescent="0.25">
      <c r="AK834" s="2048"/>
      <c r="AL834" s="2049" t="s">
        <v>1231</v>
      </c>
      <c r="AM834" s="710" t="s">
        <v>1232</v>
      </c>
      <c r="AN834" s="911"/>
      <c r="AO834" s="675"/>
      <c r="AP834" s="671">
        <f>-(E121-C121)</f>
        <v>0</v>
      </c>
      <c r="AQ834" s="675"/>
      <c r="AR834" s="675"/>
      <c r="AS834" s="671">
        <f>-(H121-E121)</f>
        <v>0</v>
      </c>
      <c r="AT834" s="895"/>
      <c r="AU834" s="895"/>
      <c r="AV834" s="671">
        <f>-(K121-E121)</f>
        <v>0</v>
      </c>
      <c r="AW834" s="675"/>
      <c r="AX834" s="676"/>
      <c r="AY834" s="671">
        <f>-(N121-H121)</f>
        <v>0</v>
      </c>
      <c r="AZ834" s="675"/>
      <c r="BA834" s="676"/>
      <c r="BB834" s="671">
        <f>IF(OR($C$3=$L$913,$C$3=0),-(Q121-N121)-(Q121-N121),-(Q121-K121))</f>
        <v>0</v>
      </c>
      <c r="BC834" s="675"/>
      <c r="BD834" s="676"/>
      <c r="BE834" s="671">
        <f>-(T121-N121)</f>
        <v>0</v>
      </c>
      <c r="BF834" s="674">
        <f t="shared" ref="BF834:BT834" si="777">-(U121-T121)</f>
        <v>0</v>
      </c>
      <c r="BG834" s="674">
        <f t="shared" si="777"/>
        <v>0</v>
      </c>
      <c r="BH834" s="674">
        <f t="shared" si="777"/>
        <v>0</v>
      </c>
      <c r="BI834" s="674">
        <f t="shared" si="777"/>
        <v>0</v>
      </c>
      <c r="BJ834" s="674">
        <f t="shared" si="777"/>
        <v>0</v>
      </c>
      <c r="BK834" s="674">
        <f t="shared" si="777"/>
        <v>0</v>
      </c>
      <c r="BL834" s="674">
        <f t="shared" si="777"/>
        <v>0</v>
      </c>
      <c r="BM834" s="674">
        <f t="shared" si="777"/>
        <v>0</v>
      </c>
      <c r="BN834" s="674">
        <f t="shared" si="777"/>
        <v>0</v>
      </c>
      <c r="BO834" s="674">
        <f t="shared" si="777"/>
        <v>0</v>
      </c>
      <c r="BP834" s="674">
        <f t="shared" si="777"/>
        <v>0</v>
      </c>
      <c r="BQ834" s="674">
        <f t="shared" si="777"/>
        <v>0</v>
      </c>
      <c r="BR834" s="674">
        <f t="shared" si="777"/>
        <v>0</v>
      </c>
      <c r="BS834" s="674">
        <f t="shared" si="777"/>
        <v>0</v>
      </c>
      <c r="BT834" s="674">
        <f t="shared" si="777"/>
        <v>0</v>
      </c>
      <c r="BU834" s="2050"/>
    </row>
    <row r="835" spans="32:129" s="496" customFormat="1" ht="12.75" x14ac:dyDescent="0.25">
      <c r="AK835" s="2048"/>
      <c r="AL835" s="2049" t="s">
        <v>1233</v>
      </c>
      <c r="AM835" s="710" t="s">
        <v>1234</v>
      </c>
      <c r="AN835" s="911"/>
      <c r="AO835" s="675"/>
      <c r="AP835" s="671">
        <f>E122-C122</f>
        <v>0</v>
      </c>
      <c r="AQ835" s="675"/>
      <c r="AR835" s="675"/>
      <c r="AS835" s="671">
        <f>H122-E122</f>
        <v>0</v>
      </c>
      <c r="AT835" s="895"/>
      <c r="AU835" s="895"/>
      <c r="AV835" s="671">
        <f>K122-E122</f>
        <v>0</v>
      </c>
      <c r="AW835" s="675"/>
      <c r="AX835" s="676"/>
      <c r="AY835" s="671">
        <f>N122-H122</f>
        <v>0</v>
      </c>
      <c r="AZ835" s="675"/>
      <c r="BA835" s="676"/>
      <c r="BB835" s="671">
        <f>IF(OR($C$3=$L$913,$C$3=0),Q122-N122,Q122-K122)</f>
        <v>0</v>
      </c>
      <c r="BC835" s="675"/>
      <c r="BD835" s="676"/>
      <c r="BE835" s="671">
        <f>T122-N122</f>
        <v>0</v>
      </c>
      <c r="BF835" s="674">
        <f t="shared" ref="BF835:BT835" si="778">U122-T122</f>
        <v>0</v>
      </c>
      <c r="BG835" s="674">
        <f t="shared" si="778"/>
        <v>0</v>
      </c>
      <c r="BH835" s="674">
        <f t="shared" si="778"/>
        <v>0</v>
      </c>
      <c r="BI835" s="674">
        <f t="shared" si="778"/>
        <v>0</v>
      </c>
      <c r="BJ835" s="674">
        <f t="shared" si="778"/>
        <v>0</v>
      </c>
      <c r="BK835" s="674">
        <f t="shared" si="778"/>
        <v>0</v>
      </c>
      <c r="BL835" s="674">
        <f t="shared" si="778"/>
        <v>0</v>
      </c>
      <c r="BM835" s="674">
        <f t="shared" si="778"/>
        <v>0</v>
      </c>
      <c r="BN835" s="674">
        <f t="shared" si="778"/>
        <v>0</v>
      </c>
      <c r="BO835" s="674">
        <f t="shared" si="778"/>
        <v>0</v>
      </c>
      <c r="BP835" s="674">
        <f t="shared" si="778"/>
        <v>0</v>
      </c>
      <c r="BQ835" s="674">
        <f t="shared" si="778"/>
        <v>0</v>
      </c>
      <c r="BR835" s="674">
        <f t="shared" si="778"/>
        <v>0</v>
      </c>
      <c r="BS835" s="674">
        <f t="shared" si="778"/>
        <v>0</v>
      </c>
      <c r="BT835" s="674">
        <f t="shared" si="778"/>
        <v>0</v>
      </c>
      <c r="BU835" s="2050"/>
    </row>
    <row r="836" spans="32:129" s="496" customFormat="1" ht="15.75" x14ac:dyDescent="0.25">
      <c r="AK836" s="2048"/>
      <c r="AL836" s="2049" t="s">
        <v>1235</v>
      </c>
      <c r="AM836" s="710" t="s">
        <v>1236</v>
      </c>
      <c r="AN836" s="911"/>
      <c r="AO836" s="675"/>
      <c r="AP836" s="671">
        <f>(AP653-AN653)+E230</f>
        <v>40</v>
      </c>
      <c r="AQ836" s="675"/>
      <c r="AR836" s="675"/>
      <c r="AS836" s="671">
        <f>(AS653-AP653)+H230</f>
        <v>0</v>
      </c>
      <c r="AT836" s="895"/>
      <c r="AU836" s="895"/>
      <c r="AV836" s="671">
        <f>(AV653-AS653)+K230</f>
        <v>0</v>
      </c>
      <c r="AW836" s="675"/>
      <c r="AX836" s="676"/>
      <c r="AY836" s="671">
        <f>(AY653-AS653)+N230</f>
        <v>0</v>
      </c>
      <c r="AZ836" s="675"/>
      <c r="BA836" s="676"/>
      <c r="BB836" s="671">
        <f>IF(OR($C$3=$L$913,$C$3=0),(BB653-AY653)+Q230,(BB653-AV653)+Q230)</f>
        <v>0</v>
      </c>
      <c r="BC836" s="675"/>
      <c r="BD836" s="676"/>
      <c r="BE836" s="671">
        <f>(BE653-AY653)+T230</f>
        <v>0</v>
      </c>
      <c r="BF836" s="674">
        <f t="shared" ref="BF836:BT836" si="779">(BF653-BE653)+U230</f>
        <v>0</v>
      </c>
      <c r="BG836" s="674">
        <f t="shared" si="779"/>
        <v>0</v>
      </c>
      <c r="BH836" s="674">
        <f t="shared" si="779"/>
        <v>0</v>
      </c>
      <c r="BI836" s="674">
        <f t="shared" si="779"/>
        <v>0</v>
      </c>
      <c r="BJ836" s="674">
        <f t="shared" si="779"/>
        <v>0</v>
      </c>
      <c r="BK836" s="674">
        <f t="shared" si="779"/>
        <v>0</v>
      </c>
      <c r="BL836" s="674">
        <f t="shared" si="779"/>
        <v>0</v>
      </c>
      <c r="BM836" s="674">
        <f t="shared" si="779"/>
        <v>0</v>
      </c>
      <c r="BN836" s="674">
        <f t="shared" si="779"/>
        <v>0</v>
      </c>
      <c r="BO836" s="674">
        <f t="shared" si="779"/>
        <v>0</v>
      </c>
      <c r="BP836" s="674">
        <f t="shared" si="779"/>
        <v>0</v>
      </c>
      <c r="BQ836" s="674">
        <f t="shared" si="779"/>
        <v>0</v>
      </c>
      <c r="BR836" s="674">
        <f t="shared" si="779"/>
        <v>0</v>
      </c>
      <c r="BS836" s="674">
        <f t="shared" si="779"/>
        <v>0</v>
      </c>
      <c r="BT836" s="674">
        <f t="shared" si="779"/>
        <v>0</v>
      </c>
      <c r="BU836" s="2050"/>
      <c r="CC836" s="2086" t="s">
        <v>1469</v>
      </c>
    </row>
    <row r="837" spans="32:129" s="496" customFormat="1" ht="15" x14ac:dyDescent="0.2">
      <c r="AK837" s="2048"/>
      <c r="AL837" s="2049" t="s">
        <v>1237</v>
      </c>
      <c r="AM837" s="710" t="s">
        <v>1238</v>
      </c>
      <c r="AN837" s="911"/>
      <c r="AO837" s="675"/>
      <c r="AP837" s="671">
        <f>AP666</f>
        <v>0</v>
      </c>
      <c r="AQ837" s="675"/>
      <c r="AR837" s="675"/>
      <c r="AS837" s="671">
        <f>AS666</f>
        <v>0</v>
      </c>
      <c r="AT837" s="895"/>
      <c r="AU837" s="895"/>
      <c r="AV837" s="671">
        <f>AV666</f>
        <v>0</v>
      </c>
      <c r="AW837" s="675"/>
      <c r="AX837" s="676"/>
      <c r="AY837" s="671">
        <f>AY666</f>
        <v>0</v>
      </c>
      <c r="AZ837" s="675"/>
      <c r="BA837" s="676"/>
      <c r="BB837" s="671">
        <f>BB666</f>
        <v>0</v>
      </c>
      <c r="BC837" s="675"/>
      <c r="BD837" s="676"/>
      <c r="BE837" s="671">
        <f t="shared" ref="BE837:BT837" si="780">BE666</f>
        <v>0</v>
      </c>
      <c r="BF837" s="674">
        <f t="shared" si="780"/>
        <v>0</v>
      </c>
      <c r="BG837" s="674">
        <f t="shared" si="780"/>
        <v>0</v>
      </c>
      <c r="BH837" s="674">
        <f t="shared" si="780"/>
        <v>0</v>
      </c>
      <c r="BI837" s="674">
        <f t="shared" si="780"/>
        <v>0</v>
      </c>
      <c r="BJ837" s="674">
        <f t="shared" si="780"/>
        <v>0</v>
      </c>
      <c r="BK837" s="674">
        <f t="shared" si="780"/>
        <v>0</v>
      </c>
      <c r="BL837" s="674">
        <f t="shared" si="780"/>
        <v>0</v>
      </c>
      <c r="BM837" s="674">
        <f t="shared" si="780"/>
        <v>0</v>
      </c>
      <c r="BN837" s="674">
        <f t="shared" si="780"/>
        <v>0</v>
      </c>
      <c r="BO837" s="674">
        <f t="shared" si="780"/>
        <v>0</v>
      </c>
      <c r="BP837" s="674">
        <f t="shared" si="780"/>
        <v>0</v>
      </c>
      <c r="BQ837" s="674">
        <f t="shared" si="780"/>
        <v>0</v>
      </c>
      <c r="BR837" s="674">
        <f t="shared" si="780"/>
        <v>0</v>
      </c>
      <c r="BS837" s="674">
        <f t="shared" si="780"/>
        <v>0</v>
      </c>
      <c r="BT837" s="674">
        <f t="shared" si="780"/>
        <v>0</v>
      </c>
      <c r="BU837" s="2050"/>
      <c r="CC837" s="2087" t="s">
        <v>1470</v>
      </c>
    </row>
    <row r="838" spans="32:129" s="500" customFormat="1" ht="15" x14ac:dyDescent="0.2">
      <c r="AK838" s="2035"/>
      <c r="AL838" s="2034">
        <v>21</v>
      </c>
      <c r="AM838" s="2066" t="s">
        <v>1239</v>
      </c>
      <c r="AN838" s="2088"/>
      <c r="AO838" s="655"/>
      <c r="AP838" s="706">
        <f>SUM(AP826:AP837)</f>
        <v>40</v>
      </c>
      <c r="AQ838" s="655"/>
      <c r="AR838" s="655"/>
      <c r="AS838" s="706">
        <f>SUM(AS826:AS837)</f>
        <v>0</v>
      </c>
      <c r="AT838" s="886"/>
      <c r="AU838" s="886"/>
      <c r="AV838" s="706">
        <f>SUM(AV826:AV837)</f>
        <v>0</v>
      </c>
      <c r="AW838" s="655"/>
      <c r="AX838" s="653"/>
      <c r="AY838" s="706">
        <f>SUM(AY826:AY837)</f>
        <v>0</v>
      </c>
      <c r="AZ838" s="655"/>
      <c r="BA838" s="653"/>
      <c r="BB838" s="706">
        <f>SUM(BB826:BB837)</f>
        <v>0</v>
      </c>
      <c r="BC838" s="655"/>
      <c r="BD838" s="653"/>
      <c r="BE838" s="706">
        <f t="shared" ref="BE838:BT838" si="781">SUM(BE826:BE837)</f>
        <v>0</v>
      </c>
      <c r="BF838" s="704">
        <f t="shared" si="781"/>
        <v>0</v>
      </c>
      <c r="BG838" s="704">
        <f t="shared" si="781"/>
        <v>0</v>
      </c>
      <c r="BH838" s="704">
        <f t="shared" si="781"/>
        <v>0</v>
      </c>
      <c r="BI838" s="704">
        <f t="shared" si="781"/>
        <v>0</v>
      </c>
      <c r="BJ838" s="704">
        <f t="shared" si="781"/>
        <v>0</v>
      </c>
      <c r="BK838" s="704">
        <f t="shared" si="781"/>
        <v>0</v>
      </c>
      <c r="BL838" s="704">
        <f t="shared" si="781"/>
        <v>0</v>
      </c>
      <c r="BM838" s="704">
        <f t="shared" si="781"/>
        <v>0</v>
      </c>
      <c r="BN838" s="704">
        <f t="shared" si="781"/>
        <v>0</v>
      </c>
      <c r="BO838" s="704">
        <f t="shared" si="781"/>
        <v>0</v>
      </c>
      <c r="BP838" s="704">
        <f t="shared" si="781"/>
        <v>0</v>
      </c>
      <c r="BQ838" s="704">
        <f t="shared" si="781"/>
        <v>0</v>
      </c>
      <c r="BR838" s="704">
        <f t="shared" si="781"/>
        <v>0</v>
      </c>
      <c r="BS838" s="704">
        <f t="shared" si="781"/>
        <v>0</v>
      </c>
      <c r="BT838" s="704">
        <f t="shared" si="781"/>
        <v>0</v>
      </c>
      <c r="BU838" s="2041"/>
      <c r="CC838" s="2087" t="s">
        <v>1471</v>
      </c>
    </row>
    <row r="839" spans="32:129" s="500" customFormat="1" ht="12.75" x14ac:dyDescent="0.25">
      <c r="AK839" s="2035"/>
      <c r="AL839" s="2036"/>
      <c r="AM839" s="2089" t="s">
        <v>1240</v>
      </c>
      <c r="AN839" s="2090"/>
      <c r="AO839" s="655"/>
      <c r="AP839" s="2054">
        <f>AP825+AP838</f>
        <v>-60</v>
      </c>
      <c r="AQ839" s="655"/>
      <c r="AR839" s="655"/>
      <c r="AS839" s="2054">
        <f>AS825+AS838</f>
        <v>-40</v>
      </c>
      <c r="AT839" s="886"/>
      <c r="AU839" s="886"/>
      <c r="AV839" s="2054">
        <f>AV825+AV838</f>
        <v>-40</v>
      </c>
      <c r="AW839" s="655"/>
      <c r="AX839" s="653"/>
      <c r="AY839" s="2054">
        <f>AY825+AY838</f>
        <v>-40</v>
      </c>
      <c r="AZ839" s="655"/>
      <c r="BA839" s="653"/>
      <c r="BB839" s="2054">
        <f>BB825+BB838</f>
        <v>-40</v>
      </c>
      <c r="BC839" s="655"/>
      <c r="BD839" s="653"/>
      <c r="BE839" s="2046">
        <f t="shared" ref="BE839:BT839" si="782">BE825+BE838</f>
        <v>-79.534000000000006</v>
      </c>
      <c r="BF839" s="2046">
        <f t="shared" si="782"/>
        <v>-99.268000000000001</v>
      </c>
      <c r="BG839" s="2046">
        <f t="shared" si="782"/>
        <v>-119.00200000000002</v>
      </c>
      <c r="BH839" s="2046">
        <f t="shared" si="782"/>
        <v>-138.73600000000002</v>
      </c>
      <c r="BI839" s="2046">
        <f t="shared" si="782"/>
        <v>-158.47000000000003</v>
      </c>
      <c r="BJ839" s="2046">
        <f t="shared" si="782"/>
        <v>-178.20400000000004</v>
      </c>
      <c r="BK839" s="2046">
        <f t="shared" si="782"/>
        <v>-197.93800000000002</v>
      </c>
      <c r="BL839" s="2046">
        <f t="shared" si="782"/>
        <v>-217.67200000000003</v>
      </c>
      <c r="BM839" s="2046">
        <f t="shared" si="782"/>
        <v>-237.40600000000006</v>
      </c>
      <c r="BN839" s="2046">
        <f t="shared" si="782"/>
        <v>-257.14</v>
      </c>
      <c r="BO839" s="2046">
        <f t="shared" si="782"/>
        <v>-276.87399999999997</v>
      </c>
      <c r="BP839" s="2046">
        <f t="shared" si="782"/>
        <v>-296.60799999999995</v>
      </c>
      <c r="BQ839" s="2046">
        <f t="shared" si="782"/>
        <v>-316.34199999999987</v>
      </c>
      <c r="BR839" s="2046">
        <f t="shared" si="782"/>
        <v>-336.07599999999991</v>
      </c>
      <c r="BS839" s="2046">
        <f t="shared" si="782"/>
        <v>-355.80999999999983</v>
      </c>
      <c r="BT839" s="2046">
        <f t="shared" si="782"/>
        <v>-375.54399999999998</v>
      </c>
      <c r="BU839" s="2041"/>
    </row>
    <row r="840" spans="32:129" s="500" customFormat="1" ht="12.75" x14ac:dyDescent="0.25">
      <c r="AK840" s="1828"/>
      <c r="AL840" s="507"/>
      <c r="AM840" s="2073" t="s">
        <v>1241</v>
      </c>
      <c r="AN840" s="2074"/>
      <c r="AO840" s="496"/>
      <c r="AP840" s="2075">
        <f>-AP786-AP810-AP820-AP839</f>
        <v>-420</v>
      </c>
      <c r="AQ840" s="496"/>
      <c r="AR840" s="496"/>
      <c r="AS840" s="2075">
        <f>-AS786-AS810-AS820-AS839</f>
        <v>0</v>
      </c>
      <c r="AT840" s="495"/>
      <c r="AU840" s="495"/>
      <c r="AV840" s="2075">
        <f>-AV786-AV810-AV820-AV839</f>
        <v>0</v>
      </c>
      <c r="AW840" s="496"/>
      <c r="AY840" s="2075">
        <f>-AY786-AY810-AY820-AY839</f>
        <v>0</v>
      </c>
      <c r="AZ840" s="496"/>
      <c r="BB840" s="2075">
        <f>-BB786-BB810-BB820-BB839</f>
        <v>0</v>
      </c>
      <c r="BC840" s="496"/>
      <c r="BE840" s="2076">
        <f t="shared" ref="BE840:BT840" si="783">-BE786-BE810-BE820-BE839</f>
        <v>-715.16599999999937</v>
      </c>
      <c r="BF840" s="2076">
        <f t="shared" si="783"/>
        <v>-717.42399999999998</v>
      </c>
      <c r="BG840" s="2076">
        <f t="shared" si="783"/>
        <v>-714.62199999999973</v>
      </c>
      <c r="BH840" s="2076">
        <f t="shared" si="783"/>
        <v>-705.40799999999979</v>
      </c>
      <c r="BI840" s="2076">
        <f t="shared" si="783"/>
        <v>-698.87399999999957</v>
      </c>
      <c r="BJ840" s="2076">
        <f t="shared" si="783"/>
        <v>-692.33999999999935</v>
      </c>
      <c r="BK840" s="2076">
        <f t="shared" si="783"/>
        <v>-685.80600000000061</v>
      </c>
      <c r="BL840" s="2076">
        <f t="shared" si="783"/>
        <v>-679.27199999999857</v>
      </c>
      <c r="BM840" s="2076">
        <f t="shared" si="783"/>
        <v>-672.73800000000085</v>
      </c>
      <c r="BN840" s="2076">
        <f t="shared" si="783"/>
        <v>-666.20399999999893</v>
      </c>
      <c r="BO840" s="2076">
        <f t="shared" si="783"/>
        <v>-659.67000000000053</v>
      </c>
      <c r="BP840" s="2076">
        <f t="shared" si="783"/>
        <v>-653.13599999999906</v>
      </c>
      <c r="BQ840" s="2076">
        <f t="shared" si="783"/>
        <v>-646.60200000000077</v>
      </c>
      <c r="BR840" s="2076">
        <f t="shared" si="783"/>
        <v>-640.06799999999873</v>
      </c>
      <c r="BS840" s="2076">
        <f t="shared" si="783"/>
        <v>-633.5340000000009</v>
      </c>
      <c r="BT840" s="2076">
        <f t="shared" si="783"/>
        <v>-626.99999999999875</v>
      </c>
      <c r="BU840" s="1830"/>
    </row>
    <row r="841" spans="32:129" s="496" customFormat="1" ht="13.5" thickBot="1" x14ac:dyDescent="0.3">
      <c r="AK841" s="1828"/>
      <c r="AL841" s="507"/>
      <c r="AM841" s="2073" t="s">
        <v>1242</v>
      </c>
      <c r="AN841" s="2074"/>
      <c r="AP841" s="2075">
        <f>AP586-AN586</f>
        <v>390</v>
      </c>
      <c r="AS841" s="2075">
        <f>AS586-AP586</f>
        <v>0</v>
      </c>
      <c r="AT841" s="495"/>
      <c r="AU841" s="495"/>
      <c r="AV841" s="2075">
        <f>AV586-AS586</f>
        <v>0</v>
      </c>
      <c r="AX841" s="500"/>
      <c r="AY841" s="2075">
        <f>AY586-AS586</f>
        <v>0</v>
      </c>
      <c r="BA841" s="500"/>
      <c r="BB841" s="2075">
        <f>IF(OR($C$3=$L$913,$C$3=0),BB586-AY586,BB586-AV586)</f>
        <v>0</v>
      </c>
      <c r="BD841" s="500"/>
      <c r="BE841" s="2076">
        <f>BE586-AY586</f>
        <v>715.16599999999926</v>
      </c>
      <c r="BF841" s="2076">
        <f t="shared" ref="BF841:BT841" si="784">BF586-BE586</f>
        <v>717.42399999999998</v>
      </c>
      <c r="BG841" s="2076">
        <f t="shared" si="784"/>
        <v>714.62199999999984</v>
      </c>
      <c r="BH841" s="2076">
        <f t="shared" si="784"/>
        <v>705.4079999999999</v>
      </c>
      <c r="BI841" s="2076">
        <f t="shared" si="784"/>
        <v>698.8739999999998</v>
      </c>
      <c r="BJ841" s="2076">
        <f t="shared" si="784"/>
        <v>692.33999999999924</v>
      </c>
      <c r="BK841" s="2076">
        <f t="shared" si="784"/>
        <v>685.80600000000049</v>
      </c>
      <c r="BL841" s="2076">
        <f t="shared" si="784"/>
        <v>679.27199999999812</v>
      </c>
      <c r="BM841" s="2076">
        <f t="shared" si="784"/>
        <v>672.73800000000119</v>
      </c>
      <c r="BN841" s="2076">
        <f t="shared" si="784"/>
        <v>666.20399999999881</v>
      </c>
      <c r="BO841" s="2076">
        <f t="shared" si="784"/>
        <v>659.67000000000098</v>
      </c>
      <c r="BP841" s="2076">
        <f t="shared" si="784"/>
        <v>653.1359999999986</v>
      </c>
      <c r="BQ841" s="2076">
        <f t="shared" si="784"/>
        <v>646.60200000000077</v>
      </c>
      <c r="BR841" s="2076">
        <f t="shared" si="784"/>
        <v>640.0679999999993</v>
      </c>
      <c r="BS841" s="2076">
        <f t="shared" si="784"/>
        <v>633.53400000000147</v>
      </c>
      <c r="BT841" s="2076">
        <f t="shared" si="784"/>
        <v>626.99999999999818</v>
      </c>
      <c r="BU841" s="1830"/>
    </row>
    <row r="842" spans="32:129" s="496" customFormat="1" ht="14.25" thickTop="1" thickBot="1" x14ac:dyDescent="0.3">
      <c r="AF842" s="948"/>
      <c r="AG842" s="498"/>
      <c r="AK842" s="1828"/>
      <c r="AL842" s="507"/>
      <c r="AM842" s="2091" t="s">
        <v>1243</v>
      </c>
      <c r="AN842" s="2092"/>
      <c r="AP842" s="2093">
        <f>AP840+AP841</f>
        <v>-30</v>
      </c>
      <c r="AS842" s="2093">
        <f>AS840+AS841</f>
        <v>0</v>
      </c>
      <c r="AT842" s="495"/>
      <c r="AU842" s="495"/>
      <c r="AV842" s="2093">
        <f>AV840+AV841</f>
        <v>0</v>
      </c>
      <c r="AX842" s="500"/>
      <c r="AY842" s="2093">
        <f>AY840+AY841</f>
        <v>0</v>
      </c>
      <c r="BA842" s="500"/>
      <c r="BB842" s="2093">
        <f>BB840+BB841</f>
        <v>0</v>
      </c>
      <c r="BD842" s="500"/>
      <c r="BE842" s="2094">
        <f t="shared" ref="BE842:BT842" si="785">BE840+BE841</f>
        <v>0</v>
      </c>
      <c r="BF842" s="2094">
        <f t="shared" si="785"/>
        <v>0</v>
      </c>
      <c r="BG842" s="2094">
        <f t="shared" si="785"/>
        <v>0</v>
      </c>
      <c r="BH842" s="2094">
        <f t="shared" si="785"/>
        <v>0</v>
      </c>
      <c r="BI842" s="2094">
        <f t="shared" si="785"/>
        <v>0</v>
      </c>
      <c r="BJ842" s="2094">
        <f t="shared" si="785"/>
        <v>0</v>
      </c>
      <c r="BK842" s="2094">
        <f t="shared" si="785"/>
        <v>0</v>
      </c>
      <c r="BL842" s="2094">
        <f t="shared" si="785"/>
        <v>0</v>
      </c>
      <c r="BM842" s="2094">
        <f t="shared" si="785"/>
        <v>0</v>
      </c>
      <c r="BN842" s="2094">
        <f t="shared" si="785"/>
        <v>0</v>
      </c>
      <c r="BO842" s="2094">
        <f t="shared" si="785"/>
        <v>0</v>
      </c>
      <c r="BP842" s="2094">
        <f t="shared" si="785"/>
        <v>0</v>
      </c>
      <c r="BQ842" s="2094">
        <f t="shared" si="785"/>
        <v>0</v>
      </c>
      <c r="BR842" s="2094">
        <f t="shared" si="785"/>
        <v>0</v>
      </c>
      <c r="BS842" s="2094">
        <f t="shared" si="785"/>
        <v>0</v>
      </c>
      <c r="BT842" s="2094">
        <f t="shared" si="785"/>
        <v>0</v>
      </c>
      <c r="BU842" s="1830"/>
    </row>
    <row r="843" spans="32:129" s="496" customFormat="1" ht="13.5" thickTop="1" x14ac:dyDescent="0.2">
      <c r="AG843" s="498"/>
      <c r="AK843" s="2095"/>
      <c r="AL843" s="2096"/>
      <c r="AM843" s="726" t="s">
        <v>1244</v>
      </c>
      <c r="AN843" s="727"/>
      <c r="AO843" s="500"/>
      <c r="AP843" s="727"/>
      <c r="AQ843" s="500"/>
      <c r="AR843" s="500"/>
      <c r="AS843" s="727"/>
      <c r="AT843" s="500"/>
      <c r="AU843" s="500"/>
      <c r="AV843" s="727"/>
      <c r="AW843" s="500"/>
      <c r="AX843" s="500"/>
      <c r="AY843" s="727"/>
      <c r="AZ843" s="500"/>
      <c r="BA843" s="500"/>
      <c r="BB843" s="727"/>
      <c r="BC843" s="500"/>
      <c r="BD843" s="500"/>
      <c r="BE843" s="500"/>
      <c r="BF843" s="500"/>
      <c r="BG843" s="728"/>
      <c r="BH843" s="728"/>
      <c r="BI843" s="728"/>
      <c r="BJ843" s="728"/>
      <c r="BK843" s="728"/>
      <c r="BL843" s="728"/>
      <c r="BM843" s="728"/>
      <c r="BN843" s="728"/>
      <c r="BO843" s="728"/>
      <c r="BP843" s="500"/>
      <c r="BQ843" s="729"/>
      <c r="BR843" s="500"/>
      <c r="BS843" s="500"/>
      <c r="BT843" s="500"/>
      <c r="BU843" s="2097"/>
      <c r="BV843" s="2098"/>
      <c r="BW843" s="2099"/>
      <c r="BX843" s="2099"/>
      <c r="BY843" s="2099"/>
      <c r="BZ843" s="2099"/>
      <c r="CA843" s="2099"/>
      <c r="CB843" s="2099"/>
      <c r="CC843" s="2099"/>
      <c r="CD843" s="2099"/>
      <c r="CE843" s="2099"/>
      <c r="CF843" s="2099"/>
      <c r="CG843" s="2099"/>
      <c r="CH843" s="2099"/>
      <c r="CI843" s="2099"/>
      <c r="CJ843" s="2099"/>
      <c r="CK843" s="2099"/>
      <c r="CL843" s="2099"/>
      <c r="CM843" s="2099"/>
      <c r="CN843" s="2099"/>
      <c r="CO843" s="2099"/>
      <c r="CP843" s="2099"/>
      <c r="CQ843" s="2099"/>
      <c r="CR843" s="2099"/>
      <c r="CS843" s="2099"/>
      <c r="CT843" s="2099"/>
      <c r="CU843" s="2099"/>
      <c r="CV843" s="2099"/>
      <c r="CW843" s="2099"/>
      <c r="CX843" s="2099"/>
      <c r="CY843" s="2099"/>
      <c r="CZ843" s="2099"/>
      <c r="DA843" s="2099"/>
      <c r="DB843" s="2099"/>
      <c r="DC843" s="2099"/>
      <c r="DD843" s="2099"/>
      <c r="DE843" s="2099"/>
      <c r="DF843" s="2099"/>
      <c r="DG843" s="2099"/>
      <c r="DH843" s="2099"/>
      <c r="DI843" s="2099"/>
      <c r="DJ843" s="2099"/>
      <c r="DK843" s="2099"/>
      <c r="DL843" s="2099"/>
      <c r="DM843" s="2099"/>
      <c r="DN843" s="2099"/>
      <c r="DO843" s="2099"/>
      <c r="DP843" s="2099"/>
      <c r="DQ843" s="2099"/>
      <c r="DR843" s="2099"/>
      <c r="DS843" s="2099"/>
      <c r="DT843" s="2099"/>
      <c r="DU843" s="2099"/>
      <c r="DV843" s="2099"/>
      <c r="DW843" s="2099"/>
      <c r="DX843" s="2099"/>
      <c r="DY843" s="2100"/>
    </row>
    <row r="844" spans="32:129" s="496" customFormat="1" ht="15.75" x14ac:dyDescent="0.25">
      <c r="AG844" s="498"/>
      <c r="AK844" s="2095"/>
      <c r="AL844" s="2096"/>
      <c r="AM844" s="730" t="s">
        <v>1245</v>
      </c>
      <c r="AN844" s="500"/>
      <c r="AO844" s="500"/>
      <c r="AP844" s="727"/>
      <c r="AQ844" s="500"/>
      <c r="AR844" s="500"/>
      <c r="AS844" s="727"/>
      <c r="AT844" s="500"/>
      <c r="AU844" s="500"/>
      <c r="AV844" s="727"/>
      <c r="AW844" s="500"/>
      <c r="AX844" s="500"/>
      <c r="AY844" s="727"/>
      <c r="AZ844" s="500"/>
      <c r="BA844" s="500"/>
      <c r="BB844" s="727"/>
      <c r="BC844" s="500"/>
      <c r="BD844" s="500"/>
      <c r="BE844" s="500"/>
      <c r="BF844" s="500"/>
      <c r="BG844" s="728"/>
      <c r="BH844" s="728"/>
      <c r="BI844" s="728"/>
      <c r="BJ844" s="728"/>
      <c r="BK844" s="728"/>
      <c r="BL844" s="728"/>
      <c r="BM844" s="728"/>
      <c r="BN844" s="728"/>
      <c r="BO844" s="728"/>
      <c r="BP844" s="500"/>
      <c r="BQ844" s="500"/>
      <c r="BR844" s="500"/>
      <c r="BS844" s="500"/>
      <c r="BT844" s="500"/>
      <c r="BU844" s="2097"/>
      <c r="BV844" s="2101"/>
      <c r="BW844" s="603"/>
      <c r="BX844" s="603"/>
      <c r="BY844" s="603"/>
      <c r="BZ844" s="603"/>
      <c r="CA844" s="603"/>
      <c r="CB844" s="603"/>
      <c r="CC844" s="2102" t="s">
        <v>1472</v>
      </c>
      <c r="CD844" s="2103" t="s">
        <v>1470</v>
      </c>
      <c r="CE844" s="2104"/>
      <c r="CF844" s="603"/>
      <c r="CG844" s="603"/>
      <c r="CH844" s="603"/>
      <c r="CI844" s="603"/>
      <c r="CJ844" s="603"/>
      <c r="CK844" s="603"/>
      <c r="CL844" s="603"/>
      <c r="CM844" s="603"/>
      <c r="CN844" s="603"/>
      <c r="CO844" s="603"/>
      <c r="CP844" s="603"/>
      <c r="CQ844" s="603"/>
      <c r="CR844" s="603"/>
      <c r="CS844" s="603"/>
      <c r="CT844" s="603"/>
      <c r="CU844" s="603"/>
      <c r="CV844" s="603"/>
      <c r="CW844" s="603"/>
      <c r="CX844" s="603"/>
      <c r="CY844" s="603"/>
      <c r="CZ844" s="603"/>
      <c r="DA844" s="603"/>
      <c r="DB844" s="603"/>
      <c r="DC844" s="603"/>
      <c r="DD844" s="603"/>
      <c r="DE844" s="603"/>
      <c r="DF844" s="603"/>
      <c r="DG844" s="603"/>
      <c r="DH844" s="603"/>
      <c r="DI844" s="603"/>
      <c r="DJ844" s="603"/>
      <c r="DK844" s="603"/>
      <c r="DL844" s="603"/>
      <c r="DM844" s="603"/>
      <c r="DN844" s="603"/>
      <c r="DO844" s="603"/>
      <c r="DP844" s="603"/>
      <c r="DQ844" s="603"/>
      <c r="DR844" s="603"/>
      <c r="DS844" s="603"/>
      <c r="DT844" s="603"/>
      <c r="DU844" s="603"/>
      <c r="DV844" s="603"/>
      <c r="DW844" s="603"/>
      <c r="DX844" s="603"/>
      <c r="DY844" s="2105"/>
    </row>
    <row r="845" spans="32:129" s="496" customFormat="1" ht="16.5" x14ac:dyDescent="0.25">
      <c r="AG845" s="498"/>
      <c r="AK845" s="2095"/>
      <c r="AL845" s="2096"/>
      <c r="AM845" s="730" t="s">
        <v>1246</v>
      </c>
      <c r="AN845" s="727"/>
      <c r="AO845" s="500"/>
      <c r="AP845" s="727"/>
      <c r="AQ845" s="500"/>
      <c r="AR845" s="500"/>
      <c r="AS845" s="727"/>
      <c r="AT845" s="500"/>
      <c r="AU845" s="500"/>
      <c r="AV845" s="727"/>
      <c r="AW845" s="500"/>
      <c r="AX845" s="500"/>
      <c r="AY845" s="727"/>
      <c r="AZ845" s="500"/>
      <c r="BA845" s="500"/>
      <c r="BB845" s="727"/>
      <c r="BC845" s="500"/>
      <c r="BD845" s="500"/>
      <c r="BE845" s="500"/>
      <c r="BF845" s="500"/>
      <c r="BG845" s="728"/>
      <c r="BH845" s="728"/>
      <c r="BI845" s="728"/>
      <c r="BJ845" s="728"/>
      <c r="BK845" s="728"/>
      <c r="BL845" s="728"/>
      <c r="BM845" s="728"/>
      <c r="BN845" s="728"/>
      <c r="BO845" s="728"/>
      <c r="BP845" s="500"/>
      <c r="BQ845" s="500"/>
      <c r="BR845" s="500"/>
      <c r="BS845" s="500"/>
      <c r="BT845" s="500"/>
      <c r="BU845" s="2097"/>
      <c r="BV845" s="2101"/>
      <c r="BW845" s="2106" t="str">
        <f>IF(ISERROR("ESTADO DE RESULTADOS PROYECTADO - "&amp;AM582&amp;IF(W241=J913," (Cifras en "&amp;IF(AND($V$913&lt;&gt;0,$V$913=$CC$838),"U$ Miles)","$MM)")," - ESCENARIO "&amp;V242&amp;" (Cifras en "&amp;IF(AND($V$913&lt;&gt;0,$V$913=$CC$838),"U$ Miles)","$MM)")))=TRUE,0,"ESTADO DE RESULTADOS PROYECTADO - "&amp;AM582&amp;IF(W241=J913," (Cifras en "&amp;IF(AND($V$913&lt;&gt;0,$V$913=$CC$838),"U$ Miles)","$MM)")," - ESCENARIO "&amp;V242&amp;" (Cifras en "&amp;IF(AND($V$913&lt;&gt;0,$V$913=$CC$838),"U$ Miles)","$MM)")))</f>
        <v>ESTADO DE RESULTADOS PROYECTADO - Prueba Da 27.08.23 - ESCENARIO BASE (Cifras en $MM)</v>
      </c>
      <c r="BX845" s="2107"/>
      <c r="BY845" s="2107"/>
      <c r="BZ845" s="2107"/>
      <c r="CA845" s="2107"/>
      <c r="CB845" s="2107"/>
      <c r="CC845" s="2107"/>
      <c r="CD845" s="2107"/>
      <c r="CE845" s="2107"/>
      <c r="CF845" s="2107"/>
      <c r="CG845" s="2107"/>
      <c r="CH845" s="2107"/>
      <c r="CI845" s="2107"/>
      <c r="CJ845" s="2108"/>
      <c r="CK845" s="2108"/>
      <c r="CL845" s="2108"/>
      <c r="CM845" s="2108"/>
      <c r="CN845" s="2108"/>
      <c r="CO845" s="2108"/>
      <c r="CP845" s="2108"/>
      <c r="CQ845" s="2108"/>
      <c r="CR845" s="2108"/>
      <c r="CS845" s="2108"/>
      <c r="CT845" s="2108"/>
      <c r="CU845" s="2108"/>
      <c r="CV845" s="2108"/>
      <c r="CW845" s="2108"/>
      <c r="CX845" s="2108"/>
      <c r="CY845" s="2108"/>
      <c r="CZ845" s="2108"/>
      <c r="DA845" s="2108"/>
      <c r="DB845" s="2108"/>
      <c r="DC845" s="2108"/>
      <c r="DD845" s="2108"/>
      <c r="DE845" s="2108"/>
      <c r="DF845" s="2108"/>
      <c r="DG845" s="2109"/>
      <c r="DH845" s="603"/>
      <c r="DI845" s="603"/>
      <c r="DJ845" s="603"/>
      <c r="DK845" s="603"/>
      <c r="DL845" s="603"/>
      <c r="DM845" s="603"/>
      <c r="DN845" s="603"/>
      <c r="DO845" s="603"/>
      <c r="DP845" s="603"/>
      <c r="DQ845" s="603"/>
      <c r="DR845" s="603"/>
      <c r="DS845" s="603"/>
      <c r="DT845" s="603"/>
      <c r="DU845" s="603"/>
      <c r="DV845" s="603"/>
      <c r="DW845" s="2109"/>
      <c r="DX845" s="603"/>
      <c r="DY845" s="2105"/>
    </row>
    <row r="846" spans="32:129" s="496" customFormat="1" ht="17.25" thickBot="1" x14ac:dyDescent="0.3">
      <c r="AG846" s="498"/>
      <c r="AK846" s="2110"/>
      <c r="AL846" s="2111"/>
      <c r="AM846" s="772"/>
      <c r="AN846" s="2112"/>
      <c r="AO846" s="776"/>
      <c r="AP846" s="2112"/>
      <c r="AQ846" s="776"/>
      <c r="AR846" s="776"/>
      <c r="AS846" s="2112"/>
      <c r="AT846" s="941"/>
      <c r="AU846" s="941"/>
      <c r="AV846" s="2113"/>
      <c r="AW846" s="776"/>
      <c r="AX846" s="942"/>
      <c r="AY846" s="2113"/>
      <c r="AZ846" s="776"/>
      <c r="BA846" s="942"/>
      <c r="BB846" s="2113"/>
      <c r="BC846" s="776"/>
      <c r="BD846" s="942"/>
      <c r="BE846" s="2114"/>
      <c r="BF846" s="2114"/>
      <c r="BG846" s="2114"/>
      <c r="BH846" s="2114"/>
      <c r="BI846" s="2114"/>
      <c r="BJ846" s="2114"/>
      <c r="BK846" s="2114"/>
      <c r="BL846" s="2114"/>
      <c r="BM846" s="2114"/>
      <c r="BN846" s="2114"/>
      <c r="BO846" s="2114"/>
      <c r="BP846" s="776"/>
      <c r="BQ846" s="776"/>
      <c r="BR846" s="776"/>
      <c r="BS846" s="776"/>
      <c r="BT846" s="776"/>
      <c r="BU846" s="2115"/>
      <c r="BV846" s="2101"/>
      <c r="BW846" s="603"/>
      <c r="BX846" s="603"/>
      <c r="BY846" s="603"/>
      <c r="BZ846" s="2116" t="s">
        <v>536</v>
      </c>
      <c r="CA846" s="2117">
        <f>AY583</f>
        <v>2021</v>
      </c>
      <c r="CB846" s="2118"/>
      <c r="CC846" s="2117">
        <f>BE583</f>
        <v>2022</v>
      </c>
      <c r="CD846" s="2118"/>
      <c r="CE846" s="2117"/>
      <c r="CF846" s="2117">
        <f>BF583</f>
        <v>2023</v>
      </c>
      <c r="CG846" s="2118"/>
      <c r="CH846" s="2117"/>
      <c r="CI846" s="2117">
        <f>BG583</f>
        <v>2024</v>
      </c>
      <c r="CJ846" s="2118"/>
      <c r="CK846" s="2117"/>
      <c r="CL846" s="2117">
        <f>BH583</f>
        <v>2025</v>
      </c>
      <c r="CM846" s="2118"/>
      <c r="CN846" s="2117"/>
      <c r="CO846" s="2117">
        <f>BI583</f>
        <v>2026</v>
      </c>
      <c r="CP846" s="2118"/>
      <c r="CQ846" s="2117"/>
      <c r="CR846" s="2117">
        <f>BJ583</f>
        <v>2027</v>
      </c>
      <c r="CS846" s="2118"/>
      <c r="CT846" s="2117"/>
      <c r="CU846" s="2117">
        <f>BK583</f>
        <v>2028</v>
      </c>
      <c r="CV846" s="2118"/>
      <c r="CW846" s="2117"/>
      <c r="CX846" s="2117">
        <f>BL583</f>
        <v>2029</v>
      </c>
      <c r="CY846" s="2118"/>
      <c r="CZ846" s="2117"/>
      <c r="DA846" s="2117">
        <f>BM583</f>
        <v>2030</v>
      </c>
      <c r="DB846" s="2118"/>
      <c r="DC846" s="2117"/>
      <c r="DD846" s="2117">
        <f>BN583</f>
        <v>2031</v>
      </c>
      <c r="DE846" s="2118"/>
      <c r="DF846" s="2117"/>
      <c r="DG846" s="2117">
        <f>BO583</f>
        <v>2032</v>
      </c>
      <c r="DH846" s="2118"/>
      <c r="DI846" s="2117"/>
      <c r="DJ846" s="2117">
        <f>BP583</f>
        <v>2033</v>
      </c>
      <c r="DK846" s="2118"/>
      <c r="DL846" s="2117"/>
      <c r="DM846" s="2117">
        <f>BQ583</f>
        <v>2034</v>
      </c>
      <c r="DN846" s="2118"/>
      <c r="DO846" s="2117"/>
      <c r="DP846" s="2117">
        <f>BR583</f>
        <v>2035</v>
      </c>
      <c r="DQ846" s="2118"/>
      <c r="DR846" s="2117"/>
      <c r="DS846" s="2117">
        <f>BS583</f>
        <v>2036</v>
      </c>
      <c r="DT846" s="2118"/>
      <c r="DU846" s="2117"/>
      <c r="DV846" s="2119">
        <f>BT583</f>
        <v>2037</v>
      </c>
      <c r="DW846" s="2118"/>
      <c r="DX846" s="2117"/>
      <c r="DY846" s="2105"/>
    </row>
    <row r="847" spans="32:129" s="496" customFormat="1" ht="17.25" thickTop="1" x14ac:dyDescent="0.2">
      <c r="AG847" s="498"/>
      <c r="AO847" s="495"/>
      <c r="AP847" s="495"/>
      <c r="AQ847" s="495"/>
      <c r="AS847" s="500"/>
      <c r="AT847" s="495"/>
      <c r="AV847" s="500"/>
      <c r="AW847" s="495"/>
      <c r="AY847" s="500"/>
      <c r="AZ847" s="500"/>
      <c r="BS847" s="497"/>
      <c r="BV847" s="2101"/>
      <c r="BW847" s="603"/>
      <c r="BX847" s="603"/>
      <c r="BY847" s="603"/>
      <c r="BZ847" s="2120"/>
      <c r="CA847" s="2121" t="str">
        <f>IF(AND($CD$844&lt;&gt;0,$CD$844=$CC$838),"U$ Miles","$MM")</f>
        <v>$MM</v>
      </c>
      <c r="CB847" s="2122" t="s">
        <v>1473</v>
      </c>
      <c r="CC847" s="2123" t="str">
        <f>$CA$847</f>
        <v>$MM</v>
      </c>
      <c r="CD847" s="2124" t="s">
        <v>1474</v>
      </c>
      <c r="CE847" s="2122" t="s">
        <v>1475</v>
      </c>
      <c r="CF847" s="2123" t="str">
        <f>$CA$847</f>
        <v>$MM</v>
      </c>
      <c r="CG847" s="2124" t="s">
        <v>1474</v>
      </c>
      <c r="CH847" s="2122" t="s">
        <v>1475</v>
      </c>
      <c r="CI847" s="2123" t="str">
        <f>$CA$847</f>
        <v>$MM</v>
      </c>
      <c r="CJ847" s="2124" t="s">
        <v>1474</v>
      </c>
      <c r="CK847" s="2122" t="s">
        <v>1475</v>
      </c>
      <c r="CL847" s="2123" t="str">
        <f>$CA$847</f>
        <v>$MM</v>
      </c>
      <c r="CM847" s="2124" t="s">
        <v>1474</v>
      </c>
      <c r="CN847" s="2122" t="s">
        <v>1475</v>
      </c>
      <c r="CO847" s="2123" t="str">
        <f>$CA$847</f>
        <v>$MM</v>
      </c>
      <c r="CP847" s="2124" t="s">
        <v>1474</v>
      </c>
      <c r="CQ847" s="2122" t="s">
        <v>1475</v>
      </c>
      <c r="CR847" s="2123" t="str">
        <f>$CA$847</f>
        <v>$MM</v>
      </c>
      <c r="CS847" s="2124" t="s">
        <v>1474</v>
      </c>
      <c r="CT847" s="2122" t="s">
        <v>1475</v>
      </c>
      <c r="CU847" s="2123" t="str">
        <f>$CA$847</f>
        <v>$MM</v>
      </c>
      <c r="CV847" s="2124" t="s">
        <v>1474</v>
      </c>
      <c r="CW847" s="2122" t="s">
        <v>1475</v>
      </c>
      <c r="CX847" s="2123" t="str">
        <f>$CA$847</f>
        <v>$MM</v>
      </c>
      <c r="CY847" s="2124" t="s">
        <v>1474</v>
      </c>
      <c r="CZ847" s="2122" t="s">
        <v>1475</v>
      </c>
      <c r="DA847" s="2123" t="str">
        <f>$CA$847</f>
        <v>$MM</v>
      </c>
      <c r="DB847" s="2124" t="s">
        <v>1474</v>
      </c>
      <c r="DC847" s="2122" t="s">
        <v>1475</v>
      </c>
      <c r="DD847" s="2123" t="str">
        <f>$CA$847</f>
        <v>$MM</v>
      </c>
      <c r="DE847" s="2124" t="s">
        <v>1474</v>
      </c>
      <c r="DF847" s="2122" t="s">
        <v>1475</v>
      </c>
      <c r="DG847" s="2123" t="str">
        <f>$CA$847</f>
        <v>$MM</v>
      </c>
      <c r="DH847" s="2124" t="s">
        <v>1474</v>
      </c>
      <c r="DI847" s="2122" t="s">
        <v>1475</v>
      </c>
      <c r="DJ847" s="2123" t="str">
        <f>$CA$847</f>
        <v>$MM</v>
      </c>
      <c r="DK847" s="2124" t="s">
        <v>1474</v>
      </c>
      <c r="DL847" s="2122" t="s">
        <v>1475</v>
      </c>
      <c r="DM847" s="2123" t="str">
        <f>$CA$847</f>
        <v>$MM</v>
      </c>
      <c r="DN847" s="2124" t="s">
        <v>1474</v>
      </c>
      <c r="DO847" s="2122" t="s">
        <v>1475</v>
      </c>
      <c r="DP847" s="2123" t="str">
        <f>$CA$847</f>
        <v>$MM</v>
      </c>
      <c r="DQ847" s="2124" t="s">
        <v>1474</v>
      </c>
      <c r="DR847" s="2122" t="s">
        <v>1475</v>
      </c>
      <c r="DS847" s="2123" t="str">
        <f>$CA$847</f>
        <v>$MM</v>
      </c>
      <c r="DT847" s="2124" t="s">
        <v>1474</v>
      </c>
      <c r="DU847" s="2122" t="s">
        <v>1475</v>
      </c>
      <c r="DV847" s="2124" t="str">
        <f>$CA$847</f>
        <v>$MM</v>
      </c>
      <c r="DW847" s="2124" t="s">
        <v>1474</v>
      </c>
      <c r="DX847" s="2122" t="s">
        <v>1475</v>
      </c>
      <c r="DY847" s="2105"/>
    </row>
    <row r="848" spans="32:129" s="496" customFormat="1" ht="18" x14ac:dyDescent="0.25">
      <c r="AG848" s="498"/>
      <c r="BV848" s="2101"/>
      <c r="BW848" s="603"/>
      <c r="BX848" s="603"/>
      <c r="BY848" s="603"/>
      <c r="BZ848" s="2125" t="s">
        <v>1476</v>
      </c>
      <c r="CA848" s="2126">
        <f>AY660</f>
        <v>3610</v>
      </c>
      <c r="CB848" s="2127">
        <f>IF(CA848=0,0,CA848/CA848)</f>
        <v>1</v>
      </c>
      <c r="CC848" s="2126">
        <f>BE660</f>
        <v>3610</v>
      </c>
      <c r="CD848" s="2128">
        <f>IF(CC848=0,0,CC848/CC848)</f>
        <v>1</v>
      </c>
      <c r="CE848" s="2127">
        <f t="shared" ref="CE848:CE854" si="786">IF(CA848=0,0,IF(ABS(CC848/(CA848*360/$N$17)-1)&gt;10000%,0,CC848/(CA848*360/$N$17)-1))</f>
        <v>0</v>
      </c>
      <c r="CF848" s="2126">
        <f>BF660</f>
        <v>3610</v>
      </c>
      <c r="CG848" s="2128">
        <f>IF(CF848=0,0,CF848/CF848)</f>
        <v>1</v>
      </c>
      <c r="CH848" s="2127">
        <f t="shared" ref="CH848:CH854" si="787">IF(CC848=0,0,CF848/CC848-1)</f>
        <v>0</v>
      </c>
      <c r="CI848" s="2126">
        <f>BG660</f>
        <v>3610</v>
      </c>
      <c r="CJ848" s="2128">
        <f>IF(CI848=0,0,CI848/CI848)</f>
        <v>1</v>
      </c>
      <c r="CK848" s="2127">
        <f t="shared" ref="CK848:CK854" si="788">IF(CF848=0,0,CI848/CF848-1)</f>
        <v>0</v>
      </c>
      <c r="CL848" s="2126">
        <f>BH660</f>
        <v>3610</v>
      </c>
      <c r="CM848" s="2128">
        <f>IF(CL848=0,0,CL848/CL848)</f>
        <v>1</v>
      </c>
      <c r="CN848" s="2127">
        <f t="shared" ref="CN848:CN854" si="789">IF(CI848=0,0,CL848/CI848-1)</f>
        <v>0</v>
      </c>
      <c r="CO848" s="2126">
        <f>BI660</f>
        <v>3610</v>
      </c>
      <c r="CP848" s="2128">
        <f>IF(CO848=0,0,CO848/CO848)</f>
        <v>1</v>
      </c>
      <c r="CQ848" s="2127">
        <f t="shared" ref="CQ848:CQ854" si="790">IF(CL848=0,0,CO848/CL848-1)</f>
        <v>0</v>
      </c>
      <c r="CR848" s="2126">
        <f>BJ660</f>
        <v>3610</v>
      </c>
      <c r="CS848" s="2128">
        <f>IF(CR848=0,0,CR848/CR848)</f>
        <v>1</v>
      </c>
      <c r="CT848" s="2127">
        <f t="shared" ref="CT848:CT854" si="791">IF(CO848=0,0,CR848/CO848-1)</f>
        <v>0</v>
      </c>
      <c r="CU848" s="2126">
        <f>BK660</f>
        <v>3610</v>
      </c>
      <c r="CV848" s="2128">
        <f>IF(CU848=0,0,CU848/CU848)</f>
        <v>1</v>
      </c>
      <c r="CW848" s="2127">
        <f t="shared" ref="CW848:CW854" si="792">IF(CR848=0,0,CU848/CR848-1)</f>
        <v>0</v>
      </c>
      <c r="CX848" s="2126">
        <f>BL660</f>
        <v>3610</v>
      </c>
      <c r="CY848" s="2128">
        <f>IF(CX848=0,0,CX848/CX848)</f>
        <v>1</v>
      </c>
      <c r="CZ848" s="2127">
        <f t="shared" ref="CZ848:CZ854" si="793">IF(CU848=0,0,CX848/CU848-1)</f>
        <v>0</v>
      </c>
      <c r="DA848" s="2126">
        <f>BM660</f>
        <v>3610</v>
      </c>
      <c r="DB848" s="2128">
        <f>IF(DA848=0,0,DA848/DA848)</f>
        <v>1</v>
      </c>
      <c r="DC848" s="2127">
        <f t="shared" ref="DC848:DC854" si="794">IF(CX848=0,0,DA848/CX848-1)</f>
        <v>0</v>
      </c>
      <c r="DD848" s="2126">
        <f>BN660</f>
        <v>3610</v>
      </c>
      <c r="DE848" s="2128">
        <f>IF(DD848=0,0,DD848/DD848)</f>
        <v>1</v>
      </c>
      <c r="DF848" s="2127">
        <f t="shared" ref="DF848:DF854" si="795">IF(DA848=0,0,DD848/DA848-1)</f>
        <v>0</v>
      </c>
      <c r="DG848" s="2126">
        <f>BO660</f>
        <v>3610</v>
      </c>
      <c r="DH848" s="2128">
        <f>IF(DG848=0,0,DG848/DG848)</f>
        <v>1</v>
      </c>
      <c r="DI848" s="2127">
        <f t="shared" ref="DI848:DI854" si="796">IF(DD848=0,0,DG848/DD848-1)</f>
        <v>0</v>
      </c>
      <c r="DJ848" s="2126">
        <f>BP660</f>
        <v>3610</v>
      </c>
      <c r="DK848" s="2128">
        <f>IF(DJ848=0,0,DJ848/DJ848)</f>
        <v>1</v>
      </c>
      <c r="DL848" s="2127">
        <f t="shared" ref="DL848:DL854" si="797">IF(DG848=0,0,DJ848/DG848-1)</f>
        <v>0</v>
      </c>
      <c r="DM848" s="2126">
        <f>BQ660</f>
        <v>3610</v>
      </c>
      <c r="DN848" s="2128">
        <f>IF(DM848=0,0,DM848/DM848)</f>
        <v>1</v>
      </c>
      <c r="DO848" s="2127">
        <f t="shared" ref="DO848:DO854" si="798">IF(DJ848=0,0,DM848/DJ848-1)</f>
        <v>0</v>
      </c>
      <c r="DP848" s="2126">
        <f>BR660</f>
        <v>3610</v>
      </c>
      <c r="DQ848" s="2128">
        <f>IF(DP848=0,0,DP848/DP848)</f>
        <v>1</v>
      </c>
      <c r="DR848" s="2127">
        <f t="shared" ref="DR848:DR858" si="799">IF(DM848=0,0,DP848/DM848-1)</f>
        <v>0</v>
      </c>
      <c r="DS848" s="2126">
        <f>BS660</f>
        <v>3610</v>
      </c>
      <c r="DT848" s="2128">
        <f>IF(DS848=0,0,DS848/DS848)</f>
        <v>1</v>
      </c>
      <c r="DU848" s="2127">
        <f t="shared" ref="DU848:DU854" si="800">IF(DP848=0,0,DS848/DP848-1)</f>
        <v>0</v>
      </c>
      <c r="DV848" s="2129">
        <f>BT660</f>
        <v>3610</v>
      </c>
      <c r="DW848" s="2128">
        <f>IF(DV848=0,0,DV848/DV848)</f>
        <v>1</v>
      </c>
      <c r="DX848" s="2127">
        <f t="shared" ref="DX848:DX854" si="801">IF(DS848=0,0,DV848/DS848-1)</f>
        <v>0</v>
      </c>
      <c r="DY848" s="2105"/>
    </row>
    <row r="849" spans="33:129" s="496" customFormat="1" ht="18" x14ac:dyDescent="0.25">
      <c r="AG849" s="498"/>
      <c r="AO849" s="495"/>
      <c r="AP849" s="495"/>
      <c r="AQ849" s="495"/>
      <c r="AS849" s="500"/>
      <c r="AT849" s="495"/>
      <c r="AV849" s="500"/>
      <c r="AW849" s="495"/>
      <c r="AY849" s="500"/>
      <c r="AZ849" s="500"/>
      <c r="BV849" s="2101"/>
      <c r="BW849" s="603"/>
      <c r="BX849" s="603"/>
      <c r="BY849" s="603"/>
      <c r="BZ849" s="2130" t="s">
        <v>1477</v>
      </c>
      <c r="CA849" s="2131">
        <f>AY661</f>
        <v>500</v>
      </c>
      <c r="CB849" s="2132">
        <f>IF(CA848=0,0,CA849/CA848)</f>
        <v>0.13850415512465375</v>
      </c>
      <c r="CC849" s="2131">
        <f>BE661</f>
        <v>500.00000000000006</v>
      </c>
      <c r="CD849" s="2133">
        <f>IF(CC848=0,0,CC849/CC848)</f>
        <v>0.13850415512465375</v>
      </c>
      <c r="CE849" s="2132">
        <f t="shared" si="786"/>
        <v>2.2204460492503131E-16</v>
      </c>
      <c r="CF849" s="2131">
        <f>BF661</f>
        <v>500.00000000000006</v>
      </c>
      <c r="CG849" s="2133">
        <f>IF(CF848=0,0,CF849/CF848)</f>
        <v>0.13850415512465375</v>
      </c>
      <c r="CH849" s="2132">
        <f t="shared" si="787"/>
        <v>0</v>
      </c>
      <c r="CI849" s="2131">
        <f>BG661</f>
        <v>500.00000000000006</v>
      </c>
      <c r="CJ849" s="2133">
        <f>IF(CI848=0,0,CI849/CI848)</f>
        <v>0.13850415512465375</v>
      </c>
      <c r="CK849" s="2132">
        <f t="shared" si="788"/>
        <v>0</v>
      </c>
      <c r="CL849" s="2131">
        <f>BH661</f>
        <v>500.00000000000006</v>
      </c>
      <c r="CM849" s="2133">
        <f>IF(CL848=0,0,CL849/CL848)</f>
        <v>0.13850415512465375</v>
      </c>
      <c r="CN849" s="2132">
        <f t="shared" si="789"/>
        <v>0</v>
      </c>
      <c r="CO849" s="2131">
        <f>BI661</f>
        <v>500.00000000000006</v>
      </c>
      <c r="CP849" s="2133">
        <f>IF(CO848=0,0,CO849/CO848)</f>
        <v>0.13850415512465375</v>
      </c>
      <c r="CQ849" s="2132">
        <f t="shared" si="790"/>
        <v>0</v>
      </c>
      <c r="CR849" s="2131">
        <f>BJ661</f>
        <v>500.00000000000006</v>
      </c>
      <c r="CS849" s="2133">
        <f>IF(CR848=0,0,CR849/CR848)</f>
        <v>0.13850415512465375</v>
      </c>
      <c r="CT849" s="2132">
        <f t="shared" si="791"/>
        <v>0</v>
      </c>
      <c r="CU849" s="2131">
        <f>BK661</f>
        <v>500.00000000000006</v>
      </c>
      <c r="CV849" s="2133">
        <f>IF(CU848=0,0,CU849/CU848)</f>
        <v>0.13850415512465375</v>
      </c>
      <c r="CW849" s="2132">
        <f t="shared" si="792"/>
        <v>0</v>
      </c>
      <c r="CX849" s="2131">
        <f>BL661</f>
        <v>500.00000000000006</v>
      </c>
      <c r="CY849" s="2133">
        <f>IF(CX848=0,0,CX849/CX848)</f>
        <v>0.13850415512465375</v>
      </c>
      <c r="CZ849" s="2132">
        <f t="shared" si="793"/>
        <v>0</v>
      </c>
      <c r="DA849" s="2131">
        <f>BM661</f>
        <v>500.00000000000006</v>
      </c>
      <c r="DB849" s="2133">
        <f>IF(DA848=0,0,DA849/DA848)</f>
        <v>0.13850415512465375</v>
      </c>
      <c r="DC849" s="2132">
        <f t="shared" si="794"/>
        <v>0</v>
      </c>
      <c r="DD849" s="2131">
        <f>BN661</f>
        <v>500.00000000000006</v>
      </c>
      <c r="DE849" s="2133">
        <f>IF(DD848=0,0,DD849/DD848)</f>
        <v>0.13850415512465375</v>
      </c>
      <c r="DF849" s="2132">
        <f t="shared" si="795"/>
        <v>0</v>
      </c>
      <c r="DG849" s="2131">
        <f>BO661</f>
        <v>500.00000000000006</v>
      </c>
      <c r="DH849" s="2133">
        <f>IF(DG848=0,0,DG849/DG848)</f>
        <v>0.13850415512465375</v>
      </c>
      <c r="DI849" s="2132">
        <f t="shared" si="796"/>
        <v>0</v>
      </c>
      <c r="DJ849" s="2131">
        <f>BP661</f>
        <v>500.00000000000006</v>
      </c>
      <c r="DK849" s="2133">
        <f>IF(DJ848=0,0,DJ849/DJ848)</f>
        <v>0.13850415512465375</v>
      </c>
      <c r="DL849" s="2132">
        <f t="shared" si="797"/>
        <v>0</v>
      </c>
      <c r="DM849" s="2131">
        <f>BQ661</f>
        <v>500.00000000000006</v>
      </c>
      <c r="DN849" s="2133">
        <f>IF(DM848=0,0,DM849/DM848)</f>
        <v>0.13850415512465375</v>
      </c>
      <c r="DO849" s="2132">
        <f t="shared" si="798"/>
        <v>0</v>
      </c>
      <c r="DP849" s="2131">
        <f>BR661</f>
        <v>500.00000000000006</v>
      </c>
      <c r="DQ849" s="2133">
        <f>IF(DP848=0,0,DP849/DP848)</f>
        <v>0.13850415512465375</v>
      </c>
      <c r="DR849" s="2134">
        <f t="shared" si="799"/>
        <v>0</v>
      </c>
      <c r="DS849" s="2131">
        <f>BS661</f>
        <v>500.00000000000006</v>
      </c>
      <c r="DT849" s="2133">
        <f>IF(DS848=0,0,DS849/DS848)</f>
        <v>0.13850415512465375</v>
      </c>
      <c r="DU849" s="2132">
        <f t="shared" si="800"/>
        <v>0</v>
      </c>
      <c r="DV849" s="2135">
        <f>BT661</f>
        <v>500.00000000000006</v>
      </c>
      <c r="DW849" s="2133">
        <f>IF(DV848=0,0,DV849/DV848)</f>
        <v>0.13850415512465375</v>
      </c>
      <c r="DX849" s="2132">
        <f t="shared" si="801"/>
        <v>0</v>
      </c>
      <c r="DY849" s="2105"/>
    </row>
    <row r="850" spans="33:129" s="496" customFormat="1" ht="18" x14ac:dyDescent="0.2">
      <c r="AG850" s="498"/>
      <c r="AO850" s="495"/>
      <c r="AP850" s="495"/>
      <c r="AQ850" s="495"/>
      <c r="AS850" s="500"/>
      <c r="AT850" s="495"/>
      <c r="AV850" s="500"/>
      <c r="AW850" s="495"/>
      <c r="AY850" s="500"/>
      <c r="AZ850" s="500"/>
      <c r="BA850" s="2136" t="s">
        <v>1443</v>
      </c>
      <c r="BV850" s="2101"/>
      <c r="BW850" s="603"/>
      <c r="BX850" s="603"/>
      <c r="BY850" s="603"/>
      <c r="BZ850" s="2125" t="s">
        <v>1478</v>
      </c>
      <c r="CA850" s="2126">
        <f>CA848-CA849</f>
        <v>3110</v>
      </c>
      <c r="CB850" s="2127">
        <f>IF(CA848=0,0,CA850/CA848)</f>
        <v>0.86149584487534625</v>
      </c>
      <c r="CC850" s="2126">
        <f>CC848-CC849</f>
        <v>3110</v>
      </c>
      <c r="CD850" s="2128">
        <f>IF(CC848=0,0,CC850/CC848)</f>
        <v>0.86149584487534625</v>
      </c>
      <c r="CE850" s="2127">
        <f t="shared" si="786"/>
        <v>0</v>
      </c>
      <c r="CF850" s="2126">
        <f>CF848-CF849</f>
        <v>3110</v>
      </c>
      <c r="CG850" s="2128">
        <f>IF(CF848=0,0,CF850/CF848)</f>
        <v>0.86149584487534625</v>
      </c>
      <c r="CH850" s="2127">
        <f t="shared" si="787"/>
        <v>0</v>
      </c>
      <c r="CI850" s="2126">
        <f>CI848-CI849</f>
        <v>3110</v>
      </c>
      <c r="CJ850" s="2128">
        <f>IF(CI848=0,0,CI850/CI848)</f>
        <v>0.86149584487534625</v>
      </c>
      <c r="CK850" s="2127">
        <f t="shared" si="788"/>
        <v>0</v>
      </c>
      <c r="CL850" s="2126">
        <f>CL848-CL849</f>
        <v>3110</v>
      </c>
      <c r="CM850" s="2128">
        <f>IF(CL848=0,0,CL850/CL848)</f>
        <v>0.86149584487534625</v>
      </c>
      <c r="CN850" s="2127">
        <f t="shared" si="789"/>
        <v>0</v>
      </c>
      <c r="CO850" s="2126">
        <f>CO848-CO849</f>
        <v>3110</v>
      </c>
      <c r="CP850" s="2128">
        <f>IF(CO848=0,0,CO850/CO848)</f>
        <v>0.86149584487534625</v>
      </c>
      <c r="CQ850" s="2127">
        <f t="shared" si="790"/>
        <v>0</v>
      </c>
      <c r="CR850" s="2126">
        <f>CR848-CR849</f>
        <v>3110</v>
      </c>
      <c r="CS850" s="2128">
        <f>IF(CR848=0,0,CR850/CR848)</f>
        <v>0.86149584487534625</v>
      </c>
      <c r="CT850" s="2127">
        <f t="shared" si="791"/>
        <v>0</v>
      </c>
      <c r="CU850" s="2126">
        <f>CU848-CU849</f>
        <v>3110</v>
      </c>
      <c r="CV850" s="2128">
        <f>IF(CU848=0,0,CU850/CU848)</f>
        <v>0.86149584487534625</v>
      </c>
      <c r="CW850" s="2127">
        <f t="shared" si="792"/>
        <v>0</v>
      </c>
      <c r="CX850" s="2126">
        <f>CX848-CX849</f>
        <v>3110</v>
      </c>
      <c r="CY850" s="2128">
        <f>IF(CX848=0,0,CX850/CX848)</f>
        <v>0.86149584487534625</v>
      </c>
      <c r="CZ850" s="2127">
        <f t="shared" si="793"/>
        <v>0</v>
      </c>
      <c r="DA850" s="2126">
        <f>DA848-DA849</f>
        <v>3110</v>
      </c>
      <c r="DB850" s="2128">
        <f>IF(DA848=0,0,DA850/DA848)</f>
        <v>0.86149584487534625</v>
      </c>
      <c r="DC850" s="2127">
        <f t="shared" si="794"/>
        <v>0</v>
      </c>
      <c r="DD850" s="2126">
        <f>DD848-DD849</f>
        <v>3110</v>
      </c>
      <c r="DE850" s="2128">
        <f>IF(DD848=0,0,DD850/DD848)</f>
        <v>0.86149584487534625</v>
      </c>
      <c r="DF850" s="2127">
        <f t="shared" si="795"/>
        <v>0</v>
      </c>
      <c r="DG850" s="2126">
        <f>DG848-DG849</f>
        <v>3110</v>
      </c>
      <c r="DH850" s="2128">
        <f>IF(DG848=0,0,DG850/DG848)</f>
        <v>0.86149584487534625</v>
      </c>
      <c r="DI850" s="2127">
        <f t="shared" si="796"/>
        <v>0</v>
      </c>
      <c r="DJ850" s="2126">
        <f>DJ848-DJ849</f>
        <v>3110</v>
      </c>
      <c r="DK850" s="2128">
        <f>IF(DJ848=0,0,DJ850/DJ848)</f>
        <v>0.86149584487534625</v>
      </c>
      <c r="DL850" s="2127">
        <f t="shared" si="797"/>
        <v>0</v>
      </c>
      <c r="DM850" s="2126">
        <f>DM848-DM849</f>
        <v>3110</v>
      </c>
      <c r="DN850" s="2128">
        <f>IF(DM848=0,0,DM850/DM848)</f>
        <v>0.86149584487534625</v>
      </c>
      <c r="DO850" s="2127">
        <f t="shared" si="798"/>
        <v>0</v>
      </c>
      <c r="DP850" s="2126">
        <f>DP848-DP849</f>
        <v>3110</v>
      </c>
      <c r="DQ850" s="2128">
        <f>IF(DP848=0,0,DP850/DP848)</f>
        <v>0.86149584487534625</v>
      </c>
      <c r="DR850" s="2127">
        <f t="shared" si="799"/>
        <v>0</v>
      </c>
      <c r="DS850" s="2126">
        <f>DS848-DS849</f>
        <v>3110</v>
      </c>
      <c r="DT850" s="2128">
        <f>IF(DS848=0,0,DS850/DS848)</f>
        <v>0.86149584487534625</v>
      </c>
      <c r="DU850" s="2127">
        <f t="shared" si="800"/>
        <v>0</v>
      </c>
      <c r="DV850" s="2129">
        <f>DV848-DV849</f>
        <v>3110</v>
      </c>
      <c r="DW850" s="2128">
        <f>IF(DV848=0,0,DV850/DV848)</f>
        <v>0.86149584487534625</v>
      </c>
      <c r="DX850" s="2127">
        <f t="shared" si="801"/>
        <v>0</v>
      </c>
      <c r="DY850" s="2105"/>
    </row>
    <row r="851" spans="33:129" s="496" customFormat="1" ht="18" x14ac:dyDescent="0.2">
      <c r="AG851" s="498"/>
      <c r="AO851" s="495"/>
      <c r="AP851" s="495"/>
      <c r="AQ851" s="495"/>
      <c r="AS851" s="500"/>
      <c r="AT851" s="495"/>
      <c r="AV851" s="500"/>
      <c r="AW851" s="495"/>
      <c r="AY851" s="500"/>
      <c r="AZ851" s="500"/>
      <c r="BD851" s="2137">
        <f>N15</f>
        <v>2021</v>
      </c>
      <c r="BE851" s="2137">
        <f t="shared" ref="BE851:BT851" si="802">BD851+1</f>
        <v>2022</v>
      </c>
      <c r="BF851" s="2137">
        <f t="shared" si="802"/>
        <v>2023</v>
      </c>
      <c r="BG851" s="2137">
        <f t="shared" si="802"/>
        <v>2024</v>
      </c>
      <c r="BH851" s="2137">
        <f t="shared" si="802"/>
        <v>2025</v>
      </c>
      <c r="BI851" s="2137">
        <f t="shared" si="802"/>
        <v>2026</v>
      </c>
      <c r="BJ851" s="2137">
        <f t="shared" si="802"/>
        <v>2027</v>
      </c>
      <c r="BK851" s="2137">
        <f t="shared" si="802"/>
        <v>2028</v>
      </c>
      <c r="BL851" s="2137">
        <f t="shared" si="802"/>
        <v>2029</v>
      </c>
      <c r="BM851" s="2137">
        <f t="shared" si="802"/>
        <v>2030</v>
      </c>
      <c r="BN851" s="2137">
        <f t="shared" si="802"/>
        <v>2031</v>
      </c>
      <c r="BO851" s="2137">
        <f t="shared" si="802"/>
        <v>2032</v>
      </c>
      <c r="BP851" s="2137">
        <f t="shared" si="802"/>
        <v>2033</v>
      </c>
      <c r="BQ851" s="2137">
        <f t="shared" si="802"/>
        <v>2034</v>
      </c>
      <c r="BR851" s="2137">
        <f t="shared" si="802"/>
        <v>2035</v>
      </c>
      <c r="BS851" s="2137">
        <f t="shared" si="802"/>
        <v>2036</v>
      </c>
      <c r="BT851" s="2137">
        <f t="shared" si="802"/>
        <v>2037</v>
      </c>
      <c r="BV851" s="2101"/>
      <c r="BW851" s="603"/>
      <c r="BX851" s="603"/>
      <c r="BY851" s="603"/>
      <c r="BZ851" s="2130" t="s">
        <v>1479</v>
      </c>
      <c r="CA851" s="2131">
        <f>AY663</f>
        <v>300</v>
      </c>
      <c r="CB851" s="2132">
        <f>IF(CA848=0,0,CA851/CA848)</f>
        <v>8.3102493074792241E-2</v>
      </c>
      <c r="CC851" s="2131">
        <f>BE663</f>
        <v>300</v>
      </c>
      <c r="CD851" s="2133">
        <f>IF(CC848=0,0,CC851/CC848)</f>
        <v>8.3102493074792241E-2</v>
      </c>
      <c r="CE851" s="2132">
        <f t="shared" si="786"/>
        <v>0</v>
      </c>
      <c r="CF851" s="2131">
        <f>BF663</f>
        <v>300</v>
      </c>
      <c r="CG851" s="2133">
        <f>IF(CF848=0,0,CF851/CF848)</f>
        <v>8.3102493074792241E-2</v>
      </c>
      <c r="CH851" s="2132">
        <f t="shared" si="787"/>
        <v>0</v>
      </c>
      <c r="CI851" s="2131">
        <f>BG663</f>
        <v>300</v>
      </c>
      <c r="CJ851" s="2133">
        <f>IF(CI848=0,0,CI851/CI848)</f>
        <v>8.3102493074792241E-2</v>
      </c>
      <c r="CK851" s="2132">
        <f t="shared" si="788"/>
        <v>0</v>
      </c>
      <c r="CL851" s="2131">
        <f>BH663</f>
        <v>300</v>
      </c>
      <c r="CM851" s="2133">
        <f>IF(CL848=0,0,CL851/CL848)</f>
        <v>8.3102493074792241E-2</v>
      </c>
      <c r="CN851" s="2132">
        <f t="shared" si="789"/>
        <v>0</v>
      </c>
      <c r="CO851" s="2131">
        <f>BI663</f>
        <v>300</v>
      </c>
      <c r="CP851" s="2133">
        <f>IF(CO848=0,0,CO851/CO848)</f>
        <v>8.3102493074792241E-2</v>
      </c>
      <c r="CQ851" s="2132">
        <f t="shared" si="790"/>
        <v>0</v>
      </c>
      <c r="CR851" s="2131">
        <f>BJ663</f>
        <v>300</v>
      </c>
      <c r="CS851" s="2133">
        <f>IF(CR848=0,0,CR851/CR848)</f>
        <v>8.3102493074792241E-2</v>
      </c>
      <c r="CT851" s="2132">
        <f t="shared" si="791"/>
        <v>0</v>
      </c>
      <c r="CU851" s="2131">
        <f>BK663</f>
        <v>300</v>
      </c>
      <c r="CV851" s="2133">
        <f>IF(CU848=0,0,CU851/CU848)</f>
        <v>8.3102493074792241E-2</v>
      </c>
      <c r="CW851" s="2132">
        <f t="shared" si="792"/>
        <v>0</v>
      </c>
      <c r="CX851" s="2131">
        <f>BL663</f>
        <v>300</v>
      </c>
      <c r="CY851" s="2133">
        <f>IF(CX848=0,0,CX851/CX848)</f>
        <v>8.3102493074792241E-2</v>
      </c>
      <c r="CZ851" s="2132">
        <f t="shared" si="793"/>
        <v>0</v>
      </c>
      <c r="DA851" s="2131">
        <f>BM663</f>
        <v>300</v>
      </c>
      <c r="DB851" s="2133">
        <f>IF(DA848=0,0,DA851/DA848)</f>
        <v>8.3102493074792241E-2</v>
      </c>
      <c r="DC851" s="2132">
        <f t="shared" si="794"/>
        <v>0</v>
      </c>
      <c r="DD851" s="2131">
        <f>BN663</f>
        <v>300</v>
      </c>
      <c r="DE851" s="2133">
        <f>IF(DD848=0,0,DD851/DD848)</f>
        <v>8.3102493074792241E-2</v>
      </c>
      <c r="DF851" s="2132">
        <f t="shared" si="795"/>
        <v>0</v>
      </c>
      <c r="DG851" s="2131">
        <f>BO663</f>
        <v>300</v>
      </c>
      <c r="DH851" s="2133">
        <f>IF(DG848=0,0,DG851/DG848)</f>
        <v>8.3102493074792241E-2</v>
      </c>
      <c r="DI851" s="2132">
        <f t="shared" si="796"/>
        <v>0</v>
      </c>
      <c r="DJ851" s="2131">
        <f>BP663</f>
        <v>300</v>
      </c>
      <c r="DK851" s="2133">
        <f>IF(DJ848=0,0,DJ851/DJ848)</f>
        <v>8.3102493074792241E-2</v>
      </c>
      <c r="DL851" s="2132">
        <f t="shared" si="797"/>
        <v>0</v>
      </c>
      <c r="DM851" s="2131">
        <f>BQ663</f>
        <v>300</v>
      </c>
      <c r="DN851" s="2133">
        <f>IF(DM848=0,0,DM851/DM848)</f>
        <v>8.3102493074792241E-2</v>
      </c>
      <c r="DO851" s="2132">
        <f t="shared" si="798"/>
        <v>0</v>
      </c>
      <c r="DP851" s="2131">
        <f>BR663</f>
        <v>300</v>
      </c>
      <c r="DQ851" s="2133">
        <f>IF(DP848=0,0,DP851/DP848)</f>
        <v>8.3102493074792241E-2</v>
      </c>
      <c r="DR851" s="2134">
        <f t="shared" si="799"/>
        <v>0</v>
      </c>
      <c r="DS851" s="2131">
        <f>BS663</f>
        <v>300</v>
      </c>
      <c r="DT851" s="2133">
        <f>IF(DS848=0,0,DS851/DS848)</f>
        <v>8.3102493074792241E-2</v>
      </c>
      <c r="DU851" s="2132">
        <f t="shared" si="800"/>
        <v>0</v>
      </c>
      <c r="DV851" s="2135">
        <f>BT663</f>
        <v>300</v>
      </c>
      <c r="DW851" s="2133">
        <f>IF(DV848=0,0,DV851/DV848)</f>
        <v>8.3102493074792241E-2</v>
      </c>
      <c r="DX851" s="2132">
        <f t="shared" si="801"/>
        <v>0</v>
      </c>
      <c r="DY851" s="2105"/>
    </row>
    <row r="852" spans="33:129" s="496" customFormat="1" ht="18" x14ac:dyDescent="0.25">
      <c r="AG852" s="498"/>
      <c r="AO852" s="495"/>
      <c r="AP852" s="495"/>
      <c r="AQ852" s="495"/>
      <c r="AS852" s="500"/>
      <c r="AT852" s="495"/>
      <c r="AV852" s="500"/>
      <c r="AW852" s="495"/>
      <c r="AY852" s="500"/>
      <c r="AZ852" s="500"/>
      <c r="BA852" s="2138" t="str">
        <f>AM771</f>
        <v>- / + CUENTAS POR COBRAR</v>
      </c>
      <c r="BB852" s="1860"/>
      <c r="BC852" s="2139"/>
      <c r="BD852" s="2140">
        <f>AY771</f>
        <v>0</v>
      </c>
      <c r="BE852" s="2140">
        <f t="shared" ref="BE852:BT852" si="803">BE771</f>
        <v>0</v>
      </c>
      <c r="BF852" s="2140">
        <f t="shared" si="803"/>
        <v>0</v>
      </c>
      <c r="BG852" s="2140">
        <f t="shared" si="803"/>
        <v>0</v>
      </c>
      <c r="BH852" s="2140">
        <f t="shared" si="803"/>
        <v>0</v>
      </c>
      <c r="BI852" s="2140">
        <f t="shared" si="803"/>
        <v>0</v>
      </c>
      <c r="BJ852" s="2140">
        <f t="shared" si="803"/>
        <v>0</v>
      </c>
      <c r="BK852" s="2140">
        <f t="shared" si="803"/>
        <v>0</v>
      </c>
      <c r="BL852" s="2140">
        <f t="shared" si="803"/>
        <v>0</v>
      </c>
      <c r="BM852" s="2140">
        <f t="shared" si="803"/>
        <v>0</v>
      </c>
      <c r="BN852" s="2140">
        <f t="shared" si="803"/>
        <v>0</v>
      </c>
      <c r="BO852" s="2140">
        <f t="shared" si="803"/>
        <v>0</v>
      </c>
      <c r="BP852" s="2140">
        <f t="shared" si="803"/>
        <v>0</v>
      </c>
      <c r="BQ852" s="2140">
        <f t="shared" si="803"/>
        <v>0</v>
      </c>
      <c r="BR852" s="2140">
        <f t="shared" si="803"/>
        <v>0</v>
      </c>
      <c r="BS852" s="2140">
        <f t="shared" si="803"/>
        <v>0</v>
      </c>
      <c r="BT852" s="2140">
        <f t="shared" si="803"/>
        <v>0</v>
      </c>
      <c r="BV852" s="2101"/>
      <c r="BW852" s="603"/>
      <c r="BX852" s="603"/>
      <c r="BY852" s="603"/>
      <c r="BZ852" s="2125" t="s">
        <v>1480</v>
      </c>
      <c r="CA852" s="2126">
        <f>CA850-CA851</f>
        <v>2810</v>
      </c>
      <c r="CB852" s="2127">
        <f>IF(CA848=0,0,CA852/CA848)</f>
        <v>0.77839335180055402</v>
      </c>
      <c r="CC852" s="2126">
        <f>CC850-CC851</f>
        <v>2810</v>
      </c>
      <c r="CD852" s="2128">
        <f>IF(CC848=0,0,CC852/CC848)</f>
        <v>0.77839335180055402</v>
      </c>
      <c r="CE852" s="2127">
        <f t="shared" si="786"/>
        <v>0</v>
      </c>
      <c r="CF852" s="2126">
        <f>CF850-CF851</f>
        <v>2810</v>
      </c>
      <c r="CG852" s="2128">
        <f>IF(CF848=0,0,CF852/CF848)</f>
        <v>0.77839335180055402</v>
      </c>
      <c r="CH852" s="2127">
        <f t="shared" si="787"/>
        <v>0</v>
      </c>
      <c r="CI852" s="2126">
        <f>CI850-CI851</f>
        <v>2810</v>
      </c>
      <c r="CJ852" s="2128">
        <f>IF(CI848=0,0,CI852/CI848)</f>
        <v>0.77839335180055402</v>
      </c>
      <c r="CK852" s="2127">
        <f t="shared" si="788"/>
        <v>0</v>
      </c>
      <c r="CL852" s="2126">
        <f>CL850-CL851</f>
        <v>2810</v>
      </c>
      <c r="CM852" s="2128">
        <f>IF(CL848=0,0,CL852/CL848)</f>
        <v>0.77839335180055402</v>
      </c>
      <c r="CN852" s="2127">
        <f t="shared" si="789"/>
        <v>0</v>
      </c>
      <c r="CO852" s="2126">
        <f>CO850-CO851</f>
        <v>2810</v>
      </c>
      <c r="CP852" s="2128">
        <f>IF(CO848=0,0,CO852/CO848)</f>
        <v>0.77839335180055402</v>
      </c>
      <c r="CQ852" s="2127">
        <f t="shared" si="790"/>
        <v>0</v>
      </c>
      <c r="CR852" s="2126">
        <f>CR850-CR851</f>
        <v>2810</v>
      </c>
      <c r="CS852" s="2128">
        <f>IF(CR848=0,0,CR852/CR848)</f>
        <v>0.77839335180055402</v>
      </c>
      <c r="CT852" s="2127">
        <f t="shared" si="791"/>
        <v>0</v>
      </c>
      <c r="CU852" s="2126">
        <f>CU850-CU851</f>
        <v>2810</v>
      </c>
      <c r="CV852" s="2128">
        <f>IF(CU848=0,0,CU852/CU848)</f>
        <v>0.77839335180055402</v>
      </c>
      <c r="CW852" s="2127">
        <f t="shared" si="792"/>
        <v>0</v>
      </c>
      <c r="CX852" s="2126">
        <f>CX850-CX851</f>
        <v>2810</v>
      </c>
      <c r="CY852" s="2128">
        <f>IF(CX848=0,0,CX852/CX848)</f>
        <v>0.77839335180055402</v>
      </c>
      <c r="CZ852" s="2127">
        <f t="shared" si="793"/>
        <v>0</v>
      </c>
      <c r="DA852" s="2126">
        <f>DA850-DA851</f>
        <v>2810</v>
      </c>
      <c r="DB852" s="2128">
        <f>IF(DA848=0,0,DA852/DA848)</f>
        <v>0.77839335180055402</v>
      </c>
      <c r="DC852" s="2127">
        <f t="shared" si="794"/>
        <v>0</v>
      </c>
      <c r="DD852" s="2126">
        <f>DD850-DD851</f>
        <v>2810</v>
      </c>
      <c r="DE852" s="2128">
        <f>IF(DD848=0,0,DD852/DD848)</f>
        <v>0.77839335180055402</v>
      </c>
      <c r="DF852" s="2127">
        <f t="shared" si="795"/>
        <v>0</v>
      </c>
      <c r="DG852" s="2126">
        <f>DG850-DG851</f>
        <v>2810</v>
      </c>
      <c r="DH852" s="2128">
        <f>IF(DG848=0,0,DG852/DG848)</f>
        <v>0.77839335180055402</v>
      </c>
      <c r="DI852" s="2127">
        <f t="shared" si="796"/>
        <v>0</v>
      </c>
      <c r="DJ852" s="2126">
        <f>DJ850-DJ851</f>
        <v>2810</v>
      </c>
      <c r="DK852" s="2128">
        <f>IF(DJ848=0,0,DJ852/DJ848)</f>
        <v>0.77839335180055402</v>
      </c>
      <c r="DL852" s="2127">
        <f t="shared" si="797"/>
        <v>0</v>
      </c>
      <c r="DM852" s="2126">
        <f>DM850-DM851</f>
        <v>2810</v>
      </c>
      <c r="DN852" s="2128">
        <f>IF(DM848=0,0,DM852/DM848)</f>
        <v>0.77839335180055402</v>
      </c>
      <c r="DO852" s="2127">
        <f t="shared" si="798"/>
        <v>0</v>
      </c>
      <c r="DP852" s="2126">
        <f>DP850-DP851</f>
        <v>2810</v>
      </c>
      <c r="DQ852" s="2128">
        <f>IF(DP848=0,0,DP852/DP848)</f>
        <v>0.77839335180055402</v>
      </c>
      <c r="DR852" s="2127">
        <f t="shared" si="799"/>
        <v>0</v>
      </c>
      <c r="DS852" s="2126">
        <f>DS850-DS851</f>
        <v>2810</v>
      </c>
      <c r="DT852" s="2128">
        <f>IF(DS848=0,0,DS852/DS848)</f>
        <v>0.77839335180055402</v>
      </c>
      <c r="DU852" s="2127">
        <f t="shared" si="800"/>
        <v>0</v>
      </c>
      <c r="DV852" s="2129">
        <f>DV850-DV851</f>
        <v>2810</v>
      </c>
      <c r="DW852" s="2128">
        <f>IF(DV848=0,0,DV852/DV848)</f>
        <v>0.77839335180055402</v>
      </c>
      <c r="DX852" s="2127">
        <f t="shared" si="801"/>
        <v>0</v>
      </c>
      <c r="DY852" s="2105"/>
    </row>
    <row r="853" spans="33:129" s="496" customFormat="1" ht="18" x14ac:dyDescent="0.25">
      <c r="AG853" s="498"/>
      <c r="AO853" s="495"/>
      <c r="AP853" s="495"/>
      <c r="AQ853" s="495"/>
      <c r="AS853" s="500"/>
      <c r="AT853" s="495"/>
      <c r="AV853" s="500"/>
      <c r="AW853" s="495"/>
      <c r="AY853" s="500"/>
      <c r="AZ853" s="500"/>
      <c r="BA853" s="2141" t="str">
        <f>AM822</f>
        <v>+ PROVISIONES CUENTAS POR COBRAR</v>
      </c>
      <c r="BB853" s="1860"/>
      <c r="BC853" s="2139"/>
      <c r="BD853" s="2142">
        <f>AY822</f>
        <v>0</v>
      </c>
      <c r="BE853" s="2140">
        <f t="shared" ref="BE853:BT853" si="804">BE822</f>
        <v>0</v>
      </c>
      <c r="BF853" s="2140">
        <f t="shared" si="804"/>
        <v>0</v>
      </c>
      <c r="BG853" s="2140">
        <f t="shared" si="804"/>
        <v>0</v>
      </c>
      <c r="BH853" s="2140">
        <f t="shared" si="804"/>
        <v>0</v>
      </c>
      <c r="BI853" s="2140">
        <f t="shared" si="804"/>
        <v>0</v>
      </c>
      <c r="BJ853" s="2140">
        <f t="shared" si="804"/>
        <v>0</v>
      </c>
      <c r="BK853" s="2140">
        <f t="shared" si="804"/>
        <v>0</v>
      </c>
      <c r="BL853" s="2140">
        <f t="shared" si="804"/>
        <v>0</v>
      </c>
      <c r="BM853" s="2140">
        <f t="shared" si="804"/>
        <v>0</v>
      </c>
      <c r="BN853" s="2140">
        <f t="shared" si="804"/>
        <v>0</v>
      </c>
      <c r="BO853" s="2140">
        <f t="shared" si="804"/>
        <v>0</v>
      </c>
      <c r="BP853" s="2140">
        <f t="shared" si="804"/>
        <v>0</v>
      </c>
      <c r="BQ853" s="2140">
        <f t="shared" si="804"/>
        <v>0</v>
      </c>
      <c r="BR853" s="2140">
        <f t="shared" si="804"/>
        <v>0</v>
      </c>
      <c r="BS853" s="2140">
        <f t="shared" si="804"/>
        <v>0</v>
      </c>
      <c r="BT853" s="2140">
        <f t="shared" si="804"/>
        <v>0</v>
      </c>
      <c r="BV853" s="2101"/>
      <c r="BW853" s="603"/>
      <c r="BX853" s="603"/>
      <c r="BY853" s="603"/>
      <c r="BZ853" s="2125" t="s">
        <v>1481</v>
      </c>
      <c r="CA853" s="2126">
        <f>SUM(AY680:AY682)</f>
        <v>40</v>
      </c>
      <c r="CB853" s="2127">
        <f>IF(CA848=0,0,CA853/CA848)</f>
        <v>1.1080332409972299E-2</v>
      </c>
      <c r="CC853" s="2126">
        <f>SUM(BE680:BE682)</f>
        <v>53.2</v>
      </c>
      <c r="CD853" s="2128">
        <f>IF(CC848=0,0,CC853/CC848)</f>
        <v>1.4736842105263159E-2</v>
      </c>
      <c r="CE853" s="2127">
        <f t="shared" si="786"/>
        <v>0.33000000000000007</v>
      </c>
      <c r="CF853" s="2126">
        <f>SUM(BF680:BF682)</f>
        <v>66.400000000000006</v>
      </c>
      <c r="CG853" s="2128">
        <f>IF(CF848=0,0,CF853/CF848)</f>
        <v>1.8393351800554018E-2</v>
      </c>
      <c r="CH853" s="2127">
        <f t="shared" si="787"/>
        <v>0.24812030075187974</v>
      </c>
      <c r="CI853" s="2126">
        <f>SUM(BG680:BG682)</f>
        <v>79.600000000000009</v>
      </c>
      <c r="CJ853" s="2128">
        <f>IF(CI848=0,0,CI853/CI848)</f>
        <v>2.2049861495844876E-2</v>
      </c>
      <c r="CK853" s="2127">
        <f t="shared" si="788"/>
        <v>0.1987951807228916</v>
      </c>
      <c r="CL853" s="2126">
        <f>SUM(BH680:BH682)</f>
        <v>92.800000000000011</v>
      </c>
      <c r="CM853" s="2128">
        <f>IF(CL848=0,0,CL853/CL848)</f>
        <v>2.5706371191135738E-2</v>
      </c>
      <c r="CN853" s="2127">
        <f t="shared" si="789"/>
        <v>0.16582914572864316</v>
      </c>
      <c r="CO853" s="2126">
        <f>SUM(BI680:BI682)</f>
        <v>106.00000000000001</v>
      </c>
      <c r="CP853" s="2128">
        <f>IF(CO848=0,0,CO853/CO848)</f>
        <v>2.9362880886426596E-2</v>
      </c>
      <c r="CQ853" s="2127">
        <f t="shared" si="790"/>
        <v>0.14224137931034475</v>
      </c>
      <c r="CR853" s="2126">
        <f>SUM(BJ680:BJ682)</f>
        <v>119.20000000000002</v>
      </c>
      <c r="CS853" s="2128">
        <f>IF(CR848=0,0,CR853/CR848)</f>
        <v>3.3019390581717455E-2</v>
      </c>
      <c r="CT853" s="2127">
        <f t="shared" si="791"/>
        <v>0.12452830188679243</v>
      </c>
      <c r="CU853" s="2126">
        <f>SUM(BK680:BK682)</f>
        <v>132.4</v>
      </c>
      <c r="CV853" s="2128">
        <f>IF(CU848=0,0,CU853/CU848)</f>
        <v>3.667590027700831E-2</v>
      </c>
      <c r="CW853" s="2127">
        <f t="shared" si="792"/>
        <v>0.11073825503355694</v>
      </c>
      <c r="CX853" s="2126">
        <f>SUM(BL680:BL682)</f>
        <v>145.60000000000002</v>
      </c>
      <c r="CY853" s="2128">
        <f>IF(CX848=0,0,CX853/CX848)</f>
        <v>4.0332409972299178E-2</v>
      </c>
      <c r="CZ853" s="2127">
        <f t="shared" si="793"/>
        <v>9.9697885196374791E-2</v>
      </c>
      <c r="DA853" s="2126">
        <f>SUM(BM680:BM682)</f>
        <v>158.80000000000001</v>
      </c>
      <c r="DB853" s="2128">
        <f>IF(DA848=0,0,DA853/DA848)</f>
        <v>4.3988919667590033E-2</v>
      </c>
      <c r="DC853" s="2127">
        <f t="shared" si="794"/>
        <v>9.0659340659340559E-2</v>
      </c>
      <c r="DD853" s="2126">
        <f>SUM(BN680:BN682)</f>
        <v>172</v>
      </c>
      <c r="DE853" s="2128">
        <f>IF(DD848=0,0,DD853/DD848)</f>
        <v>4.7645429362880888E-2</v>
      </c>
      <c r="DF853" s="2127">
        <f t="shared" si="795"/>
        <v>8.3123425692695152E-2</v>
      </c>
      <c r="DG853" s="2126">
        <f>SUM(BO680:BO682)</f>
        <v>185.2</v>
      </c>
      <c r="DH853" s="2128">
        <f>IF(DG848=0,0,DG853/DG848)</f>
        <v>5.1301939058171743E-2</v>
      </c>
      <c r="DI853" s="2127">
        <f t="shared" si="796"/>
        <v>7.6744186046511453E-2</v>
      </c>
      <c r="DJ853" s="2126">
        <f>SUM(BP680:BP682)</f>
        <v>198.39999999999995</v>
      </c>
      <c r="DK853" s="2128">
        <f>IF(DJ848=0,0,DJ853/DJ848)</f>
        <v>5.4958448753462591E-2</v>
      </c>
      <c r="DL853" s="2127">
        <f t="shared" si="797"/>
        <v>7.1274298056155372E-2</v>
      </c>
      <c r="DM853" s="2126">
        <f>SUM(BQ680:BQ682)</f>
        <v>211.59999999999994</v>
      </c>
      <c r="DN853" s="2128">
        <f>IF(DM848=0,0,DM853/DM848)</f>
        <v>5.8614958448753446E-2</v>
      </c>
      <c r="DO853" s="2127">
        <f t="shared" si="798"/>
        <v>6.6532258064516014E-2</v>
      </c>
      <c r="DP853" s="2126">
        <f>SUM(BR680:BR682)</f>
        <v>224.79999999999993</v>
      </c>
      <c r="DQ853" s="2128">
        <f>IF(DP848=0,0,DP853/DP848)</f>
        <v>6.2271468144044301E-2</v>
      </c>
      <c r="DR853" s="2127">
        <f t="shared" si="799"/>
        <v>6.2381852551984807E-2</v>
      </c>
      <c r="DS853" s="2126">
        <f>SUM(BS680:BS682)</f>
        <v>237.99999999999991</v>
      </c>
      <c r="DT853" s="2128">
        <f>IF(DS848=0,0,DS853/DS848)</f>
        <v>6.5927977839335156E-2</v>
      </c>
      <c r="DU853" s="2127">
        <f t="shared" si="800"/>
        <v>5.8718861209964279E-2</v>
      </c>
      <c r="DV853" s="2129">
        <f>SUM(BT680:BT682)</f>
        <v>251.1999999999999</v>
      </c>
      <c r="DW853" s="2128">
        <f>IF(DV848=0,0,DV853/DV848)</f>
        <v>6.9584487534626011E-2</v>
      </c>
      <c r="DX853" s="2127">
        <f t="shared" si="801"/>
        <v>5.5462184873949605E-2</v>
      </c>
      <c r="DY853" s="2105"/>
    </row>
    <row r="854" spans="33:129" s="496" customFormat="1" ht="18.75" x14ac:dyDescent="0.25">
      <c r="AG854" s="498"/>
      <c r="AO854" s="495"/>
      <c r="AP854" s="495"/>
      <c r="AQ854" s="495"/>
      <c r="AS854" s="500"/>
      <c r="AT854" s="495"/>
      <c r="AV854" s="500"/>
      <c r="AW854" s="495"/>
      <c r="AY854" s="500"/>
      <c r="AZ854" s="500"/>
      <c r="BA854" s="2138" t="str">
        <f>AM772</f>
        <v>- / + INVENTARIOS</v>
      </c>
      <c r="BB854" s="1860"/>
      <c r="BC854" s="2139"/>
      <c r="BD854" s="2142">
        <f>AY772</f>
        <v>0</v>
      </c>
      <c r="BE854" s="2140">
        <f t="shared" ref="BE854:BT854" si="805">BE772</f>
        <v>-5.6843418860808015E-14</v>
      </c>
      <c r="BF854" s="2140">
        <f t="shared" si="805"/>
        <v>0</v>
      </c>
      <c r="BG854" s="2140">
        <f t="shared" si="805"/>
        <v>0</v>
      </c>
      <c r="BH854" s="2140">
        <f t="shared" si="805"/>
        <v>0</v>
      </c>
      <c r="BI854" s="2140">
        <f t="shared" si="805"/>
        <v>0</v>
      </c>
      <c r="BJ854" s="2140">
        <f t="shared" si="805"/>
        <v>0</v>
      </c>
      <c r="BK854" s="2140">
        <f t="shared" si="805"/>
        <v>0</v>
      </c>
      <c r="BL854" s="2140">
        <f t="shared" si="805"/>
        <v>0</v>
      </c>
      <c r="BM854" s="2140">
        <f t="shared" si="805"/>
        <v>0</v>
      </c>
      <c r="BN854" s="2140">
        <f t="shared" si="805"/>
        <v>0</v>
      </c>
      <c r="BO854" s="2140">
        <f t="shared" si="805"/>
        <v>0</v>
      </c>
      <c r="BP854" s="2140">
        <f t="shared" si="805"/>
        <v>0</v>
      </c>
      <c r="BQ854" s="2140">
        <f t="shared" si="805"/>
        <v>0</v>
      </c>
      <c r="BR854" s="2140">
        <f t="shared" si="805"/>
        <v>0</v>
      </c>
      <c r="BS854" s="2140">
        <f t="shared" si="805"/>
        <v>0</v>
      </c>
      <c r="BT854" s="2140">
        <f t="shared" si="805"/>
        <v>0</v>
      </c>
      <c r="BV854" s="2101"/>
      <c r="BW854" s="603"/>
      <c r="BX854" s="603"/>
      <c r="BY854" s="603"/>
      <c r="BZ854" s="2143" t="s">
        <v>881</v>
      </c>
      <c r="CA854" s="2144">
        <f>CA852+CA853</f>
        <v>2850</v>
      </c>
      <c r="CB854" s="2145">
        <f>IF(CA848=0,0,CA854/CA848)</f>
        <v>0.78947368421052633</v>
      </c>
      <c r="CC854" s="2144">
        <f>CC852+CC853</f>
        <v>2863.2</v>
      </c>
      <c r="CD854" s="2146">
        <f>IF(CC848=0,0,CC854/CC848)</f>
        <v>0.79313019390581707</v>
      </c>
      <c r="CE854" s="2145">
        <f t="shared" si="786"/>
        <v>4.63157894736832E-3</v>
      </c>
      <c r="CF854" s="2144">
        <f>CF852+CF853</f>
        <v>2876.4</v>
      </c>
      <c r="CG854" s="2146">
        <f>IF(CF848=0,0,CF854/CF848)</f>
        <v>0.79678670360110804</v>
      </c>
      <c r="CH854" s="2145">
        <f t="shared" si="787"/>
        <v>4.6102263202012495E-3</v>
      </c>
      <c r="CI854" s="2144">
        <f>CI852+CI853</f>
        <v>2889.6</v>
      </c>
      <c r="CJ854" s="2146">
        <f>IF(CI848=0,0,CI854/CI848)</f>
        <v>0.80044321329639889</v>
      </c>
      <c r="CK854" s="2145">
        <f t="shared" si="788"/>
        <v>4.5890696704213862E-3</v>
      </c>
      <c r="CL854" s="2144">
        <f>CL852+CL853</f>
        <v>2902.8</v>
      </c>
      <c r="CM854" s="2146">
        <f>IF(CL848=0,0,CL854/CL848)</f>
        <v>0.80409972299168975</v>
      </c>
      <c r="CN854" s="2145">
        <f t="shared" si="789"/>
        <v>4.5681063122924304E-3</v>
      </c>
      <c r="CO854" s="2144">
        <f>CO852+CO853</f>
        <v>2916</v>
      </c>
      <c r="CP854" s="2146">
        <f>IF(CO848=0,0,CO854/CO848)</f>
        <v>0.8077562326869806</v>
      </c>
      <c r="CQ854" s="2145">
        <f t="shared" si="790"/>
        <v>4.5473336089292271E-3</v>
      </c>
      <c r="CR854" s="2144">
        <f>CR852+CR853</f>
        <v>2929.2</v>
      </c>
      <c r="CS854" s="2146">
        <f>IF(CR848=0,0,CR854/CR848)</f>
        <v>0.81141274238227146</v>
      </c>
      <c r="CT854" s="2145">
        <f t="shared" si="791"/>
        <v>4.5267489711933173E-3</v>
      </c>
      <c r="CU854" s="2144">
        <f>CU852+CU853</f>
        <v>2942.4</v>
      </c>
      <c r="CV854" s="2146">
        <f>IF(CU848=0,0,CU854/CU848)</f>
        <v>0.81506925207756231</v>
      </c>
      <c r="CW854" s="2145">
        <f t="shared" si="792"/>
        <v>4.506349856616243E-3</v>
      </c>
      <c r="CX854" s="2144">
        <f>CX852+CX853</f>
        <v>2955.6</v>
      </c>
      <c r="CY854" s="2146">
        <f>IF(CX848=0,0,CX854/CX848)</f>
        <v>0.81872576177285317</v>
      </c>
      <c r="CZ854" s="2145">
        <f t="shared" si="793"/>
        <v>4.486133768352385E-3</v>
      </c>
      <c r="DA854" s="2144">
        <f>DA852+DA853</f>
        <v>2968.8</v>
      </c>
      <c r="DB854" s="2146">
        <f>IF(DA848=0,0,DA854/DA848)</f>
        <v>0.82238227146814413</v>
      </c>
      <c r="DC854" s="2145">
        <f t="shared" si="794"/>
        <v>4.4660982541617766E-3</v>
      </c>
      <c r="DD854" s="2144">
        <f>DD852+DD853</f>
        <v>2982</v>
      </c>
      <c r="DE854" s="2146">
        <f>IF(DD848=0,0,DD854/DD848)</f>
        <v>0.82603878116343488</v>
      </c>
      <c r="DF854" s="2145">
        <f t="shared" si="795"/>
        <v>4.4462409054162322E-3</v>
      </c>
      <c r="DG854" s="2144">
        <f>DG852+DG853</f>
        <v>2995.2</v>
      </c>
      <c r="DH854" s="2146">
        <f>IF(DG848=0,0,DG854/DG848)</f>
        <v>0.82969529085872573</v>
      </c>
      <c r="DI854" s="2145">
        <f t="shared" si="796"/>
        <v>4.4265593561367833E-3</v>
      </c>
      <c r="DJ854" s="2144">
        <f>DJ852+DJ853</f>
        <v>3008.4</v>
      </c>
      <c r="DK854" s="2146">
        <f>IF(DJ848=0,0,DJ854/DJ848)</f>
        <v>0.8333518005540167</v>
      </c>
      <c r="DL854" s="2145">
        <f t="shared" si="797"/>
        <v>4.4070512820513219E-3</v>
      </c>
      <c r="DM854" s="2144">
        <f>DM852+DM853</f>
        <v>3021.6</v>
      </c>
      <c r="DN854" s="2146">
        <f>IF(DM848=0,0,DM854/DM848)</f>
        <v>0.83700831024930744</v>
      </c>
      <c r="DO854" s="2145">
        <f t="shared" si="798"/>
        <v>4.3877143996808865E-3</v>
      </c>
      <c r="DP854" s="2144">
        <f>DP852+DP853</f>
        <v>3034.7999999999997</v>
      </c>
      <c r="DQ854" s="2146">
        <f>IF(DP848=0,0,DP854/DP848)</f>
        <v>0.8406648199445983</v>
      </c>
      <c r="DR854" s="2134">
        <f t="shared" si="799"/>
        <v>4.3685464654488193E-3</v>
      </c>
      <c r="DS854" s="2144">
        <f>DS852+DS853</f>
        <v>3048</v>
      </c>
      <c r="DT854" s="2146">
        <f>IF(DS848=0,0,DS854/DS848)</f>
        <v>0.84432132963988915</v>
      </c>
      <c r="DU854" s="2145">
        <f t="shared" si="800"/>
        <v>4.3495452748123498E-3</v>
      </c>
      <c r="DV854" s="2147">
        <f>DV852+DV853</f>
        <v>3061.2</v>
      </c>
      <c r="DW854" s="2146">
        <f>IF(DV848=0,0,DV854/DV848)</f>
        <v>0.84797783933518001</v>
      </c>
      <c r="DX854" s="2145">
        <f t="shared" si="801"/>
        <v>4.3307086614172707E-3</v>
      </c>
      <c r="DY854" s="2105"/>
    </row>
    <row r="855" spans="33:129" s="496" customFormat="1" ht="18" x14ac:dyDescent="0.25">
      <c r="AG855" s="498"/>
      <c r="AO855" s="495"/>
      <c r="AP855" s="495"/>
      <c r="AQ855" s="495"/>
      <c r="AS855" s="500"/>
      <c r="AT855" s="495"/>
      <c r="AV855" s="500"/>
      <c r="AW855" s="495"/>
      <c r="AY855" s="500"/>
      <c r="AZ855" s="500"/>
      <c r="BA855" s="2148" t="str">
        <f>AM823</f>
        <v>+ PROVISIONES INVENTARIOS</v>
      </c>
      <c r="BB855" s="589"/>
      <c r="BC855" s="2149"/>
      <c r="BD855" s="2142">
        <f>AY823</f>
        <v>0</v>
      </c>
      <c r="BE855" s="2140">
        <f t="shared" ref="BE855:BT855" si="806">BE823</f>
        <v>0</v>
      </c>
      <c r="BF855" s="2140">
        <f t="shared" si="806"/>
        <v>0</v>
      </c>
      <c r="BG855" s="2140">
        <f t="shared" si="806"/>
        <v>0</v>
      </c>
      <c r="BH855" s="2140">
        <f t="shared" si="806"/>
        <v>0</v>
      </c>
      <c r="BI855" s="2140">
        <f t="shared" si="806"/>
        <v>0</v>
      </c>
      <c r="BJ855" s="2140">
        <f t="shared" si="806"/>
        <v>0</v>
      </c>
      <c r="BK855" s="2140">
        <f t="shared" si="806"/>
        <v>0</v>
      </c>
      <c r="BL855" s="2140">
        <f t="shared" si="806"/>
        <v>0</v>
      </c>
      <c r="BM855" s="2140">
        <f t="shared" si="806"/>
        <v>0</v>
      </c>
      <c r="BN855" s="2140">
        <f t="shared" si="806"/>
        <v>0</v>
      </c>
      <c r="BO855" s="2140">
        <f t="shared" si="806"/>
        <v>0</v>
      </c>
      <c r="BP855" s="2140">
        <f t="shared" si="806"/>
        <v>0</v>
      </c>
      <c r="BQ855" s="2140">
        <f t="shared" si="806"/>
        <v>0</v>
      </c>
      <c r="BR855" s="2140">
        <f t="shared" si="806"/>
        <v>0</v>
      </c>
      <c r="BS855" s="2140">
        <f t="shared" si="806"/>
        <v>0</v>
      </c>
      <c r="BT855" s="2140">
        <f t="shared" si="806"/>
        <v>0</v>
      </c>
      <c r="BV855" s="2101"/>
      <c r="BW855" s="603"/>
      <c r="BX855" s="603"/>
      <c r="BY855" s="603"/>
      <c r="BZ855" s="2130"/>
      <c r="CA855" s="2131"/>
      <c r="CB855" s="2132"/>
      <c r="CC855" s="2131"/>
      <c r="CD855" s="2133"/>
      <c r="CE855" s="2132"/>
      <c r="CF855" s="2131"/>
      <c r="CG855" s="2133"/>
      <c r="CH855" s="2132"/>
      <c r="CI855" s="2131"/>
      <c r="CJ855" s="2133"/>
      <c r="CK855" s="2132"/>
      <c r="CL855" s="2131"/>
      <c r="CM855" s="2133"/>
      <c r="CN855" s="2132"/>
      <c r="CO855" s="2131"/>
      <c r="CP855" s="2133"/>
      <c r="CQ855" s="2132"/>
      <c r="CR855" s="2131"/>
      <c r="CS855" s="2133"/>
      <c r="CT855" s="2132"/>
      <c r="CU855" s="2131"/>
      <c r="CV855" s="2133"/>
      <c r="CW855" s="2132"/>
      <c r="CX855" s="2131"/>
      <c r="CY855" s="2133"/>
      <c r="CZ855" s="2132"/>
      <c r="DA855" s="2131"/>
      <c r="DB855" s="2133"/>
      <c r="DC855" s="2132"/>
      <c r="DD855" s="2131"/>
      <c r="DE855" s="2133"/>
      <c r="DF855" s="2132"/>
      <c r="DG855" s="2131"/>
      <c r="DH855" s="2133"/>
      <c r="DI855" s="2132"/>
      <c r="DJ855" s="2131"/>
      <c r="DK855" s="2133"/>
      <c r="DL855" s="2132"/>
      <c r="DM855" s="2131"/>
      <c r="DN855" s="2133"/>
      <c r="DO855" s="2132"/>
      <c r="DP855" s="2131"/>
      <c r="DQ855" s="2133"/>
      <c r="DR855" s="2150">
        <f t="shared" si="799"/>
        <v>0</v>
      </c>
      <c r="DS855" s="2131"/>
      <c r="DT855" s="2133"/>
      <c r="DU855" s="2132"/>
      <c r="DV855" s="2135"/>
      <c r="DW855" s="2133"/>
      <c r="DX855" s="2132"/>
      <c r="DY855" s="2105"/>
    </row>
    <row r="856" spans="33:129" s="496" customFormat="1" ht="18" x14ac:dyDescent="0.25">
      <c r="AG856" s="498"/>
      <c r="AO856" s="495"/>
      <c r="AP856" s="495"/>
      <c r="AQ856" s="495"/>
      <c r="AS856" s="500"/>
      <c r="AT856" s="495"/>
      <c r="AV856" s="500"/>
      <c r="AW856" s="495"/>
      <c r="AY856" s="500"/>
      <c r="AZ856" s="500"/>
      <c r="BA856" s="2151" t="str">
        <f>AM773</f>
        <v>- / + ANTICIPOS</v>
      </c>
      <c r="BB856" s="1860"/>
      <c r="BC856" s="2139"/>
      <c r="BD856" s="2142">
        <f>AY773</f>
        <v>0</v>
      </c>
      <c r="BE856" s="2140">
        <f t="shared" ref="BE856:BT856" si="807">BE773</f>
        <v>-1.4210854715202004E-14</v>
      </c>
      <c r="BF856" s="2140">
        <f t="shared" si="807"/>
        <v>0</v>
      </c>
      <c r="BG856" s="2140">
        <f t="shared" si="807"/>
        <v>0</v>
      </c>
      <c r="BH856" s="2140">
        <f t="shared" si="807"/>
        <v>0</v>
      </c>
      <c r="BI856" s="2140">
        <f t="shared" si="807"/>
        <v>0</v>
      </c>
      <c r="BJ856" s="2140">
        <f t="shared" si="807"/>
        <v>0</v>
      </c>
      <c r="BK856" s="2140">
        <f t="shared" si="807"/>
        <v>0</v>
      </c>
      <c r="BL856" s="2140">
        <f t="shared" si="807"/>
        <v>0</v>
      </c>
      <c r="BM856" s="2140">
        <f t="shared" si="807"/>
        <v>0</v>
      </c>
      <c r="BN856" s="2140">
        <f t="shared" si="807"/>
        <v>0</v>
      </c>
      <c r="BO856" s="2140">
        <f t="shared" si="807"/>
        <v>0</v>
      </c>
      <c r="BP856" s="2140">
        <f t="shared" si="807"/>
        <v>0</v>
      </c>
      <c r="BQ856" s="2140">
        <f t="shared" si="807"/>
        <v>0</v>
      </c>
      <c r="BR856" s="2140">
        <f t="shared" si="807"/>
        <v>0</v>
      </c>
      <c r="BS856" s="2140">
        <f t="shared" si="807"/>
        <v>0</v>
      </c>
      <c r="BT856" s="2140">
        <f t="shared" si="807"/>
        <v>0</v>
      </c>
      <c r="BV856" s="2101"/>
      <c r="BW856" s="603"/>
      <c r="BX856" s="603"/>
      <c r="BY856" s="603"/>
      <c r="BZ856" s="2130" t="s">
        <v>1482</v>
      </c>
      <c r="CA856" s="2131">
        <f>AY668+AY670+AY674+IF(AY667&gt;=0,AY667,0)+IF(AY671&gt;=0,AY671,0)+IF(AY672&gt;=0,AY672,0)+IF(AY673&gt;=0,AY673,0)</f>
        <v>80</v>
      </c>
      <c r="CB856" s="2132">
        <f>IF(CA848=0,0,CA856/CA848)</f>
        <v>2.2160664819944598E-2</v>
      </c>
      <c r="CC856" s="2131">
        <f>BE668+BE670+BE674+IF(BE667&gt;=0,BE667,0)+IF(BE671&gt;=0,BE671,0)+IF(BE672&gt;=0,BE672,0)+IF(BE673&gt;=0,BE673,0)</f>
        <v>80</v>
      </c>
      <c r="CD856" s="2133">
        <f>IF(CC848=0,0,CC856/CC848)</f>
        <v>2.2160664819944598E-2</v>
      </c>
      <c r="CE856" s="2132">
        <f>IF(CA856=0,0,IF(ABS(CC856/(CA856*360/$N$17)-1)&gt;10000%,0,CC856/(CA856*360/$N$17)-1))</f>
        <v>0</v>
      </c>
      <c r="CF856" s="2131">
        <f>BF668+BF670+BF674+IF(BF667&gt;=0,BF667,0)+IF(BF671&gt;=0,BF671,0)+IF(BF672&gt;=0,BF672,0)+IF(BF673&gt;=0,BF673,0)</f>
        <v>80</v>
      </c>
      <c r="CG856" s="2133">
        <f>IF(CF848=0,0,CF856/CF848)</f>
        <v>2.2160664819944598E-2</v>
      </c>
      <c r="CH856" s="2132">
        <f>IF(CC856=0,0,CF856/CC856-1)</f>
        <v>0</v>
      </c>
      <c r="CI856" s="2131">
        <f>BG668+BG670+BG674+IF(BG667&gt;=0,BG667,0)+IF(BG671&gt;=0,BG671,0)+IF(BG672&gt;=0,BG672,0)+IF(BG673&gt;=0,BG673,0)</f>
        <v>80</v>
      </c>
      <c r="CJ856" s="2133">
        <f>IF(CI848=0,0,CI856/CI848)</f>
        <v>2.2160664819944598E-2</v>
      </c>
      <c r="CK856" s="2132">
        <f>IF(CF856=0,0,CI856/CF856-1)</f>
        <v>0</v>
      </c>
      <c r="CL856" s="2131">
        <f>BH668+BH670+BH674+IF(BH667&gt;=0,BH667,0)+IF(BH671&gt;=0,BH671,0)+IF(BH672&gt;=0,BH672,0)+IF(BH673&gt;=0,BH673,0)</f>
        <v>80</v>
      </c>
      <c r="CM856" s="2133">
        <f>IF(CL848=0,0,CL856/CL848)</f>
        <v>2.2160664819944598E-2</v>
      </c>
      <c r="CN856" s="2132">
        <f>IF(CI856=0,0,CL856/CI856-1)</f>
        <v>0</v>
      </c>
      <c r="CO856" s="2131">
        <f>BI668+BI670+BI674+IF(BI667&gt;=0,BI667,0)+IF(BI671&gt;=0,BI671,0)+IF(BI672&gt;=0,BI672,0)+IF(BI673&gt;=0,BI673,0)</f>
        <v>80</v>
      </c>
      <c r="CP856" s="2133">
        <f>IF(CO848=0,0,CO856/CO848)</f>
        <v>2.2160664819944598E-2</v>
      </c>
      <c r="CQ856" s="2132">
        <f>IF(CL856=0,0,CO856/CL856-1)</f>
        <v>0</v>
      </c>
      <c r="CR856" s="2131">
        <f>BJ668+BJ670+BJ674+IF(BJ667&gt;=0,BJ667,0)+IF(BJ671&gt;=0,BJ671,0)+IF(BJ672&gt;=0,BJ672,0)+IF(BJ673&gt;=0,BJ673,0)</f>
        <v>80</v>
      </c>
      <c r="CS856" s="2133">
        <f>IF(CR848=0,0,CR856/CR848)</f>
        <v>2.2160664819944598E-2</v>
      </c>
      <c r="CT856" s="2132">
        <f>IF(CO856=0,0,CR856/CO856-1)</f>
        <v>0</v>
      </c>
      <c r="CU856" s="2131">
        <f>BK668+BK670+BK674+IF(BK667&gt;=0,BK667,0)+IF(BK671&gt;=0,BK671,0)+IF(BK672&gt;=0,BK672,0)+IF(BK673&gt;=0,BK673,0)</f>
        <v>80</v>
      </c>
      <c r="CV856" s="2133">
        <f>IF(CU848=0,0,CU856/CU848)</f>
        <v>2.2160664819944598E-2</v>
      </c>
      <c r="CW856" s="2132">
        <f>IF(CR856=0,0,CU856/CR856-1)</f>
        <v>0</v>
      </c>
      <c r="CX856" s="2131">
        <f>BL668+BL670+BL674+IF(BL667&gt;=0,BL667,0)+IF(BL671&gt;=0,BL671,0)+IF(BL672&gt;=0,BL672,0)+IF(BL673&gt;=0,BL673,0)</f>
        <v>80</v>
      </c>
      <c r="CY856" s="2133">
        <f>IF(CX848=0,0,CX856/CX848)</f>
        <v>2.2160664819944598E-2</v>
      </c>
      <c r="CZ856" s="2132">
        <f>IF(CU856=0,0,CX856/CU856-1)</f>
        <v>0</v>
      </c>
      <c r="DA856" s="2131">
        <f>BM668+BM670+BM674+IF(BM667&gt;=0,BM667,0)+IF(BM671&gt;=0,BM671,0)+IF(BM672&gt;=0,BM672,0)+IF(BM673&gt;=0,BM673,0)</f>
        <v>80</v>
      </c>
      <c r="DB856" s="2133">
        <f>IF(DA848=0,0,DA856/DA848)</f>
        <v>2.2160664819944598E-2</v>
      </c>
      <c r="DC856" s="2132">
        <f>IF(CX856=0,0,DA856/CX856-1)</f>
        <v>0</v>
      </c>
      <c r="DD856" s="2131">
        <f>BN668+BN670+BN674+IF(BN667&gt;=0,BN667,0)+IF(BN671&gt;=0,BN671,0)+IF(BN672&gt;=0,BN672,0)+IF(BN673&gt;=0,BN673,0)</f>
        <v>80</v>
      </c>
      <c r="DE856" s="2133">
        <f>IF(DD848=0,0,DD856/DD848)</f>
        <v>2.2160664819944598E-2</v>
      </c>
      <c r="DF856" s="2132">
        <f>IF(DA856=0,0,DD856/DA856-1)</f>
        <v>0</v>
      </c>
      <c r="DG856" s="2131">
        <f>BO668+BO670+BO674+IF(BO667&gt;=0,BO667,0)+IF(BO671&gt;=0,BO671,0)+IF(BO672&gt;=0,BO672,0)+IF(BO673&gt;=0,BO673,0)</f>
        <v>80</v>
      </c>
      <c r="DH856" s="2133">
        <f>IF(DG848=0,0,DG856/DG848)</f>
        <v>2.2160664819944598E-2</v>
      </c>
      <c r="DI856" s="2132">
        <f>IF(DD856=0,0,DG856/DD856-1)</f>
        <v>0</v>
      </c>
      <c r="DJ856" s="2131">
        <f>BP668+BP670+BP674+IF(BP667&gt;=0,BP667,0)+IF(BP671&gt;=0,BP671,0)+IF(BP672&gt;=0,BP672,0)+IF(BP673&gt;=0,BP673,0)</f>
        <v>80</v>
      </c>
      <c r="DK856" s="2133">
        <f>IF(DJ848=0,0,DJ856/DJ848)</f>
        <v>2.2160664819944598E-2</v>
      </c>
      <c r="DL856" s="2132">
        <f>IF(DG856=0,0,DJ856/DG856-1)</f>
        <v>0</v>
      </c>
      <c r="DM856" s="2131">
        <f>BQ668+BQ670+BQ674+IF(BQ667&gt;=0,BQ667,0)+IF(BQ671&gt;=0,BQ671,0)+IF(BQ672&gt;=0,BQ672,0)+IF(BQ673&gt;=0,BQ673,0)</f>
        <v>80</v>
      </c>
      <c r="DN856" s="2133">
        <f>IF(DM848=0,0,DM856/DM848)</f>
        <v>2.2160664819944598E-2</v>
      </c>
      <c r="DO856" s="2132">
        <f>IF(DJ856=0,0,DM856/DJ856-1)</f>
        <v>0</v>
      </c>
      <c r="DP856" s="2131">
        <f>BR668+BR670+BR674+IF(BR667&gt;=0,BR667,0)+IF(BR671&gt;=0,BR671,0)+IF(BR672&gt;=0,BR672,0)+IF(BR673&gt;=0,BR673,0)</f>
        <v>80</v>
      </c>
      <c r="DQ856" s="2133">
        <f>IF(DP848=0,0,DP856/DP848)</f>
        <v>2.2160664819944598E-2</v>
      </c>
      <c r="DR856" s="2134">
        <f t="shared" si="799"/>
        <v>0</v>
      </c>
      <c r="DS856" s="2131">
        <f>BS668+BS670+BS674+IF(BS667&gt;=0,BS667,0)+IF(BS671&gt;=0,BS671,0)+IF(BS672&gt;=0,BS672,0)+IF(BS673&gt;=0,BS673,0)</f>
        <v>80</v>
      </c>
      <c r="DT856" s="2133">
        <f>IF(DS848=0,0,DS856/DS848)</f>
        <v>2.2160664819944598E-2</v>
      </c>
      <c r="DU856" s="2132">
        <f>IF(DP856=0,0,DS856/DP856-1)</f>
        <v>0</v>
      </c>
      <c r="DV856" s="2135">
        <f>BT668+BT670+BT674+IF(BT667&gt;=0,BT667,0)+IF(BT671&gt;=0,BT671,0)+IF(BT672&gt;=0,BT672,0)+IF(BT673&gt;=0,BT673,0)</f>
        <v>80</v>
      </c>
      <c r="DW856" s="2133">
        <f>IF(DV848=0,0,DV856/DV848)</f>
        <v>2.2160664819944598E-2</v>
      </c>
      <c r="DX856" s="2132">
        <f>IF(DS856=0,0,DV856/DS856-1)</f>
        <v>0</v>
      </c>
      <c r="DY856" s="2105"/>
    </row>
    <row r="857" spans="33:129" s="496" customFormat="1" ht="18" x14ac:dyDescent="0.25">
      <c r="AG857" s="498"/>
      <c r="AO857" s="495"/>
      <c r="AP857" s="495"/>
      <c r="AQ857" s="495"/>
      <c r="AS857" s="500"/>
      <c r="AT857" s="495"/>
      <c r="AV857" s="500"/>
      <c r="AW857" s="495"/>
      <c r="AY857" s="500"/>
      <c r="AZ857" s="500"/>
      <c r="BA857" s="2152" t="str">
        <f>AM774</f>
        <v>+ / - PROVEEDORES</v>
      </c>
      <c r="BB857" s="630"/>
      <c r="BC857" s="2153"/>
      <c r="BD857" s="2142">
        <f>AY774</f>
        <v>0</v>
      </c>
      <c r="BE857" s="2140">
        <f t="shared" ref="BE857:BT857" si="808">BE774</f>
        <v>0</v>
      </c>
      <c r="BF857" s="2140">
        <f t="shared" si="808"/>
        <v>0</v>
      </c>
      <c r="BG857" s="2140">
        <f t="shared" si="808"/>
        <v>0</v>
      </c>
      <c r="BH857" s="2140">
        <f t="shared" si="808"/>
        <v>0</v>
      </c>
      <c r="BI857" s="2140">
        <f t="shared" si="808"/>
        <v>0</v>
      </c>
      <c r="BJ857" s="2140">
        <f t="shared" si="808"/>
        <v>0</v>
      </c>
      <c r="BK857" s="2140">
        <f t="shared" si="808"/>
        <v>0</v>
      </c>
      <c r="BL857" s="2140">
        <f t="shared" si="808"/>
        <v>0</v>
      </c>
      <c r="BM857" s="2140">
        <f t="shared" si="808"/>
        <v>0</v>
      </c>
      <c r="BN857" s="2140">
        <f t="shared" si="808"/>
        <v>0</v>
      </c>
      <c r="BO857" s="2140">
        <f t="shared" si="808"/>
        <v>0</v>
      </c>
      <c r="BP857" s="2140">
        <f t="shared" si="808"/>
        <v>0</v>
      </c>
      <c r="BQ857" s="2140">
        <f t="shared" si="808"/>
        <v>0</v>
      </c>
      <c r="BR857" s="2140">
        <f t="shared" si="808"/>
        <v>0</v>
      </c>
      <c r="BS857" s="2140">
        <f t="shared" si="808"/>
        <v>0</v>
      </c>
      <c r="BT857" s="2140">
        <f t="shared" si="808"/>
        <v>0</v>
      </c>
      <c r="BV857" s="2101"/>
      <c r="BW857" s="603"/>
      <c r="BX857" s="603"/>
      <c r="BY857" s="603"/>
      <c r="BZ857" s="2130" t="s">
        <v>1483</v>
      </c>
      <c r="CA857" s="2131">
        <f>AY669+AY675-IF(AY671&lt;0,AY671,0)-IF(AY672&lt;0,AY672,0)-IF(AY673&lt;0,AY673,0)</f>
        <v>70</v>
      </c>
      <c r="CB857" s="2132">
        <f>IF(CA848=0,0,CA857/CA848)</f>
        <v>1.9390581717451522E-2</v>
      </c>
      <c r="CC857" s="2131">
        <f>BE669+BE675-IF(BE671&lt;0,BE671,0)-IF(BE672&lt;0,BE672,0)-IF(BE673&lt;0,BE673,0)</f>
        <v>70.000000000000014</v>
      </c>
      <c r="CD857" s="2133">
        <f>IF(CC848=0,0,CC857/CC848)</f>
        <v>1.9390581717451526E-2</v>
      </c>
      <c r="CE857" s="2132">
        <f>IF(CA857=0,0,IF(ABS(CC857/(CA857*360/$N$17)-1)&gt;10000%,0,CC857/(CA857*360/$N$17)-1))</f>
        <v>2.2204460492503131E-16</v>
      </c>
      <c r="CF857" s="2131">
        <f>BF669+BF675-IF(BF671&lt;0,BF671,0)-IF(BF672&lt;0,BF672,0)-IF(BF673&lt;0,BF673,0)</f>
        <v>70.000000000000014</v>
      </c>
      <c r="CG857" s="2133">
        <f>IF(CF848=0,0,CF857/CF848)</f>
        <v>1.9390581717451526E-2</v>
      </c>
      <c r="CH857" s="2132">
        <f>IF(CC857=0,0,CF857/CC857-1)</f>
        <v>0</v>
      </c>
      <c r="CI857" s="2131">
        <f>BG669+BG675-IF(BG671&lt;0,BG671,0)-IF(BG672&lt;0,BG672,0)-IF(BG673&lt;0,BG673,0)</f>
        <v>70.000000000000014</v>
      </c>
      <c r="CJ857" s="2133">
        <f>IF(CI848=0,0,CI857/CI848)</f>
        <v>1.9390581717451526E-2</v>
      </c>
      <c r="CK857" s="2132">
        <f>IF(CF857=0,0,CI857/CF857-1)</f>
        <v>0</v>
      </c>
      <c r="CL857" s="2131">
        <f>BH669+BH675-IF(BH671&lt;0,BH671,0)-IF(BH672&lt;0,BH672,0)-IF(BH673&lt;0,BH673,0)</f>
        <v>70.000000000000014</v>
      </c>
      <c r="CM857" s="2133">
        <f>IF(CL848=0,0,CL857/CL848)</f>
        <v>1.9390581717451526E-2</v>
      </c>
      <c r="CN857" s="2132">
        <f>IF(CI857=0,0,CL857/CI857-1)</f>
        <v>0</v>
      </c>
      <c r="CO857" s="2131">
        <f>BI669+BI675-IF(BI671&lt;0,BI671,0)-IF(BI672&lt;0,BI672,0)-IF(BI673&lt;0,BI673,0)</f>
        <v>70.000000000000014</v>
      </c>
      <c r="CP857" s="2133">
        <f>IF(CO848=0,0,CO857/CO848)</f>
        <v>1.9390581717451526E-2</v>
      </c>
      <c r="CQ857" s="2132">
        <f>IF(CL857=0,0,CO857/CL857-1)</f>
        <v>0</v>
      </c>
      <c r="CR857" s="2131">
        <f>BJ669+BJ675-IF(BJ671&lt;0,BJ671,0)-IF(BJ672&lt;0,BJ672,0)-IF(BJ673&lt;0,BJ673,0)</f>
        <v>70.000000000000014</v>
      </c>
      <c r="CS857" s="2133">
        <f>IF(CR848=0,0,CR857/CR848)</f>
        <v>1.9390581717451526E-2</v>
      </c>
      <c r="CT857" s="2132">
        <f>IF(CO857=0,0,CR857/CO857-1)</f>
        <v>0</v>
      </c>
      <c r="CU857" s="2131">
        <f>BK669+BK675-IF(BK671&lt;0,BK671,0)-IF(BK672&lt;0,BK672,0)-IF(BK673&lt;0,BK673,0)</f>
        <v>70.000000000000014</v>
      </c>
      <c r="CV857" s="2133">
        <f>IF(CU848=0,0,CU857/CU848)</f>
        <v>1.9390581717451526E-2</v>
      </c>
      <c r="CW857" s="2132">
        <f>IF(CR857=0,0,CU857/CR857-1)</f>
        <v>0</v>
      </c>
      <c r="CX857" s="2131">
        <f>BL669+BL675-IF(BL671&lt;0,BL671,0)-IF(BL672&lt;0,BL672,0)-IF(BL673&lt;0,BL673,0)</f>
        <v>70.000000000000014</v>
      </c>
      <c r="CY857" s="2133">
        <f>IF(CX848=0,0,CX857/CX848)</f>
        <v>1.9390581717451526E-2</v>
      </c>
      <c r="CZ857" s="2132">
        <f>IF(CU857=0,0,CX857/CU857-1)</f>
        <v>0</v>
      </c>
      <c r="DA857" s="2131">
        <f>BM669+BM675-IF(BM671&lt;0,BM671,0)-IF(BM672&lt;0,BM672,0)-IF(BM673&lt;0,BM673,0)</f>
        <v>70.000000000000014</v>
      </c>
      <c r="DB857" s="2133">
        <f>IF(DA848=0,0,DA857/DA848)</f>
        <v>1.9390581717451526E-2</v>
      </c>
      <c r="DC857" s="2132">
        <f>IF(CX857=0,0,DA857/CX857-1)</f>
        <v>0</v>
      </c>
      <c r="DD857" s="2131">
        <f>BN669+BN675-IF(BN671&lt;0,BN671,0)-IF(BN672&lt;0,BN672,0)-IF(BN673&lt;0,BN673,0)</f>
        <v>70.000000000000014</v>
      </c>
      <c r="DE857" s="2133">
        <f>IF(DD848=0,0,DD857/DD848)</f>
        <v>1.9390581717451526E-2</v>
      </c>
      <c r="DF857" s="2132">
        <f>IF(DA857=0,0,DD857/DA857-1)</f>
        <v>0</v>
      </c>
      <c r="DG857" s="2131">
        <f>BO669+BO675-IF(BO671&lt;0,BO671,0)-IF(BO672&lt;0,BO672,0)-IF(BO673&lt;0,BO673,0)</f>
        <v>70.000000000000014</v>
      </c>
      <c r="DH857" s="2133">
        <f>IF(DG848=0,0,DG857/DG848)</f>
        <v>1.9390581717451526E-2</v>
      </c>
      <c r="DI857" s="2132">
        <f>IF(DD857=0,0,DG857/DD857-1)</f>
        <v>0</v>
      </c>
      <c r="DJ857" s="2131">
        <f>BP669+BP675-IF(BP671&lt;0,BP671,0)-IF(BP672&lt;0,BP672,0)-IF(BP673&lt;0,BP673,0)</f>
        <v>70.000000000000014</v>
      </c>
      <c r="DK857" s="2133">
        <f>IF(DJ848=0,0,DJ857/DJ848)</f>
        <v>1.9390581717451526E-2</v>
      </c>
      <c r="DL857" s="2132">
        <f>IF(DG857=0,0,DJ857/DG857-1)</f>
        <v>0</v>
      </c>
      <c r="DM857" s="2131">
        <f>BQ669+BQ675-IF(BQ671&lt;0,BQ671,0)-IF(BQ672&lt;0,BQ672,0)-IF(BQ673&lt;0,BQ673,0)</f>
        <v>70.000000000000014</v>
      </c>
      <c r="DN857" s="2133">
        <f>IF(DM848=0,0,DM857/DM848)</f>
        <v>1.9390581717451526E-2</v>
      </c>
      <c r="DO857" s="2132">
        <f>IF(DJ857=0,0,DM857/DJ857-1)</f>
        <v>0</v>
      </c>
      <c r="DP857" s="2131">
        <f>BR669+BR675-IF(BR671&lt;0,BR671,0)-IF(BR672&lt;0,BR672,0)-IF(BR673&lt;0,BR673,0)</f>
        <v>70.000000000000014</v>
      </c>
      <c r="DQ857" s="2133">
        <f>IF(DP848=0,0,DP857/DP848)</f>
        <v>1.9390581717451526E-2</v>
      </c>
      <c r="DR857" s="2134">
        <f t="shared" si="799"/>
        <v>0</v>
      </c>
      <c r="DS857" s="2131">
        <f>BS669+BS675-IF(BS671&lt;0,BS671,0)-IF(BS672&lt;0,BS672,0)-IF(BS673&lt;0,BS673,0)</f>
        <v>70.000000000000014</v>
      </c>
      <c r="DT857" s="2133">
        <f>IF(DS848=0,0,DS857/DS848)</f>
        <v>1.9390581717451526E-2</v>
      </c>
      <c r="DU857" s="2132">
        <f>IF(DP857=0,0,DS857/DP857-1)</f>
        <v>0</v>
      </c>
      <c r="DV857" s="2135">
        <f>BT669+BT675-IF(BT671&lt;0,BT671,0)-IF(BT672&lt;0,BT672,0)-IF(BT673&lt;0,BT673,0)</f>
        <v>70.000000000000014</v>
      </c>
      <c r="DW857" s="2133">
        <f>IF(DV848=0,0,DV857/DV848)</f>
        <v>1.9390581717451526E-2</v>
      </c>
      <c r="DX857" s="2132">
        <f>IF(DS857=0,0,DV857/DS857-1)</f>
        <v>0</v>
      </c>
      <c r="DY857" s="2105"/>
    </row>
    <row r="858" spans="33:129" s="496" customFormat="1" ht="18" x14ac:dyDescent="0.25">
      <c r="AG858" s="498"/>
      <c r="AO858" s="495"/>
      <c r="AP858" s="495"/>
      <c r="AQ858" s="495"/>
      <c r="AS858" s="500"/>
      <c r="AT858" s="495"/>
      <c r="AV858" s="500"/>
      <c r="AW858" s="495"/>
      <c r="AY858" s="500"/>
      <c r="AZ858" s="500"/>
      <c r="BA858" s="2138" t="str">
        <f>AM775</f>
        <v>+ / - PASIVOS LABORALES C.P.</v>
      </c>
      <c r="BB858" s="1860"/>
      <c r="BC858" s="2139"/>
      <c r="BD858" s="2142">
        <f>AY775</f>
        <v>0</v>
      </c>
      <c r="BE858" s="2140">
        <f t="shared" ref="BE858:BT858" si="809">BE775</f>
        <v>0</v>
      </c>
      <c r="BF858" s="2140">
        <f t="shared" si="809"/>
        <v>0</v>
      </c>
      <c r="BG858" s="2140">
        <f t="shared" si="809"/>
        <v>0</v>
      </c>
      <c r="BH858" s="2140">
        <f t="shared" si="809"/>
        <v>0</v>
      </c>
      <c r="BI858" s="2140">
        <f t="shared" si="809"/>
        <v>0</v>
      </c>
      <c r="BJ858" s="2140">
        <f t="shared" si="809"/>
        <v>0</v>
      </c>
      <c r="BK858" s="2140">
        <f t="shared" si="809"/>
        <v>0</v>
      </c>
      <c r="BL858" s="2140">
        <f t="shared" si="809"/>
        <v>0</v>
      </c>
      <c r="BM858" s="2140">
        <f t="shared" si="809"/>
        <v>0</v>
      </c>
      <c r="BN858" s="2140">
        <f t="shared" si="809"/>
        <v>0</v>
      </c>
      <c r="BO858" s="2140">
        <f t="shared" si="809"/>
        <v>0</v>
      </c>
      <c r="BP858" s="2140">
        <f t="shared" si="809"/>
        <v>0</v>
      </c>
      <c r="BQ858" s="2140">
        <f t="shared" si="809"/>
        <v>0</v>
      </c>
      <c r="BR858" s="2140">
        <f t="shared" si="809"/>
        <v>0</v>
      </c>
      <c r="BS858" s="2140">
        <f t="shared" si="809"/>
        <v>0</v>
      </c>
      <c r="BT858" s="2140">
        <f t="shared" si="809"/>
        <v>0</v>
      </c>
      <c r="BV858" s="2101"/>
      <c r="BW858" s="603"/>
      <c r="BX858" s="603"/>
      <c r="BY858" s="603"/>
      <c r="BZ858" s="2130" t="s">
        <v>1484</v>
      </c>
      <c r="CA858" s="2131">
        <f>AY665-IF(AY667&lt;0,AY667,0)</f>
        <v>10</v>
      </c>
      <c r="CB858" s="2132">
        <f>IF(CA848=0,0,CA858/CA848)</f>
        <v>2.7700831024930748E-3</v>
      </c>
      <c r="CC858" s="2131">
        <f>BE665-IF(BE667&lt;0,BE667,0)</f>
        <v>7.6000000000000014</v>
      </c>
      <c r="CD858" s="2133">
        <f>IF(CC848=0,0,CC858/CC848)</f>
        <v>2.1052631578947372E-3</v>
      </c>
      <c r="CE858" s="2132">
        <f>IF(CA858=0,0,IF(ABS(CC858/(CA858*360/$N$17)-1)&gt;10000%,0,CC858/(CA858*360/$N$17)-1))</f>
        <v>-0.23999999999999988</v>
      </c>
      <c r="CF858" s="2131">
        <f>BF665-IF(BF667&lt;0,BF667,0)</f>
        <v>7.2000000000000011</v>
      </c>
      <c r="CG858" s="2133">
        <f>IF(CF848=0,0,CF858/CF848)</f>
        <v>1.994459833795014E-3</v>
      </c>
      <c r="CH858" s="2132">
        <f>IF(CC858=0,0,CF858/CC858-1)</f>
        <v>-5.2631578947368474E-2</v>
      </c>
      <c r="CI858" s="2131">
        <f>BG665-IF(BG667&lt;0,BG667,0)</f>
        <v>3.2000000000000006</v>
      </c>
      <c r="CJ858" s="2133">
        <f>IF(CI848=0,0,CI858/CI848)</f>
        <v>8.8642659279778411E-4</v>
      </c>
      <c r="CK858" s="2132">
        <f>IF(CF858=0,0,CI858/CF858-1)</f>
        <v>-0.55555555555555558</v>
      </c>
      <c r="CL858" s="2131">
        <f>BH665-IF(BH667&lt;0,BH667,0)</f>
        <v>3.2000000000000006</v>
      </c>
      <c r="CM858" s="2133">
        <f>IF(CL848=0,0,CL858/CL848)</f>
        <v>8.8642659279778411E-4</v>
      </c>
      <c r="CN858" s="2132">
        <f>IF(CI858=0,0,CL858/CI858-1)</f>
        <v>0</v>
      </c>
      <c r="CO858" s="2131">
        <f>BI665-IF(BI667&lt;0,BI667,0)</f>
        <v>3.2000000000000006</v>
      </c>
      <c r="CP858" s="2133">
        <f>IF(CO848=0,0,CO858/CO848)</f>
        <v>8.8642659279778411E-4</v>
      </c>
      <c r="CQ858" s="2132">
        <f>IF(CL858=0,0,CO858/CL858-1)</f>
        <v>0</v>
      </c>
      <c r="CR858" s="2131">
        <f>BJ665-IF(BJ667&lt;0,BJ667,0)</f>
        <v>3.2000000000000006</v>
      </c>
      <c r="CS858" s="2133">
        <f>IF(CR848=0,0,CR858/CR848)</f>
        <v>8.8642659279778411E-4</v>
      </c>
      <c r="CT858" s="2132">
        <f>IF(CO858=0,0,CR858/CO858-1)</f>
        <v>0</v>
      </c>
      <c r="CU858" s="2131">
        <f>BK665-IF(BK667&lt;0,BK667,0)</f>
        <v>3.2000000000000006</v>
      </c>
      <c r="CV858" s="2133">
        <f>IF(CU848=0,0,CU858/CU848)</f>
        <v>8.8642659279778411E-4</v>
      </c>
      <c r="CW858" s="2132">
        <f>IF(CR858=0,0,CU858/CR858-1)</f>
        <v>0</v>
      </c>
      <c r="CX858" s="2131">
        <f>BL665-IF(BL667&lt;0,BL667,0)</f>
        <v>3.2000000000000006</v>
      </c>
      <c r="CY858" s="2133">
        <f>IF(CX848=0,0,CX858/CX848)</f>
        <v>8.8642659279778411E-4</v>
      </c>
      <c r="CZ858" s="2132">
        <f>IF(CU858=0,0,CX858/CU858-1)</f>
        <v>0</v>
      </c>
      <c r="DA858" s="2131">
        <f>BM665-IF(BM667&lt;0,BM667,0)</f>
        <v>3.2000000000000006</v>
      </c>
      <c r="DB858" s="2133">
        <f>IF(DA848=0,0,DA858/DA848)</f>
        <v>8.8642659279778411E-4</v>
      </c>
      <c r="DC858" s="2132">
        <f>IF(CX858=0,0,DA858/CX858-1)</f>
        <v>0</v>
      </c>
      <c r="DD858" s="2131">
        <f>BN665-IF(BN667&lt;0,BN667,0)</f>
        <v>3.2000000000000006</v>
      </c>
      <c r="DE858" s="2133">
        <f>IF(DD848=0,0,DD858/DD848)</f>
        <v>8.8642659279778411E-4</v>
      </c>
      <c r="DF858" s="2132">
        <f>IF(DA858=0,0,DD858/DA858-1)</f>
        <v>0</v>
      </c>
      <c r="DG858" s="2131">
        <f>BO665-IF(BO667&lt;0,BO667,0)</f>
        <v>3.2000000000000006</v>
      </c>
      <c r="DH858" s="2133">
        <f>IF(DG848=0,0,DG858/DG848)</f>
        <v>8.8642659279778411E-4</v>
      </c>
      <c r="DI858" s="2132">
        <f>IF(DD858=0,0,DG858/DD858-1)</f>
        <v>0</v>
      </c>
      <c r="DJ858" s="2131">
        <f>BP665-IF(BP667&lt;0,BP667,0)</f>
        <v>3.2000000000000006</v>
      </c>
      <c r="DK858" s="2133">
        <f>IF(DJ848=0,0,DJ858/DJ848)</f>
        <v>8.8642659279778411E-4</v>
      </c>
      <c r="DL858" s="2132">
        <f>IF(DG858=0,0,DJ858/DG858-1)</f>
        <v>0</v>
      </c>
      <c r="DM858" s="2131">
        <f>BQ665-IF(BQ667&lt;0,BQ667,0)</f>
        <v>3.2000000000000006</v>
      </c>
      <c r="DN858" s="2133">
        <f>IF(DM848=0,0,DM858/DM848)</f>
        <v>8.8642659279778411E-4</v>
      </c>
      <c r="DO858" s="2132">
        <f>IF(DJ858=0,0,DM858/DJ858-1)</f>
        <v>0</v>
      </c>
      <c r="DP858" s="2131">
        <f>BR665-IF(BR667&lt;0,BR667,0)</f>
        <v>3.2000000000000006</v>
      </c>
      <c r="DQ858" s="2133">
        <f>IF(DP848=0,0,DP858/DP848)</f>
        <v>8.8642659279778411E-4</v>
      </c>
      <c r="DR858" s="2134">
        <f t="shared" si="799"/>
        <v>0</v>
      </c>
      <c r="DS858" s="2131">
        <f>BS665-IF(BS667&lt;0,BS667,0)</f>
        <v>3.2000000000000006</v>
      </c>
      <c r="DT858" s="2133">
        <f>IF(DS848=0,0,DS858/DS848)</f>
        <v>8.8642659279778411E-4</v>
      </c>
      <c r="DU858" s="2132">
        <f>IF(DP858=0,0,DS858/DP858-1)</f>
        <v>0</v>
      </c>
      <c r="DV858" s="2135">
        <f>BT665-IF(BT667&lt;0,BT667,0)</f>
        <v>3.2000000000000006</v>
      </c>
      <c r="DW858" s="2133">
        <f>IF(DV848=0,0,DV858/DV848)</f>
        <v>8.8642659279778411E-4</v>
      </c>
      <c r="DX858" s="2132">
        <f>IF(DS858=0,0,DV858/DS858-1)</f>
        <v>0</v>
      </c>
      <c r="DY858" s="2105"/>
    </row>
    <row r="859" spans="33:129" s="496" customFormat="1" ht="18" x14ac:dyDescent="0.25">
      <c r="AG859" s="498"/>
      <c r="AO859" s="495"/>
      <c r="AP859" s="495"/>
      <c r="AQ859" s="495"/>
      <c r="AS859" s="500"/>
      <c r="AT859" s="495"/>
      <c r="AV859" s="500"/>
      <c r="AW859" s="495"/>
      <c r="AY859" s="500"/>
      <c r="AZ859" s="500"/>
      <c r="BA859" s="2138" t="str">
        <f>AM776</f>
        <v>+ / - IMPUESTOS POR PAGAR</v>
      </c>
      <c r="BB859" s="1860"/>
      <c r="BC859" s="2139"/>
      <c r="BD859" s="2142">
        <f>AY776</f>
        <v>0</v>
      </c>
      <c r="BE859" s="2140">
        <f t="shared" ref="BE859:BT859" si="810">BE776</f>
        <v>0</v>
      </c>
      <c r="BF859" s="2140">
        <f t="shared" si="810"/>
        <v>0</v>
      </c>
      <c r="BG859" s="2140">
        <f t="shared" si="810"/>
        <v>0</v>
      </c>
      <c r="BH859" s="2140">
        <f t="shared" si="810"/>
        <v>0</v>
      </c>
      <c r="BI859" s="2140">
        <f t="shared" si="810"/>
        <v>0</v>
      </c>
      <c r="BJ859" s="2140">
        <f t="shared" si="810"/>
        <v>0</v>
      </c>
      <c r="BK859" s="2140">
        <f t="shared" si="810"/>
        <v>0</v>
      </c>
      <c r="BL859" s="2140">
        <f t="shared" si="810"/>
        <v>0</v>
      </c>
      <c r="BM859" s="2140">
        <f t="shared" si="810"/>
        <v>0</v>
      </c>
      <c r="BN859" s="2140">
        <f t="shared" si="810"/>
        <v>0</v>
      </c>
      <c r="BO859" s="2140">
        <f t="shared" si="810"/>
        <v>0</v>
      </c>
      <c r="BP859" s="2140">
        <f t="shared" si="810"/>
        <v>0</v>
      </c>
      <c r="BQ859" s="2140">
        <f t="shared" si="810"/>
        <v>0</v>
      </c>
      <c r="BR859" s="2140">
        <f t="shared" si="810"/>
        <v>0</v>
      </c>
      <c r="BS859" s="2140">
        <f t="shared" si="810"/>
        <v>0</v>
      </c>
      <c r="BT859" s="2140">
        <f t="shared" si="810"/>
        <v>0</v>
      </c>
      <c r="BV859" s="2101"/>
      <c r="BW859" s="603"/>
      <c r="BX859" s="603"/>
      <c r="BY859" s="603"/>
      <c r="BZ859" s="2130"/>
      <c r="CA859" s="2131"/>
      <c r="CB859" s="2132"/>
      <c r="CC859" s="2131"/>
      <c r="CD859" s="2133"/>
      <c r="CE859" s="2132"/>
      <c r="CF859" s="2131"/>
      <c r="CG859" s="2133"/>
      <c r="CH859" s="2132"/>
      <c r="CI859" s="2131"/>
      <c r="CJ859" s="2133"/>
      <c r="CK859" s="2132"/>
      <c r="CL859" s="2131"/>
      <c r="CM859" s="2133"/>
      <c r="CN859" s="2132"/>
      <c r="CO859" s="2131"/>
      <c r="CP859" s="2133"/>
      <c r="CQ859" s="2132"/>
      <c r="CR859" s="2131"/>
      <c r="CS859" s="2133"/>
      <c r="CT859" s="2132"/>
      <c r="CU859" s="2131"/>
      <c r="CV859" s="2133"/>
      <c r="CW859" s="2132"/>
      <c r="CX859" s="2131"/>
      <c r="CY859" s="2133"/>
      <c r="CZ859" s="2132"/>
      <c r="DA859" s="2131"/>
      <c r="DB859" s="2133"/>
      <c r="DC859" s="2132"/>
      <c r="DD859" s="2131"/>
      <c r="DE859" s="2133"/>
      <c r="DF859" s="2132"/>
      <c r="DG859" s="2131"/>
      <c r="DH859" s="2133"/>
      <c r="DI859" s="2132"/>
      <c r="DJ859" s="2131"/>
      <c r="DK859" s="2133"/>
      <c r="DL859" s="2132"/>
      <c r="DM859" s="2131"/>
      <c r="DN859" s="2133"/>
      <c r="DO859" s="2132"/>
      <c r="DP859" s="2131"/>
      <c r="DQ859" s="2133"/>
      <c r="DR859" s="2134"/>
      <c r="DS859" s="2131"/>
      <c r="DT859" s="2133"/>
      <c r="DU859" s="2132"/>
      <c r="DV859" s="2135"/>
      <c r="DW859" s="2133"/>
      <c r="DX859" s="2132"/>
      <c r="DY859" s="2105"/>
    </row>
    <row r="860" spans="33:129" s="496" customFormat="1" ht="18" x14ac:dyDescent="0.25">
      <c r="AG860" s="498"/>
      <c r="AO860" s="495"/>
      <c r="AP860" s="495"/>
      <c r="AQ860" s="495"/>
      <c r="AS860" s="500"/>
      <c r="AT860" s="495"/>
      <c r="AV860" s="500"/>
      <c r="AW860" s="495"/>
      <c r="AY860" s="500"/>
      <c r="AZ860" s="500"/>
      <c r="BA860" s="2154" t="str">
        <f>AM777</f>
        <v>+ / - CUENTAS POR PAGAR</v>
      </c>
      <c r="BB860" s="589"/>
      <c r="BC860" s="2149"/>
      <c r="BD860" s="2142">
        <f>AY777</f>
        <v>0</v>
      </c>
      <c r="BE860" s="2140">
        <f t="shared" ref="BE860:BT860" si="811">BE777</f>
        <v>0</v>
      </c>
      <c r="BF860" s="2140">
        <f t="shared" si="811"/>
        <v>0</v>
      </c>
      <c r="BG860" s="2140">
        <f t="shared" si="811"/>
        <v>0</v>
      </c>
      <c r="BH860" s="2140">
        <f t="shared" si="811"/>
        <v>0</v>
      </c>
      <c r="BI860" s="2140">
        <f t="shared" si="811"/>
        <v>0</v>
      </c>
      <c r="BJ860" s="2140">
        <f t="shared" si="811"/>
        <v>0</v>
      </c>
      <c r="BK860" s="2140">
        <f t="shared" si="811"/>
        <v>0</v>
      </c>
      <c r="BL860" s="2140">
        <f t="shared" si="811"/>
        <v>0</v>
      </c>
      <c r="BM860" s="2140">
        <f t="shared" si="811"/>
        <v>0</v>
      </c>
      <c r="BN860" s="2140">
        <f t="shared" si="811"/>
        <v>0</v>
      </c>
      <c r="BO860" s="2140">
        <f t="shared" si="811"/>
        <v>0</v>
      </c>
      <c r="BP860" s="2140">
        <f t="shared" si="811"/>
        <v>0</v>
      </c>
      <c r="BQ860" s="2140">
        <f t="shared" si="811"/>
        <v>0</v>
      </c>
      <c r="BR860" s="2140">
        <f t="shared" si="811"/>
        <v>0</v>
      </c>
      <c r="BS860" s="2140">
        <f t="shared" si="811"/>
        <v>0</v>
      </c>
      <c r="BT860" s="2140">
        <f t="shared" si="811"/>
        <v>0</v>
      </c>
      <c r="BV860" s="2101"/>
      <c r="BW860" s="603"/>
      <c r="BX860" s="603"/>
      <c r="BY860" s="603"/>
      <c r="BZ860" s="2125" t="s">
        <v>1485</v>
      </c>
      <c r="CA860" s="2126">
        <f>CA852+CA856-CA857-CA858+CA859</f>
        <v>2810</v>
      </c>
      <c r="CB860" s="2127">
        <f>IF(CA848=0,0,CA860/CA848)</f>
        <v>0.77839335180055402</v>
      </c>
      <c r="CC860" s="2126">
        <f>CC852+CC856-CC857-CC858+CC859</f>
        <v>2812.4</v>
      </c>
      <c r="CD860" s="2128">
        <f>IF(CC848=0,0,CC860/CC848)</f>
        <v>0.77905817174515235</v>
      </c>
      <c r="CE860" s="2127">
        <f>IF(CA860=0,0,IF(ABS(CC860/(CA860*360/$N$17)-1)&gt;10000%,0,CC860/(CA860*360/$N$17)-1))</f>
        <v>8.54092526690442E-4</v>
      </c>
      <c r="CF860" s="2126">
        <f>CF852+CF856-CF857-CF858+CF859</f>
        <v>2812.8</v>
      </c>
      <c r="CG860" s="2128">
        <f>IF(CF848=0,0,CF860/CF848)</f>
        <v>0.77916897506925209</v>
      </c>
      <c r="CH860" s="2127">
        <f>IF(CC860=0,0,CF860/CC860-1)</f>
        <v>1.4222727919221967E-4</v>
      </c>
      <c r="CI860" s="2126">
        <f>CI852+CI856-CI857-CI858+CI859</f>
        <v>2816.8</v>
      </c>
      <c r="CJ860" s="2128">
        <f>IF(CI848=0,0,CI860/CI848)</f>
        <v>0.78027700831024938</v>
      </c>
      <c r="CK860" s="2127">
        <f>IF(CF860=0,0,CI860/CF860-1)</f>
        <v>1.4220705346985607E-3</v>
      </c>
      <c r="CL860" s="2126">
        <f>CL852+CL856-CL857-CL858+CL859</f>
        <v>2816.8</v>
      </c>
      <c r="CM860" s="2128">
        <f>IF(CL848=0,0,CL860/CL848)</f>
        <v>0.78027700831024938</v>
      </c>
      <c r="CN860" s="2127">
        <f>IF(CI860=0,0,CL860/CI860-1)</f>
        <v>0</v>
      </c>
      <c r="CO860" s="2126">
        <f>CO852+CO856-CO857-CO858+CO859</f>
        <v>2816.8</v>
      </c>
      <c r="CP860" s="2128">
        <f>IF(CO848=0,0,CO860/CO848)</f>
        <v>0.78027700831024938</v>
      </c>
      <c r="CQ860" s="2127">
        <f>IF(CL860=0,0,CO860/CL860-1)</f>
        <v>0</v>
      </c>
      <c r="CR860" s="2126">
        <f>CR852+CR856-CR857-CR858+CR859</f>
        <v>2816.8</v>
      </c>
      <c r="CS860" s="2128">
        <f>IF(CR848=0,0,CR860/CR848)</f>
        <v>0.78027700831024938</v>
      </c>
      <c r="CT860" s="2127">
        <f>IF(CO860=0,0,CR860/CO860-1)</f>
        <v>0</v>
      </c>
      <c r="CU860" s="2126">
        <f>CU852+CU856-CU857-CU858+CU859</f>
        <v>2816.8</v>
      </c>
      <c r="CV860" s="2128">
        <f>IF(CU848=0,0,CU860/CU848)</f>
        <v>0.78027700831024938</v>
      </c>
      <c r="CW860" s="2127">
        <f>IF(CR860=0,0,CU860/CR860-1)</f>
        <v>0</v>
      </c>
      <c r="CX860" s="2126">
        <f>CX852+CX856-CX857-CX858+CX859</f>
        <v>2816.8</v>
      </c>
      <c r="CY860" s="2128">
        <f>IF(CX848=0,0,CX860/CX848)</f>
        <v>0.78027700831024938</v>
      </c>
      <c r="CZ860" s="2127">
        <f>IF(CU860=0,0,CX860/CU860-1)</f>
        <v>0</v>
      </c>
      <c r="DA860" s="2126">
        <f>DA852+DA856-DA857-DA858+DA859</f>
        <v>2816.8</v>
      </c>
      <c r="DB860" s="2128">
        <f>IF(DA848=0,0,DA860/DA848)</f>
        <v>0.78027700831024938</v>
      </c>
      <c r="DC860" s="2127">
        <f>IF(CX860=0,0,DA860/CX860-1)</f>
        <v>0</v>
      </c>
      <c r="DD860" s="2126">
        <f>DD852+DD856-DD857-DD858+DD859</f>
        <v>2816.8</v>
      </c>
      <c r="DE860" s="2128">
        <f>IF(DD848=0,0,DD860/DD848)</f>
        <v>0.78027700831024938</v>
      </c>
      <c r="DF860" s="2127">
        <f>IF(DA860=0,0,DD860/DA860-1)</f>
        <v>0</v>
      </c>
      <c r="DG860" s="2126">
        <f>DG852+DG856-DG857-DG858+DG859</f>
        <v>2816.8</v>
      </c>
      <c r="DH860" s="2128">
        <f>IF(DG848=0,0,DG860/DG848)</f>
        <v>0.78027700831024938</v>
      </c>
      <c r="DI860" s="2127">
        <f>IF(DD860=0,0,DG860/DD860-1)</f>
        <v>0</v>
      </c>
      <c r="DJ860" s="2126">
        <f>DJ852+DJ856-DJ857-DJ858+DJ859</f>
        <v>2816.8</v>
      </c>
      <c r="DK860" s="2128">
        <f>IF(DJ848=0,0,DJ860/DJ848)</f>
        <v>0.78027700831024938</v>
      </c>
      <c r="DL860" s="2127">
        <f>IF(DG860=0,0,DJ860/DG860-1)</f>
        <v>0</v>
      </c>
      <c r="DM860" s="2126">
        <f>DM852+DM856-DM857-DM858+DM859</f>
        <v>2816.8</v>
      </c>
      <c r="DN860" s="2128">
        <f>IF(DM848=0,0,DM860/DM848)</f>
        <v>0.78027700831024938</v>
      </c>
      <c r="DO860" s="2127">
        <f>IF(DJ860=0,0,DM860/DJ860-1)</f>
        <v>0</v>
      </c>
      <c r="DP860" s="2126">
        <f>DP852+DP856-DP857-DP858+DP859</f>
        <v>2816.8</v>
      </c>
      <c r="DQ860" s="2128">
        <f>IF(DP848=0,0,DP860/DP848)</f>
        <v>0.78027700831024938</v>
      </c>
      <c r="DR860" s="2127">
        <f>IF(DM860=0,0,DP860/DM860-1)</f>
        <v>0</v>
      </c>
      <c r="DS860" s="2126">
        <f>DS852+DS856-DS857-DS858+DS859</f>
        <v>2816.8</v>
      </c>
      <c r="DT860" s="2128">
        <f>IF(DS848=0,0,DS860/DS848)</f>
        <v>0.78027700831024938</v>
      </c>
      <c r="DU860" s="2127">
        <f>IF(DP860=0,0,DS860/DP860-1)</f>
        <v>0</v>
      </c>
      <c r="DV860" s="2129">
        <f>DV852+DV856-DV857-DV858+DV859</f>
        <v>2816.8</v>
      </c>
      <c r="DW860" s="2128">
        <f>IF(DV848=0,0,DV860/DV848)</f>
        <v>0.78027700831024938</v>
      </c>
      <c r="DX860" s="2127">
        <f>IF(DS860=0,0,DV860/DS860-1)</f>
        <v>0</v>
      </c>
      <c r="DY860" s="2105"/>
    </row>
    <row r="861" spans="33:129" s="496" customFormat="1" ht="18" x14ac:dyDescent="0.25">
      <c r="AG861" s="498"/>
      <c r="AO861" s="495"/>
      <c r="AP861" s="495"/>
      <c r="AQ861" s="495"/>
      <c r="AS861" s="500"/>
      <c r="AT861" s="495"/>
      <c r="AV861" s="500"/>
      <c r="AW861" s="495"/>
      <c r="AY861" s="500"/>
      <c r="AZ861" s="500"/>
      <c r="BA861" s="2155" t="s">
        <v>229</v>
      </c>
      <c r="BB861" s="2156"/>
      <c r="BC861" s="2157"/>
      <c r="BD861" s="2158">
        <f t="shared" ref="BD861:BT861" si="812">SUM(BD852:BD860)</f>
        <v>0</v>
      </c>
      <c r="BE861" s="2159">
        <f t="shared" si="812"/>
        <v>-7.1054273576010019E-14</v>
      </c>
      <c r="BF861" s="2159">
        <f t="shared" si="812"/>
        <v>0</v>
      </c>
      <c r="BG861" s="2159">
        <f t="shared" si="812"/>
        <v>0</v>
      </c>
      <c r="BH861" s="2159">
        <f t="shared" si="812"/>
        <v>0</v>
      </c>
      <c r="BI861" s="2159">
        <f t="shared" si="812"/>
        <v>0</v>
      </c>
      <c r="BJ861" s="2159">
        <f t="shared" si="812"/>
        <v>0</v>
      </c>
      <c r="BK861" s="2159">
        <f t="shared" si="812"/>
        <v>0</v>
      </c>
      <c r="BL861" s="2159">
        <f t="shared" si="812"/>
        <v>0</v>
      </c>
      <c r="BM861" s="2159">
        <f t="shared" si="812"/>
        <v>0</v>
      </c>
      <c r="BN861" s="2159">
        <f t="shared" si="812"/>
        <v>0</v>
      </c>
      <c r="BO861" s="2159">
        <f t="shared" si="812"/>
        <v>0</v>
      </c>
      <c r="BP861" s="2159">
        <f t="shared" si="812"/>
        <v>0</v>
      </c>
      <c r="BQ861" s="2159">
        <f t="shared" si="812"/>
        <v>0</v>
      </c>
      <c r="BR861" s="2159">
        <f t="shared" si="812"/>
        <v>0</v>
      </c>
      <c r="BS861" s="2159">
        <f t="shared" si="812"/>
        <v>0</v>
      </c>
      <c r="BT861" s="2159">
        <f t="shared" si="812"/>
        <v>0</v>
      </c>
      <c r="BV861" s="2101"/>
      <c r="BW861" s="603"/>
      <c r="BX861" s="603"/>
      <c r="BY861" s="603"/>
      <c r="BZ861" s="2130" t="s">
        <v>1486</v>
      </c>
      <c r="CA861" s="2131">
        <f>AY678</f>
        <v>0</v>
      </c>
      <c r="CB861" s="2132">
        <f>IF(CA848=0,0,CA861/CA848)</f>
        <v>0</v>
      </c>
      <c r="CC861" s="2131">
        <f>BE678</f>
        <v>0</v>
      </c>
      <c r="CD861" s="2133">
        <f>IF(CC848=0,0,CC861/CC848)</f>
        <v>0</v>
      </c>
      <c r="CE861" s="2132">
        <f>IF(CA861=0,0,IF(ABS(CC861/(CA861*360/$N$17)-1)&gt;10000%,0,CC861/(CA861*360/$N$17)-1))</f>
        <v>0</v>
      </c>
      <c r="CF861" s="2131">
        <f>BF678</f>
        <v>0</v>
      </c>
      <c r="CG861" s="2133">
        <f>IF(CF848=0,0,CF861/CF848)</f>
        <v>0</v>
      </c>
      <c r="CH861" s="2132">
        <f>IF(CC861=0,0,CF861/CC861-1)</f>
        <v>0</v>
      </c>
      <c r="CI861" s="2131">
        <f>BG678</f>
        <v>0</v>
      </c>
      <c r="CJ861" s="2133">
        <f>IF(CI848=0,0,CI861/CI848)</f>
        <v>0</v>
      </c>
      <c r="CK861" s="2132">
        <f>IF(CF861=0,0,CI861/CF861-1)</f>
        <v>0</v>
      </c>
      <c r="CL861" s="2131">
        <f>BH678</f>
        <v>0</v>
      </c>
      <c r="CM861" s="2133">
        <f>IF(CL848=0,0,CL861/CL848)</f>
        <v>0</v>
      </c>
      <c r="CN861" s="2132">
        <f>IF(CI861=0,0,CL861/CI861-1)</f>
        <v>0</v>
      </c>
      <c r="CO861" s="2131">
        <f>BI678</f>
        <v>0</v>
      </c>
      <c r="CP861" s="2133">
        <f>IF(CO848=0,0,CO861/CO848)</f>
        <v>0</v>
      </c>
      <c r="CQ861" s="2132">
        <f>IF(CL861=0,0,CO861/CL861-1)</f>
        <v>0</v>
      </c>
      <c r="CR861" s="2131">
        <f>BJ678</f>
        <v>0</v>
      </c>
      <c r="CS861" s="2133">
        <f>IF(CR848=0,0,CR861/CR848)</f>
        <v>0</v>
      </c>
      <c r="CT861" s="2132">
        <f>IF(CO861=0,0,CR861/CO861-1)</f>
        <v>0</v>
      </c>
      <c r="CU861" s="2131">
        <f>BK678</f>
        <v>0</v>
      </c>
      <c r="CV861" s="2133">
        <f>IF(CU848=0,0,CU861/CU848)</f>
        <v>0</v>
      </c>
      <c r="CW861" s="2132">
        <f>IF(CR861=0,0,CU861/CR861-1)</f>
        <v>0</v>
      </c>
      <c r="CX861" s="2131">
        <f>BL678</f>
        <v>0</v>
      </c>
      <c r="CY861" s="2133">
        <f>IF(CX848=0,0,CX861/CX848)</f>
        <v>0</v>
      </c>
      <c r="CZ861" s="2132">
        <f>IF(CU861=0,0,CX861/CU861-1)</f>
        <v>0</v>
      </c>
      <c r="DA861" s="2131">
        <f>BM678</f>
        <v>0</v>
      </c>
      <c r="DB861" s="2133">
        <f>IF(DA848=0,0,DA861/DA848)</f>
        <v>0</v>
      </c>
      <c r="DC861" s="2132">
        <f>IF(CX861=0,0,DA861/CX861-1)</f>
        <v>0</v>
      </c>
      <c r="DD861" s="2131">
        <f>BN678</f>
        <v>0</v>
      </c>
      <c r="DE861" s="2133">
        <f>IF(DD848=0,0,DD861/DD848)</f>
        <v>0</v>
      </c>
      <c r="DF861" s="2132">
        <f>IF(DA861=0,0,DD861/DA861-1)</f>
        <v>0</v>
      </c>
      <c r="DG861" s="2131">
        <f>BO678</f>
        <v>0</v>
      </c>
      <c r="DH861" s="2133">
        <f>IF(DG848=0,0,DG861/DG848)</f>
        <v>0</v>
      </c>
      <c r="DI861" s="2132">
        <f>IF(DD861=0,0,DG861/DD861-1)</f>
        <v>0</v>
      </c>
      <c r="DJ861" s="2131">
        <f>BP678</f>
        <v>0</v>
      </c>
      <c r="DK861" s="2133">
        <f>IF(DJ848=0,0,DJ861/DJ848)</f>
        <v>0</v>
      </c>
      <c r="DL861" s="2132">
        <f>IF(DG861=0,0,DJ861/DG861-1)</f>
        <v>0</v>
      </c>
      <c r="DM861" s="2131">
        <f>BQ678</f>
        <v>0</v>
      </c>
      <c r="DN861" s="2133">
        <f>IF(DM848=0,0,DM861/DM848)</f>
        <v>0</v>
      </c>
      <c r="DO861" s="2132">
        <f>IF(DJ861=0,0,DM861/DJ861-1)</f>
        <v>0</v>
      </c>
      <c r="DP861" s="2131">
        <f>BR678</f>
        <v>0</v>
      </c>
      <c r="DQ861" s="2133">
        <f>IF(DP848=0,0,DP861/DP848)</f>
        <v>0</v>
      </c>
      <c r="DR861" s="2134">
        <f>IF(DM861=0,0,DP861/DM861-1)</f>
        <v>0</v>
      </c>
      <c r="DS861" s="2131">
        <f>BS678</f>
        <v>0</v>
      </c>
      <c r="DT861" s="2133">
        <f>IF(DS848=0,0,DS861/DS848)</f>
        <v>0</v>
      </c>
      <c r="DU861" s="2132">
        <f>IF(DP861=0,0,DS861/DP861-1)</f>
        <v>0</v>
      </c>
      <c r="DV861" s="2135">
        <f>BT678</f>
        <v>0</v>
      </c>
      <c r="DW861" s="2133">
        <f>IF(DV848=0,0,DV861/DV848)</f>
        <v>0</v>
      </c>
      <c r="DX861" s="2132">
        <f>IF(DS861=0,0,DV861/DS861-1)</f>
        <v>0</v>
      </c>
      <c r="DY861" s="2105"/>
    </row>
    <row r="862" spans="33:129" s="496" customFormat="1" ht="18" x14ac:dyDescent="0.25">
      <c r="AG862" s="498"/>
      <c r="AO862" s="495"/>
      <c r="AP862" s="495"/>
      <c r="AQ862" s="495"/>
      <c r="AS862" s="500"/>
      <c r="AT862" s="495"/>
      <c r="AV862" s="500"/>
      <c r="AW862" s="495"/>
      <c r="AY862" s="500"/>
      <c r="AZ862" s="500"/>
      <c r="BA862"/>
      <c r="BD862"/>
      <c r="BE862"/>
      <c r="BF862"/>
      <c r="BG862"/>
      <c r="BH862"/>
      <c r="BI862"/>
      <c r="BJ862"/>
      <c r="BK862"/>
      <c r="BL862"/>
      <c r="BM862"/>
      <c r="BN862"/>
      <c r="BO862"/>
      <c r="BP862"/>
      <c r="BQ862"/>
      <c r="BR862"/>
      <c r="BS862"/>
      <c r="BT862"/>
      <c r="BV862" s="2101"/>
      <c r="BW862" s="603"/>
      <c r="BX862" s="603"/>
      <c r="BY862" s="603"/>
      <c r="BZ862" s="2160" t="s">
        <v>1487</v>
      </c>
      <c r="CA862" s="2161">
        <f>CA860-CA861</f>
        <v>2810</v>
      </c>
      <c r="CB862" s="2162">
        <f>IF(CA848=0,0,CA862/CA848)</f>
        <v>0.77839335180055402</v>
      </c>
      <c r="CC862" s="2161">
        <f>CC860-CC861</f>
        <v>2812.4</v>
      </c>
      <c r="CD862" s="2163">
        <f>IF(CC848=0,0,CC862/CC848)</f>
        <v>0.77905817174515235</v>
      </c>
      <c r="CE862" s="2162">
        <f>IF(CA862=0,0,IF(ABS(CC862/(CA862*360/$N$17)-1)&gt;10000%,0,CC862/(CA862*360/$N$17)-1))</f>
        <v>8.54092526690442E-4</v>
      </c>
      <c r="CF862" s="2161">
        <f>CF860-CF861</f>
        <v>2812.8</v>
      </c>
      <c r="CG862" s="2163">
        <f>IF(CF848=0,0,CF862/CF848)</f>
        <v>0.77916897506925209</v>
      </c>
      <c r="CH862" s="2162">
        <f>IF(CC862=0,0,CF862/CC862-1)</f>
        <v>1.4222727919221967E-4</v>
      </c>
      <c r="CI862" s="2161">
        <f>CI860-CI861</f>
        <v>2816.8</v>
      </c>
      <c r="CJ862" s="2163">
        <f>IF(CI848=0,0,CI862/CI848)</f>
        <v>0.78027700831024938</v>
      </c>
      <c r="CK862" s="2162">
        <f>IF(CF862=0,0,CI862/CF862-1)</f>
        <v>1.4220705346985607E-3</v>
      </c>
      <c r="CL862" s="2161">
        <f>CL860-CL861</f>
        <v>2816.8</v>
      </c>
      <c r="CM862" s="2163">
        <f>IF(CL848=0,0,CL862/CL848)</f>
        <v>0.78027700831024938</v>
      </c>
      <c r="CN862" s="2162">
        <f>IF(CI862=0,0,CL862/CI862-1)</f>
        <v>0</v>
      </c>
      <c r="CO862" s="2161">
        <f>CO860-CO861</f>
        <v>2816.8</v>
      </c>
      <c r="CP862" s="2163">
        <f>IF(CO848=0,0,CO862/CO848)</f>
        <v>0.78027700831024938</v>
      </c>
      <c r="CQ862" s="2162">
        <f>IF(CL862=0,0,CO862/CL862-1)</f>
        <v>0</v>
      </c>
      <c r="CR862" s="2161">
        <f>CR860-CR861</f>
        <v>2816.8</v>
      </c>
      <c r="CS862" s="2163">
        <f>IF(CR848=0,0,CR862/CR848)</f>
        <v>0.78027700831024938</v>
      </c>
      <c r="CT862" s="2162">
        <f>IF(CO862=0,0,CR862/CO862-1)</f>
        <v>0</v>
      </c>
      <c r="CU862" s="2161">
        <f>CU860-CU861</f>
        <v>2816.8</v>
      </c>
      <c r="CV862" s="2163">
        <f>IF(CU848=0,0,CU862/CU848)</f>
        <v>0.78027700831024938</v>
      </c>
      <c r="CW862" s="2162">
        <f>IF(CR862=0,0,CU862/CR862-1)</f>
        <v>0</v>
      </c>
      <c r="CX862" s="2161">
        <f>CX860-CX861</f>
        <v>2816.8</v>
      </c>
      <c r="CY862" s="2163">
        <f>IF(CX848=0,0,CX862/CX848)</f>
        <v>0.78027700831024938</v>
      </c>
      <c r="CZ862" s="2162">
        <f>IF(CU862=0,0,CX862/CU862-1)</f>
        <v>0</v>
      </c>
      <c r="DA862" s="2161">
        <f>DA860-DA861</f>
        <v>2816.8</v>
      </c>
      <c r="DB862" s="2163">
        <f>IF(DA848=0,0,DA862/DA848)</f>
        <v>0.78027700831024938</v>
      </c>
      <c r="DC862" s="2162">
        <f>IF(CX862=0,0,DA862/CX862-1)</f>
        <v>0</v>
      </c>
      <c r="DD862" s="2161">
        <f>DD860-DD861</f>
        <v>2816.8</v>
      </c>
      <c r="DE862" s="2163">
        <f>IF(DD848=0,0,DD862/DD848)</f>
        <v>0.78027700831024938</v>
      </c>
      <c r="DF862" s="2162">
        <f>IF(DA862=0,0,DD862/DA862-1)</f>
        <v>0</v>
      </c>
      <c r="DG862" s="2161">
        <f>DG860-DG861</f>
        <v>2816.8</v>
      </c>
      <c r="DH862" s="2163">
        <f>IF(DG848=0,0,DG862/DG848)</f>
        <v>0.78027700831024938</v>
      </c>
      <c r="DI862" s="2162">
        <f>IF(DD862=0,0,DG862/DD862-1)</f>
        <v>0</v>
      </c>
      <c r="DJ862" s="2161">
        <f>DJ860-DJ861</f>
        <v>2816.8</v>
      </c>
      <c r="DK862" s="2163">
        <f>IF(DJ848=0,0,DJ862/DJ848)</f>
        <v>0.78027700831024938</v>
      </c>
      <c r="DL862" s="2162">
        <f>IF(DG862=0,0,DJ862/DG862-1)</f>
        <v>0</v>
      </c>
      <c r="DM862" s="2161">
        <f>DM860-DM861</f>
        <v>2816.8</v>
      </c>
      <c r="DN862" s="2163">
        <f>IF(DM848=0,0,DM862/DM848)</f>
        <v>0.78027700831024938</v>
      </c>
      <c r="DO862" s="2162">
        <f>IF(DJ862=0,0,DM862/DJ862-1)</f>
        <v>0</v>
      </c>
      <c r="DP862" s="2161">
        <f>DP860-DP861</f>
        <v>2816.8</v>
      </c>
      <c r="DQ862" s="2163">
        <f>IF(DP848=0,0,DP862/DP848)</f>
        <v>0.78027700831024938</v>
      </c>
      <c r="DR862" s="2162">
        <f>IF(DM862=0,0,DP862/DM862-1)</f>
        <v>0</v>
      </c>
      <c r="DS862" s="2161">
        <f>DS860-DS861</f>
        <v>2816.8</v>
      </c>
      <c r="DT862" s="2163">
        <f>IF(DS848=0,0,DS862/DS848)</f>
        <v>0.78027700831024938</v>
      </c>
      <c r="DU862" s="2162">
        <f>IF(DP862=0,0,DS862/DP862-1)</f>
        <v>0</v>
      </c>
      <c r="DV862" s="2164">
        <f>DV860-DV861</f>
        <v>2816.8</v>
      </c>
      <c r="DW862" s="2163">
        <f>IF(DV848=0,0,DV862/DV848)</f>
        <v>0.78027700831024938</v>
      </c>
      <c r="DX862" s="2162">
        <f>IF(DS862=0,0,DV862/DS862-1)</f>
        <v>0</v>
      </c>
      <c r="DY862" s="2105"/>
    </row>
    <row r="863" spans="33:129" s="496" customFormat="1" ht="16.5" x14ac:dyDescent="0.25">
      <c r="AG863" s="498"/>
      <c r="AO863" s="495"/>
      <c r="AP863" s="495"/>
      <c r="AQ863" s="495"/>
      <c r="AS863" s="500"/>
      <c r="AT863" s="495"/>
      <c r="AV863" s="500"/>
      <c r="AW863" s="495"/>
      <c r="AY863" s="500"/>
      <c r="AZ863" s="500"/>
      <c r="BA863"/>
      <c r="BD863"/>
      <c r="BE863"/>
      <c r="BF863"/>
      <c r="BG863"/>
      <c r="BH863"/>
      <c r="BI863"/>
      <c r="BJ863"/>
      <c r="BK863"/>
      <c r="BL863"/>
      <c r="BM863"/>
      <c r="BN863"/>
      <c r="BO863"/>
      <c r="BP863"/>
      <c r="BQ863"/>
      <c r="BR863"/>
      <c r="BS863"/>
      <c r="BT863"/>
      <c r="BV863" s="2101"/>
      <c r="BW863" s="603"/>
      <c r="BX863" s="603"/>
      <c r="BY863" s="603"/>
      <c r="BZ863" s="2165"/>
      <c r="CA863" s="2166"/>
      <c r="CB863" s="2166"/>
      <c r="CC863" s="2166"/>
      <c r="CD863" s="2166"/>
      <c r="CE863" s="2166"/>
      <c r="CF863" s="2166"/>
      <c r="CG863" s="2166"/>
      <c r="CH863" s="2166"/>
      <c r="CI863" s="2166"/>
      <c r="CJ863" s="2166"/>
      <c r="CK863" s="2166"/>
      <c r="CL863" s="2166"/>
      <c r="CM863" s="2166"/>
      <c r="CN863" s="2166"/>
      <c r="CO863" s="2166"/>
      <c r="CP863" s="2166"/>
      <c r="CQ863" s="2166"/>
      <c r="CR863" s="2166"/>
      <c r="CS863" s="2166"/>
      <c r="CT863" s="2166"/>
      <c r="CU863" s="2166"/>
      <c r="CV863" s="2166"/>
      <c r="CW863" s="2166"/>
      <c r="CX863" s="2166"/>
      <c r="CY863" s="2166"/>
      <c r="CZ863" s="2166"/>
      <c r="DA863" s="2166"/>
      <c r="DB863" s="2166"/>
      <c r="DC863" s="2166"/>
      <c r="DD863" s="2166"/>
      <c r="DE863" s="2166"/>
      <c r="DF863" s="2166"/>
      <c r="DG863" s="2166"/>
      <c r="DH863" s="2166"/>
      <c r="DI863" s="2166"/>
      <c r="DJ863" s="2166"/>
      <c r="DK863" s="2166"/>
      <c r="DL863" s="2166"/>
      <c r="DM863" s="2166"/>
      <c r="DN863" s="2166"/>
      <c r="DO863" s="2166"/>
      <c r="DP863" s="2166"/>
      <c r="DQ863" s="2166"/>
      <c r="DR863" s="2166"/>
      <c r="DS863" s="2166"/>
      <c r="DT863" s="2166"/>
      <c r="DU863" s="2166"/>
      <c r="DV863" s="2167"/>
      <c r="DW863" s="2166"/>
      <c r="DX863" s="2168"/>
      <c r="DY863" s="2105"/>
    </row>
    <row r="864" spans="33:129" s="496" customFormat="1" ht="16.5" x14ac:dyDescent="0.25">
      <c r="AG864" s="498"/>
      <c r="AO864" s="495"/>
      <c r="AP864" s="495"/>
      <c r="AQ864" s="495"/>
      <c r="AS864" s="500"/>
      <c r="AT864" s="495"/>
      <c r="AV864" s="500"/>
      <c r="AW864" s="495"/>
      <c r="AY864" s="500"/>
      <c r="AZ864" s="500"/>
      <c r="BA864" s="156"/>
      <c r="BD864" s="156"/>
      <c r="BE864" s="156"/>
      <c r="BF864" s="156"/>
      <c r="BG864" s="156"/>
      <c r="BH864" s="156"/>
      <c r="BV864" s="2101"/>
      <c r="BW864" s="603"/>
      <c r="BX864" s="603"/>
      <c r="BY864" s="603"/>
      <c r="BZ864" s="2106" t="str">
        <f>IF(ISERROR("FLUJO DE CAJA PROYECTADO - "&amp;AM582&amp;IF(W241=J913," (Cifras en "&amp;IF(AND($V$913&lt;&gt;0,$V$913=$CC$838),"U$ Miles)","$MM)")," - ESCENARIO "&amp;V242&amp;" (Cifras en "&amp;IF(AND($V$913&lt;&gt;0,$V$913=$CC$838),"U$ Miles)","$MM)")))=TRUE,0,"FLUJO DE CAJA PROYECTADO - "&amp;AM582&amp;IF(W241=J913," (Cifras en "&amp;IF(AND($V$913&lt;&gt;0,$V$913=$CC$838),"U$ Miles)","$MM)")," - ESCENARIO "&amp;V242&amp;" (Cifras en "&amp;IF(AND($V$913&lt;&gt;0,$V$913=$CC$838),"U$ Miles)","$MM)")))</f>
        <v>FLUJO DE CAJA PROYECTADO - Prueba Da 27.08.23 - ESCENARIO BASE (Cifras en $MM)</v>
      </c>
      <c r="CA864" s="2107"/>
      <c r="CB864" s="2107"/>
      <c r="CC864" s="2107"/>
      <c r="CD864" s="2107"/>
      <c r="CE864" s="2107"/>
      <c r="CF864" s="2107"/>
      <c r="CG864" s="2107"/>
      <c r="CH864" s="2107"/>
      <c r="CI864" s="2107"/>
      <c r="CJ864" s="2107"/>
      <c r="CK864" s="2107"/>
      <c r="CL864" s="2107"/>
      <c r="CM864" s="2169"/>
      <c r="CN864" s="2169"/>
      <c r="CO864" s="2169"/>
      <c r="CP864" s="2169"/>
      <c r="CQ864" s="2169"/>
      <c r="CR864" s="2169"/>
      <c r="CS864" s="2169"/>
      <c r="CT864" s="2169"/>
      <c r="CU864" s="2169"/>
      <c r="CV864" s="2169"/>
      <c r="CW864" s="2169"/>
      <c r="CX864" s="2169"/>
      <c r="CY864" s="2169"/>
      <c r="CZ864" s="2169"/>
      <c r="DA864" s="2169"/>
      <c r="DB864" s="2169"/>
      <c r="DC864" s="2169"/>
      <c r="DD864" s="2169"/>
      <c r="DE864" s="2169"/>
      <c r="DF864" s="2169"/>
      <c r="DG864" s="2169"/>
      <c r="DH864" s="2169"/>
      <c r="DI864" s="2169"/>
      <c r="DJ864" s="2169"/>
      <c r="DK864" s="2169"/>
      <c r="DL864" s="2169"/>
      <c r="DM864" s="2169"/>
      <c r="DN864" s="2169"/>
      <c r="DO864" s="2169"/>
      <c r="DP864" s="2169"/>
      <c r="DQ864" s="2169"/>
      <c r="DR864" s="2169"/>
      <c r="DS864" s="2169"/>
      <c r="DT864" s="2169"/>
      <c r="DU864" s="2170"/>
      <c r="DV864" s="2169"/>
      <c r="DW864" s="2169"/>
      <c r="DX864" s="2170"/>
      <c r="DY864" s="2105"/>
    </row>
    <row r="865" spans="33:129" s="496" customFormat="1" ht="16.5" x14ac:dyDescent="0.25">
      <c r="AG865" s="498"/>
      <c r="AO865" s="495"/>
      <c r="AP865" s="495"/>
      <c r="AQ865" s="495"/>
      <c r="AS865" s="500"/>
      <c r="AT865" s="495"/>
      <c r="AV865" s="500"/>
      <c r="AW865" s="495"/>
      <c r="AY865" s="500"/>
      <c r="AZ865" s="500"/>
      <c r="BA865"/>
      <c r="BD865"/>
      <c r="BE865"/>
      <c r="BF865"/>
      <c r="BG865"/>
      <c r="BH865"/>
      <c r="BI865"/>
      <c r="BJ865"/>
      <c r="BK865"/>
      <c r="BL865"/>
      <c r="BM865"/>
      <c r="BN865"/>
      <c r="BO865"/>
      <c r="BP865"/>
      <c r="BQ865"/>
      <c r="BR865"/>
      <c r="BS865"/>
      <c r="BT865"/>
      <c r="BV865" s="2101"/>
      <c r="BW865" s="603"/>
      <c r="BX865" s="603"/>
      <c r="BY865" s="603"/>
      <c r="BZ865" s="2171" t="s">
        <v>536</v>
      </c>
      <c r="CA865" s="2117">
        <f>AY583</f>
        <v>2021</v>
      </c>
      <c r="CB865" s="2118"/>
      <c r="CC865" s="2117">
        <f>BE583</f>
        <v>2022</v>
      </c>
      <c r="CD865" s="2118"/>
      <c r="CE865" s="2117"/>
      <c r="CF865" s="2117">
        <f>BF583</f>
        <v>2023</v>
      </c>
      <c r="CG865" s="2118"/>
      <c r="CH865" s="2117"/>
      <c r="CI865" s="2117">
        <f>BG583</f>
        <v>2024</v>
      </c>
      <c r="CJ865" s="2118"/>
      <c r="CK865" s="2117"/>
      <c r="CL865" s="2117">
        <f>BH583</f>
        <v>2025</v>
      </c>
      <c r="CM865" s="2118"/>
      <c r="CN865" s="2117"/>
      <c r="CO865" s="2117">
        <f>BI583</f>
        <v>2026</v>
      </c>
      <c r="CP865" s="2118"/>
      <c r="CQ865" s="2117"/>
      <c r="CR865" s="2117">
        <f>BJ583</f>
        <v>2027</v>
      </c>
      <c r="CS865" s="2118"/>
      <c r="CT865" s="2117"/>
      <c r="CU865" s="2117">
        <f>BK583</f>
        <v>2028</v>
      </c>
      <c r="CV865" s="2118"/>
      <c r="CW865" s="2117"/>
      <c r="CX865" s="2117">
        <f>BL583</f>
        <v>2029</v>
      </c>
      <c r="CY865" s="2118"/>
      <c r="CZ865" s="2117"/>
      <c r="DA865" s="2117">
        <f>BM583</f>
        <v>2030</v>
      </c>
      <c r="DB865" s="2118"/>
      <c r="DC865" s="2117"/>
      <c r="DD865" s="2117">
        <f>BN583</f>
        <v>2031</v>
      </c>
      <c r="DE865" s="2118"/>
      <c r="DF865" s="2117"/>
      <c r="DG865" s="2117">
        <f>BO583</f>
        <v>2032</v>
      </c>
      <c r="DH865" s="2118"/>
      <c r="DI865" s="2117"/>
      <c r="DJ865" s="2117">
        <f>BP583</f>
        <v>2033</v>
      </c>
      <c r="DK865" s="2118"/>
      <c r="DL865" s="2117"/>
      <c r="DM865" s="2117">
        <f>BQ583</f>
        <v>2034</v>
      </c>
      <c r="DN865" s="2118"/>
      <c r="DO865" s="2117"/>
      <c r="DP865" s="2117">
        <f>BR583</f>
        <v>2035</v>
      </c>
      <c r="DQ865" s="2118"/>
      <c r="DR865" s="2117"/>
      <c r="DS865" s="2117">
        <f>BS583</f>
        <v>2036</v>
      </c>
      <c r="DT865" s="2118"/>
      <c r="DU865" s="2117"/>
      <c r="DV865" s="2119">
        <f>BT583</f>
        <v>2037</v>
      </c>
      <c r="DW865" s="2118"/>
      <c r="DX865" s="2117"/>
      <c r="DY865" s="2105"/>
    </row>
    <row r="866" spans="33:129" s="496" customFormat="1" ht="16.5" x14ac:dyDescent="0.25">
      <c r="AG866" s="498"/>
      <c r="AO866" s="495"/>
      <c r="AP866" s="495"/>
      <c r="AQ866" s="495"/>
      <c r="AS866" s="500"/>
      <c r="AT866" s="495"/>
      <c r="AV866" s="500"/>
      <c r="AW866" s="495"/>
      <c r="AY866" s="500"/>
      <c r="AZ866" s="500"/>
      <c r="BA866" s="2172" t="s">
        <v>1488</v>
      </c>
      <c r="BD866" s="2173"/>
      <c r="BE866"/>
      <c r="BF866"/>
      <c r="BG866"/>
      <c r="BH866"/>
      <c r="BI866"/>
      <c r="BJ866"/>
      <c r="BK866"/>
      <c r="BL866"/>
      <c r="BM866"/>
      <c r="BN866"/>
      <c r="BO866"/>
      <c r="BP866"/>
      <c r="BQ866"/>
      <c r="BR866"/>
      <c r="BS866"/>
      <c r="BT866"/>
      <c r="BV866" s="2101"/>
      <c r="BW866" s="603"/>
      <c r="BX866" s="603"/>
      <c r="BY866" s="603"/>
      <c r="BZ866" s="2174"/>
      <c r="CA866" s="2123" t="str">
        <f>$CA$847</f>
        <v>$MM</v>
      </c>
      <c r="CB866" s="2122" t="s">
        <v>1473</v>
      </c>
      <c r="CC866" s="2123" t="str">
        <f>$CA$847</f>
        <v>$MM</v>
      </c>
      <c r="CD866" s="2124" t="s">
        <v>1474</v>
      </c>
      <c r="CE866" s="2122" t="s">
        <v>1475</v>
      </c>
      <c r="CF866" s="2123" t="str">
        <f>$CA$847</f>
        <v>$MM</v>
      </c>
      <c r="CG866" s="2124" t="s">
        <v>1474</v>
      </c>
      <c r="CH866" s="2122" t="s">
        <v>1475</v>
      </c>
      <c r="CI866" s="2123" t="str">
        <f>$CA$847</f>
        <v>$MM</v>
      </c>
      <c r="CJ866" s="2124" t="s">
        <v>1474</v>
      </c>
      <c r="CK866" s="2122" t="s">
        <v>1475</v>
      </c>
      <c r="CL866" s="2123" t="str">
        <f>$CA$847</f>
        <v>$MM</v>
      </c>
      <c r="CM866" s="2124" t="s">
        <v>1474</v>
      </c>
      <c r="CN866" s="2122" t="s">
        <v>1475</v>
      </c>
      <c r="CO866" s="2123" t="str">
        <f>$CA$847</f>
        <v>$MM</v>
      </c>
      <c r="CP866" s="2124" t="s">
        <v>1474</v>
      </c>
      <c r="CQ866" s="2122" t="s">
        <v>1475</v>
      </c>
      <c r="CR866" s="2123" t="str">
        <f>$CA$847</f>
        <v>$MM</v>
      </c>
      <c r="CS866" s="2124" t="s">
        <v>1474</v>
      </c>
      <c r="CT866" s="2122" t="s">
        <v>1475</v>
      </c>
      <c r="CU866" s="2123" t="str">
        <f>$CA$847</f>
        <v>$MM</v>
      </c>
      <c r="CV866" s="2124" t="s">
        <v>1474</v>
      </c>
      <c r="CW866" s="2122" t="s">
        <v>1475</v>
      </c>
      <c r="CX866" s="2123" t="str">
        <f>$CA$847</f>
        <v>$MM</v>
      </c>
      <c r="CY866" s="2124" t="s">
        <v>1474</v>
      </c>
      <c r="CZ866" s="2122" t="s">
        <v>1475</v>
      </c>
      <c r="DA866" s="2123" t="str">
        <f>$CA$847</f>
        <v>$MM</v>
      </c>
      <c r="DB866" s="2124" t="s">
        <v>1474</v>
      </c>
      <c r="DC866" s="2122" t="s">
        <v>1475</v>
      </c>
      <c r="DD866" s="2123" t="str">
        <f>$CA$847</f>
        <v>$MM</v>
      </c>
      <c r="DE866" s="2124" t="s">
        <v>1474</v>
      </c>
      <c r="DF866" s="2122" t="s">
        <v>1475</v>
      </c>
      <c r="DG866" s="2123" t="str">
        <f>$CA$847</f>
        <v>$MM</v>
      </c>
      <c r="DH866" s="2124" t="s">
        <v>1474</v>
      </c>
      <c r="DI866" s="2122" t="s">
        <v>1475</v>
      </c>
      <c r="DJ866" s="2123" t="str">
        <f>$CA$847</f>
        <v>$MM</v>
      </c>
      <c r="DK866" s="2124" t="s">
        <v>1474</v>
      </c>
      <c r="DL866" s="2122" t="s">
        <v>1475</v>
      </c>
      <c r="DM866" s="2123" t="str">
        <f>$CA$847</f>
        <v>$MM</v>
      </c>
      <c r="DN866" s="2124" t="s">
        <v>1474</v>
      </c>
      <c r="DO866" s="2122" t="s">
        <v>1475</v>
      </c>
      <c r="DP866" s="2123" t="str">
        <f>$CA$847</f>
        <v>$MM</v>
      </c>
      <c r="DQ866" s="2124" t="s">
        <v>1474</v>
      </c>
      <c r="DR866" s="2122" t="s">
        <v>1475</v>
      </c>
      <c r="DS866" s="2123" t="str">
        <f>$CA$847</f>
        <v>$MM</v>
      </c>
      <c r="DT866" s="2124" t="s">
        <v>1474</v>
      </c>
      <c r="DU866" s="2122" t="s">
        <v>1475</v>
      </c>
      <c r="DV866" s="2124" t="str">
        <f>$CA$847</f>
        <v>$MM</v>
      </c>
      <c r="DW866" s="2124" t="s">
        <v>1474</v>
      </c>
      <c r="DX866" s="2122" t="s">
        <v>1475</v>
      </c>
      <c r="DY866" s="2105"/>
    </row>
    <row r="867" spans="33:129" s="496" customFormat="1" ht="18" x14ac:dyDescent="0.25">
      <c r="AG867" s="498"/>
      <c r="AO867" s="495"/>
      <c r="AP867" s="495"/>
      <c r="AQ867" s="495"/>
      <c r="AS867" s="500"/>
      <c r="AT867" s="495"/>
      <c r="AV867" s="500"/>
      <c r="AW867" s="495"/>
      <c r="AY867" s="500"/>
      <c r="AZ867" s="500"/>
      <c r="BA867" s="2138" t="str">
        <f>AM790</f>
        <v>+ / - PASIVOS DIFERIDOS C.P.</v>
      </c>
      <c r="BB867" s="1860"/>
      <c r="BC867" s="2139"/>
      <c r="BD867" s="2175">
        <f>AY790</f>
        <v>0</v>
      </c>
      <c r="BE867" s="2140">
        <f t="shared" ref="BE867:BT867" si="813">BE790</f>
        <v>0</v>
      </c>
      <c r="BF867" s="2140">
        <f t="shared" si="813"/>
        <v>0</v>
      </c>
      <c r="BG867" s="2140">
        <f t="shared" si="813"/>
        <v>0</v>
      </c>
      <c r="BH867" s="2140">
        <f t="shared" si="813"/>
        <v>0</v>
      </c>
      <c r="BI867" s="2140">
        <f t="shared" si="813"/>
        <v>0</v>
      </c>
      <c r="BJ867" s="2140">
        <f t="shared" si="813"/>
        <v>0</v>
      </c>
      <c r="BK867" s="2140">
        <f t="shared" si="813"/>
        <v>0</v>
      </c>
      <c r="BL867" s="2140">
        <f t="shared" si="813"/>
        <v>0</v>
      </c>
      <c r="BM867" s="2140">
        <f t="shared" si="813"/>
        <v>0</v>
      </c>
      <c r="BN867" s="2140">
        <f t="shared" si="813"/>
        <v>0</v>
      </c>
      <c r="BO867" s="2140">
        <f t="shared" si="813"/>
        <v>0</v>
      </c>
      <c r="BP867" s="2140">
        <f t="shared" si="813"/>
        <v>0</v>
      </c>
      <c r="BQ867" s="2140">
        <f t="shared" si="813"/>
        <v>0</v>
      </c>
      <c r="BR867" s="2140">
        <f t="shared" si="813"/>
        <v>0</v>
      </c>
      <c r="BS867" s="2140">
        <f t="shared" si="813"/>
        <v>0</v>
      </c>
      <c r="BT867" s="2140">
        <f t="shared" si="813"/>
        <v>0</v>
      </c>
      <c r="BV867" s="2101"/>
      <c r="BW867" s="603"/>
      <c r="BX867" s="603"/>
      <c r="BY867" s="603"/>
      <c r="BZ867" s="2125" t="s">
        <v>881</v>
      </c>
      <c r="CA867" s="2126">
        <f>CA854</f>
        <v>2850</v>
      </c>
      <c r="CB867" s="2127">
        <f>IF(CA867=0,0,CA867/CA867)</f>
        <v>1</v>
      </c>
      <c r="CC867" s="2129">
        <f>CC854</f>
        <v>2863.2</v>
      </c>
      <c r="CD867" s="2128">
        <f>IF(CC867=0,0,CC867/CC867)</f>
        <v>1</v>
      </c>
      <c r="CE867" s="2127">
        <f>IF(CA867=0,0,IF(ABS(CC867/(CA867*360/$N$17)-1)&gt;10000%,0,CC867/(CA867*360/$N$17)-1))</f>
        <v>4.63157894736832E-3</v>
      </c>
      <c r="CF867" s="2129">
        <f>CF854</f>
        <v>2876.4</v>
      </c>
      <c r="CG867" s="2128">
        <f>IF(CF867=0,0,CF867/CF867)</f>
        <v>1</v>
      </c>
      <c r="CH867" s="2127">
        <f t="shared" ref="CH867:CH872" si="814">IF(CC867=0,0,IF(ABS(CF867/CC867-1)&gt;10000%,0,CF867/CC867-1))</f>
        <v>4.6102263202012495E-3</v>
      </c>
      <c r="CI867" s="2129">
        <f>CI854</f>
        <v>2889.6</v>
      </c>
      <c r="CJ867" s="2128">
        <f>IF(CI867=0,0,CI867/CI867)</f>
        <v>1</v>
      </c>
      <c r="CK867" s="2127">
        <f t="shared" ref="CK867:CK872" si="815">IF(CF867=0,0,IF(ABS(CI867/CF867-1)&gt;10000%,0,CI867/CF867-1))</f>
        <v>4.5890696704213862E-3</v>
      </c>
      <c r="CL867" s="2129">
        <f>CL854</f>
        <v>2902.8</v>
      </c>
      <c r="CM867" s="2128">
        <f>IF(CL867=0,0,CL867/CL867)</f>
        <v>1</v>
      </c>
      <c r="CN867" s="2127">
        <f t="shared" ref="CN867:CN872" si="816">IF(CI867=0,0,IF(ABS(CL867/CI867-1)&gt;10000%,0,CL867/CI867-1))</f>
        <v>4.5681063122924304E-3</v>
      </c>
      <c r="CO867" s="2129">
        <f>CO854</f>
        <v>2916</v>
      </c>
      <c r="CP867" s="2128">
        <f>IF(CO867=0,0,CO867/CO867)</f>
        <v>1</v>
      </c>
      <c r="CQ867" s="2127">
        <f t="shared" ref="CQ867:CQ872" si="817">IF(CL867=0,0,IF(ABS(CO867/CL867-1)&gt;10000%,0,CO867/CL867-1))</f>
        <v>4.5473336089292271E-3</v>
      </c>
      <c r="CR867" s="2129">
        <f>CR854</f>
        <v>2929.2</v>
      </c>
      <c r="CS867" s="2128">
        <f>IF(CR867=0,0,CR867/CR867)</f>
        <v>1</v>
      </c>
      <c r="CT867" s="2127">
        <f t="shared" ref="CT867:CT872" si="818">IF(CO867=0,0,IF(ABS(CR867/CO867-1)&gt;10000%,0,CR867/CO867-1))</f>
        <v>4.5267489711933173E-3</v>
      </c>
      <c r="CU867" s="2129">
        <f>CU854</f>
        <v>2942.4</v>
      </c>
      <c r="CV867" s="2128">
        <f>IF(CU867=0,0,CU867/CU867)</f>
        <v>1</v>
      </c>
      <c r="CW867" s="2127">
        <f t="shared" ref="CW867:CW872" si="819">IF(CR867=0,0,IF(ABS(CU867/CR867-1)&gt;10000%,0,CU867/CR867-1))</f>
        <v>4.506349856616243E-3</v>
      </c>
      <c r="CX867" s="2129">
        <f>CX854</f>
        <v>2955.6</v>
      </c>
      <c r="CY867" s="2128">
        <f>IF(CX867=0,0,CX867/CX867)</f>
        <v>1</v>
      </c>
      <c r="CZ867" s="2127">
        <f t="shared" ref="CZ867:CZ872" si="820">IF(CU867=0,0,IF(ABS(CX867/CU867-1)&gt;10000%,0,CX867/CU867-1))</f>
        <v>4.486133768352385E-3</v>
      </c>
      <c r="DA867" s="2129">
        <f>DA854</f>
        <v>2968.8</v>
      </c>
      <c r="DB867" s="2128">
        <f>IF(DA867=0,0,DA867/DA867)</f>
        <v>1</v>
      </c>
      <c r="DC867" s="2127">
        <f t="shared" ref="DC867:DC872" si="821">IF(CX867=0,0,IF(ABS(DA867/CX867-1)&gt;10000%,0,DA867/CX867-1))</f>
        <v>4.4660982541617766E-3</v>
      </c>
      <c r="DD867" s="2129">
        <f>DD854</f>
        <v>2982</v>
      </c>
      <c r="DE867" s="2128">
        <f>IF(DD867=0,0,DD867/DD867)</f>
        <v>1</v>
      </c>
      <c r="DF867" s="2127">
        <f t="shared" ref="DF867:DF872" si="822">IF(DA867=0,0,IF(ABS(DD867/DA867-1)&gt;10000%,0,DD867/DA867-1))</f>
        <v>4.4462409054162322E-3</v>
      </c>
      <c r="DG867" s="2129">
        <f>DG854</f>
        <v>2995.2</v>
      </c>
      <c r="DH867" s="2128">
        <f>IF(DG867=0,0,DG867/DG867)</f>
        <v>1</v>
      </c>
      <c r="DI867" s="2127">
        <f t="shared" ref="DI867:DI872" si="823">IF(DD867=0,0,IF(ABS(DG867/DD867-1)&gt;10000%,0,DG867/DD867-1))</f>
        <v>4.4265593561367833E-3</v>
      </c>
      <c r="DJ867" s="2129">
        <f>DJ854</f>
        <v>3008.4</v>
      </c>
      <c r="DK867" s="2128">
        <f>IF(DJ867=0,0,DJ867/DJ867)</f>
        <v>1</v>
      </c>
      <c r="DL867" s="2127">
        <f t="shared" ref="DL867:DL872" si="824">IF(DG867=0,0,IF(ABS(DJ867/DG867-1)&gt;10000%,0,DJ867/DG867-1))</f>
        <v>4.4070512820513219E-3</v>
      </c>
      <c r="DM867" s="2129">
        <f>DM854</f>
        <v>3021.6</v>
      </c>
      <c r="DN867" s="2128">
        <f>IF(DM867=0,0,DM867/DM867)</f>
        <v>1</v>
      </c>
      <c r="DO867" s="2127">
        <f t="shared" ref="DO867:DO872" si="825">IF(DJ867=0,0,IF(ABS(DM867/DJ867-1)&gt;10000%,0,DM867/DJ867-1))</f>
        <v>4.3877143996808865E-3</v>
      </c>
      <c r="DP867" s="2129">
        <f>DP854</f>
        <v>3034.7999999999997</v>
      </c>
      <c r="DQ867" s="2128">
        <f>IF(DP867=0,0,DP867/DP867)</f>
        <v>1</v>
      </c>
      <c r="DR867" s="2127">
        <f t="shared" ref="DR867:DR872" si="826">IF(DM867=0,0,IF(ABS(DP867/DM867-1)&gt;10000%,0,DP867/DM867-1))</f>
        <v>4.3685464654488193E-3</v>
      </c>
      <c r="DS867" s="2129">
        <f>DS854</f>
        <v>3048</v>
      </c>
      <c r="DT867" s="2128">
        <f>IF(DS867=0,0,DS867/DS867)</f>
        <v>1</v>
      </c>
      <c r="DU867" s="2127">
        <f t="shared" ref="DU867:DU872" si="827">IF(DP867=0,0,IF(ABS(DS867/DP867-1)&gt;10000%,0,DS867/DP867-1))</f>
        <v>4.3495452748123498E-3</v>
      </c>
      <c r="DV867" s="2129">
        <f>DV854</f>
        <v>3061.2</v>
      </c>
      <c r="DW867" s="2128">
        <f>IF(DV867=0,0,DV867/DV867)</f>
        <v>1</v>
      </c>
      <c r="DX867" s="2127">
        <f t="shared" ref="DX867:DX872" si="828">IF(DS867=0,0,IF(ABS(DV867/DS867-1)&gt;10000%,0,DV867/DS867-1))</f>
        <v>4.3307086614172707E-3</v>
      </c>
      <c r="DY867" s="2105"/>
    </row>
    <row r="868" spans="33:129" s="496" customFormat="1" ht="18" x14ac:dyDescent="0.25">
      <c r="AG868" s="498"/>
      <c r="AO868" s="495"/>
      <c r="AP868" s="495"/>
      <c r="AQ868" s="495"/>
      <c r="AS868" s="500"/>
      <c r="AT868" s="495"/>
      <c r="AV868" s="500"/>
      <c r="AW868" s="495"/>
      <c r="AY868" s="500"/>
      <c r="AZ868" s="500"/>
      <c r="BA868" s="2138" t="str">
        <f>AM791</f>
        <v>+ / - DEUDAS CON SOCIOS  C.P.</v>
      </c>
      <c r="BB868" s="1860"/>
      <c r="BC868" s="2139"/>
      <c r="BD868" s="2140">
        <f>AY791</f>
        <v>0</v>
      </c>
      <c r="BE868" s="2140">
        <f t="shared" ref="BE868:BT868" si="829">BE791</f>
        <v>0</v>
      </c>
      <c r="BF868" s="2140">
        <f t="shared" si="829"/>
        <v>0</v>
      </c>
      <c r="BG868" s="2140">
        <f t="shared" si="829"/>
        <v>0</v>
      </c>
      <c r="BH868" s="2140">
        <f t="shared" si="829"/>
        <v>0</v>
      </c>
      <c r="BI868" s="2140">
        <f t="shared" si="829"/>
        <v>0</v>
      </c>
      <c r="BJ868" s="2140">
        <f t="shared" si="829"/>
        <v>0</v>
      </c>
      <c r="BK868" s="2140">
        <f t="shared" si="829"/>
        <v>0</v>
      </c>
      <c r="BL868" s="2140">
        <f t="shared" si="829"/>
        <v>0</v>
      </c>
      <c r="BM868" s="2140">
        <f t="shared" si="829"/>
        <v>0</v>
      </c>
      <c r="BN868" s="2140">
        <f t="shared" si="829"/>
        <v>0</v>
      </c>
      <c r="BO868" s="2140">
        <f t="shared" si="829"/>
        <v>0</v>
      </c>
      <c r="BP868" s="2140">
        <f t="shared" si="829"/>
        <v>0</v>
      </c>
      <c r="BQ868" s="2140">
        <f t="shared" si="829"/>
        <v>0</v>
      </c>
      <c r="BR868" s="2140">
        <f t="shared" si="829"/>
        <v>0</v>
      </c>
      <c r="BS868" s="2140">
        <f t="shared" si="829"/>
        <v>0</v>
      </c>
      <c r="BT868" s="2140">
        <f t="shared" si="829"/>
        <v>0</v>
      </c>
      <c r="BV868" s="2101"/>
      <c r="BW868" s="603"/>
      <c r="BX868" s="603"/>
      <c r="BY868" s="603"/>
      <c r="BZ868" s="2130" t="s">
        <v>811</v>
      </c>
      <c r="CA868" s="2131">
        <f>AY768</f>
        <v>0</v>
      </c>
      <c r="CB868" s="2132">
        <f>IF(CA867=0,0,CA868/CA867)</f>
        <v>0</v>
      </c>
      <c r="CC868" s="2135">
        <f>BE768</f>
        <v>0</v>
      </c>
      <c r="CD868" s="2133">
        <f>IF(CC867=0,0,CC868/CC867)</f>
        <v>0</v>
      </c>
      <c r="CE868" s="2132">
        <f>IF(CA868=0,0,IF(ABS(CC868/(CA868*360/$N$17)-1)&gt;10000%,0,CC868/(CA868*360/$N$17)-1))</f>
        <v>0</v>
      </c>
      <c r="CF868" s="2135">
        <f>BF768</f>
        <v>0</v>
      </c>
      <c r="CG868" s="2133">
        <f>IF(CF867=0,0,CF868/CF867)</f>
        <v>0</v>
      </c>
      <c r="CH868" s="2132">
        <f t="shared" si="814"/>
        <v>0</v>
      </c>
      <c r="CI868" s="2135">
        <f>BG768</f>
        <v>0</v>
      </c>
      <c r="CJ868" s="2133">
        <f>IF(CI867=0,0,CI868/CI867)</f>
        <v>0</v>
      </c>
      <c r="CK868" s="2132">
        <f t="shared" si="815"/>
        <v>0</v>
      </c>
      <c r="CL868" s="2135">
        <f>BH768</f>
        <v>0</v>
      </c>
      <c r="CM868" s="2133">
        <f>IF(CL867=0,0,CL868/CL867)</f>
        <v>0</v>
      </c>
      <c r="CN868" s="2132">
        <f t="shared" si="816"/>
        <v>0</v>
      </c>
      <c r="CO868" s="2135">
        <f>BI768</f>
        <v>0</v>
      </c>
      <c r="CP868" s="2133">
        <f>IF(CO867=0,0,CO868/CO867)</f>
        <v>0</v>
      </c>
      <c r="CQ868" s="2132">
        <f t="shared" si="817"/>
        <v>0</v>
      </c>
      <c r="CR868" s="2135">
        <f>BJ768</f>
        <v>0</v>
      </c>
      <c r="CS868" s="2133">
        <f>IF(CR867=0,0,CR868/CR867)</f>
        <v>0</v>
      </c>
      <c r="CT868" s="2132">
        <f t="shared" si="818"/>
        <v>0</v>
      </c>
      <c r="CU868" s="2135">
        <f>BK768</f>
        <v>0</v>
      </c>
      <c r="CV868" s="2133">
        <f>IF(CU867=0,0,CU868/CU867)</f>
        <v>0</v>
      </c>
      <c r="CW868" s="2132">
        <f t="shared" si="819"/>
        <v>0</v>
      </c>
      <c r="CX868" s="2135">
        <f>BL768</f>
        <v>0</v>
      </c>
      <c r="CY868" s="2133">
        <f>IF(CX867=0,0,CX868/CX867)</f>
        <v>0</v>
      </c>
      <c r="CZ868" s="2132">
        <f t="shared" si="820"/>
        <v>0</v>
      </c>
      <c r="DA868" s="2135">
        <f>BM768</f>
        <v>0</v>
      </c>
      <c r="DB868" s="2133">
        <f>IF(DA867=0,0,DA868/DA867)</f>
        <v>0</v>
      </c>
      <c r="DC868" s="2132">
        <f t="shared" si="821"/>
        <v>0</v>
      </c>
      <c r="DD868" s="2135">
        <f>BN768</f>
        <v>0</v>
      </c>
      <c r="DE868" s="2133">
        <f>IF(DD867=0,0,DD868/DD867)</f>
        <v>0</v>
      </c>
      <c r="DF868" s="2132">
        <f t="shared" si="822"/>
        <v>0</v>
      </c>
      <c r="DG868" s="2135">
        <f>BO768</f>
        <v>0</v>
      </c>
      <c r="DH868" s="2133">
        <f>IF(DG867=0,0,DG868/DG867)</f>
        <v>0</v>
      </c>
      <c r="DI868" s="2132">
        <f t="shared" si="823"/>
        <v>0</v>
      </c>
      <c r="DJ868" s="2135">
        <f>BP768</f>
        <v>0</v>
      </c>
      <c r="DK868" s="2133">
        <f>IF(DJ867=0,0,DJ868/DJ867)</f>
        <v>0</v>
      </c>
      <c r="DL868" s="2132">
        <f t="shared" si="824"/>
        <v>0</v>
      </c>
      <c r="DM868" s="2135">
        <f>BQ768</f>
        <v>0</v>
      </c>
      <c r="DN868" s="2133">
        <f>IF(DM867=0,0,DM868/DM867)</f>
        <v>0</v>
      </c>
      <c r="DO868" s="2132">
        <f t="shared" si="825"/>
        <v>0</v>
      </c>
      <c r="DP868" s="2135">
        <f>BR768</f>
        <v>0</v>
      </c>
      <c r="DQ868" s="2133">
        <f>IF(DP867=0,0,DP868/DP867)</f>
        <v>0</v>
      </c>
      <c r="DR868" s="2134">
        <f t="shared" si="826"/>
        <v>0</v>
      </c>
      <c r="DS868" s="2135">
        <f>BS768</f>
        <v>0</v>
      </c>
      <c r="DT868" s="2133">
        <f>IF(DS867=0,0,DS868/DS867)</f>
        <v>0</v>
      </c>
      <c r="DU868" s="2132">
        <f t="shared" si="827"/>
        <v>0</v>
      </c>
      <c r="DV868" s="2135">
        <f>BT768</f>
        <v>0</v>
      </c>
      <c r="DW868" s="2133">
        <f>IF(DV867=0,0,DV868/DV867)</f>
        <v>0</v>
      </c>
      <c r="DX868" s="2132">
        <f t="shared" si="828"/>
        <v>0</v>
      </c>
      <c r="DY868" s="2105"/>
    </row>
    <row r="869" spans="33:129" s="568" customFormat="1" ht="18" x14ac:dyDescent="0.25">
      <c r="AG869" s="2176"/>
      <c r="AK869" s="496"/>
      <c r="AL869" s="496"/>
      <c r="AM869" s="496"/>
      <c r="AN869" s="496"/>
      <c r="AO869" s="495"/>
      <c r="AP869" s="495"/>
      <c r="AQ869" s="495"/>
      <c r="AR869" s="496"/>
      <c r="AS869" s="500"/>
      <c r="AT869" s="495"/>
      <c r="AU869" s="496"/>
      <c r="AV869" s="500"/>
      <c r="AW869" s="495"/>
      <c r="AX869" s="496"/>
      <c r="AY869" s="500"/>
      <c r="AZ869" s="500"/>
      <c r="BA869" s="2138" t="str">
        <f>AM792</f>
        <v>+ / - PASIVOS ESTIMADOS Y PROVISIONES</v>
      </c>
      <c r="BB869" s="1860"/>
      <c r="BC869" s="2139"/>
      <c r="BD869" s="2140">
        <f>AY792</f>
        <v>0</v>
      </c>
      <c r="BE869" s="2140">
        <f t="shared" ref="BE869:BT869" si="830">BE792</f>
        <v>0</v>
      </c>
      <c r="BF869" s="2140">
        <f t="shared" si="830"/>
        <v>0</v>
      </c>
      <c r="BG869" s="2140">
        <f t="shared" si="830"/>
        <v>0</v>
      </c>
      <c r="BH869" s="2140">
        <f t="shared" si="830"/>
        <v>0</v>
      </c>
      <c r="BI869" s="2140">
        <f t="shared" si="830"/>
        <v>0</v>
      </c>
      <c r="BJ869" s="2140">
        <f t="shared" si="830"/>
        <v>0</v>
      </c>
      <c r="BK869" s="2140">
        <f t="shared" si="830"/>
        <v>0</v>
      </c>
      <c r="BL869" s="2140">
        <f t="shared" si="830"/>
        <v>0</v>
      </c>
      <c r="BM869" s="2140">
        <f t="shared" si="830"/>
        <v>0</v>
      </c>
      <c r="BN869" s="2140">
        <f t="shared" si="830"/>
        <v>0</v>
      </c>
      <c r="BO869" s="2140">
        <f t="shared" si="830"/>
        <v>0</v>
      </c>
      <c r="BP869" s="2140">
        <f t="shared" si="830"/>
        <v>0</v>
      </c>
      <c r="BQ869" s="2140">
        <f t="shared" si="830"/>
        <v>0</v>
      </c>
      <c r="BR869" s="2140">
        <f t="shared" si="830"/>
        <v>0</v>
      </c>
      <c r="BS869" s="2140">
        <f t="shared" si="830"/>
        <v>0</v>
      </c>
      <c r="BT869" s="2140">
        <f t="shared" si="830"/>
        <v>0</v>
      </c>
      <c r="BU869" s="496"/>
      <c r="BV869" s="2177"/>
      <c r="BW869" s="2178"/>
      <c r="BX869" s="2178"/>
      <c r="BY869" s="2178"/>
      <c r="BZ869" s="2179" t="s">
        <v>1489</v>
      </c>
      <c r="CA869" s="2180">
        <f>AY779</f>
        <v>0</v>
      </c>
      <c r="CB869" s="2181">
        <f>IF(CA867=0,0,CA869/CA867)</f>
        <v>0</v>
      </c>
      <c r="CC869" s="2182">
        <f>BE779</f>
        <v>-7.1054273576010019E-14</v>
      </c>
      <c r="CD869" s="2183">
        <f>IF(CC867=0,0,CC869/CC867)</f>
        <v>-2.481638501537092E-17</v>
      </c>
      <c r="CE869" s="2181">
        <f>IF(CA869=0,0,IF(ABS(CC869/CA869-1)&gt;10000%,0,CC869/CA869-1))</f>
        <v>0</v>
      </c>
      <c r="CF869" s="2182">
        <f>BF779</f>
        <v>0</v>
      </c>
      <c r="CG869" s="2183">
        <f>IF(CF867=0,0,CF869/CF867)</f>
        <v>0</v>
      </c>
      <c r="CH869" s="2181">
        <f t="shared" si="814"/>
        <v>-1</v>
      </c>
      <c r="CI869" s="2182">
        <f>BG779</f>
        <v>0</v>
      </c>
      <c r="CJ869" s="2183">
        <f>IF(CI867=0,0,CI869/CI867)</f>
        <v>0</v>
      </c>
      <c r="CK869" s="2181">
        <f t="shared" si="815"/>
        <v>0</v>
      </c>
      <c r="CL869" s="2182">
        <f>BH779</f>
        <v>0</v>
      </c>
      <c r="CM869" s="2183">
        <f>IF(CL867=0,0,CL869/CL867)</f>
        <v>0</v>
      </c>
      <c r="CN869" s="2181">
        <f t="shared" si="816"/>
        <v>0</v>
      </c>
      <c r="CO869" s="2182">
        <f>BI779</f>
        <v>0</v>
      </c>
      <c r="CP869" s="2183">
        <f>IF(CO867=0,0,CO869/CO867)</f>
        <v>0</v>
      </c>
      <c r="CQ869" s="2181">
        <f t="shared" si="817"/>
        <v>0</v>
      </c>
      <c r="CR869" s="2182">
        <f>BJ779</f>
        <v>0</v>
      </c>
      <c r="CS869" s="2183">
        <f>IF(CR867=0,0,CR869/CR867)</f>
        <v>0</v>
      </c>
      <c r="CT869" s="2181">
        <f t="shared" si="818"/>
        <v>0</v>
      </c>
      <c r="CU869" s="2182">
        <f>BK779</f>
        <v>0</v>
      </c>
      <c r="CV869" s="2183">
        <f>IF(CU867=0,0,CU869/CU867)</f>
        <v>0</v>
      </c>
      <c r="CW869" s="2181">
        <f t="shared" si="819"/>
        <v>0</v>
      </c>
      <c r="CX869" s="2182">
        <f>BL779</f>
        <v>0</v>
      </c>
      <c r="CY869" s="2183">
        <f>IF(CX867=0,0,CX869/CX867)</f>
        <v>0</v>
      </c>
      <c r="CZ869" s="2181">
        <f t="shared" si="820"/>
        <v>0</v>
      </c>
      <c r="DA869" s="2182">
        <f>BM779</f>
        <v>0</v>
      </c>
      <c r="DB869" s="2183">
        <f>IF(DA867=0,0,DA869/DA867)</f>
        <v>0</v>
      </c>
      <c r="DC869" s="2181">
        <f t="shared" si="821"/>
        <v>0</v>
      </c>
      <c r="DD869" s="2182">
        <f>BN779</f>
        <v>0</v>
      </c>
      <c r="DE869" s="2183">
        <f>IF(DD867=0,0,DD869/DD867)</f>
        <v>0</v>
      </c>
      <c r="DF869" s="2181">
        <f t="shared" si="822"/>
        <v>0</v>
      </c>
      <c r="DG869" s="2182">
        <f>BO779</f>
        <v>0</v>
      </c>
      <c r="DH869" s="2183">
        <f>IF(DG867=0,0,DG869/DG867)</f>
        <v>0</v>
      </c>
      <c r="DI869" s="2181">
        <f t="shared" si="823"/>
        <v>0</v>
      </c>
      <c r="DJ869" s="2182">
        <f>BP779</f>
        <v>0</v>
      </c>
      <c r="DK869" s="2183">
        <f>IF(DJ867=0,0,DJ869/DJ867)</f>
        <v>0</v>
      </c>
      <c r="DL869" s="2181">
        <f t="shared" si="824"/>
        <v>0</v>
      </c>
      <c r="DM869" s="2182">
        <f>BQ779</f>
        <v>0</v>
      </c>
      <c r="DN869" s="2183">
        <f>IF(DM867=0,0,DM869/DM867)</f>
        <v>0</v>
      </c>
      <c r="DO869" s="2181">
        <f t="shared" si="825"/>
        <v>0</v>
      </c>
      <c r="DP869" s="2182">
        <f>BR779</f>
        <v>0</v>
      </c>
      <c r="DQ869" s="2183">
        <f>IF(DP867=0,0,DP869/DP867)</f>
        <v>0</v>
      </c>
      <c r="DR869" s="2184">
        <f t="shared" si="826"/>
        <v>0</v>
      </c>
      <c r="DS869" s="2182">
        <f>BS779</f>
        <v>0</v>
      </c>
      <c r="DT869" s="2183">
        <f>IF(DS867=0,0,DS869/DS867)</f>
        <v>0</v>
      </c>
      <c r="DU869" s="2181">
        <f t="shared" si="827"/>
        <v>0</v>
      </c>
      <c r="DV869" s="2182">
        <f>BT779</f>
        <v>0</v>
      </c>
      <c r="DW869" s="2183">
        <f>IF(DV867=0,0,DV869/DV867)</f>
        <v>0</v>
      </c>
      <c r="DX869" s="2181">
        <f t="shared" si="828"/>
        <v>0</v>
      </c>
      <c r="DY869" s="2185"/>
    </row>
    <row r="870" spans="33:129" s="496" customFormat="1" ht="18" x14ac:dyDescent="0.25">
      <c r="AG870" s="498"/>
      <c r="AO870" s="495"/>
      <c r="AP870" s="495"/>
      <c r="AQ870" s="495"/>
      <c r="AS870" s="500"/>
      <c r="AT870" s="495"/>
      <c r="AV870" s="500"/>
      <c r="AW870" s="495"/>
      <c r="AY870" s="500"/>
      <c r="AZ870" s="500"/>
      <c r="BA870" s="2138" t="str">
        <f>AM793</f>
        <v>+ / - OTROS CORRIENTES</v>
      </c>
      <c r="BB870" s="1860"/>
      <c r="BC870" s="2139"/>
      <c r="BD870" s="2140">
        <f>AY793</f>
        <v>0</v>
      </c>
      <c r="BE870" s="2140">
        <f t="shared" ref="BE870:BT870" si="831">BE793</f>
        <v>0</v>
      </c>
      <c r="BF870" s="2140">
        <f t="shared" si="831"/>
        <v>0</v>
      </c>
      <c r="BG870" s="2140">
        <f t="shared" si="831"/>
        <v>0</v>
      </c>
      <c r="BH870" s="2140">
        <f t="shared" si="831"/>
        <v>0</v>
      </c>
      <c r="BI870" s="2140">
        <f t="shared" si="831"/>
        <v>0</v>
      </c>
      <c r="BJ870" s="2140">
        <f t="shared" si="831"/>
        <v>0</v>
      </c>
      <c r="BK870" s="2140">
        <f t="shared" si="831"/>
        <v>0</v>
      </c>
      <c r="BL870" s="2140">
        <f t="shared" si="831"/>
        <v>0</v>
      </c>
      <c r="BM870" s="2140">
        <f t="shared" si="831"/>
        <v>0</v>
      </c>
      <c r="BN870" s="2140">
        <f t="shared" si="831"/>
        <v>0</v>
      </c>
      <c r="BO870" s="2140">
        <f t="shared" si="831"/>
        <v>0</v>
      </c>
      <c r="BP870" s="2140">
        <f t="shared" si="831"/>
        <v>0</v>
      </c>
      <c r="BQ870" s="2140">
        <f t="shared" si="831"/>
        <v>0</v>
      </c>
      <c r="BR870" s="2140">
        <f t="shared" si="831"/>
        <v>0</v>
      </c>
      <c r="BS870" s="2140">
        <f t="shared" si="831"/>
        <v>0</v>
      </c>
      <c r="BT870" s="2140">
        <f t="shared" si="831"/>
        <v>0</v>
      </c>
      <c r="BV870" s="2101"/>
      <c r="BW870" s="603"/>
      <c r="BX870" s="603"/>
      <c r="BY870" s="603"/>
      <c r="BZ870" s="2130" t="s">
        <v>1490</v>
      </c>
      <c r="CA870" s="2131">
        <f>AY811</f>
        <v>0</v>
      </c>
      <c r="CB870" s="2132">
        <f>IF(CA867=0,0,CA870/CA867)</f>
        <v>0</v>
      </c>
      <c r="CC870" s="2135">
        <f>BE811</f>
        <v>-178.20000000000005</v>
      </c>
      <c r="CD870" s="2133">
        <f>IF(CC867=0,0,CC870/CC867)</f>
        <v>-6.2238055322715861E-2</v>
      </c>
      <c r="CE870" s="2132">
        <f>IF(CA870=0,0,IF(ABS(CC870/CA870-1)&gt;10000%,0,CC870/CA870-1))</f>
        <v>0</v>
      </c>
      <c r="CF870" s="2135">
        <f>BF811</f>
        <v>-178.20000000000005</v>
      </c>
      <c r="CG870" s="2133">
        <f>IF(CF867=0,0,CF870/CF867)</f>
        <v>-6.1952440550688374E-2</v>
      </c>
      <c r="CH870" s="2132">
        <f t="shared" si="814"/>
        <v>0</v>
      </c>
      <c r="CI870" s="2135">
        <f>BG811</f>
        <v>-178.20000000000005</v>
      </c>
      <c r="CJ870" s="2133">
        <f>IF(CI867=0,0,CI870/CI867)</f>
        <v>-6.1669435215946859E-2</v>
      </c>
      <c r="CK870" s="2132">
        <f t="shared" si="815"/>
        <v>0</v>
      </c>
      <c r="CL870" s="2135">
        <f>BH811</f>
        <v>-178.20000000000005</v>
      </c>
      <c r="CM870" s="2133">
        <f>IF(CL867=0,0,CL870/CL867)</f>
        <v>-6.138900372054569E-2</v>
      </c>
      <c r="CN870" s="2132">
        <f t="shared" si="816"/>
        <v>0</v>
      </c>
      <c r="CO870" s="2135">
        <f>BI811</f>
        <v>-178.20000000000005</v>
      </c>
      <c r="CP870" s="2133">
        <f>IF(CO867=0,0,CO870/CO867)</f>
        <v>-6.111111111111113E-2</v>
      </c>
      <c r="CQ870" s="2132">
        <f t="shared" si="817"/>
        <v>0</v>
      </c>
      <c r="CR870" s="2135">
        <f>BJ811</f>
        <v>-178.20000000000005</v>
      </c>
      <c r="CS870" s="2133">
        <f>IF(CR867=0,0,CR870/CR867)</f>
        <v>-6.083572306431792E-2</v>
      </c>
      <c r="CT870" s="2132">
        <f t="shared" si="818"/>
        <v>0</v>
      </c>
      <c r="CU870" s="2135">
        <f>BK811</f>
        <v>-178.20000000000005</v>
      </c>
      <c r="CV870" s="2133">
        <f>IF(CU867=0,0,CU870/CU867)</f>
        <v>-6.0562805872756947E-2</v>
      </c>
      <c r="CW870" s="2132">
        <f t="shared" si="819"/>
        <v>0</v>
      </c>
      <c r="CX870" s="2135">
        <f>BL811</f>
        <v>-178.20000000000005</v>
      </c>
      <c r="CY870" s="2133">
        <f>IF(CX867=0,0,CX870/CX867)</f>
        <v>-6.02923264311815E-2</v>
      </c>
      <c r="CZ870" s="2132">
        <f t="shared" si="820"/>
        <v>0</v>
      </c>
      <c r="DA870" s="2135">
        <f>BM811</f>
        <v>-178.19999999999982</v>
      </c>
      <c r="DB870" s="2133">
        <f>IF(DA867=0,0,DA870/DA867)</f>
        <v>-6.002425222312039E-2</v>
      </c>
      <c r="DC870" s="2132">
        <f t="shared" si="821"/>
        <v>-1.2212453270876722E-15</v>
      </c>
      <c r="DD870" s="2135">
        <f>BN811</f>
        <v>-178.19999999999982</v>
      </c>
      <c r="DE870" s="2133">
        <f>IF(DD867=0,0,DD870/DD867)</f>
        <v>-5.9758551307847019E-2</v>
      </c>
      <c r="DF870" s="2132">
        <f t="shared" si="822"/>
        <v>0</v>
      </c>
      <c r="DG870" s="2135">
        <f>BO811</f>
        <v>-178.19999999999982</v>
      </c>
      <c r="DH870" s="2133">
        <f>IF(DG867=0,0,DG870/DG867)</f>
        <v>-5.9495192307692249E-2</v>
      </c>
      <c r="DI870" s="2132">
        <f t="shared" si="823"/>
        <v>0</v>
      </c>
      <c r="DJ870" s="2135">
        <f>BP811</f>
        <v>-178.19999999999982</v>
      </c>
      <c r="DK870" s="2133">
        <f>IF(DJ867=0,0,DJ870/DJ867)</f>
        <v>-5.9234144395692002E-2</v>
      </c>
      <c r="DL870" s="2132">
        <f t="shared" si="824"/>
        <v>0</v>
      </c>
      <c r="DM870" s="2135">
        <f>BQ811</f>
        <v>-178.19999999999982</v>
      </c>
      <c r="DN870" s="2133">
        <f>IF(DM867=0,0,DM870/DM867)</f>
        <v>-5.8975377283558318E-2</v>
      </c>
      <c r="DO870" s="2132">
        <f t="shared" si="825"/>
        <v>0</v>
      </c>
      <c r="DP870" s="2135">
        <f>BR811</f>
        <v>-178.19999999999982</v>
      </c>
      <c r="DQ870" s="2133">
        <f>IF(DP867=0,0,DP870/DP867)</f>
        <v>-5.8718861209964356E-2</v>
      </c>
      <c r="DR870" s="2134">
        <f t="shared" si="826"/>
        <v>0</v>
      </c>
      <c r="DS870" s="2135">
        <f>BS811</f>
        <v>-178.19999999999982</v>
      </c>
      <c r="DT870" s="2133">
        <f>IF(DS867=0,0,DS870/DS867)</f>
        <v>-5.84645669291338E-2</v>
      </c>
      <c r="DU870" s="2132">
        <f t="shared" si="827"/>
        <v>0</v>
      </c>
      <c r="DV870" s="2135">
        <f>BT811</f>
        <v>-178.19999999999982</v>
      </c>
      <c r="DW870" s="2133">
        <f>IF(DV867=0,0,DV870/DV867)</f>
        <v>-5.8212465699725539E-2</v>
      </c>
      <c r="DX870" s="2132">
        <f t="shared" si="828"/>
        <v>0</v>
      </c>
      <c r="DY870" s="2105"/>
    </row>
    <row r="871" spans="33:129" s="496" customFormat="1" ht="18" x14ac:dyDescent="0.25">
      <c r="AG871" s="498"/>
      <c r="AO871" s="495"/>
      <c r="AP871" s="495"/>
      <c r="AQ871" s="495"/>
      <c r="AS871" s="500"/>
      <c r="AT871" s="495"/>
      <c r="AV871" s="500"/>
      <c r="AW871" s="495"/>
      <c r="AY871" s="500"/>
      <c r="AZ871" s="500"/>
      <c r="BA871" s="2138" t="str">
        <f t="shared" ref="BA871:BA876" si="832">AM795</f>
        <v>+ / - PRESTACIONES SOCIALES L.P.</v>
      </c>
      <c r="BB871" s="1860"/>
      <c r="BC871" s="2139"/>
      <c r="BD871" s="2140">
        <f t="shared" ref="BD871:BD876" si="833">AY795</f>
        <v>0</v>
      </c>
      <c r="BE871" s="2140">
        <f t="shared" ref="BE871:BT871" si="834">BE795</f>
        <v>0</v>
      </c>
      <c r="BF871" s="2140">
        <f t="shared" si="834"/>
        <v>0</v>
      </c>
      <c r="BG871" s="2140">
        <f t="shared" si="834"/>
        <v>0</v>
      </c>
      <c r="BH871" s="2140">
        <f t="shared" si="834"/>
        <v>0</v>
      </c>
      <c r="BI871" s="2140">
        <f t="shared" si="834"/>
        <v>0</v>
      </c>
      <c r="BJ871" s="2140">
        <f t="shared" si="834"/>
        <v>0</v>
      </c>
      <c r="BK871" s="2140">
        <f t="shared" si="834"/>
        <v>0</v>
      </c>
      <c r="BL871" s="2140">
        <f t="shared" si="834"/>
        <v>0</v>
      </c>
      <c r="BM871" s="2140">
        <f t="shared" si="834"/>
        <v>0</v>
      </c>
      <c r="BN871" s="2140">
        <f t="shared" si="834"/>
        <v>0</v>
      </c>
      <c r="BO871" s="2140">
        <f t="shared" si="834"/>
        <v>0</v>
      </c>
      <c r="BP871" s="2140">
        <f t="shared" si="834"/>
        <v>0</v>
      </c>
      <c r="BQ871" s="2140">
        <f t="shared" si="834"/>
        <v>0</v>
      </c>
      <c r="BR871" s="2140">
        <f t="shared" si="834"/>
        <v>0</v>
      </c>
      <c r="BS871" s="2140">
        <f t="shared" si="834"/>
        <v>0</v>
      </c>
      <c r="BT871" s="2140">
        <f t="shared" si="834"/>
        <v>0</v>
      </c>
      <c r="BV871" s="2101"/>
      <c r="BW871" s="603"/>
      <c r="BX871" s="603"/>
      <c r="BY871" s="603"/>
      <c r="BZ871" s="2130" t="s">
        <v>1491</v>
      </c>
      <c r="CA871" s="2131">
        <f>AY815</f>
        <v>0</v>
      </c>
      <c r="CB871" s="2132">
        <f>IF(CA867=0,0,CA871/CA867)</f>
        <v>0</v>
      </c>
      <c r="CC871" s="2135">
        <f>BE815</f>
        <v>0</v>
      </c>
      <c r="CD871" s="2133">
        <f>IF(CC867=0,0,CC871/CC867)</f>
        <v>0</v>
      </c>
      <c r="CE871" s="2132">
        <f>IF(CA871=0,0,IF(ABS(CC871/CA871-1)&gt;10000%,0,CC871/CA871-1))</f>
        <v>0</v>
      </c>
      <c r="CF871" s="2135">
        <f>BF815</f>
        <v>0</v>
      </c>
      <c r="CG871" s="2133">
        <f>IF(CF867=0,0,CF871/CF867)</f>
        <v>0</v>
      </c>
      <c r="CH871" s="2132">
        <f t="shared" si="814"/>
        <v>0</v>
      </c>
      <c r="CI871" s="2135">
        <f>BG815</f>
        <v>0</v>
      </c>
      <c r="CJ871" s="2133">
        <f>IF(CI867=0,0,CI871/CI867)</f>
        <v>0</v>
      </c>
      <c r="CK871" s="2132">
        <f t="shared" si="815"/>
        <v>0</v>
      </c>
      <c r="CL871" s="2135">
        <f>BH815</f>
        <v>0</v>
      </c>
      <c r="CM871" s="2133">
        <f>IF(CL867=0,0,CL871/CL867)</f>
        <v>0</v>
      </c>
      <c r="CN871" s="2132">
        <f t="shared" si="816"/>
        <v>0</v>
      </c>
      <c r="CO871" s="2135">
        <f>BI815</f>
        <v>0</v>
      </c>
      <c r="CP871" s="2133">
        <f>IF(CO867=0,0,CO871/CO867)</f>
        <v>0</v>
      </c>
      <c r="CQ871" s="2132">
        <f t="shared" si="817"/>
        <v>0</v>
      </c>
      <c r="CR871" s="2135">
        <f>BJ815</f>
        <v>0</v>
      </c>
      <c r="CS871" s="2133">
        <f>IF(CR867=0,0,CR871/CR867)</f>
        <v>0</v>
      </c>
      <c r="CT871" s="2132">
        <f t="shared" si="818"/>
        <v>0</v>
      </c>
      <c r="CU871" s="2135">
        <f>BK815</f>
        <v>0</v>
      </c>
      <c r="CV871" s="2133">
        <f>IF(CU867=0,0,CU871/CU867)</f>
        <v>0</v>
      </c>
      <c r="CW871" s="2132">
        <f t="shared" si="819"/>
        <v>0</v>
      </c>
      <c r="CX871" s="2135">
        <f>BL815</f>
        <v>0</v>
      </c>
      <c r="CY871" s="2133">
        <f>IF(CX867=0,0,CX871/CX867)</f>
        <v>0</v>
      </c>
      <c r="CZ871" s="2132">
        <f t="shared" si="820"/>
        <v>0</v>
      </c>
      <c r="DA871" s="2135">
        <f>BM815</f>
        <v>0</v>
      </c>
      <c r="DB871" s="2133">
        <f>IF(DA867=0,0,DA871/DA867)</f>
        <v>0</v>
      </c>
      <c r="DC871" s="2132">
        <f t="shared" si="821"/>
        <v>0</v>
      </c>
      <c r="DD871" s="2135">
        <f>BN815</f>
        <v>0</v>
      </c>
      <c r="DE871" s="2133">
        <f>IF(DD867=0,0,DD871/DD867)</f>
        <v>0</v>
      </c>
      <c r="DF871" s="2132">
        <f t="shared" si="822"/>
        <v>0</v>
      </c>
      <c r="DG871" s="2135">
        <f>BO815</f>
        <v>0</v>
      </c>
      <c r="DH871" s="2133">
        <f>IF(DG867=0,0,DG871/DG867)</f>
        <v>0</v>
      </c>
      <c r="DI871" s="2132">
        <f t="shared" si="823"/>
        <v>0</v>
      </c>
      <c r="DJ871" s="2135">
        <f>BP815</f>
        <v>0</v>
      </c>
      <c r="DK871" s="2133">
        <f>IF(DJ867=0,0,DJ871/DJ867)</f>
        <v>0</v>
      </c>
      <c r="DL871" s="2132">
        <f t="shared" si="824"/>
        <v>0</v>
      </c>
      <c r="DM871" s="2135">
        <f>BQ815</f>
        <v>0</v>
      </c>
      <c r="DN871" s="2133">
        <f>IF(DM867=0,0,DM871/DM867)</f>
        <v>0</v>
      </c>
      <c r="DO871" s="2132">
        <f t="shared" si="825"/>
        <v>0</v>
      </c>
      <c r="DP871" s="2135">
        <f>BR815</f>
        <v>0</v>
      </c>
      <c r="DQ871" s="2133">
        <f>IF(DP867=0,0,DP871/DP867)</f>
        <v>0</v>
      </c>
      <c r="DR871" s="2134">
        <f t="shared" si="826"/>
        <v>0</v>
      </c>
      <c r="DS871" s="2135">
        <f>BS815</f>
        <v>0</v>
      </c>
      <c r="DT871" s="2133">
        <f>IF(DS867=0,0,DS871/DS867)</f>
        <v>0</v>
      </c>
      <c r="DU871" s="2132">
        <f t="shared" si="827"/>
        <v>0</v>
      </c>
      <c r="DV871" s="2135">
        <f>BT815</f>
        <v>0</v>
      </c>
      <c r="DW871" s="2133">
        <f>IF(DV867=0,0,DV871/DV867)</f>
        <v>0</v>
      </c>
      <c r="DX871" s="2132">
        <f t="shared" si="828"/>
        <v>0</v>
      </c>
      <c r="DY871" s="2105"/>
    </row>
    <row r="872" spans="33:129" s="496" customFormat="1" ht="18" x14ac:dyDescent="0.25">
      <c r="AG872" s="498"/>
      <c r="AO872" s="495"/>
      <c r="AP872" s="495"/>
      <c r="AQ872" s="495"/>
      <c r="AS872" s="500"/>
      <c r="AT872" s="495"/>
      <c r="AV872" s="500"/>
      <c r="AW872" s="495"/>
      <c r="AY872" s="500"/>
      <c r="AZ872" s="500"/>
      <c r="BA872" s="2138" t="str">
        <f t="shared" si="832"/>
        <v>+ / - PENSIONES DE JUBILACIÓN</v>
      </c>
      <c r="BB872" s="1860"/>
      <c r="BC872" s="2139"/>
      <c r="BD872" s="2140">
        <f t="shared" si="833"/>
        <v>0</v>
      </c>
      <c r="BE872" s="2140">
        <f t="shared" ref="BE872:BT872" si="835">BE796</f>
        <v>0</v>
      </c>
      <c r="BF872" s="2140">
        <f t="shared" si="835"/>
        <v>0</v>
      </c>
      <c r="BG872" s="2140">
        <f t="shared" si="835"/>
        <v>0</v>
      </c>
      <c r="BH872" s="2140">
        <f t="shared" si="835"/>
        <v>0</v>
      </c>
      <c r="BI872" s="2140">
        <f t="shared" si="835"/>
        <v>0</v>
      </c>
      <c r="BJ872" s="2140">
        <f t="shared" si="835"/>
        <v>0</v>
      </c>
      <c r="BK872" s="2140">
        <f t="shared" si="835"/>
        <v>0</v>
      </c>
      <c r="BL872" s="2140">
        <f t="shared" si="835"/>
        <v>0</v>
      </c>
      <c r="BM872" s="2140">
        <f t="shared" si="835"/>
        <v>0</v>
      </c>
      <c r="BN872" s="2140">
        <f t="shared" si="835"/>
        <v>0</v>
      </c>
      <c r="BO872" s="2140">
        <f t="shared" si="835"/>
        <v>0</v>
      </c>
      <c r="BP872" s="2140">
        <f t="shared" si="835"/>
        <v>0</v>
      </c>
      <c r="BQ872" s="2140">
        <f t="shared" si="835"/>
        <v>0</v>
      </c>
      <c r="BR872" s="2140">
        <f t="shared" si="835"/>
        <v>0</v>
      </c>
      <c r="BS872" s="2140">
        <f t="shared" si="835"/>
        <v>0</v>
      </c>
      <c r="BT872" s="2140">
        <f t="shared" si="835"/>
        <v>0</v>
      </c>
      <c r="BV872" s="2101"/>
      <c r="BW872" s="603"/>
      <c r="BX872" s="603"/>
      <c r="BY872" s="603"/>
      <c r="BZ872" s="2160" t="s">
        <v>1492</v>
      </c>
      <c r="CA872" s="2161">
        <f>SUM(CA867:CA871)</f>
        <v>2850</v>
      </c>
      <c r="CB872" s="2162">
        <f>IF(CA867=0,0,CA872/CA867)</f>
        <v>1</v>
      </c>
      <c r="CC872" s="2164">
        <f>SUM(CC867:CC871)</f>
        <v>2685</v>
      </c>
      <c r="CD872" s="2163">
        <f>IF(CC867=0,0,CC872/CC867)</f>
        <v>0.93776194467728424</v>
      </c>
      <c r="CE872" s="2162">
        <f>IF(CA872=0,0,IF(ABS(CC872/CA872-1)&gt;10000%,0,CC872/CA872-1))</f>
        <v>-5.7894736842105221E-2</v>
      </c>
      <c r="CF872" s="2164">
        <f>SUM(CF867:CF871)</f>
        <v>2698.2</v>
      </c>
      <c r="CG872" s="2163">
        <f>IF(CF867=0,0,CF872/CF867)</f>
        <v>0.93804755944931151</v>
      </c>
      <c r="CH872" s="2162">
        <f t="shared" si="814"/>
        <v>4.9162011173182751E-3</v>
      </c>
      <c r="CI872" s="2164">
        <f>SUM(CI867:CI871)</f>
        <v>2711.3999999999996</v>
      </c>
      <c r="CJ872" s="2163">
        <f>IF(CI867=0,0,CI872/CI867)</f>
        <v>0.93833056478405308</v>
      </c>
      <c r="CK872" s="2162">
        <f t="shared" si="815"/>
        <v>4.892150322437061E-3</v>
      </c>
      <c r="CL872" s="2164">
        <f>SUM(CL867:CL871)</f>
        <v>2724.6000000000004</v>
      </c>
      <c r="CM872" s="2163">
        <f>IF(CL867=0,0,CL872/CL867)</f>
        <v>0.93861099627945443</v>
      </c>
      <c r="CN872" s="2162">
        <f t="shared" si="816"/>
        <v>4.8683337021466766E-3</v>
      </c>
      <c r="CO872" s="2164">
        <f>SUM(CO867:CO871)</f>
        <v>2737.8</v>
      </c>
      <c r="CP872" s="2163">
        <f>IF(CO867=0,0,CO872/CO867)</f>
        <v>0.93888888888888899</v>
      </c>
      <c r="CQ872" s="2162">
        <f t="shared" si="817"/>
        <v>4.8447478528956811E-3</v>
      </c>
      <c r="CR872" s="2164">
        <f>SUM(CR867:CR871)</f>
        <v>2751</v>
      </c>
      <c r="CS872" s="2163">
        <f>IF(CR867=0,0,CR872/CR867)</f>
        <v>0.93916427693568216</v>
      </c>
      <c r="CT872" s="2162">
        <f t="shared" si="818"/>
        <v>4.8213894367739041E-3</v>
      </c>
      <c r="CU872" s="2164">
        <f>SUM(CU867:CU871)</f>
        <v>2764.2</v>
      </c>
      <c r="CV872" s="2163">
        <f>IF(CU867=0,0,CU872/CU867)</f>
        <v>0.93943719412724302</v>
      </c>
      <c r="CW872" s="2162">
        <f t="shared" si="819"/>
        <v>4.7982551799345963E-3</v>
      </c>
      <c r="CX872" s="2164">
        <f>SUM(CX867:CX871)</f>
        <v>2777.3999999999996</v>
      </c>
      <c r="CY872" s="2163">
        <f>IF(CX867=0,0,CX872/CX867)</f>
        <v>0.93970767356881846</v>
      </c>
      <c r="CZ872" s="2162">
        <f t="shared" si="820"/>
        <v>4.7753418710656526E-3</v>
      </c>
      <c r="DA872" s="2164">
        <f>SUM(DA867:DA871)</f>
        <v>2790.6000000000004</v>
      </c>
      <c r="DB872" s="2163">
        <f>IF(DA867=0,0,DA872/DA867)</f>
        <v>0.93997574777687964</v>
      </c>
      <c r="DC872" s="2162">
        <f t="shared" si="821"/>
        <v>4.7526463599052438E-3</v>
      </c>
      <c r="DD872" s="2164">
        <f>SUM(DD867:DD871)</f>
        <v>2803.8</v>
      </c>
      <c r="DE872" s="2163">
        <f>IF(DD867=0,0,DD872/DD867)</f>
        <v>0.94024144869215298</v>
      </c>
      <c r="DF872" s="2162">
        <f t="shared" si="822"/>
        <v>4.7301655557943079E-3</v>
      </c>
      <c r="DG872" s="2164">
        <f>SUM(DG867:DG871)</f>
        <v>2817</v>
      </c>
      <c r="DH872" s="2163">
        <f>IF(DG867=0,0,DG872/DG867)</f>
        <v>0.94050480769230771</v>
      </c>
      <c r="DI872" s="2162">
        <f t="shared" si="823"/>
        <v>4.7078964262785572E-3</v>
      </c>
      <c r="DJ872" s="2164">
        <f>SUM(DJ867:DJ871)</f>
        <v>2830.2000000000003</v>
      </c>
      <c r="DK872" s="2163">
        <f>IF(DJ867=0,0,DJ872/DJ867)</f>
        <v>0.94076585560430803</v>
      </c>
      <c r="DL872" s="2162">
        <f t="shared" si="824"/>
        <v>4.6858359957402396E-3</v>
      </c>
      <c r="DM872" s="2164">
        <f>SUM(DM867:DM871)</f>
        <v>2843.4</v>
      </c>
      <c r="DN872" s="2163">
        <f>IF(DM867=0,0,DM872/DM867)</f>
        <v>0.94102462271644172</v>
      </c>
      <c r="DO872" s="2162">
        <f t="shared" si="825"/>
        <v>4.6639813440745304E-3</v>
      </c>
      <c r="DP872" s="2164">
        <f>SUM(DP867:DP871)</f>
        <v>2856.6</v>
      </c>
      <c r="DQ872" s="2163">
        <f>IF(DP867=0,0,DP872/DP867)</f>
        <v>0.94128113879003561</v>
      </c>
      <c r="DR872" s="2162">
        <f t="shared" si="826"/>
        <v>4.6423296054018959E-3</v>
      </c>
      <c r="DS872" s="2164">
        <f>SUM(DS867:DS871)</f>
        <v>2869.8</v>
      </c>
      <c r="DT872" s="2163">
        <f>IF(DS867=0,0,DS872/DS867)</f>
        <v>0.94153543307086618</v>
      </c>
      <c r="DU872" s="2162">
        <f t="shared" si="827"/>
        <v>4.6208779668137634E-3</v>
      </c>
      <c r="DV872" s="2164">
        <f>SUM(DV867:DV871)</f>
        <v>2883</v>
      </c>
      <c r="DW872" s="2163">
        <f>IF(DV867=0,0,DV872/DV867)</f>
        <v>0.94178753430027451</v>
      </c>
      <c r="DX872" s="2162">
        <f t="shared" si="828"/>
        <v>4.5996236671543844E-3</v>
      </c>
      <c r="DY872" s="2105"/>
    </row>
    <row r="873" spans="33:129" s="496" customFormat="1" ht="18" x14ac:dyDescent="0.25">
      <c r="AG873" s="498"/>
      <c r="AO873" s="495"/>
      <c r="AP873" s="495"/>
      <c r="AQ873" s="495"/>
      <c r="AS873" s="500"/>
      <c r="AT873" s="495"/>
      <c r="AV873" s="500"/>
      <c r="AW873" s="495"/>
      <c r="AY873" s="500"/>
      <c r="AZ873" s="500"/>
      <c r="BA873" s="2140" t="str">
        <f t="shared" si="832"/>
        <v>+ / - DEUDAS CON SOCIOS L.P.</v>
      </c>
      <c r="BD873" s="2140">
        <f t="shared" si="833"/>
        <v>0</v>
      </c>
      <c r="BE873" s="2140">
        <f t="shared" ref="BE873:BT873" si="836">BE797</f>
        <v>0</v>
      </c>
      <c r="BF873" s="2140">
        <f t="shared" si="836"/>
        <v>0</v>
      </c>
      <c r="BG873" s="2140">
        <f t="shared" si="836"/>
        <v>0</v>
      </c>
      <c r="BH873" s="2140">
        <f t="shared" si="836"/>
        <v>0</v>
      </c>
      <c r="BI873" s="2140">
        <f t="shared" si="836"/>
        <v>0</v>
      </c>
      <c r="BJ873" s="2140">
        <f t="shared" si="836"/>
        <v>0</v>
      </c>
      <c r="BK873" s="2140">
        <f t="shared" si="836"/>
        <v>0</v>
      </c>
      <c r="BL873" s="2140">
        <f t="shared" si="836"/>
        <v>0</v>
      </c>
      <c r="BM873" s="2140">
        <f t="shared" si="836"/>
        <v>0</v>
      </c>
      <c r="BN873" s="2140">
        <f t="shared" si="836"/>
        <v>0</v>
      </c>
      <c r="BO873" s="2140">
        <f t="shared" si="836"/>
        <v>0</v>
      </c>
      <c r="BP873" s="2140">
        <f t="shared" si="836"/>
        <v>0</v>
      </c>
      <c r="BQ873" s="2140">
        <f t="shared" si="836"/>
        <v>0</v>
      </c>
      <c r="BR873" s="2140">
        <f t="shared" si="836"/>
        <v>0</v>
      </c>
      <c r="BS873" s="2140">
        <f t="shared" si="836"/>
        <v>0</v>
      </c>
      <c r="BT873" s="2140">
        <f t="shared" si="836"/>
        <v>0</v>
      </c>
      <c r="BV873" s="2101"/>
      <c r="BW873" s="603"/>
      <c r="BX873" s="603"/>
      <c r="BY873" s="603"/>
      <c r="BZ873" s="2130"/>
      <c r="CA873" s="2131"/>
      <c r="CB873" s="2132"/>
      <c r="CC873" s="2135"/>
      <c r="CD873" s="2133"/>
      <c r="CE873" s="2132"/>
      <c r="CF873" s="2135"/>
      <c r="CG873" s="2133"/>
      <c r="CH873" s="2132"/>
      <c r="CI873" s="2135"/>
      <c r="CJ873" s="2133"/>
      <c r="CK873" s="2132"/>
      <c r="CL873" s="2135"/>
      <c r="CM873" s="2133"/>
      <c r="CN873" s="2132"/>
      <c r="CO873" s="2135"/>
      <c r="CP873" s="2133"/>
      <c r="CQ873" s="2132"/>
      <c r="CR873" s="2135"/>
      <c r="CS873" s="2133"/>
      <c r="CT873" s="2132"/>
      <c r="CU873" s="2135"/>
      <c r="CV873" s="2133"/>
      <c r="CW873" s="2132"/>
      <c r="CX873" s="2135"/>
      <c r="CY873" s="2133"/>
      <c r="CZ873" s="2132"/>
      <c r="DA873" s="2135"/>
      <c r="DB873" s="2133"/>
      <c r="DC873" s="2132"/>
      <c r="DD873" s="2135"/>
      <c r="DE873" s="2133"/>
      <c r="DF873" s="2132"/>
      <c r="DG873" s="2135"/>
      <c r="DH873" s="2133"/>
      <c r="DI873" s="2132"/>
      <c r="DJ873" s="2135"/>
      <c r="DK873" s="2133"/>
      <c r="DL873" s="2132"/>
      <c r="DM873" s="2135"/>
      <c r="DN873" s="2133"/>
      <c r="DO873" s="2132"/>
      <c r="DP873" s="2135"/>
      <c r="DQ873" s="2133"/>
      <c r="DR873" s="2150"/>
      <c r="DS873" s="2135"/>
      <c r="DT873" s="2133"/>
      <c r="DU873" s="2132"/>
      <c r="DV873" s="2135"/>
      <c r="DW873" s="2133"/>
      <c r="DX873" s="2132"/>
      <c r="DY873" s="2105"/>
    </row>
    <row r="874" spans="33:129" s="496" customFormat="1" ht="18" x14ac:dyDescent="0.25">
      <c r="AG874" s="498"/>
      <c r="AK874" s="568"/>
      <c r="AL874" s="568"/>
      <c r="AM874" s="568"/>
      <c r="AN874" s="568"/>
      <c r="AO874" s="780"/>
      <c r="AP874" s="780"/>
      <c r="AQ874" s="780"/>
      <c r="AR874" s="568"/>
      <c r="AS874" s="2186"/>
      <c r="AT874" s="780"/>
      <c r="AU874" s="568"/>
      <c r="AV874" s="2186"/>
      <c r="AW874" s="780"/>
      <c r="AX874" s="568"/>
      <c r="AY874" s="2186"/>
      <c r="AZ874" s="2186"/>
      <c r="BA874" s="2138" t="str">
        <f t="shared" si="832"/>
        <v>+ / - IMPUESTOS DE L.P. (DIFERIDOS)</v>
      </c>
      <c r="BB874" s="1860"/>
      <c r="BC874" s="2139"/>
      <c r="BD874" s="2140">
        <f t="shared" si="833"/>
        <v>0</v>
      </c>
      <c r="BE874" s="2140">
        <f t="shared" ref="BE874:BT874" si="837">BE798</f>
        <v>0</v>
      </c>
      <c r="BF874" s="2140">
        <f t="shared" si="837"/>
        <v>0</v>
      </c>
      <c r="BG874" s="2140">
        <f t="shared" si="837"/>
        <v>0</v>
      </c>
      <c r="BH874" s="2140">
        <f t="shared" si="837"/>
        <v>0</v>
      </c>
      <c r="BI874" s="2140">
        <f t="shared" si="837"/>
        <v>0</v>
      </c>
      <c r="BJ874" s="2140">
        <f t="shared" si="837"/>
        <v>0</v>
      </c>
      <c r="BK874" s="2140">
        <f t="shared" si="837"/>
        <v>0</v>
      </c>
      <c r="BL874" s="2140">
        <f t="shared" si="837"/>
        <v>0</v>
      </c>
      <c r="BM874" s="2140">
        <f t="shared" si="837"/>
        <v>0</v>
      </c>
      <c r="BN874" s="2140">
        <f t="shared" si="837"/>
        <v>0</v>
      </c>
      <c r="BO874" s="2140">
        <f t="shared" si="837"/>
        <v>0</v>
      </c>
      <c r="BP874" s="2140">
        <f t="shared" si="837"/>
        <v>0</v>
      </c>
      <c r="BQ874" s="2140">
        <f t="shared" si="837"/>
        <v>0</v>
      </c>
      <c r="BR874" s="2140">
        <f t="shared" si="837"/>
        <v>0</v>
      </c>
      <c r="BS874" s="2140">
        <f t="shared" si="837"/>
        <v>0</v>
      </c>
      <c r="BT874" s="2140">
        <f t="shared" si="837"/>
        <v>0</v>
      </c>
      <c r="BU874" s="568"/>
      <c r="BV874" s="2101"/>
      <c r="BW874" s="603"/>
      <c r="BX874" s="603"/>
      <c r="BY874" s="603"/>
      <c r="BZ874" s="2130" t="s">
        <v>1482</v>
      </c>
      <c r="CA874" s="2131">
        <f>CA856</f>
        <v>80</v>
      </c>
      <c r="CB874" s="2132">
        <f>IF(CA867=0,0,CA874/CA867)</f>
        <v>2.8070175438596492E-2</v>
      </c>
      <c r="CC874" s="2135">
        <f>CC856</f>
        <v>80</v>
      </c>
      <c r="CD874" s="2133">
        <f>IF(CC867=0,0,CC874/CC867)</f>
        <v>2.7940765576976809E-2</v>
      </c>
      <c r="CE874" s="2132">
        <f>IF(CA874=0,0,IF(ABS(CC874/(CA874*360/$N$17)-1)&gt;10000%,0,CC874/(CA874*360/$N$17)-1))</f>
        <v>0</v>
      </c>
      <c r="CF874" s="2135">
        <f>CF856</f>
        <v>80</v>
      </c>
      <c r="CG874" s="2133">
        <f>IF(CF867=0,0,CF874/CF867)</f>
        <v>2.7812543457099152E-2</v>
      </c>
      <c r="CH874" s="2132">
        <f t="shared" ref="CH874:CH887" si="838">IF(CC874=0,0,IF(ABS(CF874/CC874-1)&gt;10000%,0,CF874/CC874-1))</f>
        <v>0</v>
      </c>
      <c r="CI874" s="2135">
        <f>CI856</f>
        <v>80</v>
      </c>
      <c r="CJ874" s="2133">
        <f>IF(CI867=0,0,CI874/CI867)</f>
        <v>2.7685492801771874E-2</v>
      </c>
      <c r="CK874" s="2132">
        <f t="shared" ref="CK874:CK887" si="839">IF(CF874=0,0,IF(ABS(CI874/CF874-1)&gt;10000%,0,CI874/CF874-1))</f>
        <v>0</v>
      </c>
      <c r="CL874" s="2135">
        <f>CL856</f>
        <v>80</v>
      </c>
      <c r="CM874" s="2133">
        <f>IF(CL867=0,0,CL874/CL867)</f>
        <v>2.7559597629874602E-2</v>
      </c>
      <c r="CN874" s="2132">
        <f t="shared" ref="CN874:CN887" si="840">IF(CI874=0,0,IF(ABS(CL874/CI874-1)&gt;10000%,0,CL874/CI874-1))</f>
        <v>0</v>
      </c>
      <c r="CO874" s="2135">
        <f>CO856</f>
        <v>80</v>
      </c>
      <c r="CP874" s="2133">
        <f>IF(CO867=0,0,CO874/CO867)</f>
        <v>2.7434842249657063E-2</v>
      </c>
      <c r="CQ874" s="2132">
        <f t="shared" ref="CQ874:CQ887" si="841">IF(CL874=0,0,IF(ABS(CO874/CL874-1)&gt;10000%,0,CO874/CL874-1))</f>
        <v>0</v>
      </c>
      <c r="CR874" s="2135">
        <f>CR856</f>
        <v>80</v>
      </c>
      <c r="CS874" s="2133">
        <f>IF(CR867=0,0,CR874/CR867)</f>
        <v>2.7311211252219039E-2</v>
      </c>
      <c r="CT874" s="2132">
        <f t="shared" ref="CT874:CT887" si="842">IF(CO874=0,0,IF(ABS(CR874/CO874-1)&gt;10000%,0,CR874/CO874-1))</f>
        <v>0</v>
      </c>
      <c r="CU874" s="2135">
        <f>CU856</f>
        <v>80</v>
      </c>
      <c r="CV874" s="2133">
        <f>IF(CU867=0,0,CU874/CU867)</f>
        <v>2.7188689505165849E-2</v>
      </c>
      <c r="CW874" s="2132">
        <f t="shared" ref="CW874:CW887" si="843">IF(CR874=0,0,IF(ABS(CU874/CR874-1)&gt;10000%,0,CU874/CR874-1))</f>
        <v>0</v>
      </c>
      <c r="CX874" s="2135">
        <f>CX856</f>
        <v>80</v>
      </c>
      <c r="CY874" s="2133">
        <f>IF(CX867=0,0,CX874/CX867)</f>
        <v>2.7067262146433888E-2</v>
      </c>
      <c r="CZ874" s="2132">
        <f t="shared" ref="CZ874:CZ887" si="844">IF(CU874=0,0,IF(ABS(CX874/CU874-1)&gt;10000%,0,CX874/CU874-1))</f>
        <v>0</v>
      </c>
      <c r="DA874" s="2135">
        <f>DA856</f>
        <v>80</v>
      </c>
      <c r="DB874" s="2133">
        <f>IF(DA867=0,0,DA874/DA867)</f>
        <v>2.6946914578280787E-2</v>
      </c>
      <c r="DC874" s="2132">
        <f t="shared" ref="DC874:DC887" si="845">IF(CX874=0,0,IF(ABS(DA874/CX874-1)&gt;10000%,0,DA874/CX874-1))</f>
        <v>0</v>
      </c>
      <c r="DD874" s="2135">
        <f>DD856</f>
        <v>80</v>
      </c>
      <c r="DE874" s="2133">
        <f>IF(DD867=0,0,DD874/DD867)</f>
        <v>2.6827632461435279E-2</v>
      </c>
      <c r="DF874" s="2132">
        <f t="shared" ref="DF874:DF887" si="846">IF(DA874=0,0,IF(ABS(DD874/DA874-1)&gt;10000%,0,DD874/DA874-1))</f>
        <v>0</v>
      </c>
      <c r="DG874" s="2135">
        <f>DG856</f>
        <v>80</v>
      </c>
      <c r="DH874" s="2133">
        <f>IF(DG867=0,0,DG874/DG867)</f>
        <v>2.6709401709401712E-2</v>
      </c>
      <c r="DI874" s="2132">
        <f t="shared" ref="DI874:DI887" si="847">IF(DD874=0,0,IF(ABS(DG874/DD874-1)&gt;10000%,0,DG874/DD874-1))</f>
        <v>0</v>
      </c>
      <c r="DJ874" s="2135">
        <f>DJ856</f>
        <v>80</v>
      </c>
      <c r="DK874" s="2133">
        <f>IF(DJ867=0,0,DJ874/DJ867)</f>
        <v>2.6592208482914506E-2</v>
      </c>
      <c r="DL874" s="2132">
        <f t="shared" ref="DL874:DL887" si="848">IF(DG874=0,0,IF(ABS(DJ874/DG874-1)&gt;10000%,0,DJ874/DG874-1))</f>
        <v>0</v>
      </c>
      <c r="DM874" s="2135">
        <f>DM856</f>
        <v>80</v>
      </c>
      <c r="DN874" s="2133">
        <f>IF(DM867=0,0,DM874/DM867)</f>
        <v>2.6476039184537992E-2</v>
      </c>
      <c r="DO874" s="2132">
        <f t="shared" ref="DO874:DO887" si="849">IF(DJ874=0,0,IF(ABS(DM874/DJ874-1)&gt;10000%,0,DM874/DJ874-1))</f>
        <v>0</v>
      </c>
      <c r="DP874" s="2135">
        <f>DP856</f>
        <v>80</v>
      </c>
      <c r="DQ874" s="2133">
        <f>IF(DP867=0,0,DP874/DP867)</f>
        <v>2.6360880453407145E-2</v>
      </c>
      <c r="DR874" s="2134">
        <f t="shared" ref="DR874:DR891" si="850">IF(DM874=0,0,IF(ABS(DP874/DM874-1)&gt;10000%,0,DP874/DM874-1))</f>
        <v>0</v>
      </c>
      <c r="DS874" s="2135">
        <f>DS856</f>
        <v>80</v>
      </c>
      <c r="DT874" s="2133">
        <f>IF(DS867=0,0,DS874/DS867)</f>
        <v>2.6246719160104987E-2</v>
      </c>
      <c r="DU874" s="2132">
        <f t="shared" ref="DU874:DU887" si="851">IF(DP874=0,0,IF(ABS(DS874/DP874-1)&gt;10000%,0,DS874/DP874-1))</f>
        <v>0</v>
      </c>
      <c r="DV874" s="2135">
        <f>DV856</f>
        <v>80</v>
      </c>
      <c r="DW874" s="2133">
        <f>IF(DV867=0,0,DV874/DV867)</f>
        <v>2.6133542401672549E-2</v>
      </c>
      <c r="DX874" s="2132">
        <f t="shared" ref="DX874:DX887" si="852">IF(DS874=0,0,IF(ABS(DV874/DS874-1)&gt;10000%,0,DV874/DS874-1))</f>
        <v>0</v>
      </c>
      <c r="DY874" s="2105"/>
    </row>
    <row r="875" spans="33:129" s="496" customFormat="1" ht="18" x14ac:dyDescent="0.25">
      <c r="AG875" s="498"/>
      <c r="AO875" s="495"/>
      <c r="AP875" s="495"/>
      <c r="AQ875" s="495"/>
      <c r="AS875" s="500"/>
      <c r="AT875" s="495"/>
      <c r="AV875" s="500"/>
      <c r="AW875" s="495"/>
      <c r="AY875" s="500"/>
      <c r="AZ875" s="500"/>
      <c r="BA875" s="2141" t="str">
        <f t="shared" si="832"/>
        <v>+ / - PASIVOS ESTIMADOS Y PROVISIONES (DIFERIDOS)</v>
      </c>
      <c r="BB875" s="1860"/>
      <c r="BC875" s="2139"/>
      <c r="BD875" s="2140">
        <f t="shared" si="833"/>
        <v>0</v>
      </c>
      <c r="BE875" s="2140">
        <f t="shared" ref="BE875:BT875" si="853">BE799</f>
        <v>0</v>
      </c>
      <c r="BF875" s="2140">
        <f t="shared" si="853"/>
        <v>0</v>
      </c>
      <c r="BG875" s="2140">
        <f t="shared" si="853"/>
        <v>0</v>
      </c>
      <c r="BH875" s="2140">
        <f t="shared" si="853"/>
        <v>0</v>
      </c>
      <c r="BI875" s="2140">
        <f t="shared" si="853"/>
        <v>0</v>
      </c>
      <c r="BJ875" s="2140">
        <f t="shared" si="853"/>
        <v>0</v>
      </c>
      <c r="BK875" s="2140">
        <f t="shared" si="853"/>
        <v>0</v>
      </c>
      <c r="BL875" s="2140">
        <f t="shared" si="853"/>
        <v>0</v>
      </c>
      <c r="BM875" s="2140">
        <f t="shared" si="853"/>
        <v>0</v>
      </c>
      <c r="BN875" s="2140">
        <f t="shared" si="853"/>
        <v>0</v>
      </c>
      <c r="BO875" s="2140">
        <f t="shared" si="853"/>
        <v>0</v>
      </c>
      <c r="BP875" s="2140">
        <f t="shared" si="853"/>
        <v>0</v>
      </c>
      <c r="BQ875" s="2140">
        <f t="shared" si="853"/>
        <v>0</v>
      </c>
      <c r="BR875" s="2140">
        <f t="shared" si="853"/>
        <v>0</v>
      </c>
      <c r="BS875" s="2140">
        <f t="shared" si="853"/>
        <v>0</v>
      </c>
      <c r="BT875" s="2140">
        <f t="shared" si="853"/>
        <v>0</v>
      </c>
      <c r="BV875" s="2101"/>
      <c r="BW875" s="603"/>
      <c r="BX875" s="603"/>
      <c r="BY875" s="603"/>
      <c r="BZ875" s="2130" t="s">
        <v>1493</v>
      </c>
      <c r="CA875" s="2131">
        <f>-CA857</f>
        <v>-70</v>
      </c>
      <c r="CB875" s="2132">
        <f>IF(CA867=0,0,CA875/CA867)</f>
        <v>-2.456140350877193E-2</v>
      </c>
      <c r="CC875" s="2135">
        <f>-CC857</f>
        <v>-70.000000000000014</v>
      </c>
      <c r="CD875" s="2133">
        <f>IF(CC867=0,0,CC875/CC867)</f>
        <v>-2.4448169879854716E-2</v>
      </c>
      <c r="CE875" s="2132">
        <f>IF(CA875=0,0,IF(ABS(CC875/(CA875*360/$N$17)-1)&gt;10000%,0,CC875/(CA875*360/$N$17)-1))</f>
        <v>2.2204460492503131E-16</v>
      </c>
      <c r="CF875" s="2135">
        <f>-CF857</f>
        <v>-70.000000000000014</v>
      </c>
      <c r="CG875" s="2133">
        <f>IF(CF867=0,0,CF875/CF867)</f>
        <v>-2.4335975524961761E-2</v>
      </c>
      <c r="CH875" s="2132">
        <f t="shared" si="838"/>
        <v>0</v>
      </c>
      <c r="CI875" s="2135">
        <f>-CI857</f>
        <v>-70.000000000000014</v>
      </c>
      <c r="CJ875" s="2133">
        <f>IF(CI867=0,0,CI875/CI867)</f>
        <v>-2.4224806201550392E-2</v>
      </c>
      <c r="CK875" s="2132">
        <f t="shared" si="839"/>
        <v>0</v>
      </c>
      <c r="CL875" s="2135">
        <f>-CL857</f>
        <v>-70.000000000000014</v>
      </c>
      <c r="CM875" s="2133">
        <f>IF(CL867=0,0,CL875/CL867)</f>
        <v>-2.4114647926140282E-2</v>
      </c>
      <c r="CN875" s="2132">
        <f t="shared" si="840"/>
        <v>0</v>
      </c>
      <c r="CO875" s="2135">
        <f>-CO857</f>
        <v>-70.000000000000014</v>
      </c>
      <c r="CP875" s="2133">
        <f>IF(CO867=0,0,CO875/CO867)</f>
        <v>-2.4005486968449938E-2</v>
      </c>
      <c r="CQ875" s="2132">
        <f t="shared" si="841"/>
        <v>0</v>
      </c>
      <c r="CR875" s="2135">
        <f>-CR857</f>
        <v>-70.000000000000014</v>
      </c>
      <c r="CS875" s="2133">
        <f>IF(CR867=0,0,CR875/CR867)</f>
        <v>-2.3897309845691661E-2</v>
      </c>
      <c r="CT875" s="2132">
        <f t="shared" si="842"/>
        <v>0</v>
      </c>
      <c r="CU875" s="2135">
        <f>-CU857</f>
        <v>-70.000000000000014</v>
      </c>
      <c r="CV875" s="2133">
        <f>IF(CU867=0,0,CU875/CU867)</f>
        <v>-2.3790103317020125E-2</v>
      </c>
      <c r="CW875" s="2132">
        <f t="shared" si="843"/>
        <v>0</v>
      </c>
      <c r="CX875" s="2135">
        <f>-CX857</f>
        <v>-70.000000000000014</v>
      </c>
      <c r="CY875" s="2133">
        <f>IF(CX867=0,0,CX875/CX867)</f>
        <v>-2.3683854378129657E-2</v>
      </c>
      <c r="CZ875" s="2132">
        <f t="shared" si="844"/>
        <v>0</v>
      </c>
      <c r="DA875" s="2135">
        <f>-DA857</f>
        <v>-70.000000000000014</v>
      </c>
      <c r="DB875" s="2133">
        <f>IF(DA867=0,0,DA875/DA867)</f>
        <v>-2.357855025599569E-2</v>
      </c>
      <c r="DC875" s="2132">
        <f t="shared" si="845"/>
        <v>0</v>
      </c>
      <c r="DD875" s="2135">
        <f>-DD857</f>
        <v>-70.000000000000014</v>
      </c>
      <c r="DE875" s="2133">
        <f>IF(DD867=0,0,DD875/DD867)</f>
        <v>-2.3474178403755874E-2</v>
      </c>
      <c r="DF875" s="2132">
        <f t="shared" si="846"/>
        <v>0</v>
      </c>
      <c r="DG875" s="2135">
        <f>-DG857</f>
        <v>-70.000000000000014</v>
      </c>
      <c r="DH875" s="2133">
        <f>IF(DG867=0,0,DG875/DG867)</f>
        <v>-2.3370726495726503E-2</v>
      </c>
      <c r="DI875" s="2132">
        <f t="shared" si="847"/>
        <v>0</v>
      </c>
      <c r="DJ875" s="2135">
        <f>-DJ857</f>
        <v>-70.000000000000014</v>
      </c>
      <c r="DK875" s="2133">
        <f>IF(DJ867=0,0,DJ875/DJ867)</f>
        <v>-2.3268182422550198E-2</v>
      </c>
      <c r="DL875" s="2132">
        <f t="shared" si="848"/>
        <v>0</v>
      </c>
      <c r="DM875" s="2135">
        <f>-DM857</f>
        <v>-70.000000000000014</v>
      </c>
      <c r="DN875" s="2133">
        <f>IF(DM867=0,0,DM875/DM867)</f>
        <v>-2.3166534286470749E-2</v>
      </c>
      <c r="DO875" s="2132">
        <f t="shared" si="849"/>
        <v>0</v>
      </c>
      <c r="DP875" s="2135">
        <f>-DP857</f>
        <v>-70.000000000000014</v>
      </c>
      <c r="DQ875" s="2133">
        <f>IF(DP867=0,0,DP875/DP867)</f>
        <v>-2.3065770396731258E-2</v>
      </c>
      <c r="DR875" s="2134">
        <f t="shared" si="850"/>
        <v>0</v>
      </c>
      <c r="DS875" s="2135">
        <f>-DS857</f>
        <v>-70.000000000000014</v>
      </c>
      <c r="DT875" s="2133">
        <f>IF(DS867=0,0,DS875/DS867)</f>
        <v>-2.2965879265091867E-2</v>
      </c>
      <c r="DU875" s="2132">
        <f t="shared" si="851"/>
        <v>0</v>
      </c>
      <c r="DV875" s="2135">
        <f>-DV857</f>
        <v>-70.000000000000014</v>
      </c>
      <c r="DW875" s="2133">
        <f>IF(DV867=0,0,DV875/DV867)</f>
        <v>-2.2866849601463485E-2</v>
      </c>
      <c r="DX875" s="2132">
        <f t="shared" si="852"/>
        <v>0</v>
      </c>
      <c r="DY875" s="2105"/>
    </row>
    <row r="876" spans="33:129" s="568" customFormat="1" ht="18" x14ac:dyDescent="0.25">
      <c r="AG876" s="2176"/>
      <c r="AK876" s="496"/>
      <c r="AL876" s="496"/>
      <c r="AM876" s="496"/>
      <c r="AN876" s="496"/>
      <c r="AO876" s="495"/>
      <c r="AP876" s="495"/>
      <c r="AQ876" s="495"/>
      <c r="AR876" s="496"/>
      <c r="AS876" s="500"/>
      <c r="AT876" s="495"/>
      <c r="AU876" s="496"/>
      <c r="AV876" s="500"/>
      <c r="AW876" s="495"/>
      <c r="AX876" s="496"/>
      <c r="AY876" s="500"/>
      <c r="AZ876" s="500"/>
      <c r="BA876" s="2138" t="str">
        <f t="shared" si="832"/>
        <v xml:space="preserve">+ / - OTROS PASIVOS DE LARGO PLAZO </v>
      </c>
      <c r="BB876" s="1860"/>
      <c r="BC876" s="2139"/>
      <c r="BD876" s="2140">
        <f t="shared" si="833"/>
        <v>0</v>
      </c>
      <c r="BE876" s="2140">
        <f t="shared" ref="BE876:BT876" si="854">BE800</f>
        <v>0</v>
      </c>
      <c r="BF876" s="2140">
        <f t="shared" si="854"/>
        <v>0</v>
      </c>
      <c r="BG876" s="2140">
        <f t="shared" si="854"/>
        <v>0</v>
      </c>
      <c r="BH876" s="2140">
        <f t="shared" si="854"/>
        <v>0</v>
      </c>
      <c r="BI876" s="2140">
        <f t="shared" si="854"/>
        <v>0</v>
      </c>
      <c r="BJ876" s="2140">
        <f t="shared" si="854"/>
        <v>0</v>
      </c>
      <c r="BK876" s="2140">
        <f t="shared" si="854"/>
        <v>0</v>
      </c>
      <c r="BL876" s="2140">
        <f t="shared" si="854"/>
        <v>0</v>
      </c>
      <c r="BM876" s="2140">
        <f t="shared" si="854"/>
        <v>0</v>
      </c>
      <c r="BN876" s="2140">
        <f t="shared" si="854"/>
        <v>0</v>
      </c>
      <c r="BO876" s="2140">
        <f t="shared" si="854"/>
        <v>0</v>
      </c>
      <c r="BP876" s="2140">
        <f t="shared" si="854"/>
        <v>0</v>
      </c>
      <c r="BQ876" s="2140">
        <f t="shared" si="854"/>
        <v>0</v>
      </c>
      <c r="BR876" s="2140">
        <f t="shared" si="854"/>
        <v>0</v>
      </c>
      <c r="BS876" s="2140">
        <f t="shared" si="854"/>
        <v>0</v>
      </c>
      <c r="BT876" s="2140">
        <f t="shared" si="854"/>
        <v>0</v>
      </c>
      <c r="BU876" s="496"/>
      <c r="BV876" s="2177"/>
      <c r="BW876" s="2178"/>
      <c r="BX876" s="2178"/>
      <c r="BY876" s="2178"/>
      <c r="BZ876" s="2187" t="s">
        <v>1494</v>
      </c>
      <c r="CA876" s="2188">
        <f>AY794+AY801+AY814+(AY819-AY815)+AY821+AY824+AY826+AY827+AY828+AY829+AY830+AY831+AY832+AY833+AY834+AY835+AY836+AY837</f>
        <v>-40</v>
      </c>
      <c r="CB876" s="2189">
        <f>IF(CA867=0,0,CA876/CA867)</f>
        <v>-1.4035087719298246E-2</v>
      </c>
      <c r="CC876" s="2190">
        <f>BE794+BE801+BE814+(BE819-BE815)+BE821+BE824+BE826+BE827+BE828+BE829+BE830+BE831+BE832+BE833+BE834+BE835+BE836+BE837</f>
        <v>-79.534000000000006</v>
      </c>
      <c r="CD876" s="2191">
        <f>IF(CC867=0,0,CC876/CC867)</f>
        <v>-2.7778010617490922E-2</v>
      </c>
      <c r="CE876" s="2189">
        <f>IF(CA876=0,0,IF(ABS(CC876/CA876-1)&gt;10000%,0,CC876/CA876-1))</f>
        <v>0.98835000000000006</v>
      </c>
      <c r="CF876" s="2190">
        <f>BF794+BF801+BF814+(BF819-BF815)+BF821+BF824+BF826+BF827+BF828+BF829+BF830+BF831+BF832+BF833+BF834+BF835+BF836+BF837</f>
        <v>-99.268000000000001</v>
      </c>
      <c r="CG876" s="2191">
        <f>IF(CF867=0,0,CF876/CF867)</f>
        <v>-3.4511194548741485E-2</v>
      </c>
      <c r="CH876" s="2189">
        <f t="shared" si="838"/>
        <v>0.24812030075187952</v>
      </c>
      <c r="CI876" s="2190">
        <f>BG794+BG801+BG814+(BG819-BG815)+BG821+BG824+BG826+BG827+BG828+BG829+BG830+BG831+BG832+BG833+BG834+BG835+BG836+BG837</f>
        <v>-119.00200000000002</v>
      </c>
      <c r="CJ876" s="2191">
        <f>IF(CI867=0,0,CI876/CI867)</f>
        <v>-4.118286267995571E-2</v>
      </c>
      <c r="CK876" s="2189">
        <f t="shared" si="839"/>
        <v>0.19879518072289182</v>
      </c>
      <c r="CL876" s="2190">
        <f>BH794+BH801+BH814+(BH819-BH815)+BH821+BH824+BH826+BH827+BH828+BH829+BH830+BH831+BH832+BH833+BH834+BH835+BH836+BH837</f>
        <v>-138.73600000000002</v>
      </c>
      <c r="CM876" s="2191">
        <f>IF(CL867=0,0,CL876/CL867)</f>
        <v>-4.7793854209728544E-2</v>
      </c>
      <c r="CN876" s="2189">
        <f t="shared" si="840"/>
        <v>0.16582914572864316</v>
      </c>
      <c r="CO876" s="2190">
        <f>BI794+BI801+BI814+(BI819-BI815)+BI821+BI824+BI826+BI827+BI828+BI829+BI830+BI831+BI832+BI833+BI834+BI835+BI836+BI837</f>
        <v>-158.47000000000003</v>
      </c>
      <c r="CP876" s="2191">
        <f>IF(CO867=0,0,CO876/CO867)</f>
        <v>-5.4344993141289447E-2</v>
      </c>
      <c r="CQ876" s="2189">
        <f t="shared" si="841"/>
        <v>0.14224137931034497</v>
      </c>
      <c r="CR876" s="2190">
        <f>BJ794+BJ801+BJ814+(BJ819-BJ815)+BJ821+BJ824+BJ826+BJ827+BJ828+BJ829+BJ830+BJ831+BJ832+BJ833+BJ834+BJ835+BJ836+BJ837</f>
        <v>-178.20400000000004</v>
      </c>
      <c r="CS876" s="2191">
        <f>IF(CR867=0,0,CR876/CR867)</f>
        <v>-6.0837088624880527E-2</v>
      </c>
      <c r="CT876" s="2189">
        <f t="shared" si="842"/>
        <v>0.12452830188679243</v>
      </c>
      <c r="CU876" s="2190">
        <f>BK794+BK801+BK814+(BK819-BK815)+BK821+BK824+BK826+BK827+BK828+BK829+BK830+BK831+BK832+BK833+BK834+BK835+BK836+BK837</f>
        <v>-197.93800000000002</v>
      </c>
      <c r="CV876" s="2191">
        <f>IF(CU867=0,0,CU876/CU867)</f>
        <v>-6.7270935290918987E-2</v>
      </c>
      <c r="CW876" s="2189">
        <f t="shared" si="843"/>
        <v>0.11073825503355694</v>
      </c>
      <c r="CX876" s="2190">
        <f>BL794+BL801+BL814+(BL819-BL815)+BL821+BL824+BL826+BL827+BL828+BL829+BL830+BL831+BL832+BL833+BL834+BL835+BL836+BL837</f>
        <v>-217.67200000000003</v>
      </c>
      <c r="CY876" s="2191">
        <f>IF(CX867=0,0,CX876/CX867)</f>
        <v>-7.3647313574231973E-2</v>
      </c>
      <c r="CZ876" s="2189">
        <f t="shared" si="844"/>
        <v>9.9697885196374569E-2</v>
      </c>
      <c r="DA876" s="2190">
        <f>BM794+BM801+BM814+(BM819-BM815)+BM821+BM824+BM826+BM827+BM828+BM829+BM830+BM831+BM832+BM833+BM834+BM835+BM836+BM837</f>
        <v>-237.40600000000006</v>
      </c>
      <c r="DB876" s="2191">
        <f>IF(DA867=0,0,DA876/DA867)</f>
        <v>-7.9966990029641624E-2</v>
      </c>
      <c r="DC876" s="2189">
        <f t="shared" si="845"/>
        <v>9.0659340659340781E-2</v>
      </c>
      <c r="DD876" s="2190">
        <f>BN794+BN801+BN814+(BN819-BN815)+BN821+BN824+BN826+BN827+BN828+BN829+BN830+BN831+BN832+BN833+BN834+BN835+BN836+BN837</f>
        <v>-257.14</v>
      </c>
      <c r="DE876" s="2191">
        <f>IF(DD867=0,0,DD876/DD867)</f>
        <v>-8.6230717639168342E-2</v>
      </c>
      <c r="DF876" s="2189">
        <f t="shared" si="846"/>
        <v>8.312342569269493E-2</v>
      </c>
      <c r="DG876" s="2190">
        <f>BO794+BO801+BO814+(BO819-BO815)+BO821+BO824+BO826+BO827+BO828+BO829+BO830+BO831+BO832+BO833+BO834+BO835+BO836+BO837</f>
        <v>-276.87399999999997</v>
      </c>
      <c r="DH876" s="2191">
        <f>IF(DG867=0,0,DG876/DG867)</f>
        <v>-9.2439236111111101E-2</v>
      </c>
      <c r="DI876" s="2189">
        <f t="shared" si="847"/>
        <v>7.6744186046511453E-2</v>
      </c>
      <c r="DJ876" s="2190">
        <f>BP794+BP801+BP814+(BP819-BP815)+BP821+BP824+BP826+BP827+BP828+BP829+BP830+BP831+BP832+BP833+BP834+BP835+BP836+BP837</f>
        <v>-296.60799999999995</v>
      </c>
      <c r="DK876" s="2191">
        <f>IF(DJ867=0,0,DJ876/DJ867)</f>
        <v>-9.8593272171253798E-2</v>
      </c>
      <c r="DL876" s="2189">
        <f t="shared" si="848"/>
        <v>7.1274298056155372E-2</v>
      </c>
      <c r="DM876" s="2190">
        <f>BQ794+BQ801+BQ814+(BQ819-BQ815)+BQ821+BQ824+BQ826+BQ827+BQ828+BQ829+BQ830+BQ831+BQ832+BQ833+BQ834+BQ835+BQ836+BQ837</f>
        <v>-316.34199999999987</v>
      </c>
      <c r="DN876" s="2191">
        <f>IF(DM867=0,0,DM876/DM867)</f>
        <v>-0.10469353984643893</v>
      </c>
      <c r="DO876" s="2189">
        <f t="shared" si="849"/>
        <v>6.6532258064515792E-2</v>
      </c>
      <c r="DP876" s="2190">
        <f>BR794+BR801+BR814+(BR819-BR815)+BR821+BR824+BR826+BR827+BR828+BR829+BR830+BR831+BR832+BR833+BR834+BR835+BR836+BR837</f>
        <v>-336.07599999999991</v>
      </c>
      <c r="DQ876" s="2191">
        <f>IF(DP867=0,0,DP876/DP867)</f>
        <v>-0.11074074074074072</v>
      </c>
      <c r="DR876" s="2184">
        <f t="shared" si="850"/>
        <v>6.2381852551985029E-2</v>
      </c>
      <c r="DS876" s="2190">
        <f>BS794+BS801+BS814+(BS819-BS815)+BS821+BS824+BS826+BS827+BS828+BS829+BS830+BS831+BS832+BS833+BS834+BS835+BS836+BS837</f>
        <v>-355.80999999999983</v>
      </c>
      <c r="DT876" s="2191">
        <f>IF(DS867=0,0,DS876/DS867)</f>
        <v>-0.11673556430446189</v>
      </c>
      <c r="DU876" s="2189">
        <f t="shared" si="851"/>
        <v>5.8718861209964279E-2</v>
      </c>
      <c r="DV876" s="2190">
        <f>BT794+BT801+BT814+(BT819-BT815)+BT821+BT824+BT826+BT827+BT828+BT829+BT830+BT831+BT832+BT833+BT834+BT835+BT836+BT837</f>
        <v>-375.54399999999998</v>
      </c>
      <c r="DW876" s="2191">
        <f>IF(DV867=0,0,DV876/DV867)</f>
        <v>-0.12267868809617144</v>
      </c>
      <c r="DX876" s="2189">
        <f t="shared" si="852"/>
        <v>5.5462184873950049E-2</v>
      </c>
      <c r="DY876" s="2185"/>
    </row>
    <row r="877" spans="33:129" s="496" customFormat="1" ht="18" x14ac:dyDescent="0.25">
      <c r="AG877" s="498"/>
      <c r="AO877" s="495"/>
      <c r="AP877" s="495"/>
      <c r="AQ877" s="495"/>
      <c r="AS877" s="500"/>
      <c r="AT877" s="495"/>
      <c r="AV877" s="500"/>
      <c r="AW877" s="495"/>
      <c r="AY877" s="500"/>
      <c r="AZ877" s="500"/>
      <c r="BA877" s="2138" t="str">
        <f>AM812</f>
        <v>- / + DEUDORES VARIOS</v>
      </c>
      <c r="BB877" s="1860"/>
      <c r="BC877" s="2139"/>
      <c r="BD877" s="2140">
        <f>AY812</f>
        <v>0</v>
      </c>
      <c r="BE877" s="2140">
        <f t="shared" ref="BE877:BT877" si="855">BE812</f>
        <v>0</v>
      </c>
      <c r="BF877" s="2140">
        <f t="shared" si="855"/>
        <v>0</v>
      </c>
      <c r="BG877" s="2140">
        <f t="shared" si="855"/>
        <v>0</v>
      </c>
      <c r="BH877" s="2140">
        <f t="shared" si="855"/>
        <v>0</v>
      </c>
      <c r="BI877" s="2140">
        <f t="shared" si="855"/>
        <v>0</v>
      </c>
      <c r="BJ877" s="2140">
        <f t="shared" si="855"/>
        <v>0</v>
      </c>
      <c r="BK877" s="2140">
        <f t="shared" si="855"/>
        <v>0</v>
      </c>
      <c r="BL877" s="2140">
        <f t="shared" si="855"/>
        <v>0</v>
      </c>
      <c r="BM877" s="2140">
        <f t="shared" si="855"/>
        <v>0</v>
      </c>
      <c r="BN877" s="2140">
        <f t="shared" si="855"/>
        <v>0</v>
      </c>
      <c r="BO877" s="2140">
        <f t="shared" si="855"/>
        <v>0</v>
      </c>
      <c r="BP877" s="2140">
        <f t="shared" si="855"/>
        <v>0</v>
      </c>
      <c r="BQ877" s="2140">
        <f t="shared" si="855"/>
        <v>0</v>
      </c>
      <c r="BR877" s="2140">
        <f t="shared" si="855"/>
        <v>0</v>
      </c>
      <c r="BS877" s="2140">
        <f t="shared" si="855"/>
        <v>0</v>
      </c>
      <c r="BT877" s="2140">
        <f t="shared" si="855"/>
        <v>0</v>
      </c>
      <c r="BV877" s="2101"/>
      <c r="BW877" s="603"/>
      <c r="BX877" s="603"/>
      <c r="BY877" s="603"/>
      <c r="BZ877" s="2130" t="s">
        <v>529</v>
      </c>
      <c r="CA877" s="2131">
        <f>AY769</f>
        <v>-2810</v>
      </c>
      <c r="CB877" s="2132">
        <f>IF(CA867=0,0,CA877/CA867)</f>
        <v>-0.98596491228070171</v>
      </c>
      <c r="CC877" s="2135">
        <f>BE769</f>
        <v>-1882.7000000000003</v>
      </c>
      <c r="CD877" s="2133">
        <f>IF(CC867=0,0,CC877/CC867)</f>
        <v>-0.65755099189717814</v>
      </c>
      <c r="CE877" s="2132">
        <f>IF(CA877=0,0,IF(ABS(CC877/CA877-1)&gt;10000%,0,CC877/CA877-1))</f>
        <v>-0.32999999999999985</v>
      </c>
      <c r="CF877" s="2135">
        <f>BF769</f>
        <v>-1884.308</v>
      </c>
      <c r="CG877" s="2133">
        <f>IF(CF867=0,0,CF877/CF867)</f>
        <v>-0.65509247670699489</v>
      </c>
      <c r="CH877" s="2132">
        <f t="shared" si="838"/>
        <v>8.5409252669021996E-4</v>
      </c>
      <c r="CI877" s="2135">
        <f>BG769</f>
        <v>-1884.576</v>
      </c>
      <c r="CJ877" s="2133">
        <f>IF(CI867=0,0,CI877/CI867)</f>
        <v>-0.65219269102990041</v>
      </c>
      <c r="CK877" s="2132">
        <f t="shared" si="839"/>
        <v>1.4222727919221967E-4</v>
      </c>
      <c r="CL877" s="2135">
        <f>BH769</f>
        <v>-1887.2560000000003</v>
      </c>
      <c r="CM877" s="2133">
        <f>IF(CL867=0,0,CL877/CL867)</f>
        <v>-0.65015019980708288</v>
      </c>
      <c r="CN877" s="2132">
        <f t="shared" si="840"/>
        <v>1.4220705346987828E-3</v>
      </c>
      <c r="CO877" s="2135">
        <f>BI769</f>
        <v>-1887.2560000000003</v>
      </c>
      <c r="CP877" s="2133">
        <f>IF(CO867=0,0,CO877/CO867)</f>
        <v>-0.64720713305898503</v>
      </c>
      <c r="CQ877" s="2132">
        <f t="shared" si="841"/>
        <v>0</v>
      </c>
      <c r="CR877" s="2135">
        <f>BJ769</f>
        <v>-1887.2560000000003</v>
      </c>
      <c r="CS877" s="2133">
        <f>IF(CR867=0,0,CR877/CR867)</f>
        <v>-0.64429059128772381</v>
      </c>
      <c r="CT877" s="2132">
        <f t="shared" si="842"/>
        <v>0</v>
      </c>
      <c r="CU877" s="2135">
        <f>BK769</f>
        <v>-1887.2559999999994</v>
      </c>
      <c r="CV877" s="2133">
        <f>IF(CU867=0,0,CU877/CU867)</f>
        <v>-0.64140021750951581</v>
      </c>
      <c r="CW877" s="2132">
        <f t="shared" si="843"/>
        <v>-4.4408920985006262E-16</v>
      </c>
      <c r="CX877" s="2135">
        <f>BL769</f>
        <v>-1887.2560000000012</v>
      </c>
      <c r="CY877" s="2133">
        <f>IF(CX867=0,0,CX877/CX867)</f>
        <v>-0.63853566111787841</v>
      </c>
      <c r="CZ877" s="2132">
        <f t="shared" si="844"/>
        <v>8.8817841970012523E-16</v>
      </c>
      <c r="DA877" s="2135">
        <f>BM769</f>
        <v>-1887.2559999999994</v>
      </c>
      <c r="DB877" s="2133">
        <f>IF(DA867=0,0,DA877/DA867)</f>
        <v>-0.63569657774184829</v>
      </c>
      <c r="DC877" s="2132">
        <f t="shared" si="845"/>
        <v>-9.9920072216264089E-16</v>
      </c>
      <c r="DD877" s="2135">
        <f>BN769</f>
        <v>-1887.2560000000012</v>
      </c>
      <c r="DE877" s="2133">
        <f>IF(DD867=0,0,DD877/DD867)</f>
        <v>-0.63288262910798165</v>
      </c>
      <c r="DF877" s="2132">
        <f t="shared" si="846"/>
        <v>8.8817841970012523E-16</v>
      </c>
      <c r="DG877" s="2135">
        <f>BO769</f>
        <v>-1887.2559999999994</v>
      </c>
      <c r="DH877" s="2133">
        <f>IF(DG867=0,0,DG877/DG867)</f>
        <v>-0.63009348290598277</v>
      </c>
      <c r="DI877" s="2132">
        <f t="shared" si="847"/>
        <v>-9.9920072216264089E-16</v>
      </c>
      <c r="DJ877" s="2135">
        <f>BP769</f>
        <v>-1887.2560000000012</v>
      </c>
      <c r="DK877" s="2133">
        <f>IF(DJ867=0,0,DJ877/DJ867)</f>
        <v>-0.62732881265789164</v>
      </c>
      <c r="DL877" s="2132">
        <f t="shared" si="848"/>
        <v>8.8817841970012523E-16</v>
      </c>
      <c r="DM877" s="2135">
        <f>BQ769</f>
        <v>-1887.2559999999994</v>
      </c>
      <c r="DN877" s="2133">
        <f>IF(DM867=0,0,DM877/DM867)</f>
        <v>-0.62458829759068024</v>
      </c>
      <c r="DO877" s="2132">
        <f t="shared" si="849"/>
        <v>-9.9920072216264089E-16</v>
      </c>
      <c r="DP877" s="2135">
        <f>BR769</f>
        <v>-1887.2560000000012</v>
      </c>
      <c r="DQ877" s="2133">
        <f>IF(DP867=0,0,DP877/DP867)</f>
        <v>-0.62187162251219241</v>
      </c>
      <c r="DR877" s="2192">
        <f t="shared" si="850"/>
        <v>8.8817841970012523E-16</v>
      </c>
      <c r="DS877" s="2135">
        <f>BS769</f>
        <v>-1887.2559999999994</v>
      </c>
      <c r="DT877" s="2133">
        <f>IF(DS867=0,0,DS877/DS867)</f>
        <v>-0.61917847769028855</v>
      </c>
      <c r="DU877" s="2132">
        <f t="shared" si="851"/>
        <v>-9.9920072216264089E-16</v>
      </c>
      <c r="DV877" s="2135">
        <f>BT769</f>
        <v>-1887.2560000000012</v>
      </c>
      <c r="DW877" s="2133">
        <f>IF(DV867=0,0,DV877/DV867)</f>
        <v>-0.61650855873513699</v>
      </c>
      <c r="DX877" s="2132">
        <f t="shared" si="852"/>
        <v>8.8817841970012523E-16</v>
      </c>
      <c r="DY877" s="2105"/>
    </row>
    <row r="878" spans="33:129" s="496" customFormat="1" ht="18" x14ac:dyDescent="0.25">
      <c r="AG878" s="498"/>
      <c r="AO878" s="495"/>
      <c r="AP878" s="495"/>
      <c r="AQ878" s="495"/>
      <c r="AS878" s="500"/>
      <c r="AT878" s="495"/>
      <c r="AV878" s="500"/>
      <c r="AW878" s="495"/>
      <c r="AY878" s="500"/>
      <c r="AZ878" s="500"/>
      <c r="BA878" s="2138" t="str">
        <f>AM813</f>
        <v>- / + OTROS CORRIENTES</v>
      </c>
      <c r="BB878" s="1860"/>
      <c r="BC878" s="2139"/>
      <c r="BD878" s="2140">
        <f>AY813</f>
        <v>0</v>
      </c>
      <c r="BE878" s="2140">
        <f t="shared" ref="BE878:BT878" si="856">BE813</f>
        <v>0</v>
      </c>
      <c r="BF878" s="2140">
        <f t="shared" si="856"/>
        <v>0</v>
      </c>
      <c r="BG878" s="2140">
        <f t="shared" si="856"/>
        <v>0</v>
      </c>
      <c r="BH878" s="2140">
        <f t="shared" si="856"/>
        <v>0</v>
      </c>
      <c r="BI878" s="2140">
        <f t="shared" si="856"/>
        <v>0</v>
      </c>
      <c r="BJ878" s="2140">
        <f t="shared" si="856"/>
        <v>0</v>
      </c>
      <c r="BK878" s="2140">
        <f t="shared" si="856"/>
        <v>0</v>
      </c>
      <c r="BL878" s="2140">
        <f t="shared" si="856"/>
        <v>0</v>
      </c>
      <c r="BM878" s="2140">
        <f t="shared" si="856"/>
        <v>0</v>
      </c>
      <c r="BN878" s="2140">
        <f t="shared" si="856"/>
        <v>0</v>
      </c>
      <c r="BO878" s="2140">
        <f t="shared" si="856"/>
        <v>0</v>
      </c>
      <c r="BP878" s="2140">
        <f t="shared" si="856"/>
        <v>0</v>
      </c>
      <c r="BQ878" s="2140">
        <f t="shared" si="856"/>
        <v>0</v>
      </c>
      <c r="BR878" s="2140">
        <f t="shared" si="856"/>
        <v>0</v>
      </c>
      <c r="BS878" s="2140">
        <f t="shared" si="856"/>
        <v>0</v>
      </c>
      <c r="BT878" s="2140">
        <f t="shared" si="856"/>
        <v>0</v>
      </c>
      <c r="BV878" s="2101"/>
      <c r="BW878" s="603"/>
      <c r="BX878" s="603"/>
      <c r="BY878" s="603"/>
      <c r="BZ878" s="2130" t="s">
        <v>1495</v>
      </c>
      <c r="CA878" s="2131">
        <f>AY802</f>
        <v>0</v>
      </c>
      <c r="CB878" s="2132">
        <f>IF(CA867=0,0,CA878/CA867)</f>
        <v>0</v>
      </c>
      <c r="CC878" s="2135">
        <f>BE802</f>
        <v>0</v>
      </c>
      <c r="CD878" s="2133">
        <f>IF(CC867=0,0,CC878/CC867)</f>
        <v>0</v>
      </c>
      <c r="CE878" s="2132">
        <f>IF(CA878=0,0,IF(ABS(CC878/CA878-1)&gt;10000%,0,CC878/CA878-1))</f>
        <v>0</v>
      </c>
      <c r="CF878" s="2135">
        <f>BF802</f>
        <v>0</v>
      </c>
      <c r="CG878" s="2133">
        <f>IF(CF867=0,0,CF878/CF867)</f>
        <v>0</v>
      </c>
      <c r="CH878" s="2132">
        <f t="shared" si="838"/>
        <v>0</v>
      </c>
      <c r="CI878" s="2135">
        <f>BG802</f>
        <v>0</v>
      </c>
      <c r="CJ878" s="2133">
        <f>IF(CI867=0,0,CI878/CI867)</f>
        <v>0</v>
      </c>
      <c r="CK878" s="2132">
        <f t="shared" si="839"/>
        <v>0</v>
      </c>
      <c r="CL878" s="2135">
        <f>BH802</f>
        <v>0</v>
      </c>
      <c r="CM878" s="2133">
        <f>IF(CL867=0,0,CL878/CL867)</f>
        <v>0</v>
      </c>
      <c r="CN878" s="2132">
        <f t="shared" si="840"/>
        <v>0</v>
      </c>
      <c r="CO878" s="2135">
        <f>BI802</f>
        <v>0</v>
      </c>
      <c r="CP878" s="2133">
        <f>IF(CO867=0,0,CO878/CO867)</f>
        <v>0</v>
      </c>
      <c r="CQ878" s="2132">
        <f t="shared" si="841"/>
        <v>0</v>
      </c>
      <c r="CR878" s="2135">
        <f>BJ802</f>
        <v>0</v>
      </c>
      <c r="CS878" s="2133">
        <f>IF(CR867=0,0,CR878/CR867)</f>
        <v>0</v>
      </c>
      <c r="CT878" s="2132">
        <f t="shared" si="842"/>
        <v>0</v>
      </c>
      <c r="CU878" s="2135">
        <f>BK802</f>
        <v>0</v>
      </c>
      <c r="CV878" s="2133">
        <f>IF(CU867=0,0,CU878/CU867)</f>
        <v>0</v>
      </c>
      <c r="CW878" s="2132">
        <f t="shared" si="843"/>
        <v>0</v>
      </c>
      <c r="CX878" s="2135">
        <f>BL802</f>
        <v>0</v>
      </c>
      <c r="CY878" s="2133">
        <f>IF(CX867=0,0,CX878/CX867)</f>
        <v>0</v>
      </c>
      <c r="CZ878" s="2132">
        <f t="shared" si="844"/>
        <v>0</v>
      </c>
      <c r="DA878" s="2135">
        <f>BM802</f>
        <v>0</v>
      </c>
      <c r="DB878" s="2133">
        <f>IF(DA867=0,0,DA878/DA867)</f>
        <v>0</v>
      </c>
      <c r="DC878" s="2132">
        <f t="shared" si="845"/>
        <v>0</v>
      </c>
      <c r="DD878" s="2135">
        <f>BN802</f>
        <v>0</v>
      </c>
      <c r="DE878" s="2133">
        <f>IF(DD867=0,0,DD878/DD867)</f>
        <v>0</v>
      </c>
      <c r="DF878" s="2132">
        <f t="shared" si="846"/>
        <v>0</v>
      </c>
      <c r="DG878" s="2135">
        <f>BO802</f>
        <v>0</v>
      </c>
      <c r="DH878" s="2133">
        <f>IF(DG867=0,0,DG878/DG867)</f>
        <v>0</v>
      </c>
      <c r="DI878" s="2132">
        <f t="shared" si="847"/>
        <v>0</v>
      </c>
      <c r="DJ878" s="2135">
        <f>BP802</f>
        <v>0</v>
      </c>
      <c r="DK878" s="2133">
        <f>IF(DJ867=0,0,DJ878/DJ867)</f>
        <v>0</v>
      </c>
      <c r="DL878" s="2132">
        <f t="shared" si="848"/>
        <v>0</v>
      </c>
      <c r="DM878" s="2135">
        <f>BQ802</f>
        <v>0</v>
      </c>
      <c r="DN878" s="2133">
        <f>IF(DM867=0,0,DM878/DM867)</f>
        <v>0</v>
      </c>
      <c r="DO878" s="2132">
        <f t="shared" si="849"/>
        <v>0</v>
      </c>
      <c r="DP878" s="2135">
        <f>BR802</f>
        <v>0</v>
      </c>
      <c r="DQ878" s="2133">
        <f>IF(DP867=0,0,DP878/DP867)</f>
        <v>0</v>
      </c>
      <c r="DR878" s="2134">
        <f t="shared" si="850"/>
        <v>0</v>
      </c>
      <c r="DS878" s="2135">
        <f>BS802</f>
        <v>0</v>
      </c>
      <c r="DT878" s="2133">
        <f>IF(DS867=0,0,DS878/DS867)</f>
        <v>0</v>
      </c>
      <c r="DU878" s="2132">
        <f t="shared" si="851"/>
        <v>0</v>
      </c>
      <c r="DV878" s="2135">
        <f>BT802</f>
        <v>0</v>
      </c>
      <c r="DW878" s="2133">
        <f>IF(DV867=0,0,DV878/DV867)</f>
        <v>0</v>
      </c>
      <c r="DX878" s="2132">
        <f t="shared" si="852"/>
        <v>0</v>
      </c>
      <c r="DY878" s="2105"/>
    </row>
    <row r="879" spans="33:129" s="496" customFormat="1" ht="18" x14ac:dyDescent="0.25">
      <c r="AG879" s="498"/>
      <c r="AO879" s="495"/>
      <c r="AP879" s="495"/>
      <c r="AQ879" s="495"/>
      <c r="AS879" s="500"/>
      <c r="AT879" s="495"/>
      <c r="AV879" s="500"/>
      <c r="AW879" s="495"/>
      <c r="AY879" s="500"/>
      <c r="AZ879" s="500"/>
      <c r="BA879" s="2138" t="str">
        <f>AM816</f>
        <v>- / + INTANGIBLES NETO</v>
      </c>
      <c r="BB879" s="1860"/>
      <c r="BC879" s="2139"/>
      <c r="BD879" s="2140">
        <f>AY816</f>
        <v>0</v>
      </c>
      <c r="BE879" s="2140">
        <f t="shared" ref="BE879:BT879" si="857">BE816</f>
        <v>0</v>
      </c>
      <c r="BF879" s="2140">
        <f t="shared" si="857"/>
        <v>0</v>
      </c>
      <c r="BG879" s="2140">
        <f t="shared" si="857"/>
        <v>0</v>
      </c>
      <c r="BH879" s="2140">
        <f t="shared" si="857"/>
        <v>0</v>
      </c>
      <c r="BI879" s="2140">
        <f t="shared" si="857"/>
        <v>0</v>
      </c>
      <c r="BJ879" s="2140">
        <f t="shared" si="857"/>
        <v>0</v>
      </c>
      <c r="BK879" s="2140">
        <f t="shared" si="857"/>
        <v>0</v>
      </c>
      <c r="BL879" s="2140">
        <f t="shared" si="857"/>
        <v>0</v>
      </c>
      <c r="BM879" s="2140">
        <f t="shared" si="857"/>
        <v>0</v>
      </c>
      <c r="BN879" s="2140">
        <f t="shared" si="857"/>
        <v>0</v>
      </c>
      <c r="BO879" s="2140">
        <f t="shared" si="857"/>
        <v>0</v>
      </c>
      <c r="BP879" s="2140">
        <f t="shared" si="857"/>
        <v>0</v>
      </c>
      <c r="BQ879" s="2140">
        <f t="shared" si="857"/>
        <v>0</v>
      </c>
      <c r="BR879" s="2140">
        <f t="shared" si="857"/>
        <v>0</v>
      </c>
      <c r="BS879" s="2140">
        <f t="shared" si="857"/>
        <v>0</v>
      </c>
      <c r="BT879" s="2140">
        <f t="shared" si="857"/>
        <v>0</v>
      </c>
      <c r="BV879" s="2101"/>
      <c r="BW879" s="603"/>
      <c r="BX879" s="603"/>
      <c r="BY879" s="603"/>
      <c r="BZ879" s="2125" t="s">
        <v>1496</v>
      </c>
      <c r="CA879" s="2126">
        <f>CA872+SUM(CA874:CA878)</f>
        <v>10</v>
      </c>
      <c r="CB879" s="2127">
        <f>IF(CA867=0,0,CA879/CA867)</f>
        <v>3.5087719298245615E-3</v>
      </c>
      <c r="CC879" s="2129">
        <f>CC872+SUM(CC874:CC878)</f>
        <v>732.76599999999962</v>
      </c>
      <c r="CD879" s="2128">
        <f>IF(CC867=0,0,CC879/CC867)</f>
        <v>0.25592553785973726</v>
      </c>
      <c r="CE879" s="2127">
        <f>IF(CA879=0,0,IF(ABS(CC879/CA879-1)&gt;10000%,0,CC879/CA879-1))</f>
        <v>72.276599999999959</v>
      </c>
      <c r="CF879" s="2129">
        <f>CF872+SUM(CF874:CF878)</f>
        <v>724.6239999999998</v>
      </c>
      <c r="CG879" s="2128">
        <f>IF(CF867=0,0,CF879/CF867)</f>
        <v>0.25192045612571262</v>
      </c>
      <c r="CH879" s="2127">
        <f t="shared" si="838"/>
        <v>-1.111132339655474E-2</v>
      </c>
      <c r="CI879" s="2129">
        <f>CI872+SUM(CI874:CI878)</f>
        <v>717.82199999999966</v>
      </c>
      <c r="CJ879" s="2128">
        <f>IF(CI867=0,0,CI879/CI867)</f>
        <v>0.24841569767441848</v>
      </c>
      <c r="CK879" s="2127">
        <f t="shared" si="839"/>
        <v>-9.3869372253749805E-3</v>
      </c>
      <c r="CL879" s="2129">
        <f>CL872+SUM(CL874:CL878)</f>
        <v>708.60799999999995</v>
      </c>
      <c r="CM879" s="2128">
        <f>IF(CL867=0,0,CL879/CL867)</f>
        <v>0.24411189196637725</v>
      </c>
      <c r="CN879" s="2127">
        <f t="shared" si="840"/>
        <v>-1.283605127733578E-2</v>
      </c>
      <c r="CO879" s="2129">
        <f>CO872+SUM(CO874:CO878)</f>
        <v>702.07399999999984</v>
      </c>
      <c r="CP879" s="2128">
        <f>IF(CO867=0,0,CO879/CO867)</f>
        <v>0.24076611796982161</v>
      </c>
      <c r="CQ879" s="2127">
        <f t="shared" si="841"/>
        <v>-9.220895050578215E-3</v>
      </c>
      <c r="CR879" s="2129">
        <f>CR872+SUM(CR874:CR878)</f>
        <v>695.53999999999951</v>
      </c>
      <c r="CS879" s="2128">
        <f>IF(CR867=0,0,CR879/CR867)</f>
        <v>0.23745049842960519</v>
      </c>
      <c r="CT879" s="2127">
        <f t="shared" si="842"/>
        <v>-9.3067112583578027E-3</v>
      </c>
      <c r="CU879" s="2129">
        <f>CU872+SUM(CU874:CU878)</f>
        <v>689.00600000000031</v>
      </c>
      <c r="CV879" s="2128">
        <f>IF(CU867=0,0,CU879/CU867)</f>
        <v>0.23416462751495387</v>
      </c>
      <c r="CW879" s="2127">
        <f t="shared" si="843"/>
        <v>-9.3941398050424452E-3</v>
      </c>
      <c r="CX879" s="2129">
        <f>CX872+SUM(CX874:CX878)</f>
        <v>682.47199999999839</v>
      </c>
      <c r="CY879" s="2128">
        <f>IF(CX867=0,0,CX879/CX867)</f>
        <v>0.23090810664501232</v>
      </c>
      <c r="CZ879" s="2127">
        <f t="shared" si="844"/>
        <v>-9.4832265611648481E-3</v>
      </c>
      <c r="DA879" s="2129">
        <f>DA872+SUM(DA874:DA878)</f>
        <v>675.93800000000101</v>
      </c>
      <c r="DB879" s="2128">
        <f>IF(DA867=0,0,DA879/DA867)</f>
        <v>0.22768054432767482</v>
      </c>
      <c r="DC879" s="2127">
        <f t="shared" si="845"/>
        <v>-9.5740191538955521E-3</v>
      </c>
      <c r="DD879" s="2129">
        <f>DD872+SUM(DD874:DD878)</f>
        <v>669.40399999999909</v>
      </c>
      <c r="DE879" s="2128">
        <f>IF(DD867=0,0,DD879/DD867)</f>
        <v>0.22448155600268246</v>
      </c>
      <c r="DF879" s="2127">
        <f t="shared" si="846"/>
        <v>-9.6665670520105218E-3</v>
      </c>
      <c r="DG879" s="2129">
        <f>DG872+SUM(DG874:DG878)</f>
        <v>662.8700000000008</v>
      </c>
      <c r="DH879" s="2128">
        <f>IF(DG867=0,0,DG879/DG867)</f>
        <v>0.22131076388888918</v>
      </c>
      <c r="DI879" s="2127">
        <f t="shared" si="847"/>
        <v>-9.7609216556792111E-3</v>
      </c>
      <c r="DJ879" s="2129">
        <f>DJ872+SUM(DJ874:DJ878)</f>
        <v>656.33599999999888</v>
      </c>
      <c r="DK879" s="2128">
        <f>IF(DJ867=0,0,DJ879/DJ867)</f>
        <v>0.21816779683552681</v>
      </c>
      <c r="DL879" s="2127">
        <f t="shared" si="848"/>
        <v>-9.8571363917538957E-3</v>
      </c>
      <c r="DM879" s="2129">
        <f>DM872+SUM(DM874:DM878)</f>
        <v>649.80200000000104</v>
      </c>
      <c r="DN879" s="2128">
        <f>IF(DM867=0,0,DM879/DM867)</f>
        <v>0.2150522901773898</v>
      </c>
      <c r="DO879" s="2127">
        <f t="shared" si="849"/>
        <v>-9.9552668145551637E-3</v>
      </c>
      <c r="DP879" s="2129">
        <f>DP872+SUM(DP874:DP878)</f>
        <v>643.26799999999866</v>
      </c>
      <c r="DQ879" s="2128">
        <f>IF(DP867=0,0,DP879/DP867)</f>
        <v>0.21196388559377841</v>
      </c>
      <c r="DR879" s="2127">
        <f t="shared" si="850"/>
        <v>-1.0055370712928502E-2</v>
      </c>
      <c r="DS879" s="2129">
        <f>DS872+SUM(DS874:DS878)</f>
        <v>636.73400000000083</v>
      </c>
      <c r="DT879" s="2128">
        <f>IF(DS867=0,0,DS879/DS867)</f>
        <v>0.20890223097112889</v>
      </c>
      <c r="DU879" s="2127">
        <f t="shared" si="851"/>
        <v>-1.0157508223629708E-2</v>
      </c>
      <c r="DV879" s="2129">
        <f>DV872+SUM(DV874:DV878)</f>
        <v>630.19999999999891</v>
      </c>
      <c r="DW879" s="2128">
        <f>IF(DV867=0,0,DV879/DV867)</f>
        <v>0.20586698026917513</v>
      </c>
      <c r="DX879" s="2127">
        <f t="shared" si="852"/>
        <v>-1.0261741951901326E-2</v>
      </c>
      <c r="DY879" s="2105"/>
    </row>
    <row r="880" spans="33:129" s="496" customFormat="1" ht="18" x14ac:dyDescent="0.25">
      <c r="AG880" s="498"/>
      <c r="AO880" s="495"/>
      <c r="AP880" s="495"/>
      <c r="AQ880" s="495"/>
      <c r="AS880" s="500"/>
      <c r="AT880" s="495"/>
      <c r="AV880" s="500"/>
      <c r="AW880" s="495"/>
      <c r="AY880" s="500"/>
      <c r="AZ880" s="500"/>
      <c r="BA880" s="2138" t="str">
        <f>AM817</f>
        <v>- / + CARGOS DIFERIDOS NETO</v>
      </c>
      <c r="BB880" s="1860"/>
      <c r="BC880" s="2139"/>
      <c r="BD880" s="2140">
        <f>AY817</f>
        <v>0</v>
      </c>
      <c r="BE880" s="2140">
        <f t="shared" ref="BE880:BT880" si="858">BE817</f>
        <v>0</v>
      </c>
      <c r="BF880" s="2140">
        <f t="shared" si="858"/>
        <v>0</v>
      </c>
      <c r="BG880" s="2140">
        <f t="shared" si="858"/>
        <v>0</v>
      </c>
      <c r="BH880" s="2140">
        <f t="shared" si="858"/>
        <v>0</v>
      </c>
      <c r="BI880" s="2140">
        <f t="shared" si="858"/>
        <v>0</v>
      </c>
      <c r="BJ880" s="2140">
        <f t="shared" si="858"/>
        <v>0</v>
      </c>
      <c r="BK880" s="2140">
        <f t="shared" si="858"/>
        <v>0</v>
      </c>
      <c r="BL880" s="2140">
        <f t="shared" si="858"/>
        <v>0</v>
      </c>
      <c r="BM880" s="2140">
        <f t="shared" si="858"/>
        <v>0</v>
      </c>
      <c r="BN880" s="2140">
        <f t="shared" si="858"/>
        <v>0</v>
      </c>
      <c r="BO880" s="2140">
        <f t="shared" si="858"/>
        <v>0</v>
      </c>
      <c r="BP880" s="2140">
        <f t="shared" si="858"/>
        <v>0</v>
      </c>
      <c r="BQ880" s="2140">
        <f t="shared" si="858"/>
        <v>0</v>
      </c>
      <c r="BR880" s="2140">
        <f t="shared" si="858"/>
        <v>0</v>
      </c>
      <c r="BS880" s="2140">
        <f t="shared" si="858"/>
        <v>0</v>
      </c>
      <c r="BT880" s="2140">
        <f t="shared" si="858"/>
        <v>0</v>
      </c>
      <c r="BV880" s="2101"/>
      <c r="BW880" s="603"/>
      <c r="BX880" s="603"/>
      <c r="BY880" s="603"/>
      <c r="BZ880" s="2130" t="s">
        <v>1497</v>
      </c>
      <c r="CA880" s="2131">
        <f>AY784</f>
        <v>-10</v>
      </c>
      <c r="CB880" s="2132">
        <f>IF(CA867=0,0,CA880/CA867)</f>
        <v>-3.5087719298245615E-3</v>
      </c>
      <c r="CC880" s="2135">
        <f>BE784</f>
        <v>-7.6000000000000014</v>
      </c>
      <c r="CD880" s="2133">
        <f>IF(CC867=0,0,CC880/CC867)</f>
        <v>-2.6543727298127973E-3</v>
      </c>
      <c r="CE880" s="2132">
        <f>IF(CA880=0,0,IF(ABS(CC880/(CA880*360/$N$17)-1)&gt;10000%,0,CC880/(CA880*360/$N$17)-1))</f>
        <v>-0.23999999999999988</v>
      </c>
      <c r="CF880" s="2135">
        <f>BF784</f>
        <v>-7.2000000000000011</v>
      </c>
      <c r="CG880" s="2133">
        <f>IF(CF867=0,0,CF880/CF867)</f>
        <v>-2.5031289111389242E-3</v>
      </c>
      <c r="CH880" s="2132">
        <f t="shared" si="838"/>
        <v>-5.2631578947368474E-2</v>
      </c>
      <c r="CI880" s="2135">
        <f>BG784</f>
        <v>-3.2000000000000006</v>
      </c>
      <c r="CJ880" s="2133">
        <f>IF(CI867=0,0,CI880/CI867)</f>
        <v>-1.107419712070875E-3</v>
      </c>
      <c r="CK880" s="2132">
        <f t="shared" si="839"/>
        <v>-0.55555555555555558</v>
      </c>
      <c r="CL880" s="2135">
        <f>BH784</f>
        <v>-3.2000000000000006</v>
      </c>
      <c r="CM880" s="2133">
        <f>IF(CL867=0,0,CL880/CL867)</f>
        <v>-1.1023839051949843E-3</v>
      </c>
      <c r="CN880" s="2132">
        <f t="shared" si="840"/>
        <v>0</v>
      </c>
      <c r="CO880" s="2135">
        <f>BI784</f>
        <v>-3.2000000000000006</v>
      </c>
      <c r="CP880" s="2133">
        <f>IF(CO867=0,0,CO880/CO867)</f>
        <v>-1.0973936899862828E-3</v>
      </c>
      <c r="CQ880" s="2132">
        <f t="shared" si="841"/>
        <v>0</v>
      </c>
      <c r="CR880" s="2135">
        <f>BJ784</f>
        <v>-3.2000000000000006</v>
      </c>
      <c r="CS880" s="2133">
        <f>IF(CR867=0,0,CR880/CR867)</f>
        <v>-1.0924484500887618E-3</v>
      </c>
      <c r="CT880" s="2132">
        <f t="shared" si="842"/>
        <v>0</v>
      </c>
      <c r="CU880" s="2135">
        <f>BK784</f>
        <v>-3.2000000000000006</v>
      </c>
      <c r="CV880" s="2133">
        <f>IF(CU867=0,0,CU880/CU867)</f>
        <v>-1.0875475802066342E-3</v>
      </c>
      <c r="CW880" s="2132">
        <f t="shared" si="843"/>
        <v>0</v>
      </c>
      <c r="CX880" s="2135">
        <f>BL784</f>
        <v>-3.2000000000000006</v>
      </c>
      <c r="CY880" s="2133">
        <f>IF(CX867=0,0,CX880/CX867)</f>
        <v>-1.0826904858573557E-3</v>
      </c>
      <c r="CZ880" s="2132">
        <f t="shared" si="844"/>
        <v>0</v>
      </c>
      <c r="DA880" s="2135">
        <f>BM784</f>
        <v>-3.2000000000000006</v>
      </c>
      <c r="DB880" s="2133">
        <f>IF(DA867=0,0,DA880/DA867)</f>
        <v>-1.0778765831312316E-3</v>
      </c>
      <c r="DC880" s="2132">
        <f t="shared" si="845"/>
        <v>0</v>
      </c>
      <c r="DD880" s="2135">
        <f>BN784</f>
        <v>-3.2000000000000006</v>
      </c>
      <c r="DE880" s="2133">
        <f>IF(DD867=0,0,DD880/DD867)</f>
        <v>-1.0731052984574113E-3</v>
      </c>
      <c r="DF880" s="2132">
        <f t="shared" si="846"/>
        <v>0</v>
      </c>
      <c r="DG880" s="2135">
        <f>BO784</f>
        <v>-3.2000000000000006</v>
      </c>
      <c r="DH880" s="2133">
        <f>IF(DG867=0,0,DG880/DG867)</f>
        <v>-1.0683760683760687E-3</v>
      </c>
      <c r="DI880" s="2132">
        <f t="shared" si="847"/>
        <v>0</v>
      </c>
      <c r="DJ880" s="2135">
        <f>BP784</f>
        <v>-3.2000000000000006</v>
      </c>
      <c r="DK880" s="2133">
        <f>IF(DJ867=0,0,DJ880/DJ867)</f>
        <v>-1.0636883393165804E-3</v>
      </c>
      <c r="DL880" s="2132">
        <f t="shared" si="848"/>
        <v>0</v>
      </c>
      <c r="DM880" s="2135">
        <f>BQ784</f>
        <v>-3.2000000000000006</v>
      </c>
      <c r="DN880" s="2133">
        <f>IF(DM867=0,0,DM880/DM867)</f>
        <v>-1.05904156738152E-3</v>
      </c>
      <c r="DO880" s="2132">
        <f t="shared" si="849"/>
        <v>0</v>
      </c>
      <c r="DP880" s="2135">
        <f>BR784</f>
        <v>-3.2000000000000006</v>
      </c>
      <c r="DQ880" s="2133">
        <f>IF(DP867=0,0,DP880/DP867)</f>
        <v>-1.054435218136286E-3</v>
      </c>
      <c r="DR880" s="2134">
        <f t="shared" si="850"/>
        <v>0</v>
      </c>
      <c r="DS880" s="2135">
        <f>BS784</f>
        <v>-3.2000000000000006</v>
      </c>
      <c r="DT880" s="2133">
        <f>IF(DS867=0,0,DS880/DS867)</f>
        <v>-1.0498687664041997E-3</v>
      </c>
      <c r="DU880" s="2132">
        <f t="shared" si="851"/>
        <v>0</v>
      </c>
      <c r="DV880" s="2135">
        <f>BT784</f>
        <v>-3.2000000000000006</v>
      </c>
      <c r="DW880" s="2133">
        <f>IF(DV867=0,0,DV880/DV867)</f>
        <v>-1.0453416960669022E-3</v>
      </c>
      <c r="DX880" s="2132">
        <f t="shared" si="852"/>
        <v>0</v>
      </c>
      <c r="DY880" s="2105"/>
    </row>
    <row r="881" spans="33:129" s="496" customFormat="1" ht="18" x14ac:dyDescent="0.25">
      <c r="AG881" s="498"/>
      <c r="AK881" s="568"/>
      <c r="AL881" s="568"/>
      <c r="AM881" s="568"/>
      <c r="AN881" s="568"/>
      <c r="AO881" s="780"/>
      <c r="AP881" s="780"/>
      <c r="AQ881" s="780"/>
      <c r="AR881" s="568"/>
      <c r="AS881" s="2186"/>
      <c r="AT881" s="780"/>
      <c r="AU881" s="568"/>
      <c r="AV881" s="2186"/>
      <c r="AW881" s="780"/>
      <c r="AX881" s="568"/>
      <c r="AY881" s="2186"/>
      <c r="AZ881" s="2186"/>
      <c r="BA881" s="2138" t="str">
        <f>AM818</f>
        <v>- / + OTROS ACTIVOS L.P.</v>
      </c>
      <c r="BB881" s="1860"/>
      <c r="BC881" s="2139"/>
      <c r="BD881" s="2140">
        <f>AY818</f>
        <v>0</v>
      </c>
      <c r="BE881" s="2140">
        <f t="shared" ref="BE881:BT881" si="859">BE818</f>
        <v>0</v>
      </c>
      <c r="BF881" s="2140">
        <f t="shared" si="859"/>
        <v>0</v>
      </c>
      <c r="BG881" s="2140">
        <f t="shared" si="859"/>
        <v>0</v>
      </c>
      <c r="BH881" s="2140">
        <f t="shared" si="859"/>
        <v>0</v>
      </c>
      <c r="BI881" s="2140">
        <f t="shared" si="859"/>
        <v>0</v>
      </c>
      <c r="BJ881" s="2140">
        <f t="shared" si="859"/>
        <v>0</v>
      </c>
      <c r="BK881" s="2140">
        <f t="shared" si="859"/>
        <v>0</v>
      </c>
      <c r="BL881" s="2140">
        <f t="shared" si="859"/>
        <v>0</v>
      </c>
      <c r="BM881" s="2140">
        <f t="shared" si="859"/>
        <v>0</v>
      </c>
      <c r="BN881" s="2140">
        <f t="shared" si="859"/>
        <v>0</v>
      </c>
      <c r="BO881" s="2140">
        <f t="shared" si="859"/>
        <v>0</v>
      </c>
      <c r="BP881" s="2140">
        <f t="shared" si="859"/>
        <v>0</v>
      </c>
      <c r="BQ881" s="2140">
        <f t="shared" si="859"/>
        <v>0</v>
      </c>
      <c r="BR881" s="2140">
        <f t="shared" si="859"/>
        <v>0</v>
      </c>
      <c r="BS881" s="2140">
        <f t="shared" si="859"/>
        <v>0</v>
      </c>
      <c r="BT881" s="2140">
        <f t="shared" si="859"/>
        <v>0</v>
      </c>
      <c r="BU881" s="568"/>
      <c r="BV881" s="2101"/>
      <c r="BW881" s="603"/>
      <c r="BX881" s="603"/>
      <c r="BY881" s="603"/>
      <c r="BZ881" s="2130" t="s">
        <v>1498</v>
      </c>
      <c r="CA881" s="2131">
        <f>AY781</f>
        <v>0</v>
      </c>
      <c r="CB881" s="2132">
        <f>IF(CA867=0,0,CA881/CA867)</f>
        <v>0</v>
      </c>
      <c r="CC881" s="2135">
        <f>BE781</f>
        <v>-10</v>
      </c>
      <c r="CD881" s="2133">
        <f>IF(CC867=0,0,CC881/CC867)</f>
        <v>-3.4925956971221012E-3</v>
      </c>
      <c r="CE881" s="2132">
        <f t="shared" ref="CE881:CE887" si="860">IF(CA881=0,0,IF(ABS(CC881/CA881-1)&gt;10000%,0,CC881/CA881-1))</f>
        <v>0</v>
      </c>
      <c r="CF881" s="2135">
        <f>BF781</f>
        <v>0</v>
      </c>
      <c r="CG881" s="2133">
        <f>IF(CF867=0,0,CF881/CF867)</f>
        <v>0</v>
      </c>
      <c r="CH881" s="2132">
        <f t="shared" si="838"/>
        <v>-1</v>
      </c>
      <c r="CI881" s="2135">
        <f>BG781</f>
        <v>0</v>
      </c>
      <c r="CJ881" s="2133">
        <f>IF(CI867=0,0,CI881/CI867)</f>
        <v>0</v>
      </c>
      <c r="CK881" s="2132">
        <f t="shared" si="839"/>
        <v>0</v>
      </c>
      <c r="CL881" s="2135">
        <f>BH781</f>
        <v>0</v>
      </c>
      <c r="CM881" s="2133">
        <f>IF(CL867=0,0,CL881/CL867)</f>
        <v>0</v>
      </c>
      <c r="CN881" s="2132">
        <f t="shared" si="840"/>
        <v>0</v>
      </c>
      <c r="CO881" s="2135">
        <f>BI781</f>
        <v>0</v>
      </c>
      <c r="CP881" s="2133">
        <f>IF(CO867=0,0,CO881/CO867)</f>
        <v>0</v>
      </c>
      <c r="CQ881" s="2132">
        <f t="shared" si="841"/>
        <v>0</v>
      </c>
      <c r="CR881" s="2135">
        <f>BJ781</f>
        <v>0</v>
      </c>
      <c r="CS881" s="2133">
        <f>IF(CR867=0,0,CR881/CR867)</f>
        <v>0</v>
      </c>
      <c r="CT881" s="2132">
        <f t="shared" si="842"/>
        <v>0</v>
      </c>
      <c r="CU881" s="2135">
        <f>BK781</f>
        <v>0</v>
      </c>
      <c r="CV881" s="2133">
        <f>IF(CU867=0,0,CU881/CU867)</f>
        <v>0</v>
      </c>
      <c r="CW881" s="2132">
        <f t="shared" si="843"/>
        <v>0</v>
      </c>
      <c r="CX881" s="2135">
        <f>BL781</f>
        <v>0</v>
      </c>
      <c r="CY881" s="2133">
        <f>IF(CX867=0,0,CX881/CX867)</f>
        <v>0</v>
      </c>
      <c r="CZ881" s="2132">
        <f t="shared" si="844"/>
        <v>0</v>
      </c>
      <c r="DA881" s="2135">
        <f>BM781</f>
        <v>0</v>
      </c>
      <c r="DB881" s="2133">
        <f>IF(DA867=0,0,DA881/DA867)</f>
        <v>0</v>
      </c>
      <c r="DC881" s="2132">
        <f t="shared" si="845"/>
        <v>0</v>
      </c>
      <c r="DD881" s="2135">
        <f>BN781</f>
        <v>0</v>
      </c>
      <c r="DE881" s="2133">
        <f>IF(DD867=0,0,DD881/DD867)</f>
        <v>0</v>
      </c>
      <c r="DF881" s="2132">
        <f t="shared" si="846"/>
        <v>0</v>
      </c>
      <c r="DG881" s="2135">
        <f>BO781</f>
        <v>0</v>
      </c>
      <c r="DH881" s="2133">
        <f>IF(DG867=0,0,DG881/DG867)</f>
        <v>0</v>
      </c>
      <c r="DI881" s="2132">
        <f t="shared" si="847"/>
        <v>0</v>
      </c>
      <c r="DJ881" s="2135">
        <f>BP781</f>
        <v>0</v>
      </c>
      <c r="DK881" s="2133">
        <f>IF(DJ867=0,0,DJ881/DJ867)</f>
        <v>0</v>
      </c>
      <c r="DL881" s="2132">
        <f t="shared" si="848"/>
        <v>0</v>
      </c>
      <c r="DM881" s="2135">
        <f>BQ781</f>
        <v>0</v>
      </c>
      <c r="DN881" s="2133">
        <f>IF(DM867=0,0,DM881/DM867)</f>
        <v>0</v>
      </c>
      <c r="DO881" s="2132">
        <f t="shared" si="849"/>
        <v>0</v>
      </c>
      <c r="DP881" s="2135">
        <f>BR781</f>
        <v>0</v>
      </c>
      <c r="DQ881" s="2133">
        <f>IF(DP867=0,0,DP881/DP867)</f>
        <v>0</v>
      </c>
      <c r="DR881" s="2134">
        <f t="shared" si="850"/>
        <v>0</v>
      </c>
      <c r="DS881" s="2135">
        <f>BS781</f>
        <v>0</v>
      </c>
      <c r="DT881" s="2133">
        <f>IF(DS867=0,0,DS881/DS867)</f>
        <v>0</v>
      </c>
      <c r="DU881" s="2132">
        <f t="shared" si="851"/>
        <v>0</v>
      </c>
      <c r="DV881" s="2135">
        <f>BT781</f>
        <v>0</v>
      </c>
      <c r="DW881" s="2133">
        <f>IF(DV867=0,0,DV881/DV867)</f>
        <v>0</v>
      </c>
      <c r="DX881" s="2132">
        <f t="shared" si="852"/>
        <v>0</v>
      </c>
      <c r="DY881" s="2105"/>
    </row>
    <row r="882" spans="33:129" s="496" customFormat="1" ht="18" x14ac:dyDescent="0.25">
      <c r="AG882" s="498"/>
      <c r="AO882" s="495"/>
      <c r="AP882" s="495"/>
      <c r="AQ882" s="495"/>
      <c r="AS882" s="500"/>
      <c r="AT882" s="495"/>
      <c r="AV882" s="500"/>
      <c r="AW882" s="495"/>
      <c r="AY882" s="500"/>
      <c r="AZ882" s="500"/>
      <c r="BA882" s="2138" t="str">
        <f>AM821</f>
        <v>+ DEPRECIACIÓN ACUMULADA</v>
      </c>
      <c r="BB882" s="1860"/>
      <c r="BC882" s="2139"/>
      <c r="BD882" s="2140">
        <f>AY821</f>
        <v>0</v>
      </c>
      <c r="BE882" s="2140">
        <f t="shared" ref="BE882:BT882" si="861">BE821</f>
        <v>-26.334000000000003</v>
      </c>
      <c r="BF882" s="2140">
        <f t="shared" si="861"/>
        <v>-32.867999999999995</v>
      </c>
      <c r="BG882" s="2140">
        <f t="shared" si="861"/>
        <v>-39.402000000000015</v>
      </c>
      <c r="BH882" s="2140">
        <f t="shared" si="861"/>
        <v>-45.936000000000007</v>
      </c>
      <c r="BI882" s="2140">
        <f t="shared" si="861"/>
        <v>-52.470000000000027</v>
      </c>
      <c r="BJ882" s="2140">
        <f t="shared" si="861"/>
        <v>-59.004000000000019</v>
      </c>
      <c r="BK882" s="2140">
        <f t="shared" si="861"/>
        <v>-65.538000000000011</v>
      </c>
      <c r="BL882" s="2140">
        <f t="shared" si="861"/>
        <v>-72.072000000000003</v>
      </c>
      <c r="BM882" s="2140">
        <f t="shared" si="861"/>
        <v>-78.606000000000051</v>
      </c>
      <c r="BN882" s="2140">
        <f t="shared" si="861"/>
        <v>-85.139999999999986</v>
      </c>
      <c r="BO882" s="2140">
        <f t="shared" si="861"/>
        <v>-91.673999999999978</v>
      </c>
      <c r="BP882" s="2140">
        <f t="shared" si="861"/>
        <v>-98.20799999999997</v>
      </c>
      <c r="BQ882" s="2140">
        <f t="shared" si="861"/>
        <v>-104.74199999999996</v>
      </c>
      <c r="BR882" s="2140">
        <f t="shared" si="861"/>
        <v>-111.27599999999995</v>
      </c>
      <c r="BS882" s="2140">
        <f t="shared" si="861"/>
        <v>-117.80999999999995</v>
      </c>
      <c r="BT882" s="2140">
        <f t="shared" si="861"/>
        <v>-124.34400000000005</v>
      </c>
      <c r="BV882" s="2101"/>
      <c r="BW882" s="603"/>
      <c r="BX882" s="603"/>
      <c r="BY882" s="603"/>
      <c r="BZ882" s="2130" t="s">
        <v>1499</v>
      </c>
      <c r="CA882" s="2131">
        <f>AY782+AY783</f>
        <v>0</v>
      </c>
      <c r="CB882" s="2132">
        <f>IF(CA867=0,0,CA882/CA867)</f>
        <v>0</v>
      </c>
      <c r="CC882" s="2135">
        <f>BE782+BE783</f>
        <v>0</v>
      </c>
      <c r="CD882" s="2133">
        <f>IF(CC867=0,0,CC882/CC867)</f>
        <v>0</v>
      </c>
      <c r="CE882" s="2132">
        <f t="shared" si="860"/>
        <v>0</v>
      </c>
      <c r="CF882" s="2135">
        <f>BF782+BF783</f>
        <v>0</v>
      </c>
      <c r="CG882" s="2133">
        <f>IF(CF867=0,0,CF882/CF867)</f>
        <v>0</v>
      </c>
      <c r="CH882" s="2132">
        <f t="shared" si="838"/>
        <v>0</v>
      </c>
      <c r="CI882" s="2135">
        <f>BG782+BG783</f>
        <v>0</v>
      </c>
      <c r="CJ882" s="2133">
        <f>IF(CI867=0,0,CI882/CI867)</f>
        <v>0</v>
      </c>
      <c r="CK882" s="2132">
        <f t="shared" si="839"/>
        <v>0</v>
      </c>
      <c r="CL882" s="2135">
        <f>BH782+BH783</f>
        <v>0</v>
      </c>
      <c r="CM882" s="2133">
        <f>IF(CL867=0,0,CL882/CL867)</f>
        <v>0</v>
      </c>
      <c r="CN882" s="2132">
        <f t="shared" si="840"/>
        <v>0</v>
      </c>
      <c r="CO882" s="2135">
        <f>BI782+BI783</f>
        <v>0</v>
      </c>
      <c r="CP882" s="2133">
        <f>IF(CO867=0,0,CO882/CO867)</f>
        <v>0</v>
      </c>
      <c r="CQ882" s="2132">
        <f t="shared" si="841"/>
        <v>0</v>
      </c>
      <c r="CR882" s="2135">
        <f>BJ782+BJ783</f>
        <v>0</v>
      </c>
      <c r="CS882" s="2133">
        <f>IF(CR867=0,0,CR882/CR867)</f>
        <v>0</v>
      </c>
      <c r="CT882" s="2132">
        <f t="shared" si="842"/>
        <v>0</v>
      </c>
      <c r="CU882" s="2135">
        <f>BK782+BK783</f>
        <v>0</v>
      </c>
      <c r="CV882" s="2133">
        <f>IF(CU867=0,0,CU882/CU867)</f>
        <v>0</v>
      </c>
      <c r="CW882" s="2132">
        <f t="shared" si="843"/>
        <v>0</v>
      </c>
      <c r="CX882" s="2135">
        <f>BL782+BL783</f>
        <v>0</v>
      </c>
      <c r="CY882" s="2133">
        <f>IF(CX867=0,0,CX882/CX867)</f>
        <v>0</v>
      </c>
      <c r="CZ882" s="2132">
        <f t="shared" si="844"/>
        <v>0</v>
      </c>
      <c r="DA882" s="2135">
        <f>BM782+BM783</f>
        <v>0</v>
      </c>
      <c r="DB882" s="2133">
        <f>IF(DA867=0,0,DA882/DA867)</f>
        <v>0</v>
      </c>
      <c r="DC882" s="2132">
        <f t="shared" si="845"/>
        <v>0</v>
      </c>
      <c r="DD882" s="2135">
        <f>BN782+BN783</f>
        <v>0</v>
      </c>
      <c r="DE882" s="2133">
        <f>IF(DD867=0,0,DD882/DD867)</f>
        <v>0</v>
      </c>
      <c r="DF882" s="2132">
        <f t="shared" si="846"/>
        <v>0</v>
      </c>
      <c r="DG882" s="2135">
        <f>BO782+BO783</f>
        <v>0</v>
      </c>
      <c r="DH882" s="2133">
        <f>IF(DG867=0,0,DG882/DG867)</f>
        <v>0</v>
      </c>
      <c r="DI882" s="2132">
        <f t="shared" si="847"/>
        <v>0</v>
      </c>
      <c r="DJ882" s="2135">
        <f>BP782+BP783</f>
        <v>0</v>
      </c>
      <c r="DK882" s="2133">
        <f>IF(DJ867=0,0,DJ882/DJ867)</f>
        <v>0</v>
      </c>
      <c r="DL882" s="2132">
        <f t="shared" si="848"/>
        <v>0</v>
      </c>
      <c r="DM882" s="2135">
        <f>BQ782+BQ783</f>
        <v>0</v>
      </c>
      <c r="DN882" s="2133">
        <f>IF(DM867=0,0,DM882/DM867)</f>
        <v>0</v>
      </c>
      <c r="DO882" s="2132">
        <f t="shared" si="849"/>
        <v>0</v>
      </c>
      <c r="DP882" s="2135">
        <f>BR782+BR783</f>
        <v>0</v>
      </c>
      <c r="DQ882" s="2133">
        <f>IF(DP867=0,0,DP882/DP867)</f>
        <v>0</v>
      </c>
      <c r="DR882" s="2134">
        <f t="shared" si="850"/>
        <v>0</v>
      </c>
      <c r="DS882" s="2135">
        <f>BS782+BS783</f>
        <v>0</v>
      </c>
      <c r="DT882" s="2133">
        <f>IF(DS867=0,0,DS882/DS867)</f>
        <v>0</v>
      </c>
      <c r="DU882" s="2132">
        <f t="shared" si="851"/>
        <v>0</v>
      </c>
      <c r="DV882" s="2135">
        <f>BT782+BT783</f>
        <v>0</v>
      </c>
      <c r="DW882" s="2133">
        <f>IF(DV867=0,0,DV882/DV867)</f>
        <v>0</v>
      </c>
      <c r="DX882" s="2132">
        <f t="shared" si="852"/>
        <v>0</v>
      </c>
      <c r="DY882" s="2105"/>
    </row>
    <row r="883" spans="33:129" s="496" customFormat="1" ht="18" x14ac:dyDescent="0.25">
      <c r="AG883" s="498"/>
      <c r="AO883" s="495"/>
      <c r="AP883" s="495"/>
      <c r="AQ883" s="495"/>
      <c r="AS883" s="500"/>
      <c r="AT883" s="495"/>
      <c r="AV883" s="500"/>
      <c r="AW883" s="495"/>
      <c r="AY883" s="500"/>
      <c r="AZ883" s="500"/>
      <c r="BA883" s="2138" t="str">
        <f>AM824</f>
        <v>-  DEPRECIACIÓN DEL PERÍODO</v>
      </c>
      <c r="BB883" s="1860"/>
      <c r="BC883" s="2139"/>
      <c r="BD883" s="2140">
        <f>AY824</f>
        <v>-40</v>
      </c>
      <c r="BE883" s="2140">
        <f t="shared" ref="BE883:BT883" si="862">BE824</f>
        <v>-53.2</v>
      </c>
      <c r="BF883" s="2140">
        <f t="shared" si="862"/>
        <v>-66.400000000000006</v>
      </c>
      <c r="BG883" s="2140">
        <f t="shared" si="862"/>
        <v>-79.600000000000009</v>
      </c>
      <c r="BH883" s="2140">
        <f t="shared" si="862"/>
        <v>-92.800000000000011</v>
      </c>
      <c r="BI883" s="2140">
        <f t="shared" si="862"/>
        <v>-106.00000000000001</v>
      </c>
      <c r="BJ883" s="2140">
        <f t="shared" si="862"/>
        <v>-119.20000000000002</v>
      </c>
      <c r="BK883" s="2140">
        <f t="shared" si="862"/>
        <v>-132.4</v>
      </c>
      <c r="BL883" s="2140">
        <f t="shared" si="862"/>
        <v>-145.60000000000002</v>
      </c>
      <c r="BM883" s="2140">
        <f t="shared" si="862"/>
        <v>-158.80000000000001</v>
      </c>
      <c r="BN883" s="2140">
        <f t="shared" si="862"/>
        <v>-172</v>
      </c>
      <c r="BO883" s="2140">
        <f t="shared" si="862"/>
        <v>-185.2</v>
      </c>
      <c r="BP883" s="2140">
        <f t="shared" si="862"/>
        <v>-198.39999999999995</v>
      </c>
      <c r="BQ883" s="2140">
        <f t="shared" si="862"/>
        <v>-211.59999999999994</v>
      </c>
      <c r="BR883" s="2140">
        <f t="shared" si="862"/>
        <v>-224.79999999999993</v>
      </c>
      <c r="BS883" s="2140">
        <f t="shared" si="862"/>
        <v>-237.99999999999991</v>
      </c>
      <c r="BT883" s="2140">
        <f t="shared" si="862"/>
        <v>-251.1999999999999</v>
      </c>
      <c r="BV883" s="2101"/>
      <c r="BW883" s="603"/>
      <c r="BX883" s="603"/>
      <c r="BY883" s="603"/>
      <c r="BZ883" s="2130" t="s">
        <v>1500</v>
      </c>
      <c r="CA883" s="2131">
        <f>AY787</f>
        <v>0</v>
      </c>
      <c r="CB883" s="2132">
        <f>IF(CA867=0,0,CA883/CA867)</f>
        <v>0</v>
      </c>
      <c r="CC883" s="2135">
        <f>BE787</f>
        <v>0</v>
      </c>
      <c r="CD883" s="2133">
        <f>IF(CC867=0,0,CC883/CC867)</f>
        <v>0</v>
      </c>
      <c r="CE883" s="2132">
        <f t="shared" si="860"/>
        <v>0</v>
      </c>
      <c r="CF883" s="2135">
        <f>BF787</f>
        <v>0</v>
      </c>
      <c r="CG883" s="2133">
        <f>IF(CF867=0,0,CF883/CF867)</f>
        <v>0</v>
      </c>
      <c r="CH883" s="2132">
        <f t="shared" si="838"/>
        <v>0</v>
      </c>
      <c r="CI883" s="2135">
        <f>BG787</f>
        <v>0</v>
      </c>
      <c r="CJ883" s="2133">
        <f>IF(CI867=0,0,CI883/CI867)</f>
        <v>0</v>
      </c>
      <c r="CK883" s="2132">
        <f t="shared" si="839"/>
        <v>0</v>
      </c>
      <c r="CL883" s="2135">
        <f>BH787</f>
        <v>0</v>
      </c>
      <c r="CM883" s="2133">
        <f>IF(CL867=0,0,CL883/CL867)</f>
        <v>0</v>
      </c>
      <c r="CN883" s="2132">
        <f t="shared" si="840"/>
        <v>0</v>
      </c>
      <c r="CO883" s="2135">
        <f>BI787</f>
        <v>0</v>
      </c>
      <c r="CP883" s="2133">
        <f>IF(CO867=0,0,CO883/CO867)</f>
        <v>0</v>
      </c>
      <c r="CQ883" s="2132">
        <f t="shared" si="841"/>
        <v>0</v>
      </c>
      <c r="CR883" s="2135">
        <f>BJ787</f>
        <v>0</v>
      </c>
      <c r="CS883" s="2133">
        <f>IF(CR867=0,0,CR883/CR867)</f>
        <v>0</v>
      </c>
      <c r="CT883" s="2132">
        <f t="shared" si="842"/>
        <v>0</v>
      </c>
      <c r="CU883" s="2135">
        <f>BK787</f>
        <v>0</v>
      </c>
      <c r="CV883" s="2133">
        <f>IF(CU867=0,0,CU883/CU867)</f>
        <v>0</v>
      </c>
      <c r="CW883" s="2132">
        <f t="shared" si="843"/>
        <v>0</v>
      </c>
      <c r="CX883" s="2135">
        <f>BL787</f>
        <v>0</v>
      </c>
      <c r="CY883" s="2133">
        <f>IF(CX867=0,0,CX883/CX867)</f>
        <v>0</v>
      </c>
      <c r="CZ883" s="2132">
        <f t="shared" si="844"/>
        <v>0</v>
      </c>
      <c r="DA883" s="2135">
        <f>BM787</f>
        <v>0</v>
      </c>
      <c r="DB883" s="2133">
        <f>IF(DA867=0,0,DA883/DA867)</f>
        <v>0</v>
      </c>
      <c r="DC883" s="2132">
        <f t="shared" si="845"/>
        <v>0</v>
      </c>
      <c r="DD883" s="2135">
        <f>BN787</f>
        <v>0</v>
      </c>
      <c r="DE883" s="2133">
        <f>IF(DD867=0,0,DD883/DD867)</f>
        <v>0</v>
      </c>
      <c r="DF883" s="2132">
        <f t="shared" si="846"/>
        <v>0</v>
      </c>
      <c r="DG883" s="2135">
        <f>BO787</f>
        <v>0</v>
      </c>
      <c r="DH883" s="2133">
        <f>IF(DG867=0,0,DG883/DG867)</f>
        <v>0</v>
      </c>
      <c r="DI883" s="2132">
        <f t="shared" si="847"/>
        <v>0</v>
      </c>
      <c r="DJ883" s="2135">
        <f>BP787</f>
        <v>0</v>
      </c>
      <c r="DK883" s="2133">
        <f>IF(DJ867=0,0,DJ883/DJ867)</f>
        <v>0</v>
      </c>
      <c r="DL883" s="2132">
        <f t="shared" si="848"/>
        <v>0</v>
      </c>
      <c r="DM883" s="2135">
        <f>BQ787</f>
        <v>0</v>
      </c>
      <c r="DN883" s="2133">
        <f>IF(DM867=0,0,DM883/DM867)</f>
        <v>0</v>
      </c>
      <c r="DO883" s="2132">
        <f t="shared" si="849"/>
        <v>0</v>
      </c>
      <c r="DP883" s="2135">
        <f>BR787</f>
        <v>0</v>
      </c>
      <c r="DQ883" s="2133">
        <f>IF(DP867=0,0,DP883/DP867)</f>
        <v>0</v>
      </c>
      <c r="DR883" s="2134">
        <f t="shared" si="850"/>
        <v>0</v>
      </c>
      <c r="DS883" s="2135">
        <f>BS787</f>
        <v>0</v>
      </c>
      <c r="DT883" s="2133">
        <f>IF(DS867=0,0,DS883/DS867)</f>
        <v>0</v>
      </c>
      <c r="DU883" s="2132">
        <f t="shared" si="851"/>
        <v>0</v>
      </c>
      <c r="DV883" s="2135">
        <f>BT787</f>
        <v>0</v>
      </c>
      <c r="DW883" s="2133">
        <f>IF(DV867=0,0,DV883/DV867)</f>
        <v>0</v>
      </c>
      <c r="DX883" s="2132">
        <f t="shared" si="852"/>
        <v>0</v>
      </c>
      <c r="DY883" s="2105"/>
    </row>
    <row r="884" spans="33:129" s="496" customFormat="1" ht="18" x14ac:dyDescent="0.25">
      <c r="AG884" s="498"/>
      <c r="AO884" s="495"/>
      <c r="AP884" s="495"/>
      <c r="AQ884" s="495"/>
      <c r="AS884" s="500"/>
      <c r="AT884" s="495"/>
      <c r="AV884" s="500"/>
      <c r="AW884" s="495"/>
      <c r="AY884" s="500"/>
      <c r="AZ884" s="500"/>
      <c r="BA884" s="2140" t="str">
        <f t="shared" ref="BA884:BA895" si="863">AM826</f>
        <v>+ AJUSTE POR INFLACIÓN INVENTARIOS</v>
      </c>
      <c r="BD884" s="2140">
        <f t="shared" ref="BD884:BD895" si="864">AY826</f>
        <v>0</v>
      </c>
      <c r="BE884" s="2140">
        <f t="shared" ref="BE884:BT884" si="865">BE826</f>
        <v>0</v>
      </c>
      <c r="BF884" s="2140">
        <f t="shared" si="865"/>
        <v>0</v>
      </c>
      <c r="BG884" s="2140">
        <f t="shared" si="865"/>
        <v>0</v>
      </c>
      <c r="BH884" s="2140">
        <f t="shared" si="865"/>
        <v>0</v>
      </c>
      <c r="BI884" s="2140">
        <f t="shared" si="865"/>
        <v>0</v>
      </c>
      <c r="BJ884" s="2140">
        <f t="shared" si="865"/>
        <v>0</v>
      </c>
      <c r="BK884" s="2140">
        <f t="shared" si="865"/>
        <v>0</v>
      </c>
      <c r="BL884" s="2140">
        <f t="shared" si="865"/>
        <v>0</v>
      </c>
      <c r="BM884" s="2140">
        <f t="shared" si="865"/>
        <v>0</v>
      </c>
      <c r="BN884" s="2140">
        <f t="shared" si="865"/>
        <v>0</v>
      </c>
      <c r="BO884" s="2140">
        <f t="shared" si="865"/>
        <v>0</v>
      </c>
      <c r="BP884" s="2140">
        <f t="shared" si="865"/>
        <v>0</v>
      </c>
      <c r="BQ884" s="2140">
        <f t="shared" si="865"/>
        <v>0</v>
      </c>
      <c r="BR884" s="2140">
        <f t="shared" si="865"/>
        <v>0</v>
      </c>
      <c r="BS884" s="2140">
        <f t="shared" si="865"/>
        <v>0</v>
      </c>
      <c r="BT884" s="2140">
        <f t="shared" si="865"/>
        <v>0</v>
      </c>
      <c r="BV884" s="2101"/>
      <c r="BW884" s="603"/>
      <c r="BX884" s="603"/>
      <c r="BY884" s="603"/>
      <c r="BZ884" s="2130" t="s">
        <v>1501</v>
      </c>
      <c r="CA884" s="2131">
        <f>AY788+AY789</f>
        <v>0</v>
      </c>
      <c r="CB884" s="2132">
        <f>IF(CA867=0,0,CA884/CA867)</f>
        <v>0</v>
      </c>
      <c r="CC884" s="2135">
        <f>BE788+BE789</f>
        <v>0</v>
      </c>
      <c r="CD884" s="2133">
        <f>IF(CC867=0,0,CC884/CC867)</f>
        <v>0</v>
      </c>
      <c r="CE884" s="2132">
        <f t="shared" si="860"/>
        <v>0</v>
      </c>
      <c r="CF884" s="2135">
        <f>BF788+BF789</f>
        <v>0</v>
      </c>
      <c r="CG884" s="2133">
        <f>IF(CF867=0,0,CF884/CF867)</f>
        <v>0</v>
      </c>
      <c r="CH884" s="2132">
        <f t="shared" si="838"/>
        <v>0</v>
      </c>
      <c r="CI884" s="2135">
        <f>BG788+BG789</f>
        <v>0</v>
      </c>
      <c r="CJ884" s="2133">
        <f>IF(CI867=0,0,CI884/CI867)</f>
        <v>0</v>
      </c>
      <c r="CK884" s="2132">
        <f t="shared" si="839"/>
        <v>0</v>
      </c>
      <c r="CL884" s="2135">
        <f>BH788+BH789</f>
        <v>0</v>
      </c>
      <c r="CM884" s="2133">
        <f>IF(CL867=0,0,CL884/CL867)</f>
        <v>0</v>
      </c>
      <c r="CN884" s="2132">
        <f t="shared" si="840"/>
        <v>0</v>
      </c>
      <c r="CO884" s="2135">
        <f>BI788+BI789</f>
        <v>0</v>
      </c>
      <c r="CP884" s="2133">
        <f>IF(CO867=0,0,CO884/CO867)</f>
        <v>0</v>
      </c>
      <c r="CQ884" s="2132">
        <f t="shared" si="841"/>
        <v>0</v>
      </c>
      <c r="CR884" s="2135">
        <f>BJ788+BJ789</f>
        <v>0</v>
      </c>
      <c r="CS884" s="2133">
        <f>IF(CR867=0,0,CR884/CR867)</f>
        <v>0</v>
      </c>
      <c r="CT884" s="2132">
        <f t="shared" si="842"/>
        <v>0</v>
      </c>
      <c r="CU884" s="2135">
        <f>BK788+BK789</f>
        <v>0</v>
      </c>
      <c r="CV884" s="2133">
        <f>IF(CU867=0,0,CU884/CU867)</f>
        <v>0</v>
      </c>
      <c r="CW884" s="2132">
        <f t="shared" si="843"/>
        <v>0</v>
      </c>
      <c r="CX884" s="2135">
        <f>BL788+BL789</f>
        <v>0</v>
      </c>
      <c r="CY884" s="2133">
        <f>IF(CX867=0,0,CX884/CX867)</f>
        <v>0</v>
      </c>
      <c r="CZ884" s="2132">
        <f t="shared" si="844"/>
        <v>0</v>
      </c>
      <c r="DA884" s="2135">
        <f>BM788+BM789</f>
        <v>0</v>
      </c>
      <c r="DB884" s="2133">
        <f>IF(DA867=0,0,DA884/DA867)</f>
        <v>0</v>
      </c>
      <c r="DC884" s="2132">
        <f t="shared" si="845"/>
        <v>0</v>
      </c>
      <c r="DD884" s="2135">
        <f>BN788+BN789</f>
        <v>0</v>
      </c>
      <c r="DE884" s="2133">
        <f>IF(DD867=0,0,DD884/DD867)</f>
        <v>0</v>
      </c>
      <c r="DF884" s="2132">
        <f t="shared" si="846"/>
        <v>0</v>
      </c>
      <c r="DG884" s="2135">
        <f>BO788+BO789</f>
        <v>0</v>
      </c>
      <c r="DH884" s="2133">
        <f>IF(DG867=0,0,DG884/DG867)</f>
        <v>0</v>
      </c>
      <c r="DI884" s="2132">
        <f t="shared" si="847"/>
        <v>0</v>
      </c>
      <c r="DJ884" s="2135">
        <f>BP788+BP789</f>
        <v>0</v>
      </c>
      <c r="DK884" s="2133">
        <f>IF(DJ867=0,0,DJ884/DJ867)</f>
        <v>0</v>
      </c>
      <c r="DL884" s="2132">
        <f t="shared" si="848"/>
        <v>0</v>
      </c>
      <c r="DM884" s="2135">
        <f>BQ788+BQ789</f>
        <v>0</v>
      </c>
      <c r="DN884" s="2133">
        <f>IF(DM867=0,0,DM884/DM867)</f>
        <v>0</v>
      </c>
      <c r="DO884" s="2132">
        <f t="shared" si="849"/>
        <v>0</v>
      </c>
      <c r="DP884" s="2135">
        <f>BR788+BR789</f>
        <v>0</v>
      </c>
      <c r="DQ884" s="2133">
        <f>IF(DP867=0,0,DP884/DP867)</f>
        <v>0</v>
      </c>
      <c r="DR884" s="2134">
        <f t="shared" si="850"/>
        <v>0</v>
      </c>
      <c r="DS884" s="2135">
        <f>BS788+BS789</f>
        <v>0</v>
      </c>
      <c r="DT884" s="2133">
        <f>IF(DS867=0,0,DS884/DS867)</f>
        <v>0</v>
      </c>
      <c r="DU884" s="2132">
        <f t="shared" si="851"/>
        <v>0</v>
      </c>
      <c r="DV884" s="2135">
        <f>BT788+BT789</f>
        <v>0</v>
      </c>
      <c r="DW884" s="2133">
        <f>IF(DV867=0,0,DV884/DV867)</f>
        <v>0</v>
      </c>
      <c r="DX884" s="2132">
        <f t="shared" si="852"/>
        <v>0</v>
      </c>
      <c r="DY884" s="2105"/>
    </row>
    <row r="885" spans="33:129" s="496" customFormat="1" ht="18" x14ac:dyDescent="0.25">
      <c r="AG885" s="498"/>
      <c r="AO885" s="495"/>
      <c r="AP885" s="495"/>
      <c r="AQ885" s="495"/>
      <c r="AS885" s="500"/>
      <c r="AT885" s="495"/>
      <c r="AV885" s="500"/>
      <c r="AW885" s="495"/>
      <c r="AY885" s="500"/>
      <c r="AZ885" s="500"/>
      <c r="BA885" s="2141" t="str">
        <f t="shared" si="863"/>
        <v>+ AJUSTE POR INFLACIÓN ACTIVOS FIJOS</v>
      </c>
      <c r="BB885" s="1860"/>
      <c r="BC885" s="2139"/>
      <c r="BD885" s="2140">
        <f t="shared" si="864"/>
        <v>0</v>
      </c>
      <c r="BE885" s="2140">
        <f t="shared" ref="BE885:BT885" si="866">BE827</f>
        <v>0</v>
      </c>
      <c r="BF885" s="2140">
        <f t="shared" si="866"/>
        <v>0</v>
      </c>
      <c r="BG885" s="2140">
        <f t="shared" si="866"/>
        <v>0</v>
      </c>
      <c r="BH885" s="2140">
        <f t="shared" si="866"/>
        <v>0</v>
      </c>
      <c r="BI885" s="2140">
        <f t="shared" si="866"/>
        <v>0</v>
      </c>
      <c r="BJ885" s="2140">
        <f t="shared" si="866"/>
        <v>0</v>
      </c>
      <c r="BK885" s="2140">
        <f t="shared" si="866"/>
        <v>0</v>
      </c>
      <c r="BL885" s="2140">
        <f t="shared" si="866"/>
        <v>0</v>
      </c>
      <c r="BM885" s="2140">
        <f t="shared" si="866"/>
        <v>0</v>
      </c>
      <c r="BN885" s="2140">
        <f t="shared" si="866"/>
        <v>0</v>
      </c>
      <c r="BO885" s="2140">
        <f t="shared" si="866"/>
        <v>0</v>
      </c>
      <c r="BP885" s="2140">
        <f t="shared" si="866"/>
        <v>0</v>
      </c>
      <c r="BQ885" s="2140">
        <f t="shared" si="866"/>
        <v>0</v>
      </c>
      <c r="BR885" s="2140">
        <f t="shared" si="866"/>
        <v>0</v>
      </c>
      <c r="BS885" s="2140">
        <f t="shared" si="866"/>
        <v>0</v>
      </c>
      <c r="BT885" s="2140">
        <f t="shared" si="866"/>
        <v>0</v>
      </c>
      <c r="BV885" s="2101"/>
      <c r="BW885" s="603"/>
      <c r="BX885" s="603"/>
      <c r="BY885" s="603"/>
      <c r="BZ885" s="2125" t="s">
        <v>1502</v>
      </c>
      <c r="CA885" s="2126">
        <f>SUM(CA879:CA884)</f>
        <v>0</v>
      </c>
      <c r="CB885" s="2127">
        <f>IF(CA867=0,0,CA885/CA867)</f>
        <v>0</v>
      </c>
      <c r="CC885" s="2129">
        <f>SUM(CC879:CC884)</f>
        <v>715.1659999999996</v>
      </c>
      <c r="CD885" s="2128">
        <f>IF(CC867=0,0,CC885/CC867)</f>
        <v>0.24977856943280233</v>
      </c>
      <c r="CE885" s="2127">
        <f t="shared" si="860"/>
        <v>0</v>
      </c>
      <c r="CF885" s="2129">
        <f>SUM(CF879:CF884)</f>
        <v>717.42399999999975</v>
      </c>
      <c r="CG885" s="2128">
        <f>IF(CF867=0,0,CF885/CF867)</f>
        <v>0.24941732721457369</v>
      </c>
      <c r="CH885" s="2127">
        <f t="shared" si="838"/>
        <v>3.1573089324719028E-3</v>
      </c>
      <c r="CI885" s="2129">
        <f>SUM(CI879:CI884)</f>
        <v>714.62199999999962</v>
      </c>
      <c r="CJ885" s="2128">
        <f>IF(CI867=0,0,CI885/CI867)</f>
        <v>0.24730827796234761</v>
      </c>
      <c r="CK885" s="2127">
        <f t="shared" si="839"/>
        <v>-3.9056401793083895E-3</v>
      </c>
      <c r="CL885" s="2129">
        <f>SUM(CL879:CL884)</f>
        <v>705.4079999999999</v>
      </c>
      <c r="CM885" s="2128">
        <f>IF(CL867=0,0,CL885/CL867)</f>
        <v>0.24300950806118227</v>
      </c>
      <c r="CN885" s="2127">
        <f t="shared" si="840"/>
        <v>-1.28935297262045E-2</v>
      </c>
      <c r="CO885" s="2129">
        <f>SUM(CO879:CO884)</f>
        <v>698.8739999999998</v>
      </c>
      <c r="CP885" s="2128">
        <f>IF(CO867=0,0,CO885/CO867)</f>
        <v>0.23966872427983532</v>
      </c>
      <c r="CQ885" s="2127">
        <f t="shared" si="841"/>
        <v>-9.2627245508983824E-3</v>
      </c>
      <c r="CR885" s="2129">
        <f>SUM(CR879:CR884)</f>
        <v>692.33999999999946</v>
      </c>
      <c r="CS885" s="2128">
        <f>IF(CR867=0,0,CR885/CR867)</f>
        <v>0.23635804997951643</v>
      </c>
      <c r="CT885" s="2127">
        <f t="shared" si="842"/>
        <v>-9.3493247709892646E-3</v>
      </c>
      <c r="CU885" s="2129">
        <f>SUM(CU879:CU884)</f>
        <v>685.80600000000027</v>
      </c>
      <c r="CV885" s="2128">
        <f>IF(CU867=0,0,CU885/CU867)</f>
        <v>0.23307707993474722</v>
      </c>
      <c r="CW885" s="2127">
        <f t="shared" si="843"/>
        <v>-9.4375595805517021E-3</v>
      </c>
      <c r="CX885" s="2129">
        <f>SUM(CX879:CX884)</f>
        <v>679.27199999999834</v>
      </c>
      <c r="CY885" s="2128">
        <f>IF(CX867=0,0,CX885/CX867)</f>
        <v>0.22982541615915494</v>
      </c>
      <c r="CZ885" s="2127">
        <f t="shared" si="844"/>
        <v>-9.5274757001279076E-3</v>
      </c>
      <c r="DA885" s="2129">
        <f>SUM(DA879:DA884)</f>
        <v>672.73800000000097</v>
      </c>
      <c r="DB885" s="2128">
        <f>IF(DA867=0,0,DA885/DA867)</f>
        <v>0.22660266774454357</v>
      </c>
      <c r="DC885" s="2127">
        <f t="shared" si="845"/>
        <v>-9.6191216478780373E-3</v>
      </c>
      <c r="DD885" s="2129">
        <f>SUM(DD879:DD884)</f>
        <v>666.20399999999904</v>
      </c>
      <c r="DE885" s="2128">
        <f>IF(DD867=0,0,DD885/DD867)</f>
        <v>0.22340845070422502</v>
      </c>
      <c r="DF885" s="2127">
        <f t="shared" si="846"/>
        <v>-9.7125478269428633E-3</v>
      </c>
      <c r="DG885" s="2129">
        <f>SUM(DG879:DG884)</f>
        <v>659.67000000000075</v>
      </c>
      <c r="DH885" s="2128">
        <f>IF(DG867=0,0,DG885/DG867)</f>
        <v>0.22024238782051309</v>
      </c>
      <c r="DI885" s="2127">
        <f t="shared" si="847"/>
        <v>-9.8078066177902379E-3</v>
      </c>
      <c r="DJ885" s="2129">
        <f>SUM(DJ879:DJ884)</f>
        <v>653.13599999999883</v>
      </c>
      <c r="DK885" s="2128">
        <f>IF(DJ867=0,0,DJ885/DJ867)</f>
        <v>0.2171041084962102</v>
      </c>
      <c r="DL885" s="2127">
        <f t="shared" si="848"/>
        <v>-9.9049524762410135E-3</v>
      </c>
      <c r="DM885" s="2129">
        <f>SUM(DM879:DM884)</f>
        <v>646.602000000001</v>
      </c>
      <c r="DN885" s="2128">
        <f>IF(DM867=0,0,DM885/DM867)</f>
        <v>0.21399324861000829</v>
      </c>
      <c r="DO885" s="2127">
        <f t="shared" si="849"/>
        <v>-1.0004042037183414E-2</v>
      </c>
      <c r="DP885" s="2129">
        <f>SUM(DP879:DP884)</f>
        <v>640.06799999999862</v>
      </c>
      <c r="DQ885" s="2128">
        <f>IF(DP867=0,0,DP885/DP867)</f>
        <v>0.2109094503756421</v>
      </c>
      <c r="DR885" s="2127">
        <f t="shared" si="850"/>
        <v>-1.0105134224766332E-2</v>
      </c>
      <c r="DS885" s="2129">
        <f>SUM(DS879:DS884)</f>
        <v>633.53400000000079</v>
      </c>
      <c r="DT885" s="2128">
        <f>IF(DS867=0,0,DS885/DS867)</f>
        <v>0.20785236220472467</v>
      </c>
      <c r="DU885" s="2127">
        <f t="shared" si="851"/>
        <v>-1.0208290369144946E-2</v>
      </c>
      <c r="DV885" s="2129">
        <f>SUM(DV879:DV884)</f>
        <v>626.99999999999886</v>
      </c>
      <c r="DW885" s="2128">
        <f>IF(DV867=0,0,DV885/DV867)</f>
        <v>0.20482163857310823</v>
      </c>
      <c r="DX885" s="2127">
        <f t="shared" si="852"/>
        <v>-1.0313574330662489E-2</v>
      </c>
      <c r="DY885" s="2105"/>
    </row>
    <row r="886" spans="33:129" s="496" customFormat="1" ht="18" x14ac:dyDescent="0.25">
      <c r="AG886" s="498"/>
      <c r="AO886" s="495"/>
      <c r="AP886" s="495"/>
      <c r="AQ886" s="495"/>
      <c r="AS886" s="500"/>
      <c r="AT886" s="495"/>
      <c r="AV886" s="500"/>
      <c r="AW886" s="495"/>
      <c r="AY886" s="500"/>
      <c r="AZ886" s="500"/>
      <c r="BA886" s="2140" t="str">
        <f t="shared" si="863"/>
        <v>-  AJUSTE POR INFLACIÓN DEPRECIACIÓN</v>
      </c>
      <c r="BD886" s="2140">
        <f t="shared" si="864"/>
        <v>0</v>
      </c>
      <c r="BE886" s="2140">
        <f t="shared" ref="BE886:BT886" si="867">BE828</f>
        <v>0</v>
      </c>
      <c r="BF886" s="2140">
        <f t="shared" si="867"/>
        <v>0</v>
      </c>
      <c r="BG886" s="2140">
        <f t="shared" si="867"/>
        <v>0</v>
      </c>
      <c r="BH886" s="2140">
        <f t="shared" si="867"/>
        <v>0</v>
      </c>
      <c r="BI886" s="2140">
        <f t="shared" si="867"/>
        <v>0</v>
      </c>
      <c r="BJ886" s="2140">
        <f t="shared" si="867"/>
        <v>0</v>
      </c>
      <c r="BK886" s="2140">
        <f t="shared" si="867"/>
        <v>0</v>
      </c>
      <c r="BL886" s="2140">
        <f t="shared" si="867"/>
        <v>0</v>
      </c>
      <c r="BM886" s="2140">
        <f t="shared" si="867"/>
        <v>0</v>
      </c>
      <c r="BN886" s="2140">
        <f t="shared" si="867"/>
        <v>0</v>
      </c>
      <c r="BO886" s="2140">
        <f t="shared" si="867"/>
        <v>0</v>
      </c>
      <c r="BP886" s="2140">
        <f t="shared" si="867"/>
        <v>0</v>
      </c>
      <c r="BQ886" s="2140">
        <f t="shared" si="867"/>
        <v>0</v>
      </c>
      <c r="BR886" s="2140">
        <f t="shared" si="867"/>
        <v>0</v>
      </c>
      <c r="BS886" s="2140">
        <f t="shared" si="867"/>
        <v>0</v>
      </c>
      <c r="BT886" s="2140">
        <f t="shared" si="867"/>
        <v>0</v>
      </c>
      <c r="BV886" s="2101"/>
      <c r="BW886" s="603"/>
      <c r="BX886" s="603"/>
      <c r="BY886" s="603"/>
      <c r="BZ886" s="2130" t="s">
        <v>1503</v>
      </c>
      <c r="CA886" s="2131">
        <f>AS586</f>
        <v>390</v>
      </c>
      <c r="CB886" s="2132">
        <f>IF(CA867=0,0,CA886/CA867)</f>
        <v>0.1368421052631579</v>
      </c>
      <c r="CC886" s="2135">
        <f>AY586</f>
        <v>390</v>
      </c>
      <c r="CD886" s="2133">
        <f>IF(CC867=0,0,CC886/CC867)</f>
        <v>0.13621123218776196</v>
      </c>
      <c r="CE886" s="2132">
        <f t="shared" si="860"/>
        <v>0</v>
      </c>
      <c r="CF886" s="2135">
        <f>BE586</f>
        <v>1105.1659999999993</v>
      </c>
      <c r="CG886" s="2133">
        <f>IF(CF867=0,0,CF886/CF867)</f>
        <v>0.38421846752885525</v>
      </c>
      <c r="CH886" s="2132">
        <f t="shared" si="838"/>
        <v>1.8337589743589726</v>
      </c>
      <c r="CI886" s="2135">
        <f>BF586</f>
        <v>1822.5899999999992</v>
      </c>
      <c r="CJ886" s="2133">
        <f>IF(CI867=0,0,CI886/CI867)</f>
        <v>0.63074127906976718</v>
      </c>
      <c r="CK886" s="2132">
        <f t="shared" si="839"/>
        <v>0.64915496857485699</v>
      </c>
      <c r="CL886" s="2135">
        <f>BG586</f>
        <v>2537.2119999999991</v>
      </c>
      <c r="CM886" s="2133">
        <f>IF(CL867=0,0,CL886/CL867)</f>
        <v>0.87405677277111715</v>
      </c>
      <c r="CN886" s="2132">
        <f t="shared" si="840"/>
        <v>0.39209147422075197</v>
      </c>
      <c r="CO886" s="2135">
        <f>BH586</f>
        <v>3242.619999999999</v>
      </c>
      <c r="CP886" s="2133">
        <f>IF(CO867=0,0,CO886/CO867)</f>
        <v>1.112009602194787</v>
      </c>
      <c r="CQ886" s="2132">
        <f t="shared" si="841"/>
        <v>0.27802485562893442</v>
      </c>
      <c r="CR886" s="2135">
        <f>BI586</f>
        <v>3941.4939999999988</v>
      </c>
      <c r="CS886" s="2133">
        <f>IF(CR867=0,0,CR886/CR867)</f>
        <v>1.3455871910419224</v>
      </c>
      <c r="CT886" s="2132">
        <f t="shared" si="842"/>
        <v>0.21552756721416633</v>
      </c>
      <c r="CU886" s="2135">
        <f>BJ586</f>
        <v>4633.833999999998</v>
      </c>
      <c r="CV886" s="2133">
        <f>IF(CU867=0,0,CU886/CU867)</f>
        <v>1.574848423056008</v>
      </c>
      <c r="CW886" s="2132">
        <f t="shared" si="843"/>
        <v>0.17565420624768158</v>
      </c>
      <c r="CX886" s="2135">
        <f>BK586</f>
        <v>5319.6399999999985</v>
      </c>
      <c r="CY886" s="2133">
        <f>IF(CX867=0,0,CX886/CX867)</f>
        <v>1.7998511300581941</v>
      </c>
      <c r="CZ886" s="2132">
        <f t="shared" si="844"/>
        <v>0.14799969096864518</v>
      </c>
      <c r="DA886" s="2135">
        <f>BL586</f>
        <v>5998.9119999999966</v>
      </c>
      <c r="DB886" s="2133">
        <f>IF(DA867=0,0,DA886/DA867)</f>
        <v>2.0206521153327932</v>
      </c>
      <c r="DC886" s="2132">
        <f t="shared" si="845"/>
        <v>0.12769134753479516</v>
      </c>
      <c r="DD886" s="2135">
        <f>BM586</f>
        <v>6671.6499999999978</v>
      </c>
      <c r="DE886" s="2133">
        <f>IF(DD867=0,0,DD886/DD867)</f>
        <v>2.2373071763916825</v>
      </c>
      <c r="DF886" s="2132">
        <f t="shared" si="846"/>
        <v>0.1121433353248058</v>
      </c>
      <c r="DG886" s="2135">
        <f>BN586</f>
        <v>7337.8539999999966</v>
      </c>
      <c r="DH886" s="2133">
        <f>IF(DG867=0,0,DG886/DG867)</f>
        <v>2.4498711271367513</v>
      </c>
      <c r="DI886" s="2132">
        <f t="shared" si="847"/>
        <v>9.9855957671640239E-2</v>
      </c>
      <c r="DJ886" s="2135">
        <f>BO586</f>
        <v>7997.5239999999976</v>
      </c>
      <c r="DK886" s="2133">
        <f>IF(DJ867=0,0,DJ886/DJ867)</f>
        <v>2.6583978194389037</v>
      </c>
      <c r="DL886" s="2132">
        <f t="shared" si="848"/>
        <v>8.9899580994661665E-2</v>
      </c>
      <c r="DM886" s="2135">
        <f>BP586</f>
        <v>8650.6599999999962</v>
      </c>
      <c r="DN886" s="2133">
        <f>IF(DM867=0,0,DM886/DM867)</f>
        <v>2.8629401641514418</v>
      </c>
      <c r="DO886" s="2132">
        <f t="shared" si="849"/>
        <v>8.1667276021928581E-2</v>
      </c>
      <c r="DP886" s="2135">
        <f>BQ586</f>
        <v>9297.261999999997</v>
      </c>
      <c r="DQ886" s="2133">
        <f>IF(DP867=0,0,DP886/DP867)</f>
        <v>3.0635501515750621</v>
      </c>
      <c r="DR886" s="2134">
        <f t="shared" si="850"/>
        <v>7.4745973139621835E-2</v>
      </c>
      <c r="DS886" s="2135">
        <f>BR586</f>
        <v>9937.3299999999963</v>
      </c>
      <c r="DT886" s="2133">
        <f>IF(DS867=0,0,DS886/DS867)</f>
        <v>3.2602788713910749</v>
      </c>
      <c r="DU886" s="2132">
        <f t="shared" si="851"/>
        <v>6.8844784625839317E-2</v>
      </c>
      <c r="DV886" s="2135">
        <f>BS586</f>
        <v>10570.863999999998</v>
      </c>
      <c r="DW886" s="2133">
        <f>IF(DV867=0,0,DV886/DV867)</f>
        <v>3.4531765320789227</v>
      </c>
      <c r="DX886" s="2132">
        <f t="shared" si="852"/>
        <v>6.3752939672930387E-2</v>
      </c>
      <c r="DY886" s="2105"/>
    </row>
    <row r="887" spans="33:129" s="496" customFormat="1" ht="18" x14ac:dyDescent="0.25">
      <c r="AG887" s="498"/>
      <c r="AO887" s="495"/>
      <c r="AP887" s="495"/>
      <c r="AQ887" s="495"/>
      <c r="AS887" s="500"/>
      <c r="AT887" s="495"/>
      <c r="AV887" s="500"/>
      <c r="AW887" s="495"/>
      <c r="AY887" s="500"/>
      <c r="AZ887" s="500"/>
      <c r="BA887" s="2141" t="str">
        <f t="shared" si="863"/>
        <v>+ AJUSTE POR INFLACIÓN INVERSIONES PERMANENTES</v>
      </c>
      <c r="BB887" s="1860"/>
      <c r="BC887" s="2139"/>
      <c r="BD887" s="2140">
        <f t="shared" si="864"/>
        <v>0</v>
      </c>
      <c r="BE887" s="2140">
        <f t="shared" ref="BE887:BT887" si="868">BE829</f>
        <v>0</v>
      </c>
      <c r="BF887" s="2140">
        <f t="shared" si="868"/>
        <v>0</v>
      </c>
      <c r="BG887" s="2140">
        <f t="shared" si="868"/>
        <v>0</v>
      </c>
      <c r="BH887" s="2140">
        <f t="shared" si="868"/>
        <v>0</v>
      </c>
      <c r="BI887" s="2140">
        <f t="shared" si="868"/>
        <v>0</v>
      </c>
      <c r="BJ887" s="2140">
        <f t="shared" si="868"/>
        <v>0</v>
      </c>
      <c r="BK887" s="2140">
        <f t="shared" si="868"/>
        <v>0</v>
      </c>
      <c r="BL887" s="2140">
        <f t="shared" si="868"/>
        <v>0</v>
      </c>
      <c r="BM887" s="2140">
        <f t="shared" si="868"/>
        <v>0</v>
      </c>
      <c r="BN887" s="2140">
        <f t="shared" si="868"/>
        <v>0</v>
      </c>
      <c r="BO887" s="2140">
        <f t="shared" si="868"/>
        <v>0</v>
      </c>
      <c r="BP887" s="2140">
        <f t="shared" si="868"/>
        <v>0</v>
      </c>
      <c r="BQ887" s="2140">
        <f t="shared" si="868"/>
        <v>0</v>
      </c>
      <c r="BR887" s="2140">
        <f t="shared" si="868"/>
        <v>0</v>
      </c>
      <c r="BS887" s="2140">
        <f t="shared" si="868"/>
        <v>0</v>
      </c>
      <c r="BT887" s="2140">
        <f t="shared" si="868"/>
        <v>0</v>
      </c>
      <c r="BV887" s="2101"/>
      <c r="BW887" s="603"/>
      <c r="BX887" s="603"/>
      <c r="BY887" s="603"/>
      <c r="BZ887" s="2160" t="s">
        <v>1504</v>
      </c>
      <c r="CA887" s="2161">
        <f>CA885+CA886</f>
        <v>390</v>
      </c>
      <c r="CB887" s="2162">
        <f>IF(CA867=0,0,CA887/CA867)</f>
        <v>0.1368421052631579</v>
      </c>
      <c r="CC887" s="2164">
        <f>CC885+CC886</f>
        <v>1105.1659999999997</v>
      </c>
      <c r="CD887" s="2163">
        <f>IF(CC867=0,0,CC887/CC867)</f>
        <v>0.38598980162056434</v>
      </c>
      <c r="CE887" s="2162">
        <f t="shared" si="860"/>
        <v>1.8337589743589735</v>
      </c>
      <c r="CF887" s="2164">
        <f>CF885+CF886</f>
        <v>1822.589999999999</v>
      </c>
      <c r="CG887" s="2163">
        <f>IF(CF867=0,0,CF887/CF867)</f>
        <v>0.6336357947434289</v>
      </c>
      <c r="CH887" s="2162">
        <f t="shared" si="838"/>
        <v>0.64915496857485611</v>
      </c>
      <c r="CI887" s="2164">
        <f>CI885+CI886</f>
        <v>2537.2119999999986</v>
      </c>
      <c r="CJ887" s="2163">
        <f>IF(CI867=0,0,CI887/CI867)</f>
        <v>0.87804955703211474</v>
      </c>
      <c r="CK887" s="2162">
        <f t="shared" si="839"/>
        <v>0.39209147422075175</v>
      </c>
      <c r="CL887" s="2164">
        <f>CL885+CL886</f>
        <v>3242.619999999999</v>
      </c>
      <c r="CM887" s="2163">
        <f>IF(CL867=0,0,CL887/CL867)</f>
        <v>1.1170662808322995</v>
      </c>
      <c r="CN887" s="2162">
        <f t="shared" si="840"/>
        <v>0.27802485562893464</v>
      </c>
      <c r="CO887" s="2164">
        <f>CO885+CO886</f>
        <v>3941.4939999999988</v>
      </c>
      <c r="CP887" s="2163">
        <f>IF(CO867=0,0,CO887/CO867)</f>
        <v>1.3516783264746224</v>
      </c>
      <c r="CQ887" s="2162">
        <f t="shared" si="841"/>
        <v>0.21552756721416633</v>
      </c>
      <c r="CR887" s="2164">
        <f>CR885+CR886</f>
        <v>4633.833999999998</v>
      </c>
      <c r="CS887" s="2163">
        <f>IF(CR867=0,0,CR887/CR867)</f>
        <v>1.5819452410214387</v>
      </c>
      <c r="CT887" s="2162">
        <f t="shared" si="842"/>
        <v>0.17565420624768158</v>
      </c>
      <c r="CU887" s="2164">
        <f>CU885+CU886</f>
        <v>5319.6399999999985</v>
      </c>
      <c r="CV887" s="2163">
        <f>IF(CU867=0,0,CU887/CU867)</f>
        <v>1.8079255029907553</v>
      </c>
      <c r="CW887" s="2162">
        <f t="shared" si="843"/>
        <v>0.14799969096864518</v>
      </c>
      <c r="CX887" s="2164">
        <f>CX885+CX886</f>
        <v>5998.9119999999966</v>
      </c>
      <c r="CY887" s="2163">
        <f>IF(CX867=0,0,CX887/CX867)</f>
        <v>2.0296765462173489</v>
      </c>
      <c r="CZ887" s="2162">
        <f t="shared" si="844"/>
        <v>0.12769134753479516</v>
      </c>
      <c r="DA887" s="2164">
        <f>DA885+DA886</f>
        <v>6671.6499999999978</v>
      </c>
      <c r="DB887" s="2163">
        <f>IF(DA867=0,0,DA887/DA867)</f>
        <v>2.2472547830773366</v>
      </c>
      <c r="DC887" s="2162">
        <f t="shared" si="845"/>
        <v>0.1121433353248058</v>
      </c>
      <c r="DD887" s="2164">
        <f>DD885+DD886</f>
        <v>7337.8539999999966</v>
      </c>
      <c r="DE887" s="2163">
        <f>IF(DD867=0,0,DD887/DD867)</f>
        <v>2.4607156270959076</v>
      </c>
      <c r="DF887" s="2162">
        <f t="shared" si="846"/>
        <v>9.9855957671640239E-2</v>
      </c>
      <c r="DG887" s="2164">
        <f>DG885+DG886</f>
        <v>7997.5239999999976</v>
      </c>
      <c r="DH887" s="2163">
        <f>IF(DG867=0,0,DG887/DG867)</f>
        <v>2.6701135149572641</v>
      </c>
      <c r="DI887" s="2162">
        <f t="shared" si="847"/>
        <v>8.9899580994661665E-2</v>
      </c>
      <c r="DJ887" s="2164">
        <f>DJ885+DJ886</f>
        <v>8650.6599999999962</v>
      </c>
      <c r="DK887" s="2163">
        <f>IF(DJ867=0,0,DJ887/DJ867)</f>
        <v>2.8755019279351135</v>
      </c>
      <c r="DL887" s="2162">
        <f t="shared" si="848"/>
        <v>8.1667276021928581E-2</v>
      </c>
      <c r="DM887" s="2164">
        <f>DM885+DM886</f>
        <v>9297.261999999997</v>
      </c>
      <c r="DN887" s="2163">
        <f>IF(DM867=0,0,DM887/DM867)</f>
        <v>3.0769334127614498</v>
      </c>
      <c r="DO887" s="2162">
        <f t="shared" si="849"/>
        <v>7.4745973139621835E-2</v>
      </c>
      <c r="DP887" s="2164">
        <f>DP885+DP886</f>
        <v>9937.3299999999963</v>
      </c>
      <c r="DQ887" s="2163">
        <f>IF(DP867=0,0,DP887/DP867)</f>
        <v>3.2744596019507042</v>
      </c>
      <c r="DR887" s="2127">
        <f t="shared" si="850"/>
        <v>6.8844784625839317E-2</v>
      </c>
      <c r="DS887" s="2164">
        <f>DS885+DS886</f>
        <v>10570.863999999998</v>
      </c>
      <c r="DT887" s="2163">
        <f>IF(DS867=0,0,DS887/DS867)</f>
        <v>3.4681312335957997</v>
      </c>
      <c r="DU887" s="2162">
        <f t="shared" si="851"/>
        <v>6.3752939672930387E-2</v>
      </c>
      <c r="DV887" s="2164">
        <f>DV885+DV886</f>
        <v>11197.863999999996</v>
      </c>
      <c r="DW887" s="2163">
        <f>IF(DV867=0,0,DV887/DV867)</f>
        <v>3.6579981706520308</v>
      </c>
      <c r="DX887" s="2162">
        <f t="shared" si="852"/>
        <v>5.931397849787845E-2</v>
      </c>
      <c r="DY887" s="2105"/>
    </row>
    <row r="888" spans="33:129" s="496" customFormat="1" ht="18" x14ac:dyDescent="0.25">
      <c r="AG888" s="498"/>
      <c r="AO888" s="495"/>
      <c r="AP888" s="495"/>
      <c r="AQ888" s="495"/>
      <c r="AS888" s="500"/>
      <c r="AT888" s="495"/>
      <c r="AV888" s="500"/>
      <c r="AW888" s="495"/>
      <c r="AY888" s="500"/>
      <c r="AZ888" s="500"/>
      <c r="BA888" s="2140" t="str">
        <f t="shared" si="863"/>
        <v>+ AJUSTE POR INFLACIÓN INTANGIBLES</v>
      </c>
      <c r="BD888" s="2140">
        <f t="shared" si="864"/>
        <v>0</v>
      </c>
      <c r="BE888" s="2140">
        <f t="shared" ref="BE888:BT888" si="869">BE830</f>
        <v>0</v>
      </c>
      <c r="BF888" s="2140">
        <f t="shared" si="869"/>
        <v>0</v>
      </c>
      <c r="BG888" s="2140">
        <f t="shared" si="869"/>
        <v>0</v>
      </c>
      <c r="BH888" s="2140">
        <f t="shared" si="869"/>
        <v>0</v>
      </c>
      <c r="BI888" s="2140">
        <f t="shared" si="869"/>
        <v>0</v>
      </c>
      <c r="BJ888" s="2140">
        <f t="shared" si="869"/>
        <v>0</v>
      </c>
      <c r="BK888" s="2140">
        <f t="shared" si="869"/>
        <v>0</v>
      </c>
      <c r="BL888" s="2140">
        <f t="shared" si="869"/>
        <v>0</v>
      </c>
      <c r="BM888" s="2140">
        <f t="shared" si="869"/>
        <v>0</v>
      </c>
      <c r="BN888" s="2140">
        <f t="shared" si="869"/>
        <v>0</v>
      </c>
      <c r="BO888" s="2140">
        <f t="shared" si="869"/>
        <v>0</v>
      </c>
      <c r="BP888" s="2140">
        <f t="shared" si="869"/>
        <v>0</v>
      </c>
      <c r="BQ888" s="2140">
        <f t="shared" si="869"/>
        <v>0</v>
      </c>
      <c r="BR888" s="2140">
        <f t="shared" si="869"/>
        <v>0</v>
      </c>
      <c r="BS888" s="2140">
        <f t="shared" si="869"/>
        <v>0</v>
      </c>
      <c r="BT888" s="2140">
        <f t="shared" si="869"/>
        <v>0</v>
      </c>
      <c r="BV888" s="2101"/>
      <c r="BW888" s="603"/>
      <c r="BX888" s="603"/>
      <c r="BY888" s="603"/>
      <c r="BZ888" s="2130"/>
      <c r="CA888" s="2131"/>
      <c r="CB888" s="2132"/>
      <c r="CC888" s="2135"/>
      <c r="CD888" s="2133"/>
      <c r="CE888" s="2132"/>
      <c r="CF888" s="2135"/>
      <c r="CG888" s="2133"/>
      <c r="CH888" s="2132"/>
      <c r="CI888" s="2135"/>
      <c r="CJ888" s="2133"/>
      <c r="CK888" s="2132"/>
      <c r="CL888" s="2135"/>
      <c r="CM888" s="2133"/>
      <c r="CN888" s="2132"/>
      <c r="CO888" s="2135"/>
      <c r="CP888" s="2133"/>
      <c r="CQ888" s="2132"/>
      <c r="CR888" s="2135"/>
      <c r="CS888" s="2133"/>
      <c r="CT888" s="2132"/>
      <c r="CU888" s="2135"/>
      <c r="CV888" s="2133"/>
      <c r="CW888" s="2132"/>
      <c r="CX888" s="2135"/>
      <c r="CY888" s="2133"/>
      <c r="CZ888" s="2132"/>
      <c r="DA888" s="2135"/>
      <c r="DB888" s="2133"/>
      <c r="DC888" s="2132"/>
      <c r="DD888" s="2135"/>
      <c r="DE888" s="2133"/>
      <c r="DF888" s="2132"/>
      <c r="DG888" s="2135"/>
      <c r="DH888" s="2133"/>
      <c r="DI888" s="2132"/>
      <c r="DJ888" s="2135"/>
      <c r="DK888" s="2133"/>
      <c r="DL888" s="2132"/>
      <c r="DM888" s="2135"/>
      <c r="DN888" s="2133"/>
      <c r="DO888" s="2132"/>
      <c r="DP888" s="2135"/>
      <c r="DQ888" s="2133"/>
      <c r="DR888" s="2150">
        <f t="shared" si="850"/>
        <v>0</v>
      </c>
      <c r="DS888" s="2135"/>
      <c r="DT888" s="2133"/>
      <c r="DU888" s="2132"/>
      <c r="DV888" s="2135"/>
      <c r="DW888" s="2133"/>
      <c r="DX888" s="2132"/>
      <c r="DY888" s="2105"/>
    </row>
    <row r="889" spans="33:129" s="496" customFormat="1" ht="18" x14ac:dyDescent="0.25">
      <c r="AG889" s="498"/>
      <c r="AO889" s="495"/>
      <c r="AP889" s="495"/>
      <c r="AQ889" s="495"/>
      <c r="AS889" s="500"/>
      <c r="AT889" s="495"/>
      <c r="AV889" s="500"/>
      <c r="AW889" s="495"/>
      <c r="AY889" s="500"/>
      <c r="AZ889" s="500"/>
      <c r="BA889" s="2141" t="str">
        <f t="shared" si="863"/>
        <v>-  AJUSTE POR INFLACIÓN AMORTIZACIÓN INTANGIBLES</v>
      </c>
      <c r="BB889" s="1860"/>
      <c r="BC889" s="2139"/>
      <c r="BD889" s="2140">
        <f t="shared" si="864"/>
        <v>0</v>
      </c>
      <c r="BE889" s="2140">
        <f t="shared" ref="BE889:BT889" si="870">BE831</f>
        <v>0</v>
      </c>
      <c r="BF889" s="2140">
        <f t="shared" si="870"/>
        <v>0</v>
      </c>
      <c r="BG889" s="2140">
        <f t="shared" si="870"/>
        <v>0</v>
      </c>
      <c r="BH889" s="2140">
        <f t="shared" si="870"/>
        <v>0</v>
      </c>
      <c r="BI889" s="2140">
        <f t="shared" si="870"/>
        <v>0</v>
      </c>
      <c r="BJ889" s="2140">
        <f t="shared" si="870"/>
        <v>0</v>
      </c>
      <c r="BK889" s="2140">
        <f t="shared" si="870"/>
        <v>0</v>
      </c>
      <c r="BL889" s="2140">
        <f t="shared" si="870"/>
        <v>0</v>
      </c>
      <c r="BM889" s="2140">
        <f t="shared" si="870"/>
        <v>0</v>
      </c>
      <c r="BN889" s="2140">
        <f t="shared" si="870"/>
        <v>0</v>
      </c>
      <c r="BO889" s="2140">
        <f t="shared" si="870"/>
        <v>0</v>
      </c>
      <c r="BP889" s="2140">
        <f t="shared" si="870"/>
        <v>0</v>
      </c>
      <c r="BQ889" s="2140">
        <f t="shared" si="870"/>
        <v>0</v>
      </c>
      <c r="BR889" s="2140">
        <f t="shared" si="870"/>
        <v>0</v>
      </c>
      <c r="BS889" s="2140">
        <f t="shared" si="870"/>
        <v>0</v>
      </c>
      <c r="BT889" s="2140">
        <f t="shared" si="870"/>
        <v>0</v>
      </c>
      <c r="BV889" s="2101"/>
      <c r="BW889" s="603"/>
      <c r="BX889" s="603"/>
      <c r="BY889" s="603"/>
      <c r="BZ889" s="2125" t="s">
        <v>1505</v>
      </c>
      <c r="CA889" s="2126">
        <f>AY619</f>
        <v>10</v>
      </c>
      <c r="CB889" s="2127">
        <f>IF(CA867=0,0,CA889/CA867)</f>
        <v>3.5087719298245615E-3</v>
      </c>
      <c r="CC889" s="2126">
        <f>BE619</f>
        <v>0</v>
      </c>
      <c r="CD889" s="2128">
        <f>IF(CC867=0,0,CC889/CC867)</f>
        <v>0</v>
      </c>
      <c r="CE889" s="2127">
        <f>IF(CA889=0,0,IF(ABS(CC889/CA889-1)&gt;10000%,0,CC889/CA889-1))</f>
        <v>-1</v>
      </c>
      <c r="CF889" s="2126">
        <f>BF619</f>
        <v>0</v>
      </c>
      <c r="CG889" s="2128">
        <f>IF(CF867=0,0,CF889/CF867)</f>
        <v>0</v>
      </c>
      <c r="CH889" s="2127">
        <f>IF(CC889=0,0,IF(ABS(CF889/CC889-1)&gt;10000%,0,CF889/CC889-1))</f>
        <v>0</v>
      </c>
      <c r="CI889" s="2126">
        <f>BG619</f>
        <v>0</v>
      </c>
      <c r="CJ889" s="2128">
        <f>IF(CI867=0,0,CI889/CI867)</f>
        <v>0</v>
      </c>
      <c r="CK889" s="2127">
        <f>IF(CF889=0,0,IF(ABS(CI889/CF889-1)&gt;10000%,0,CI889/CF889-1))</f>
        <v>0</v>
      </c>
      <c r="CL889" s="2126">
        <f>BH619</f>
        <v>0</v>
      </c>
      <c r="CM889" s="2128">
        <f>IF(CL867=0,0,CL889/CL867)</f>
        <v>0</v>
      </c>
      <c r="CN889" s="2127">
        <f>IF(CI889=0,0,IF(ABS(CL889/CI889-1)&gt;10000%,0,CL889/CI889-1))</f>
        <v>0</v>
      </c>
      <c r="CO889" s="2126">
        <f>BI619</f>
        <v>0</v>
      </c>
      <c r="CP889" s="2128">
        <f>IF(CO867=0,0,CO889/CO867)</f>
        <v>0</v>
      </c>
      <c r="CQ889" s="2127">
        <f>IF(CL889=0,0,IF(ABS(CO889/CL889-1)&gt;10000%,0,CO889/CL889-1))</f>
        <v>0</v>
      </c>
      <c r="CR889" s="2126">
        <f>BJ619</f>
        <v>0</v>
      </c>
      <c r="CS889" s="2128">
        <f>IF(CR867=0,0,CR889/CR867)</f>
        <v>0</v>
      </c>
      <c r="CT889" s="2127">
        <f>IF(CO889=0,0,IF(ABS(CR889/CO889-1)&gt;10000%,0,CR889/CO889-1))</f>
        <v>0</v>
      </c>
      <c r="CU889" s="2126">
        <f>BK619</f>
        <v>0</v>
      </c>
      <c r="CV889" s="2128">
        <f>IF(CU867=0,0,CU889/CU867)</f>
        <v>0</v>
      </c>
      <c r="CW889" s="2127">
        <f>IF(CR889=0,0,IF(ABS(CU889/CR889-1)&gt;10000%,0,CU889/CR889-1))</f>
        <v>0</v>
      </c>
      <c r="CX889" s="2126">
        <f>BL619</f>
        <v>0</v>
      </c>
      <c r="CY889" s="2128">
        <f>IF(CX867=0,0,CX889/CX867)</f>
        <v>0</v>
      </c>
      <c r="CZ889" s="2127">
        <f>IF(CU889=0,0,IF(ABS(CX889/CU889-1)&gt;10000%,0,CX889/CU889-1))</f>
        <v>0</v>
      </c>
      <c r="DA889" s="2126">
        <f>BM619</f>
        <v>0</v>
      </c>
      <c r="DB889" s="2128">
        <f>IF(DA867=0,0,DA889/DA867)</f>
        <v>0</v>
      </c>
      <c r="DC889" s="2127">
        <f>IF(CX889=0,0,IF(ABS(DA889/CX889-1)&gt;10000%,0,DA889/CX889-1))</f>
        <v>0</v>
      </c>
      <c r="DD889" s="2126">
        <f>BN619</f>
        <v>0</v>
      </c>
      <c r="DE889" s="2128">
        <f>IF(DD867=0,0,DD889/DD867)</f>
        <v>0</v>
      </c>
      <c r="DF889" s="2127">
        <f>IF(DA889=0,0,IF(ABS(DD889/DA889-1)&gt;10000%,0,DD889/DA889-1))</f>
        <v>0</v>
      </c>
      <c r="DG889" s="2126">
        <f>BO619</f>
        <v>0</v>
      </c>
      <c r="DH889" s="2128">
        <f>IF(DG867=0,0,DG889/DG867)</f>
        <v>0</v>
      </c>
      <c r="DI889" s="2127">
        <f>IF(DD889=0,0,IF(ABS(DG889/DD889-1)&gt;10000%,0,DG889/DD889-1))</f>
        <v>0</v>
      </c>
      <c r="DJ889" s="2126">
        <f>BP619</f>
        <v>0</v>
      </c>
      <c r="DK889" s="2128">
        <f>IF(DJ867=0,0,DJ889/DJ867)</f>
        <v>0</v>
      </c>
      <c r="DL889" s="2127">
        <f>IF(DG889=0,0,IF(ABS(DJ889/DG889-1)&gt;10000%,0,DJ889/DG889-1))</f>
        <v>0</v>
      </c>
      <c r="DM889" s="2126">
        <f>BQ619</f>
        <v>0</v>
      </c>
      <c r="DN889" s="2128">
        <f>IF(DM867=0,0,DM889/DM867)</f>
        <v>0</v>
      </c>
      <c r="DO889" s="2127">
        <f>IF(DJ889=0,0,IF(ABS(DM889/DJ889-1)&gt;10000%,0,DM889/DJ889-1))</f>
        <v>0</v>
      </c>
      <c r="DP889" s="2126">
        <f>BR619</f>
        <v>0</v>
      </c>
      <c r="DQ889" s="2128">
        <f>IF(DP867=0,0,DP889/DP867)</f>
        <v>0</v>
      </c>
      <c r="DR889" s="2127">
        <f t="shared" si="850"/>
        <v>0</v>
      </c>
      <c r="DS889" s="2126">
        <f>BS619</f>
        <v>0</v>
      </c>
      <c r="DT889" s="2128">
        <f>IF(DS867=0,0,DS889/DS867)</f>
        <v>0</v>
      </c>
      <c r="DU889" s="2127">
        <f>IF(DP889=0,0,IF(ABS(DS889/DP889-1)&gt;10000%,0,DS889/DP889-1))</f>
        <v>0</v>
      </c>
      <c r="DV889" s="2129">
        <f>BT619</f>
        <v>0</v>
      </c>
      <c r="DW889" s="2128">
        <f>IF(DV867=0,0,DV889/DV867)</f>
        <v>0</v>
      </c>
      <c r="DX889" s="2127">
        <f>IF(DS889=0,0,IF(ABS(DV889/DS889-1)&gt;10000%,0,DV889/DS889-1))</f>
        <v>0</v>
      </c>
      <c r="DY889" s="2105"/>
    </row>
    <row r="890" spans="33:129" s="496" customFormat="1" ht="18" x14ac:dyDescent="0.25">
      <c r="AG890" s="498"/>
      <c r="AO890" s="495"/>
      <c r="AP890" s="495"/>
      <c r="AQ890" s="495"/>
      <c r="AS890" s="500"/>
      <c r="AT890" s="495"/>
      <c r="AV890" s="500"/>
      <c r="AW890" s="495"/>
      <c r="AY890" s="500"/>
      <c r="AZ890" s="500"/>
      <c r="BA890" s="2140" t="str">
        <f t="shared" si="863"/>
        <v>+ AJUSTE POR INFLACIÓN CARGOS DIFERIDOS</v>
      </c>
      <c r="BD890" s="2140">
        <f t="shared" si="864"/>
        <v>0</v>
      </c>
      <c r="BE890" s="2140">
        <f t="shared" ref="BE890:BT890" si="871">BE832</f>
        <v>0</v>
      </c>
      <c r="BF890" s="2140">
        <f t="shared" si="871"/>
        <v>0</v>
      </c>
      <c r="BG890" s="2140">
        <f t="shared" si="871"/>
        <v>0</v>
      </c>
      <c r="BH890" s="2140">
        <f t="shared" si="871"/>
        <v>0</v>
      </c>
      <c r="BI890" s="2140">
        <f t="shared" si="871"/>
        <v>0</v>
      </c>
      <c r="BJ890" s="2140">
        <f t="shared" si="871"/>
        <v>0</v>
      </c>
      <c r="BK890" s="2140">
        <f t="shared" si="871"/>
        <v>0</v>
      </c>
      <c r="BL890" s="2140">
        <f t="shared" si="871"/>
        <v>0</v>
      </c>
      <c r="BM890" s="2140">
        <f t="shared" si="871"/>
        <v>0</v>
      </c>
      <c r="BN890" s="2140">
        <f t="shared" si="871"/>
        <v>0</v>
      </c>
      <c r="BO890" s="2140">
        <f t="shared" si="871"/>
        <v>0</v>
      </c>
      <c r="BP890" s="2140">
        <f t="shared" si="871"/>
        <v>0</v>
      </c>
      <c r="BQ890" s="2140">
        <f t="shared" si="871"/>
        <v>0</v>
      </c>
      <c r="BR890" s="2140">
        <f t="shared" si="871"/>
        <v>0</v>
      </c>
      <c r="BS890" s="2140">
        <f t="shared" si="871"/>
        <v>0</v>
      </c>
      <c r="BT890" s="2140">
        <f t="shared" si="871"/>
        <v>0</v>
      </c>
      <c r="BV890" s="2101"/>
      <c r="BW890" s="603"/>
      <c r="BX890" s="603"/>
      <c r="BY890" s="603"/>
      <c r="BZ890" s="2125" t="s">
        <v>1506</v>
      </c>
      <c r="CA890" s="2126">
        <f>SUM(AY620:AY622,AY633:AY635)</f>
        <v>40</v>
      </c>
      <c r="CB890" s="2127">
        <f>IF(CA867=0,0,CA890/CA867)</f>
        <v>1.4035087719298246E-2</v>
      </c>
      <c r="CC890" s="2126">
        <f>SUM(BE620:BE622,BE633:BE635)</f>
        <v>40</v>
      </c>
      <c r="CD890" s="2128">
        <f>IF(CC867=0,0,CC890/CC867)</f>
        <v>1.3970382788488405E-2</v>
      </c>
      <c r="CE890" s="2127">
        <f>IF(CA890=0,0,IF(ABS(CC890/CA890-1)&gt;10000%,0,CC890/CA890-1))</f>
        <v>0</v>
      </c>
      <c r="CF890" s="2126">
        <f>SUM(BF620:BF622,BF633:BF635)</f>
        <v>40</v>
      </c>
      <c r="CG890" s="2128">
        <f>IF(CF867=0,0,CF890/CF867)</f>
        <v>1.3906271728549576E-2</v>
      </c>
      <c r="CH890" s="2127">
        <f>IF(CC890=0,0,IF(ABS(CF890/CC890-1)&gt;10000%,0,CF890/CC890-1))</f>
        <v>0</v>
      </c>
      <c r="CI890" s="2126">
        <f>SUM(BG620:BG622,BG633:BG635)</f>
        <v>40</v>
      </c>
      <c r="CJ890" s="2128">
        <f>IF(CI867=0,0,CI890/CI867)</f>
        <v>1.3842746400885937E-2</v>
      </c>
      <c r="CK890" s="2127">
        <f>IF(CF890=0,0,IF(ABS(CI890/CF890-1)&gt;10000%,0,CI890/CF890-1))</f>
        <v>0</v>
      </c>
      <c r="CL890" s="2126">
        <f>SUM(BH620:BH622,BH633:BH635)</f>
        <v>40</v>
      </c>
      <c r="CM890" s="2128">
        <f>IF(CL867=0,0,CL890/CL867)</f>
        <v>1.3779798814937301E-2</v>
      </c>
      <c r="CN890" s="2127">
        <f>IF(CI890=0,0,IF(ABS(CL890/CI890-1)&gt;10000%,0,CL890/CI890-1))</f>
        <v>0</v>
      </c>
      <c r="CO890" s="2126">
        <f>SUM(BI620:BI622,BI633:BI635)</f>
        <v>40</v>
      </c>
      <c r="CP890" s="2128">
        <f>IF(CO867=0,0,CO890/CO867)</f>
        <v>1.3717421124828532E-2</v>
      </c>
      <c r="CQ890" s="2127">
        <f>IF(CL890=0,0,IF(ABS(CO890/CL890-1)&gt;10000%,0,CO890/CL890-1))</f>
        <v>0</v>
      </c>
      <c r="CR890" s="2126">
        <f>SUM(BJ620:BJ622,BJ633:BJ635)</f>
        <v>40</v>
      </c>
      <c r="CS890" s="2128">
        <f>IF(CR867=0,0,CR890/CR867)</f>
        <v>1.365560562610952E-2</v>
      </c>
      <c r="CT890" s="2127">
        <f>IF(CO890=0,0,IF(ABS(CR890/CO890-1)&gt;10000%,0,CR890/CO890-1))</f>
        <v>0</v>
      </c>
      <c r="CU890" s="2126">
        <f>SUM(BK620:BK622,BK633:BK635)</f>
        <v>40</v>
      </c>
      <c r="CV890" s="2128">
        <f>IF(CU867=0,0,CU890/CU867)</f>
        <v>1.3594344752582924E-2</v>
      </c>
      <c r="CW890" s="2127">
        <f>IF(CR890=0,0,IF(ABS(CU890/CR890-1)&gt;10000%,0,CU890/CR890-1))</f>
        <v>0</v>
      </c>
      <c r="CX890" s="2126">
        <f>SUM(BL620:BL622,BL633:BL635)</f>
        <v>40</v>
      </c>
      <c r="CY890" s="2128">
        <f>IF(CX867=0,0,CX890/CX867)</f>
        <v>1.3533631073216944E-2</v>
      </c>
      <c r="CZ890" s="2127">
        <f>IF(CU890=0,0,IF(ABS(CX890/CU890-1)&gt;10000%,0,CX890/CU890-1))</f>
        <v>0</v>
      </c>
      <c r="DA890" s="2126">
        <f>SUM(BM620:BM622,BM633:BM635)</f>
        <v>40</v>
      </c>
      <c r="DB890" s="2128">
        <f>IF(DA867=0,0,DA890/DA867)</f>
        <v>1.3473457289140393E-2</v>
      </c>
      <c r="DC890" s="2127">
        <f>IF(CX890=0,0,IF(ABS(DA890/CX890-1)&gt;10000%,0,DA890/CX890-1))</f>
        <v>0</v>
      </c>
      <c r="DD890" s="2126">
        <f>SUM(BN620:BN622,BN633:BN635)</f>
        <v>40</v>
      </c>
      <c r="DE890" s="2128">
        <f>IF(DD867=0,0,DD890/DD867)</f>
        <v>1.341381623071764E-2</v>
      </c>
      <c r="DF890" s="2127">
        <f>IF(DA890=0,0,IF(ABS(DD890/DA890-1)&gt;10000%,0,DD890/DA890-1))</f>
        <v>0</v>
      </c>
      <c r="DG890" s="2126">
        <f>SUM(BO620:BO622,BO633:BO635)</f>
        <v>40</v>
      </c>
      <c r="DH890" s="2128">
        <f>IF(DG867=0,0,DG890/DG867)</f>
        <v>1.3354700854700856E-2</v>
      </c>
      <c r="DI890" s="2127">
        <f>IF(DD890=0,0,IF(ABS(DG890/DD890-1)&gt;10000%,0,DG890/DD890-1))</f>
        <v>0</v>
      </c>
      <c r="DJ890" s="2126">
        <f>SUM(BP620:BP622,BP633:BP635)</f>
        <v>40</v>
      </c>
      <c r="DK890" s="2128">
        <f>IF(DJ867=0,0,DJ890/DJ867)</f>
        <v>1.3296104241457253E-2</v>
      </c>
      <c r="DL890" s="2127">
        <f>IF(DG890=0,0,IF(ABS(DJ890/DG890-1)&gt;10000%,0,DJ890/DG890-1))</f>
        <v>0</v>
      </c>
      <c r="DM890" s="2126">
        <f>SUM(BQ620:BQ622,BQ633:BQ635)</f>
        <v>40</v>
      </c>
      <c r="DN890" s="2128">
        <f>IF(DM867=0,0,DM890/DM867)</f>
        <v>1.3238019592268996E-2</v>
      </c>
      <c r="DO890" s="2127">
        <f>IF(DJ890=0,0,IF(ABS(DM890/DJ890-1)&gt;10000%,0,DM890/DJ890-1))</f>
        <v>0</v>
      </c>
      <c r="DP890" s="2126">
        <f>SUM(BR620:BR622,BR633:BR635)</f>
        <v>40</v>
      </c>
      <c r="DQ890" s="2128">
        <f>IF(DP867=0,0,DP890/DP867)</f>
        <v>1.3180440226703572E-2</v>
      </c>
      <c r="DR890" s="2127">
        <f t="shared" si="850"/>
        <v>0</v>
      </c>
      <c r="DS890" s="2126">
        <f>SUM(BS620:BS622,BS633:BS635)</f>
        <v>40</v>
      </c>
      <c r="DT890" s="2128">
        <f>IF(DS867=0,0,DS890/DS867)</f>
        <v>1.3123359580052493E-2</v>
      </c>
      <c r="DU890" s="2127">
        <f>IF(DP890=0,0,IF(ABS(DS890/DP890-1)&gt;10000%,0,DS890/DP890-1))</f>
        <v>0</v>
      </c>
      <c r="DV890" s="2129">
        <f>SUM(BT620:BT622,BT633:BT635)</f>
        <v>40</v>
      </c>
      <c r="DW890" s="2128">
        <f>IF(DV867=0,0,DV890/DV867)</f>
        <v>1.3066771200836274E-2</v>
      </c>
      <c r="DX890" s="2127">
        <f>IF(DS890=0,0,IF(ABS(DV890/DS890-1)&gt;10000%,0,DV890/DS890-1))</f>
        <v>0</v>
      </c>
      <c r="DY890" s="2105"/>
    </row>
    <row r="891" spans="33:129" s="496" customFormat="1" ht="18" x14ac:dyDescent="0.25">
      <c r="AG891" s="498"/>
      <c r="AO891" s="495"/>
      <c r="AP891" s="495"/>
      <c r="AQ891" s="495"/>
      <c r="AS891" s="500"/>
      <c r="AT891" s="495"/>
      <c r="AV891" s="500"/>
      <c r="AW891" s="495"/>
      <c r="AY891" s="500"/>
      <c r="AZ891" s="500"/>
      <c r="BA891" s="2141" t="str">
        <f t="shared" si="863"/>
        <v>-  AJUSTE POR INLFACIÓN AMORTIZACIÓN DIFERIDOS</v>
      </c>
      <c r="BB891" s="1860"/>
      <c r="BC891" s="2139"/>
      <c r="BD891" s="2140">
        <f t="shared" si="864"/>
        <v>0</v>
      </c>
      <c r="BE891" s="2140">
        <f t="shared" ref="BE891:BT891" si="872">BE833</f>
        <v>0</v>
      </c>
      <c r="BF891" s="2140">
        <f t="shared" si="872"/>
        <v>0</v>
      </c>
      <c r="BG891" s="2140">
        <f t="shared" si="872"/>
        <v>0</v>
      </c>
      <c r="BH891" s="2140">
        <f t="shared" si="872"/>
        <v>0</v>
      </c>
      <c r="BI891" s="2140">
        <f t="shared" si="872"/>
        <v>0</v>
      </c>
      <c r="BJ891" s="2140">
        <f t="shared" si="872"/>
        <v>0</v>
      </c>
      <c r="BK891" s="2140">
        <f t="shared" si="872"/>
        <v>0</v>
      </c>
      <c r="BL891" s="2140">
        <f t="shared" si="872"/>
        <v>0</v>
      </c>
      <c r="BM891" s="2140">
        <f t="shared" si="872"/>
        <v>0</v>
      </c>
      <c r="BN891" s="2140">
        <f t="shared" si="872"/>
        <v>0</v>
      </c>
      <c r="BO891" s="2140">
        <f t="shared" si="872"/>
        <v>0</v>
      </c>
      <c r="BP891" s="2140">
        <f t="shared" si="872"/>
        <v>0</v>
      </c>
      <c r="BQ891" s="2140">
        <f t="shared" si="872"/>
        <v>0</v>
      </c>
      <c r="BR891" s="2140">
        <f t="shared" si="872"/>
        <v>0</v>
      </c>
      <c r="BS891" s="2140">
        <f t="shared" si="872"/>
        <v>0</v>
      </c>
      <c r="BT891" s="2140">
        <f t="shared" si="872"/>
        <v>0</v>
      </c>
      <c r="BV891" s="2101"/>
      <c r="BW891" s="603"/>
      <c r="BX891" s="603"/>
      <c r="BY891" s="603"/>
      <c r="BZ891" s="2160" t="s">
        <v>1507</v>
      </c>
      <c r="CA891" s="2161">
        <f>SUM(CA889:CA890)</f>
        <v>50</v>
      </c>
      <c r="CB891" s="2162">
        <f>IF(CA867=0,0,CA891/CA867)</f>
        <v>1.7543859649122806E-2</v>
      </c>
      <c r="CC891" s="2161">
        <f>SUM(CC889:CC890)</f>
        <v>40</v>
      </c>
      <c r="CD891" s="2163">
        <f>IF(CC867=0,0,CC891/CC867)</f>
        <v>1.3970382788488405E-2</v>
      </c>
      <c r="CE891" s="2162">
        <f>IF(CA891=0,0,IF(ABS(CC891/CA891-1)&gt;10000%,0,CC891/CA891-1))</f>
        <v>-0.19999999999999996</v>
      </c>
      <c r="CF891" s="2161">
        <f>SUM(CF889:CF890)</f>
        <v>40</v>
      </c>
      <c r="CG891" s="2163">
        <f>IF(CF867=0,0,CF891/CF867)</f>
        <v>1.3906271728549576E-2</v>
      </c>
      <c r="CH891" s="2162">
        <f>IF(CC891=0,0,IF(ABS(CF891/CC891-1)&gt;10000%,0,CF891/CC891-1))</f>
        <v>0</v>
      </c>
      <c r="CI891" s="2161">
        <f>SUM(CI889:CI890)</f>
        <v>40</v>
      </c>
      <c r="CJ891" s="2163">
        <f>IF(CI867=0,0,CI891/CI867)</f>
        <v>1.3842746400885937E-2</v>
      </c>
      <c r="CK891" s="2162">
        <f>IF(CF891=0,0,IF(ABS(CI891/CF891-1)&gt;10000%,0,CI891/CF891-1))</f>
        <v>0</v>
      </c>
      <c r="CL891" s="2161">
        <f>SUM(CL889:CL890)</f>
        <v>40</v>
      </c>
      <c r="CM891" s="2163">
        <f>IF(CL867=0,0,CL891/CL867)</f>
        <v>1.3779798814937301E-2</v>
      </c>
      <c r="CN891" s="2162">
        <f>IF(CI891=0,0,IF(ABS(CL891/CI891-1)&gt;10000%,0,CL891/CI891-1))</f>
        <v>0</v>
      </c>
      <c r="CO891" s="2161">
        <f>SUM(CO889:CO890)</f>
        <v>40</v>
      </c>
      <c r="CP891" s="2163">
        <f>IF(CO867=0,0,CO891/CO867)</f>
        <v>1.3717421124828532E-2</v>
      </c>
      <c r="CQ891" s="2162">
        <f>IF(CL891=0,0,IF(ABS(CO891/CL891-1)&gt;10000%,0,CO891/CL891-1))</f>
        <v>0</v>
      </c>
      <c r="CR891" s="2161">
        <f>SUM(CR889:CR890)</f>
        <v>40</v>
      </c>
      <c r="CS891" s="2163">
        <f>IF(CR867=0,0,CR891/CR867)</f>
        <v>1.365560562610952E-2</v>
      </c>
      <c r="CT891" s="2162">
        <f>IF(CO891=0,0,IF(ABS(CR891/CO891-1)&gt;10000%,0,CR891/CO891-1))</f>
        <v>0</v>
      </c>
      <c r="CU891" s="2161">
        <f>SUM(CU889:CU890)</f>
        <v>40</v>
      </c>
      <c r="CV891" s="2163">
        <f>IF(CU867=0,0,CU891/CU867)</f>
        <v>1.3594344752582924E-2</v>
      </c>
      <c r="CW891" s="2162">
        <f>IF(CR891=0,0,IF(ABS(CU891/CR891-1)&gt;10000%,0,CU891/CR891-1))</f>
        <v>0</v>
      </c>
      <c r="CX891" s="2161">
        <f>SUM(CX889:CX890)</f>
        <v>40</v>
      </c>
      <c r="CY891" s="2163">
        <f>IF(CX867=0,0,CX891/CX867)</f>
        <v>1.3533631073216944E-2</v>
      </c>
      <c r="CZ891" s="2162">
        <f>IF(CU891=0,0,IF(ABS(CX891/CU891-1)&gt;10000%,0,CX891/CU891-1))</f>
        <v>0</v>
      </c>
      <c r="DA891" s="2161">
        <f>SUM(DA889:DA890)</f>
        <v>40</v>
      </c>
      <c r="DB891" s="2163">
        <f>IF(DA867=0,0,DA891/DA867)</f>
        <v>1.3473457289140393E-2</v>
      </c>
      <c r="DC891" s="2162">
        <f>IF(CX891=0,0,IF(ABS(DA891/CX891-1)&gt;10000%,0,DA891/CX891-1))</f>
        <v>0</v>
      </c>
      <c r="DD891" s="2161">
        <f>SUM(DD889:DD890)</f>
        <v>40</v>
      </c>
      <c r="DE891" s="2163">
        <f>IF(DD867=0,0,DD891/DD867)</f>
        <v>1.341381623071764E-2</v>
      </c>
      <c r="DF891" s="2162">
        <f>IF(DA891=0,0,IF(ABS(DD891/DA891-1)&gt;10000%,0,DD891/DA891-1))</f>
        <v>0</v>
      </c>
      <c r="DG891" s="2161">
        <f>SUM(DG889:DG890)</f>
        <v>40</v>
      </c>
      <c r="DH891" s="2163">
        <f>IF(DG867=0,0,DG891/DG867)</f>
        <v>1.3354700854700856E-2</v>
      </c>
      <c r="DI891" s="2162">
        <f>IF(DD891=0,0,IF(ABS(DG891/DD891-1)&gt;10000%,0,DG891/DD891-1))</f>
        <v>0</v>
      </c>
      <c r="DJ891" s="2161">
        <f>SUM(DJ889:DJ890)</f>
        <v>40</v>
      </c>
      <c r="DK891" s="2163">
        <f>IF(DJ867=0,0,DJ891/DJ867)</f>
        <v>1.3296104241457253E-2</v>
      </c>
      <c r="DL891" s="2162">
        <f>IF(DG891=0,0,IF(ABS(DJ891/DG891-1)&gt;10000%,0,DJ891/DG891-1))</f>
        <v>0</v>
      </c>
      <c r="DM891" s="2161">
        <f>SUM(DM889:DM890)</f>
        <v>40</v>
      </c>
      <c r="DN891" s="2163">
        <f>IF(DM867=0,0,DM891/DM867)</f>
        <v>1.3238019592268996E-2</v>
      </c>
      <c r="DO891" s="2162">
        <f>IF(DJ891=0,0,IF(ABS(DM891/DJ891-1)&gt;10000%,0,DM891/DJ891-1))</f>
        <v>0</v>
      </c>
      <c r="DP891" s="2161">
        <f>SUM(DP889:DP890)</f>
        <v>40</v>
      </c>
      <c r="DQ891" s="2163">
        <f>IF(DP867=0,0,DP891/DP867)</f>
        <v>1.3180440226703572E-2</v>
      </c>
      <c r="DR891" s="2162">
        <f t="shared" si="850"/>
        <v>0</v>
      </c>
      <c r="DS891" s="2161">
        <f>SUM(DS889:DS890)</f>
        <v>40</v>
      </c>
      <c r="DT891" s="2163">
        <f>IF(DS867=0,0,DS891/DS867)</f>
        <v>1.3123359580052493E-2</v>
      </c>
      <c r="DU891" s="2162">
        <f>IF(DP891=0,0,IF(ABS(DS891/DP891-1)&gt;10000%,0,DS891/DP891-1))</f>
        <v>0</v>
      </c>
      <c r="DV891" s="2164">
        <f>SUM(DV889:DV890)</f>
        <v>40</v>
      </c>
      <c r="DW891" s="2163">
        <f>IF(DV867=0,0,DV891/DV867)</f>
        <v>1.3066771200836274E-2</v>
      </c>
      <c r="DX891" s="2162">
        <f>IF(DS891=0,0,IF(ABS(DV891/DS891-1)&gt;10000%,0,DV891/DS891-1))</f>
        <v>0</v>
      </c>
      <c r="DY891" s="2105"/>
    </row>
    <row r="892" spans="33:129" s="496" customFormat="1" ht="15" x14ac:dyDescent="0.25">
      <c r="AG892" s="498"/>
      <c r="AO892" s="495"/>
      <c r="AP892" s="495"/>
      <c r="AQ892" s="495"/>
      <c r="AS892" s="500"/>
      <c r="AT892" s="495"/>
      <c r="AV892" s="500"/>
      <c r="AW892" s="495"/>
      <c r="AY892" s="500"/>
      <c r="AZ892" s="500"/>
      <c r="BA892" s="2140" t="str">
        <f t="shared" si="863"/>
        <v>+ AJUSTE POR INFLACIÓN OTROS ACTIVOS</v>
      </c>
      <c r="BD892" s="2140">
        <f t="shared" si="864"/>
        <v>0</v>
      </c>
      <c r="BE892" s="2140">
        <f t="shared" ref="BE892:BT892" si="873">BE834</f>
        <v>0</v>
      </c>
      <c r="BF892" s="2140">
        <f t="shared" si="873"/>
        <v>0</v>
      </c>
      <c r="BG892" s="2140">
        <f t="shared" si="873"/>
        <v>0</v>
      </c>
      <c r="BH892" s="2140">
        <f t="shared" si="873"/>
        <v>0</v>
      </c>
      <c r="BI892" s="2140">
        <f t="shared" si="873"/>
        <v>0</v>
      </c>
      <c r="BJ892" s="2140">
        <f t="shared" si="873"/>
        <v>0</v>
      </c>
      <c r="BK892" s="2140">
        <f t="shared" si="873"/>
        <v>0</v>
      </c>
      <c r="BL892" s="2140">
        <f t="shared" si="873"/>
        <v>0</v>
      </c>
      <c r="BM892" s="2140">
        <f t="shared" si="873"/>
        <v>0</v>
      </c>
      <c r="BN892" s="2140">
        <f t="shared" si="873"/>
        <v>0</v>
      </c>
      <c r="BO892" s="2140">
        <f t="shared" si="873"/>
        <v>0</v>
      </c>
      <c r="BP892" s="2140">
        <f t="shared" si="873"/>
        <v>0</v>
      </c>
      <c r="BQ892" s="2140">
        <f t="shared" si="873"/>
        <v>0</v>
      </c>
      <c r="BR892" s="2140">
        <f t="shared" si="873"/>
        <v>0</v>
      </c>
      <c r="BS892" s="2140">
        <f t="shared" si="873"/>
        <v>0</v>
      </c>
      <c r="BT892" s="2140">
        <f t="shared" si="873"/>
        <v>0</v>
      </c>
      <c r="BV892" s="2101"/>
      <c r="BW892" s="603"/>
      <c r="BX892" s="603"/>
      <c r="BY892" s="603"/>
      <c r="DY892" s="2105"/>
    </row>
    <row r="893" spans="33:129" s="496" customFormat="1" ht="16.5" x14ac:dyDescent="0.25">
      <c r="AG893" s="498"/>
      <c r="AO893" s="495"/>
      <c r="AP893" s="495"/>
      <c r="AQ893" s="495"/>
      <c r="AS893" s="500"/>
      <c r="AT893" s="495"/>
      <c r="AV893" s="500"/>
      <c r="AW893" s="495"/>
      <c r="AY893" s="500"/>
      <c r="AZ893" s="500"/>
      <c r="BA893" s="2141" t="str">
        <f t="shared" si="863"/>
        <v>-  AJUSTE POR INFLACIÓN PASIVOS</v>
      </c>
      <c r="BB893" s="1860"/>
      <c r="BC893" s="2139"/>
      <c r="BD893" s="2140">
        <f t="shared" si="864"/>
        <v>0</v>
      </c>
      <c r="BE893" s="2140">
        <f t="shared" ref="BE893:BT893" si="874">BE835</f>
        <v>0</v>
      </c>
      <c r="BF893" s="2140">
        <f t="shared" si="874"/>
        <v>0</v>
      </c>
      <c r="BG893" s="2140">
        <f t="shared" si="874"/>
        <v>0</v>
      </c>
      <c r="BH893" s="2140">
        <f t="shared" si="874"/>
        <v>0</v>
      </c>
      <c r="BI893" s="2140">
        <f t="shared" si="874"/>
        <v>0</v>
      </c>
      <c r="BJ893" s="2140">
        <f t="shared" si="874"/>
        <v>0</v>
      </c>
      <c r="BK893" s="2140">
        <f t="shared" si="874"/>
        <v>0</v>
      </c>
      <c r="BL893" s="2140">
        <f t="shared" si="874"/>
        <v>0</v>
      </c>
      <c r="BM893" s="2140">
        <f t="shared" si="874"/>
        <v>0</v>
      </c>
      <c r="BN893" s="2140">
        <f t="shared" si="874"/>
        <v>0</v>
      </c>
      <c r="BO893" s="2140">
        <f t="shared" si="874"/>
        <v>0</v>
      </c>
      <c r="BP893" s="2140">
        <f t="shared" si="874"/>
        <v>0</v>
      </c>
      <c r="BQ893" s="2140">
        <f t="shared" si="874"/>
        <v>0</v>
      </c>
      <c r="BR893" s="2140">
        <f t="shared" si="874"/>
        <v>0</v>
      </c>
      <c r="BS893" s="2140">
        <f t="shared" si="874"/>
        <v>0</v>
      </c>
      <c r="BT893" s="2140">
        <f t="shared" si="874"/>
        <v>0</v>
      </c>
      <c r="BV893" s="2101"/>
      <c r="BW893" s="603"/>
      <c r="BX893" s="603"/>
      <c r="BY893" s="603"/>
      <c r="BZ893" s="2116" t="s">
        <v>536</v>
      </c>
      <c r="CA893" s="2193">
        <f>AY583</f>
        <v>2021</v>
      </c>
      <c r="CB893" s="2194"/>
      <c r="CC893" s="2119">
        <f>BE583</f>
        <v>2022</v>
      </c>
      <c r="CD893" s="2118"/>
      <c r="CE893" s="2117"/>
      <c r="CF893" s="2117">
        <f>BF583</f>
        <v>2023</v>
      </c>
      <c r="CG893" s="2118"/>
      <c r="CH893" s="2117"/>
      <c r="CI893" s="2117">
        <f>BG583</f>
        <v>2024</v>
      </c>
      <c r="CJ893" s="2118"/>
      <c r="CK893" s="2117"/>
      <c r="CL893" s="2117">
        <f>BH583</f>
        <v>2025</v>
      </c>
      <c r="CM893" s="2118"/>
      <c r="CN893" s="2117"/>
      <c r="CO893" s="2117">
        <f>BI583</f>
        <v>2026</v>
      </c>
      <c r="CP893" s="2118"/>
      <c r="CQ893" s="2117"/>
      <c r="CR893" s="2117">
        <f>BJ583</f>
        <v>2027</v>
      </c>
      <c r="CS893" s="2118"/>
      <c r="CT893" s="2117"/>
      <c r="CU893" s="2117">
        <f>BK583</f>
        <v>2028</v>
      </c>
      <c r="CV893" s="2118"/>
      <c r="CW893" s="2117"/>
      <c r="CX893" s="2117">
        <f>BL583</f>
        <v>2029</v>
      </c>
      <c r="CY893" s="2118"/>
      <c r="CZ893" s="2117"/>
      <c r="DA893" s="2117">
        <f>BM583</f>
        <v>2030</v>
      </c>
      <c r="DB893" s="2118"/>
      <c r="DC893" s="2117"/>
      <c r="DD893" s="2117">
        <f>BN583</f>
        <v>2031</v>
      </c>
      <c r="DE893" s="2118"/>
      <c r="DF893" s="2117"/>
      <c r="DG893" s="2117">
        <f>BO583</f>
        <v>2032</v>
      </c>
      <c r="DH893" s="2118"/>
      <c r="DI893" s="2117"/>
      <c r="DJ893" s="2117">
        <f>BP583</f>
        <v>2033</v>
      </c>
      <c r="DK893" s="2118"/>
      <c r="DL893" s="2117"/>
      <c r="DM893" s="2193">
        <f>BQ583</f>
        <v>2034</v>
      </c>
      <c r="DN893" s="2195"/>
      <c r="DO893" s="2196"/>
      <c r="DP893" s="2193">
        <f>BR583</f>
        <v>2035</v>
      </c>
      <c r="DQ893" s="2195"/>
      <c r="DR893" s="2119"/>
      <c r="DS893" s="2193">
        <f>BS583</f>
        <v>2036</v>
      </c>
      <c r="DT893" s="2195"/>
      <c r="DU893" s="2119"/>
      <c r="DV893" s="2196">
        <f>BT583</f>
        <v>2037</v>
      </c>
      <c r="DW893" s="2195"/>
      <c r="DX893" s="2119"/>
      <c r="DY893" s="2105"/>
    </row>
    <row r="894" spans="33:129" s="496" customFormat="1" ht="18" x14ac:dyDescent="0.25">
      <c r="AG894" s="498"/>
      <c r="AO894" s="495"/>
      <c r="AP894" s="495"/>
      <c r="AQ894" s="495"/>
      <c r="AS894" s="500"/>
      <c r="AT894" s="495"/>
      <c r="AV894" s="500"/>
      <c r="AW894" s="495"/>
      <c r="AY894" s="500"/>
      <c r="AZ894" s="500"/>
      <c r="BA894" s="2140" t="str">
        <f t="shared" si="863"/>
        <v>-  REVALORIZACIÓN PATRIMONIAL</v>
      </c>
      <c r="BD894" s="2140">
        <f t="shared" si="864"/>
        <v>0</v>
      </c>
      <c r="BE894" s="2140">
        <f t="shared" ref="BE894:BT894" si="875">BE836</f>
        <v>0</v>
      </c>
      <c r="BF894" s="2140">
        <f t="shared" si="875"/>
        <v>0</v>
      </c>
      <c r="BG894" s="2140">
        <f t="shared" si="875"/>
        <v>0</v>
      </c>
      <c r="BH894" s="2140">
        <f t="shared" si="875"/>
        <v>0</v>
      </c>
      <c r="BI894" s="2140">
        <f t="shared" si="875"/>
        <v>0</v>
      </c>
      <c r="BJ894" s="2140">
        <f t="shared" si="875"/>
        <v>0</v>
      </c>
      <c r="BK894" s="2140">
        <f t="shared" si="875"/>
        <v>0</v>
      </c>
      <c r="BL894" s="2140">
        <f t="shared" si="875"/>
        <v>0</v>
      </c>
      <c r="BM894" s="2140">
        <f t="shared" si="875"/>
        <v>0</v>
      </c>
      <c r="BN894" s="2140">
        <f t="shared" si="875"/>
        <v>0</v>
      </c>
      <c r="BO894" s="2140">
        <f t="shared" si="875"/>
        <v>0</v>
      </c>
      <c r="BP894" s="2140">
        <f t="shared" si="875"/>
        <v>0</v>
      </c>
      <c r="BQ894" s="2140">
        <f t="shared" si="875"/>
        <v>0</v>
      </c>
      <c r="BR894" s="2140">
        <f t="shared" si="875"/>
        <v>0</v>
      </c>
      <c r="BS894" s="2140">
        <f t="shared" si="875"/>
        <v>0</v>
      </c>
      <c r="BT894" s="2140">
        <f t="shared" si="875"/>
        <v>0</v>
      </c>
      <c r="BV894" s="2101"/>
      <c r="BW894" s="603"/>
      <c r="BX894" s="603"/>
      <c r="BY894" s="603"/>
      <c r="BZ894" s="2130" t="s">
        <v>1508</v>
      </c>
      <c r="CA894" s="2197">
        <f>IF(CA880+CA881+CA882=0,0,((CA872+CA886)/-(CA880+CA881+CA882)))</f>
        <v>324</v>
      </c>
      <c r="CB894" s="2198"/>
      <c r="CC894" s="2197">
        <f>IF(CC880+CC881+CC882=0,0,((CC872+CC886)/-(CC880+CC881+CC882)))</f>
        <v>174.71590909090907</v>
      </c>
      <c r="CD894" s="2199"/>
      <c r="CE894" s="2198"/>
      <c r="CF894" s="2197">
        <f>IF(CF880+CF881+CF882=0,0,((CF872+CF886)/-(CF880+CF881+CF882)))</f>
        <v>528.24527777777757</v>
      </c>
      <c r="CG894" s="2199"/>
      <c r="CH894" s="2198"/>
      <c r="CI894" s="2197">
        <f>IF(CI880+CI881+CI882=0,0,((CI872+CI886)/-(CI880+CI881+CI882)))</f>
        <v>1416.8718749999994</v>
      </c>
      <c r="CJ894" s="2199"/>
      <c r="CK894" s="2198"/>
      <c r="CL894" s="2197">
        <f>IF(CL880+CL881+CL882=0,0,((CL872+CL886)/-(CL880+CL881+CL882)))</f>
        <v>1644.3162499999996</v>
      </c>
      <c r="CM894" s="2199"/>
      <c r="CN894" s="2198"/>
      <c r="CO894" s="2197">
        <f>IF(CO880+CO881+CO882=0,0,((CO872+CO886)/-(CO880+CO881+CO882)))</f>
        <v>1868.8812499999995</v>
      </c>
      <c r="CP894" s="2199"/>
      <c r="CQ894" s="2198"/>
      <c r="CR894" s="2197">
        <f>IF(CR880+CR881+CR882=0,0,((CR872+CR886)/-(CR880+CR881+CR882)))</f>
        <v>2091.4043749999992</v>
      </c>
      <c r="CS894" s="2199"/>
      <c r="CT894" s="2198"/>
      <c r="CU894" s="2197">
        <f>IF(CU880+CU881+CU882=0,0,((CU872+CU886)/-(CU880+CU881+CU882)))</f>
        <v>2311.885624999999</v>
      </c>
      <c r="CV894" s="2199"/>
      <c r="CW894" s="2198"/>
      <c r="CX894" s="2197">
        <f>IF(CX880+CX881+CX882=0,0,((CX872+CX886)/-(CX880+CX881+CX882)))</f>
        <v>2530.3249999999989</v>
      </c>
      <c r="CY894" s="2199"/>
      <c r="CZ894" s="2198"/>
      <c r="DA894" s="2197">
        <f>IF(DA880+DA881+DA882=0,0,((DA872+DA886)/-(DA880+DA881+DA882)))</f>
        <v>2746.7224999999985</v>
      </c>
      <c r="DB894" s="2199"/>
      <c r="DC894" s="2198"/>
      <c r="DD894" s="2197">
        <f>IF(DD880+DD881+DD882=0,0,((DD872+DD886)/-(DD880+DD881+DD882)))</f>
        <v>2961.0781249999986</v>
      </c>
      <c r="DE894" s="2199"/>
      <c r="DF894" s="2198"/>
      <c r="DG894" s="2197">
        <f>IF(DG880+DG881+DG882=0,0,((DG872+DG886)/-(DG880+DG881+DG882)))</f>
        <v>3173.391874999998</v>
      </c>
      <c r="DH894" s="2199"/>
      <c r="DI894" s="2198"/>
      <c r="DJ894" s="2197">
        <f>IF(DJ880+DJ881+DJ882=0,0,((DJ872+DJ886)/-(DJ880+DJ881+DJ882)))</f>
        <v>3383.6637499999988</v>
      </c>
      <c r="DK894" s="2199"/>
      <c r="DL894" s="2198"/>
      <c r="DM894" s="2197">
        <f>IF(DM880+DM881+DM882=0,0,((DM872+DM886)/-(DM880+DM881+DM882)))</f>
        <v>3591.8937499999979</v>
      </c>
      <c r="DN894" s="2199"/>
      <c r="DO894" s="2198"/>
      <c r="DP894" s="2197">
        <f>IF(DP880+DP881+DP882=0,0,((DP872+DP886)/-(DP880+DP881+DP882)))</f>
        <v>3798.0818749999985</v>
      </c>
      <c r="DQ894" s="2199"/>
      <c r="DR894" s="2198"/>
      <c r="DS894" s="2197">
        <f>IF(DS880+DS881+DS882=0,0,((DS872+DS886)/-(DS880+DS881+DS882)))</f>
        <v>4002.2281249999983</v>
      </c>
      <c r="DT894" s="2199"/>
      <c r="DU894" s="2198"/>
      <c r="DV894" s="2197">
        <f>IF(DV880+DV881+DV882=0,0,((DV872+DV886)/-(DV880+DV881+DV882)))</f>
        <v>4204.3324999999986</v>
      </c>
      <c r="DW894" s="2199"/>
      <c r="DX894" s="2198"/>
      <c r="DY894" s="2105"/>
    </row>
    <row r="895" spans="33:129" s="496" customFormat="1" ht="18" x14ac:dyDescent="0.25">
      <c r="AG895" s="498"/>
      <c r="AO895" s="495"/>
      <c r="AP895" s="495"/>
      <c r="AQ895" s="495"/>
      <c r="AS895" s="500"/>
      <c r="AT895" s="495"/>
      <c r="AV895" s="500"/>
      <c r="AW895" s="495"/>
      <c r="AY895" s="500"/>
      <c r="AZ895" s="500"/>
      <c r="BA895" s="2141" t="str">
        <f t="shared" si="863"/>
        <v>-  CORRECCIÓN MONETARIA</v>
      </c>
      <c r="BB895" s="1860"/>
      <c r="BC895" s="2139"/>
      <c r="BD895" s="2140">
        <f t="shared" si="864"/>
        <v>0</v>
      </c>
      <c r="BE895" s="2140">
        <f t="shared" ref="BE895:BT895" si="876">BE837</f>
        <v>0</v>
      </c>
      <c r="BF895" s="2140">
        <f t="shared" si="876"/>
        <v>0</v>
      </c>
      <c r="BG895" s="2140">
        <f t="shared" si="876"/>
        <v>0</v>
      </c>
      <c r="BH895" s="2140">
        <f t="shared" si="876"/>
        <v>0</v>
      </c>
      <c r="BI895" s="2140">
        <f t="shared" si="876"/>
        <v>0</v>
      </c>
      <c r="BJ895" s="2140">
        <f t="shared" si="876"/>
        <v>0</v>
      </c>
      <c r="BK895" s="2140">
        <f t="shared" si="876"/>
        <v>0</v>
      </c>
      <c r="BL895" s="2140">
        <f t="shared" si="876"/>
        <v>0</v>
      </c>
      <c r="BM895" s="2140">
        <f t="shared" si="876"/>
        <v>0</v>
      </c>
      <c r="BN895" s="2140">
        <f t="shared" si="876"/>
        <v>0</v>
      </c>
      <c r="BO895" s="2140">
        <f t="shared" si="876"/>
        <v>0</v>
      </c>
      <c r="BP895" s="2140">
        <f t="shared" si="876"/>
        <v>0</v>
      </c>
      <c r="BQ895" s="2140">
        <f t="shared" si="876"/>
        <v>0</v>
      </c>
      <c r="BR895" s="2140">
        <f t="shared" si="876"/>
        <v>0</v>
      </c>
      <c r="BS895" s="2140">
        <f t="shared" si="876"/>
        <v>0</v>
      </c>
      <c r="BT895" s="2140">
        <f t="shared" si="876"/>
        <v>0</v>
      </c>
      <c r="BV895" s="2101"/>
      <c r="BW895" s="603"/>
      <c r="BX895" s="603"/>
      <c r="BY895" s="603"/>
      <c r="BZ895" s="2130" t="s">
        <v>918</v>
      </c>
      <c r="CA895" s="2197">
        <f>IF(CA858=0,0,((CA854/CA858)))</f>
        <v>285</v>
      </c>
      <c r="CB895" s="2198"/>
      <c r="CC895" s="2197">
        <f>IF(CC858=0,0,CC854/CC858)</f>
        <v>376.73684210526307</v>
      </c>
      <c r="CD895" s="2199"/>
      <c r="CE895" s="2198"/>
      <c r="CF895" s="2197">
        <f>IF(CF858=0,0,CF854/CF858)</f>
        <v>399.49999999999994</v>
      </c>
      <c r="CG895" s="2199"/>
      <c r="CH895" s="2198"/>
      <c r="CI895" s="2197">
        <f>IF(CI858=0,0,CI854/CI858)</f>
        <v>902.99999999999977</v>
      </c>
      <c r="CJ895" s="2199"/>
      <c r="CK895" s="2198"/>
      <c r="CL895" s="2197">
        <f>IF(CL858=0,0,CL854/CL858)</f>
        <v>907.12499999999989</v>
      </c>
      <c r="CM895" s="2199"/>
      <c r="CN895" s="2198"/>
      <c r="CO895" s="2197">
        <f>IF(CO858=0,0,CO854/CO858)</f>
        <v>911.24999999999977</v>
      </c>
      <c r="CP895" s="2199"/>
      <c r="CQ895" s="2198"/>
      <c r="CR895" s="2197">
        <f>IF(CR858=0,0,CR854/CR858)</f>
        <v>915.37499999999977</v>
      </c>
      <c r="CS895" s="2199"/>
      <c r="CT895" s="2198"/>
      <c r="CU895" s="2197">
        <f>IF(CU858=0,0,CU854/CU858)</f>
        <v>919.49999999999989</v>
      </c>
      <c r="CV895" s="2199"/>
      <c r="CW895" s="2198"/>
      <c r="CX895" s="2197">
        <f>IF(CX858=0,0,CX854/CX858)</f>
        <v>923.62499999999977</v>
      </c>
      <c r="CY895" s="2199"/>
      <c r="CZ895" s="2198"/>
      <c r="DA895" s="2197">
        <f>IF(DA858=0,0,DA854/DA858)</f>
        <v>927.74999999999989</v>
      </c>
      <c r="DB895" s="2199"/>
      <c r="DC895" s="2198"/>
      <c r="DD895" s="2197">
        <f>IF(DD858=0,0,DD854/DD858)</f>
        <v>931.87499999999977</v>
      </c>
      <c r="DE895" s="2199"/>
      <c r="DF895" s="2198"/>
      <c r="DG895" s="2197">
        <f>IF(DG858=0,0,DG854/DG858)</f>
        <v>935.99999999999977</v>
      </c>
      <c r="DH895" s="2199"/>
      <c r="DI895" s="2198"/>
      <c r="DJ895" s="2197">
        <f>IF(DJ858=0,0,DJ854/DJ858)</f>
        <v>940.12499999999989</v>
      </c>
      <c r="DK895" s="2199"/>
      <c r="DL895" s="2198"/>
      <c r="DM895" s="2197">
        <f>IF(DM858=0,0,DM854/DM858)</f>
        <v>944.24999999999977</v>
      </c>
      <c r="DN895" s="2199"/>
      <c r="DO895" s="2198"/>
      <c r="DP895" s="2197">
        <f>IF(DP858=0,0,DP854/DP858)</f>
        <v>948.37499999999977</v>
      </c>
      <c r="DQ895" s="2199"/>
      <c r="DR895" s="2198"/>
      <c r="DS895" s="2197">
        <f>IF(DS858=0,0,DS854/DS858)</f>
        <v>952.49999999999977</v>
      </c>
      <c r="DT895" s="2199"/>
      <c r="DU895" s="2198"/>
      <c r="DV895" s="2199">
        <f>IF(DV858=0,0,DV854/DV858)</f>
        <v>956.62499999999977</v>
      </c>
      <c r="DW895" s="2199"/>
      <c r="DX895" s="2198"/>
      <c r="DY895" s="2105"/>
    </row>
    <row r="896" spans="33:129" s="496" customFormat="1" ht="18" x14ac:dyDescent="0.25">
      <c r="AG896" s="498"/>
      <c r="AO896" s="495" t="s">
        <v>1268</v>
      </c>
      <c r="AP896" s="495"/>
      <c r="AQ896" s="495"/>
      <c r="AS896" s="500"/>
      <c r="AT896" s="495"/>
      <c r="AV896" s="500"/>
      <c r="AW896" s="495"/>
      <c r="AY896" s="500"/>
      <c r="AZ896" s="500"/>
      <c r="BA896" s="2155" t="s">
        <v>229</v>
      </c>
      <c r="BB896" s="2156"/>
      <c r="BC896" s="2157"/>
      <c r="BD896" s="2159">
        <f t="shared" ref="BD896:BT896" si="877">SUM(BD867:BD895)</f>
        <v>-40</v>
      </c>
      <c r="BE896" s="2159">
        <f t="shared" si="877"/>
        <v>-79.534000000000006</v>
      </c>
      <c r="BF896" s="2159">
        <f t="shared" si="877"/>
        <v>-99.268000000000001</v>
      </c>
      <c r="BG896" s="2159">
        <f t="shared" si="877"/>
        <v>-119.00200000000002</v>
      </c>
      <c r="BH896" s="2159">
        <f t="shared" si="877"/>
        <v>-138.73600000000002</v>
      </c>
      <c r="BI896" s="2159">
        <f t="shared" si="877"/>
        <v>-158.47000000000003</v>
      </c>
      <c r="BJ896" s="2159">
        <f t="shared" si="877"/>
        <v>-178.20400000000004</v>
      </c>
      <c r="BK896" s="2159">
        <f t="shared" si="877"/>
        <v>-197.93800000000002</v>
      </c>
      <c r="BL896" s="2159">
        <f t="shared" si="877"/>
        <v>-217.67200000000003</v>
      </c>
      <c r="BM896" s="2159">
        <f t="shared" si="877"/>
        <v>-237.40600000000006</v>
      </c>
      <c r="BN896" s="2159">
        <f t="shared" si="877"/>
        <v>-257.14</v>
      </c>
      <c r="BO896" s="2159">
        <f t="shared" si="877"/>
        <v>-276.87399999999997</v>
      </c>
      <c r="BP896" s="2159">
        <f t="shared" si="877"/>
        <v>-296.60799999999995</v>
      </c>
      <c r="BQ896" s="2159">
        <f t="shared" si="877"/>
        <v>-316.34199999999987</v>
      </c>
      <c r="BR896" s="2159">
        <f t="shared" si="877"/>
        <v>-336.07599999999991</v>
      </c>
      <c r="BS896" s="2159">
        <f t="shared" si="877"/>
        <v>-355.80999999999983</v>
      </c>
      <c r="BT896" s="2159">
        <f t="shared" si="877"/>
        <v>-375.54399999999998</v>
      </c>
      <c r="BV896" s="2101"/>
      <c r="BW896" s="603"/>
      <c r="BX896" s="603"/>
      <c r="BY896" s="603"/>
      <c r="BZ896" s="2130" t="s">
        <v>915</v>
      </c>
      <c r="CA896" s="2200">
        <f>AY743</f>
        <v>1.3850415512465374E-2</v>
      </c>
      <c r="CB896" s="2201"/>
      <c r="CC896" s="2200">
        <f>BE743</f>
        <v>1.1080332409972299E-2</v>
      </c>
      <c r="CD896" s="2202"/>
      <c r="CE896" s="2201"/>
      <c r="CF896" s="2200">
        <f>BF743</f>
        <v>1.1080332409972299E-2</v>
      </c>
      <c r="CG896" s="2202"/>
      <c r="CH896" s="2201"/>
      <c r="CI896" s="2200">
        <f>BG743</f>
        <v>1.1080332409972299E-2</v>
      </c>
      <c r="CJ896" s="2202"/>
      <c r="CK896" s="2201"/>
      <c r="CL896" s="2200">
        <f>BH743</f>
        <v>1.1080332409972299E-2</v>
      </c>
      <c r="CM896" s="2202"/>
      <c r="CN896" s="2201"/>
      <c r="CO896" s="2200">
        <f>BI743</f>
        <v>1.1080332409972299E-2</v>
      </c>
      <c r="CP896" s="2202"/>
      <c r="CQ896" s="2201"/>
      <c r="CR896" s="2200">
        <f>BJ743</f>
        <v>1.1080332409972299E-2</v>
      </c>
      <c r="CS896" s="2202"/>
      <c r="CT896" s="2201"/>
      <c r="CU896" s="2200">
        <f>BK743</f>
        <v>1.1080332409972299E-2</v>
      </c>
      <c r="CV896" s="2202"/>
      <c r="CW896" s="2201"/>
      <c r="CX896" s="2200">
        <f>BL743</f>
        <v>1.1080332409972299E-2</v>
      </c>
      <c r="CY896" s="2202"/>
      <c r="CZ896" s="2201"/>
      <c r="DA896" s="2200">
        <f>BM743</f>
        <v>1.1080332409972299E-2</v>
      </c>
      <c r="DB896" s="2202"/>
      <c r="DC896" s="2201"/>
      <c r="DD896" s="2200">
        <f>BN743</f>
        <v>1.1080332409972299E-2</v>
      </c>
      <c r="DE896" s="2202"/>
      <c r="DF896" s="2201"/>
      <c r="DG896" s="2200">
        <f>BO743</f>
        <v>1.1080332409972299E-2</v>
      </c>
      <c r="DH896" s="2202"/>
      <c r="DI896" s="2201"/>
      <c r="DJ896" s="2200">
        <f>BP743</f>
        <v>1.1080332409972299E-2</v>
      </c>
      <c r="DK896" s="2202"/>
      <c r="DL896" s="2201"/>
      <c r="DM896" s="2200">
        <f>BQ743</f>
        <v>1.1080332409972299E-2</v>
      </c>
      <c r="DN896" s="2202"/>
      <c r="DO896" s="2201"/>
      <c r="DP896" s="2200">
        <f>BR743</f>
        <v>1.1080332409972299E-2</v>
      </c>
      <c r="DQ896" s="2202"/>
      <c r="DR896" s="2201"/>
      <c r="DS896" s="2200">
        <f>BS743</f>
        <v>1.1080332409972299E-2</v>
      </c>
      <c r="DT896" s="2202"/>
      <c r="DU896" s="2201"/>
      <c r="DV896" s="2202">
        <f>BT743</f>
        <v>1.1080332409972299E-2</v>
      </c>
      <c r="DW896" s="2202"/>
      <c r="DX896" s="2201"/>
      <c r="DY896" s="2105"/>
    </row>
    <row r="897" spans="1:129" s="496" customFormat="1" ht="18" x14ac:dyDescent="0.25">
      <c r="AG897" s="498"/>
      <c r="AO897" s="495" t="s">
        <v>1509</v>
      </c>
      <c r="AP897" s="495"/>
      <c r="AQ897" s="495"/>
      <c r="AS897" s="500"/>
      <c r="AT897" s="495"/>
      <c r="AV897" s="500"/>
      <c r="AW897" s="495"/>
      <c r="AY897" s="500"/>
      <c r="AZ897" s="500"/>
      <c r="BV897" s="2101"/>
      <c r="BW897" s="603"/>
      <c r="BX897" s="603"/>
      <c r="BY897" s="603"/>
      <c r="BZ897" s="2130" t="s">
        <v>1510</v>
      </c>
      <c r="CA897" s="2197">
        <f>AY745</f>
        <v>1.7543859649122806E-2</v>
      </c>
      <c r="CB897" s="2198"/>
      <c r="CC897" s="2197">
        <f>BE745</f>
        <v>1.3970382788488405E-2</v>
      </c>
      <c r="CD897" s="2199"/>
      <c r="CE897" s="2198"/>
      <c r="CF897" s="2197">
        <f>BF745</f>
        <v>1.3906271728549576E-2</v>
      </c>
      <c r="CG897" s="2199"/>
      <c r="CH897" s="2198"/>
      <c r="CI897" s="2197">
        <f>BG745</f>
        <v>1.3842746400885937E-2</v>
      </c>
      <c r="CJ897" s="2199"/>
      <c r="CK897" s="2198"/>
      <c r="CL897" s="2197">
        <f>BH745</f>
        <v>1.3779798814937301E-2</v>
      </c>
      <c r="CM897" s="2199"/>
      <c r="CN897" s="2198"/>
      <c r="CO897" s="2197">
        <f>BI745</f>
        <v>1.3717421124828532E-2</v>
      </c>
      <c r="CP897" s="2199"/>
      <c r="CQ897" s="2198"/>
      <c r="CR897" s="2197">
        <f>BJ745</f>
        <v>1.365560562610952E-2</v>
      </c>
      <c r="CS897" s="2199"/>
      <c r="CT897" s="2198"/>
      <c r="CU897" s="2197">
        <f>BK745</f>
        <v>1.3594344752582924E-2</v>
      </c>
      <c r="CV897" s="2199"/>
      <c r="CW897" s="2198"/>
      <c r="CX897" s="2197">
        <f>BL745</f>
        <v>1.3533631073216944E-2</v>
      </c>
      <c r="CY897" s="2199"/>
      <c r="CZ897" s="2198"/>
      <c r="DA897" s="2197">
        <f>BM745</f>
        <v>1.3473457289140393E-2</v>
      </c>
      <c r="DB897" s="2199"/>
      <c r="DC897" s="2198"/>
      <c r="DD897" s="2197">
        <f>BN745</f>
        <v>1.341381623071764E-2</v>
      </c>
      <c r="DE897" s="2199"/>
      <c r="DF897" s="2198"/>
      <c r="DG897" s="2197">
        <f>BO745</f>
        <v>1.3354700854700856E-2</v>
      </c>
      <c r="DH897" s="2199"/>
      <c r="DI897" s="2198"/>
      <c r="DJ897" s="2197">
        <f>BP745</f>
        <v>1.3296104241457253E-2</v>
      </c>
      <c r="DK897" s="2199"/>
      <c r="DL897" s="2198"/>
      <c r="DM897" s="2197">
        <f>BQ745</f>
        <v>1.3238019592268996E-2</v>
      </c>
      <c r="DN897" s="2199"/>
      <c r="DO897" s="2198"/>
      <c r="DP897" s="2197">
        <f>BR745</f>
        <v>1.3180440226703572E-2</v>
      </c>
      <c r="DQ897" s="2199"/>
      <c r="DR897" s="2198"/>
      <c r="DS897" s="2197">
        <f>BS745</f>
        <v>1.3123359580052493E-2</v>
      </c>
      <c r="DT897" s="2199"/>
      <c r="DU897" s="2198"/>
      <c r="DV897" s="2199">
        <f>BT745</f>
        <v>1.3066771200836274E-2</v>
      </c>
      <c r="DW897" s="2199"/>
      <c r="DX897" s="2198"/>
      <c r="DY897" s="2105"/>
    </row>
    <row r="898" spans="1:129" s="496" customFormat="1" ht="18" x14ac:dyDescent="0.25">
      <c r="AG898" s="498"/>
      <c r="AO898" s="495"/>
      <c r="AP898" s="495"/>
      <c r="AQ898" s="495"/>
      <c r="AS898" s="500"/>
      <c r="AT898" s="495"/>
      <c r="AV898" s="500"/>
      <c r="AW898" s="495"/>
      <c r="AY898" s="500"/>
      <c r="AZ898" s="500"/>
      <c r="BV898" s="2101"/>
      <c r="BW898" s="603"/>
      <c r="BX898" s="603"/>
      <c r="BY898" s="603"/>
      <c r="BZ898" s="2130" t="s">
        <v>1511</v>
      </c>
      <c r="CA898" s="2200">
        <f>AY751</f>
        <v>0.24031007751937986</v>
      </c>
      <c r="CB898" s="2201"/>
      <c r="CC898" s="2200">
        <f>BE751</f>
        <v>0.19207883583522981</v>
      </c>
      <c r="CD898" s="2202"/>
      <c r="CE898" s="2201"/>
      <c r="CF898" s="2200">
        <f>BF751</f>
        <v>0.16089001558534588</v>
      </c>
      <c r="CG898" s="2202"/>
      <c r="CH898" s="2201"/>
      <c r="CI898" s="2200">
        <f>BG751</f>
        <v>0.13833721078500955</v>
      </c>
      <c r="CJ898" s="2202"/>
      <c r="CK898" s="2201"/>
      <c r="CL898" s="2200">
        <f>BH751</f>
        <v>0.12137267215130425</v>
      </c>
      <c r="CM898" s="2202"/>
      <c r="CN898" s="2201"/>
      <c r="CO898" s="2200">
        <f>BI751</f>
        <v>0.10811440948849664</v>
      </c>
      <c r="CP898" s="2202"/>
      <c r="CQ898" s="2201"/>
      <c r="CR898" s="2200">
        <f>BJ751</f>
        <v>9.7467456463829844E-2</v>
      </c>
      <c r="CS898" s="2202"/>
      <c r="CT898" s="2201"/>
      <c r="CU898" s="2200">
        <f>BK751</f>
        <v>8.8729501556238308E-2</v>
      </c>
      <c r="CV898" s="2202"/>
      <c r="CW898" s="2201"/>
      <c r="CX898" s="2200">
        <f>BL751</f>
        <v>8.1429361445109205E-2</v>
      </c>
      <c r="CY898" s="2202"/>
      <c r="CZ898" s="2201"/>
      <c r="DA898" s="2200">
        <f>BM751</f>
        <v>7.5239129581408742E-2</v>
      </c>
      <c r="DB898" s="2202"/>
      <c r="DC898" s="2201"/>
      <c r="DD898" s="2200">
        <f>BN751</f>
        <v>6.9923564423620091E-2</v>
      </c>
      <c r="DE898" s="2202"/>
      <c r="DF898" s="2201"/>
      <c r="DG898" s="2200">
        <f>BO751</f>
        <v>6.5309515994016534E-2</v>
      </c>
      <c r="DH898" s="2202"/>
      <c r="DI898" s="2201"/>
      <c r="DJ898" s="2200">
        <f>BP751</f>
        <v>6.126670783079096E-2</v>
      </c>
      <c r="DK898" s="2202"/>
      <c r="DL898" s="2201"/>
      <c r="DM898" s="2200">
        <f>BQ751</f>
        <v>5.7695240694510236E-2</v>
      </c>
      <c r="DN898" s="2202"/>
      <c r="DO898" s="2201"/>
      <c r="DP898" s="2200">
        <f>BR751</f>
        <v>5.4517226258340559E-2</v>
      </c>
      <c r="DQ898" s="2202"/>
      <c r="DR898" s="2201"/>
      <c r="DS898" s="2200">
        <f>BS751</f>
        <v>5.1671041481512116E-2</v>
      </c>
      <c r="DT898" s="2202"/>
      <c r="DU898" s="2201"/>
      <c r="DV898" s="2202">
        <f>BT751</f>
        <v>4.9107293457926381E-2</v>
      </c>
      <c r="DW898" s="2202"/>
      <c r="DX898" s="2201"/>
      <c r="DY898" s="2105"/>
    </row>
    <row r="899" spans="1:129" s="496" customFormat="1" ht="18" x14ac:dyDescent="0.25">
      <c r="AG899" s="498"/>
      <c r="AO899" s="495"/>
      <c r="AP899" s="495"/>
      <c r="AQ899" s="495"/>
      <c r="AS899" s="500"/>
      <c r="AT899" s="495"/>
      <c r="AV899" s="500"/>
      <c r="AW899" s="495"/>
      <c r="AY899" s="500"/>
      <c r="AZ899" s="500"/>
      <c r="BV899" s="2101"/>
      <c r="BW899" s="603"/>
      <c r="BX899" s="603"/>
      <c r="BY899" s="603"/>
      <c r="BZ899" s="2130" t="s">
        <v>1512</v>
      </c>
      <c r="CA899" s="2203">
        <f>AY725</f>
        <v>8.9750692520775619</v>
      </c>
      <c r="CB899" s="2204"/>
      <c r="CC899" s="2203">
        <f>BE725</f>
        <v>8.9750692520775619</v>
      </c>
      <c r="CD899" s="2205"/>
      <c r="CE899" s="2204"/>
      <c r="CF899" s="2203">
        <f>BF725</f>
        <v>8.9750692520775619</v>
      </c>
      <c r="CG899" s="2205"/>
      <c r="CH899" s="2204"/>
      <c r="CI899" s="2203">
        <f>BG725</f>
        <v>8.9750692520775619</v>
      </c>
      <c r="CJ899" s="2205"/>
      <c r="CK899" s="2204"/>
      <c r="CL899" s="2203">
        <f>BH725</f>
        <v>8.9750692520775619</v>
      </c>
      <c r="CM899" s="2205"/>
      <c r="CN899" s="2204"/>
      <c r="CO899" s="2203">
        <f>BI725</f>
        <v>8.9750692520775619</v>
      </c>
      <c r="CP899" s="2205"/>
      <c r="CQ899" s="2204"/>
      <c r="CR899" s="2203">
        <f>BJ725</f>
        <v>8.9750692520775619</v>
      </c>
      <c r="CS899" s="2205"/>
      <c r="CT899" s="2204"/>
      <c r="CU899" s="2203">
        <f>BK725</f>
        <v>8.9750692520775619</v>
      </c>
      <c r="CV899" s="2205"/>
      <c r="CW899" s="2204"/>
      <c r="CX899" s="2203">
        <f>BL725</f>
        <v>8.9750692520775619</v>
      </c>
      <c r="CY899" s="2205"/>
      <c r="CZ899" s="2204"/>
      <c r="DA899" s="2203">
        <f>BM725</f>
        <v>8.9750692520775619</v>
      </c>
      <c r="DB899" s="2205"/>
      <c r="DC899" s="2204"/>
      <c r="DD899" s="2203">
        <f>BN725</f>
        <v>8.9750692520775619</v>
      </c>
      <c r="DE899" s="2205"/>
      <c r="DF899" s="2204"/>
      <c r="DG899" s="2203">
        <f>BO725</f>
        <v>8.9750692520775619</v>
      </c>
      <c r="DH899" s="2205"/>
      <c r="DI899" s="2204"/>
      <c r="DJ899" s="2203">
        <f>BP725</f>
        <v>8.9750692520775619</v>
      </c>
      <c r="DK899" s="2205"/>
      <c r="DL899" s="2204"/>
      <c r="DM899" s="2203">
        <f>BQ725</f>
        <v>8.9750692520775619</v>
      </c>
      <c r="DN899" s="2205"/>
      <c r="DO899" s="2204"/>
      <c r="DP899" s="2203">
        <f>BR725</f>
        <v>8.9750692520775619</v>
      </c>
      <c r="DQ899" s="2205"/>
      <c r="DR899" s="2204"/>
      <c r="DS899" s="2203">
        <f>BS725</f>
        <v>8.9750692520775619</v>
      </c>
      <c r="DT899" s="2205"/>
      <c r="DU899" s="2204"/>
      <c r="DV899" s="2205">
        <f>BT725</f>
        <v>8.9750692520775619</v>
      </c>
      <c r="DW899" s="2205"/>
      <c r="DX899" s="2204"/>
      <c r="DY899" s="2105"/>
    </row>
    <row r="900" spans="1:129" s="496" customFormat="1" ht="18" x14ac:dyDescent="0.25">
      <c r="AG900" s="498"/>
      <c r="AO900" s="495"/>
      <c r="AP900" s="495"/>
      <c r="AQ900" s="495"/>
      <c r="AS900" s="500"/>
      <c r="AT900" s="495"/>
      <c r="AV900" s="500"/>
      <c r="AW900" s="495"/>
      <c r="AY900" s="500"/>
      <c r="AZ900" s="500"/>
      <c r="BV900" s="2101"/>
      <c r="BW900" s="603"/>
      <c r="BX900" s="603"/>
      <c r="BY900" s="603"/>
      <c r="BZ900" s="2130" t="s">
        <v>1513</v>
      </c>
      <c r="CA900" s="2203">
        <f>AY727</f>
        <v>280.8</v>
      </c>
      <c r="CB900" s="2204"/>
      <c r="CC900" s="2203">
        <f>BE727</f>
        <v>280.8</v>
      </c>
      <c r="CD900" s="2205"/>
      <c r="CE900" s="2204"/>
      <c r="CF900" s="2203">
        <f>BF727</f>
        <v>280.8</v>
      </c>
      <c r="CG900" s="2205"/>
      <c r="CH900" s="2204"/>
      <c r="CI900" s="2203">
        <f>BG727</f>
        <v>280.8</v>
      </c>
      <c r="CJ900" s="2205"/>
      <c r="CK900" s="2204"/>
      <c r="CL900" s="2203">
        <f>BH727</f>
        <v>280.8</v>
      </c>
      <c r="CM900" s="2205"/>
      <c r="CN900" s="2204"/>
      <c r="CO900" s="2203">
        <f>BI727</f>
        <v>280.8</v>
      </c>
      <c r="CP900" s="2205"/>
      <c r="CQ900" s="2204"/>
      <c r="CR900" s="2203">
        <f>BJ727</f>
        <v>280.8</v>
      </c>
      <c r="CS900" s="2205"/>
      <c r="CT900" s="2204"/>
      <c r="CU900" s="2203">
        <f>BK727</f>
        <v>280.8</v>
      </c>
      <c r="CV900" s="2205"/>
      <c r="CW900" s="2204"/>
      <c r="CX900" s="2203">
        <f>BL727</f>
        <v>280.8</v>
      </c>
      <c r="CY900" s="2205"/>
      <c r="CZ900" s="2204"/>
      <c r="DA900" s="2203">
        <f>BM727</f>
        <v>280.8</v>
      </c>
      <c r="DB900" s="2205"/>
      <c r="DC900" s="2204"/>
      <c r="DD900" s="2203">
        <f>BN727</f>
        <v>280.8</v>
      </c>
      <c r="DE900" s="2205"/>
      <c r="DF900" s="2204"/>
      <c r="DG900" s="2203">
        <f>BO727</f>
        <v>280.8</v>
      </c>
      <c r="DH900" s="2205"/>
      <c r="DI900" s="2204"/>
      <c r="DJ900" s="2203">
        <f>BP727</f>
        <v>280.8</v>
      </c>
      <c r="DK900" s="2205"/>
      <c r="DL900" s="2204"/>
      <c r="DM900" s="2203">
        <f>BQ727</f>
        <v>280.8</v>
      </c>
      <c r="DN900" s="2205"/>
      <c r="DO900" s="2204"/>
      <c r="DP900" s="2203">
        <f>BR727</f>
        <v>280.8</v>
      </c>
      <c r="DQ900" s="2205"/>
      <c r="DR900" s="2204"/>
      <c r="DS900" s="2203">
        <f>BS727</f>
        <v>280.8</v>
      </c>
      <c r="DT900" s="2205"/>
      <c r="DU900" s="2204"/>
      <c r="DV900" s="2205">
        <f>BT727</f>
        <v>280.8</v>
      </c>
      <c r="DW900" s="2205"/>
      <c r="DX900" s="2204"/>
      <c r="DY900" s="2105"/>
    </row>
    <row r="901" spans="1:129" s="496" customFormat="1" ht="18" x14ac:dyDescent="0.25">
      <c r="AG901" s="498"/>
      <c r="AO901" s="495"/>
      <c r="AP901" s="495"/>
      <c r="AQ901" s="495"/>
      <c r="AS901" s="500"/>
      <c r="AT901" s="495"/>
      <c r="AV901" s="500"/>
      <c r="AW901" s="495"/>
      <c r="AY901" s="500"/>
      <c r="AZ901" s="500"/>
      <c r="BV901" s="2101"/>
      <c r="BW901" s="603"/>
      <c r="BX901" s="603"/>
      <c r="BY901" s="603"/>
      <c r="BZ901" s="2206" t="s">
        <v>1514</v>
      </c>
      <c r="CA901" s="2207">
        <f>AY730</f>
        <v>21.6</v>
      </c>
      <c r="CB901" s="2208"/>
      <c r="CC901" s="2207">
        <f>BE730</f>
        <v>21.6</v>
      </c>
      <c r="CD901" s="2209"/>
      <c r="CE901" s="2208"/>
      <c r="CF901" s="2207">
        <f>BF730</f>
        <v>21.6</v>
      </c>
      <c r="CG901" s="2209"/>
      <c r="CH901" s="2208"/>
      <c r="CI901" s="2207">
        <f>BG730</f>
        <v>21.6</v>
      </c>
      <c r="CJ901" s="2209"/>
      <c r="CK901" s="2208"/>
      <c r="CL901" s="2207">
        <f>BH730</f>
        <v>21.6</v>
      </c>
      <c r="CM901" s="2209"/>
      <c r="CN901" s="2208"/>
      <c r="CO901" s="2207">
        <f>BI730</f>
        <v>21.6</v>
      </c>
      <c r="CP901" s="2209"/>
      <c r="CQ901" s="2208"/>
      <c r="CR901" s="2207">
        <f>BJ730</f>
        <v>21.6</v>
      </c>
      <c r="CS901" s="2209"/>
      <c r="CT901" s="2208"/>
      <c r="CU901" s="2207">
        <f>BK730</f>
        <v>21.6</v>
      </c>
      <c r="CV901" s="2209"/>
      <c r="CW901" s="2208"/>
      <c r="CX901" s="2207">
        <f>BL730</f>
        <v>21.6</v>
      </c>
      <c r="CY901" s="2209"/>
      <c r="CZ901" s="2208"/>
      <c r="DA901" s="2207">
        <f>BM730</f>
        <v>21.6</v>
      </c>
      <c r="DB901" s="2209"/>
      <c r="DC901" s="2208"/>
      <c r="DD901" s="2207">
        <f>BN730</f>
        <v>21.6</v>
      </c>
      <c r="DE901" s="2209"/>
      <c r="DF901" s="2208"/>
      <c r="DG901" s="2207">
        <f>BO730</f>
        <v>21.6</v>
      </c>
      <c r="DH901" s="2205"/>
      <c r="DI901" s="2208"/>
      <c r="DJ901" s="2207">
        <f>BP730</f>
        <v>21.6</v>
      </c>
      <c r="DK901" s="2209"/>
      <c r="DL901" s="2208"/>
      <c r="DM901" s="2207">
        <f>BQ730</f>
        <v>21.6</v>
      </c>
      <c r="DN901" s="2209"/>
      <c r="DO901" s="2208"/>
      <c r="DP901" s="2207">
        <f>BR730</f>
        <v>21.6</v>
      </c>
      <c r="DQ901" s="2209"/>
      <c r="DR901" s="2208"/>
      <c r="DS901" s="2207">
        <f>BS730</f>
        <v>21.6</v>
      </c>
      <c r="DT901" s="2209"/>
      <c r="DU901" s="2208"/>
      <c r="DV901" s="2209">
        <f>BT730</f>
        <v>21.6</v>
      </c>
      <c r="DW901" s="2209"/>
      <c r="DX901" s="2208"/>
      <c r="DY901" s="2105"/>
    </row>
    <row r="902" spans="1:129" ht="13.5" thickBot="1" x14ac:dyDescent="0.3">
      <c r="A902" s="603"/>
      <c r="I902" s="603"/>
      <c r="J902" s="603"/>
      <c r="K902" s="603"/>
      <c r="M902" s="603"/>
      <c r="N902" s="603"/>
      <c r="P902" s="603"/>
      <c r="Q902" s="603"/>
      <c r="AG902" s="507"/>
      <c r="AK902" s="496"/>
      <c r="AL902" s="496"/>
      <c r="AM902" s="496"/>
      <c r="AN902" s="496"/>
      <c r="AO902" s="495"/>
      <c r="AP902" s="495"/>
      <c r="AQ902" s="495"/>
      <c r="AR902" s="496"/>
      <c r="AS902" s="500"/>
      <c r="AT902" s="495"/>
      <c r="AU902" s="496"/>
      <c r="AV902" s="500"/>
      <c r="AW902" s="495"/>
      <c r="AX902" s="496"/>
      <c r="AY902" s="500"/>
      <c r="AZ902" s="500"/>
      <c r="BA902" s="496"/>
      <c r="BB902" s="496"/>
      <c r="BC902" s="496"/>
      <c r="BD902" s="496"/>
      <c r="BE902" s="496"/>
      <c r="BF902" s="496"/>
      <c r="BG902" s="496"/>
      <c r="BH902" s="496"/>
      <c r="BI902" s="496"/>
      <c r="BJ902" s="496"/>
      <c r="BK902" s="496"/>
      <c r="BL902" s="496"/>
      <c r="BM902" s="496"/>
      <c r="BN902" s="496"/>
      <c r="BO902" s="496"/>
      <c r="BP902" s="496"/>
      <c r="BQ902" s="496"/>
      <c r="BR902" s="496"/>
      <c r="BS902" s="496"/>
      <c r="BT902" s="496"/>
      <c r="BU902" s="496"/>
      <c r="BV902" s="2210"/>
      <c r="BW902" s="2211"/>
      <c r="BX902" s="2212"/>
      <c r="BY902" s="2212"/>
      <c r="BZ902" s="2212"/>
      <c r="CA902" s="2212"/>
      <c r="CB902" s="2212"/>
      <c r="CC902" s="2212"/>
      <c r="CD902" s="2212"/>
      <c r="CE902" s="2212"/>
      <c r="CF902" s="2212"/>
      <c r="CG902" s="2212"/>
      <c r="CH902" s="2212"/>
      <c r="CI902" s="2212"/>
      <c r="CJ902" s="2212"/>
      <c r="CK902" s="2212"/>
      <c r="CL902" s="2212"/>
      <c r="CM902" s="2212"/>
      <c r="CN902" s="2212"/>
      <c r="CO902" s="2212"/>
      <c r="CP902" s="2212"/>
      <c r="CQ902" s="2212"/>
      <c r="CR902" s="2212"/>
      <c r="CS902" s="2212"/>
      <c r="CT902" s="2212"/>
      <c r="CU902" s="2212"/>
      <c r="CV902" s="2212"/>
      <c r="CW902" s="2212"/>
      <c r="CX902" s="2212"/>
      <c r="CY902" s="2212"/>
      <c r="CZ902" s="2212"/>
      <c r="DA902" s="2212"/>
      <c r="DB902" s="2212"/>
      <c r="DC902" s="2212"/>
      <c r="DD902" s="2212"/>
      <c r="DE902" s="2212"/>
      <c r="DF902" s="2212"/>
      <c r="DG902" s="2212"/>
      <c r="DH902" s="2213"/>
      <c r="DI902" s="2212"/>
      <c r="DJ902" s="2212"/>
      <c r="DK902" s="2212"/>
      <c r="DL902" s="2212"/>
      <c r="DM902" s="2212"/>
      <c r="DN902" s="2212"/>
      <c r="DO902" s="2212"/>
      <c r="DP902" s="2212"/>
      <c r="DQ902" s="2212"/>
      <c r="DR902" s="2212"/>
      <c r="DS902" s="2212"/>
      <c r="DT902" s="2212"/>
      <c r="DU902" s="2212"/>
      <c r="DV902" s="2212"/>
      <c r="DW902" s="2214"/>
      <c r="DX902" s="2212"/>
      <c r="DY902" s="2215"/>
    </row>
    <row r="903" spans="1:129" ht="13.5" thickTop="1" x14ac:dyDescent="0.25">
      <c r="Q903" s="2216"/>
      <c r="S903" s="2217"/>
      <c r="T903" s="2217"/>
      <c r="AK903" s="496"/>
      <c r="AL903" s="496"/>
      <c r="AM903" s="496"/>
      <c r="AN903" s="496"/>
      <c r="AO903" s="495"/>
      <c r="AP903" s="495"/>
      <c r="AQ903" s="495"/>
      <c r="AR903" s="496"/>
      <c r="AS903" s="500"/>
      <c r="AT903" s="495"/>
      <c r="AU903" s="496"/>
      <c r="AV903" s="500"/>
      <c r="AW903" s="495"/>
      <c r="AX903" s="496"/>
      <c r="AY903" s="500"/>
      <c r="AZ903" s="500"/>
      <c r="BA903" s="496"/>
      <c r="BB903" s="496"/>
      <c r="BC903" s="496"/>
      <c r="BD903" s="496"/>
      <c r="BE903" s="496"/>
      <c r="BF903" s="496"/>
      <c r="BG903" s="496"/>
      <c r="BH903" s="496"/>
      <c r="BI903" s="496"/>
      <c r="BJ903" s="496"/>
      <c r="BK903" s="496"/>
      <c r="BL903" s="496"/>
      <c r="BM903" s="496"/>
      <c r="BN903" s="496"/>
      <c r="BO903" s="496"/>
      <c r="BP903" s="496"/>
      <c r="BQ903" s="496"/>
      <c r="BR903" s="496"/>
      <c r="BS903" s="496"/>
      <c r="BT903" s="496"/>
      <c r="BU903" s="496"/>
    </row>
    <row r="904" spans="1:129" ht="12.75" x14ac:dyDescent="0.25">
      <c r="AK904" s="496"/>
      <c r="AL904" s="496"/>
      <c r="AM904" s="496"/>
      <c r="AN904" s="496"/>
      <c r="AO904" s="495"/>
      <c r="AP904" s="495"/>
      <c r="AQ904" s="495"/>
      <c r="AR904" s="496"/>
      <c r="AS904" s="500"/>
      <c r="AT904" s="495"/>
      <c r="AU904" s="496"/>
      <c r="AV904" s="500"/>
      <c r="AW904" s="495"/>
      <c r="AX904" s="496"/>
      <c r="AY904" s="500"/>
      <c r="AZ904" s="500"/>
      <c r="BA904" s="496"/>
      <c r="BB904" s="496"/>
      <c r="BC904" s="496"/>
      <c r="BD904" s="496"/>
      <c r="BE904" s="496"/>
      <c r="BF904" s="496"/>
      <c r="BG904" s="496"/>
      <c r="BH904" s="496"/>
      <c r="BI904" s="496"/>
      <c r="BJ904" s="496"/>
      <c r="BK904" s="496"/>
      <c r="BL904" s="496"/>
      <c r="BM904" s="496"/>
      <c r="BN904" s="496"/>
      <c r="BO904" s="496"/>
      <c r="BP904" s="496"/>
      <c r="BQ904" s="496"/>
      <c r="BR904" s="496"/>
      <c r="BS904" s="496"/>
      <c r="BT904" s="496"/>
      <c r="BU904" s="496"/>
    </row>
    <row r="905" spans="1:129" ht="12.75" x14ac:dyDescent="0.25">
      <c r="K905" s="603"/>
      <c r="N905" s="603"/>
      <c r="AK905" s="496"/>
      <c r="AL905" s="496"/>
      <c r="AM905" s="496"/>
      <c r="AN905" s="496"/>
      <c r="AO905" s="495"/>
      <c r="AP905" s="495"/>
      <c r="AQ905" s="495"/>
      <c r="AR905" s="496"/>
      <c r="AS905" s="500"/>
      <c r="AT905" s="495"/>
      <c r="AU905" s="496"/>
      <c r="AV905" s="500"/>
      <c r="AW905" s="495"/>
      <c r="AX905" s="496"/>
      <c r="AY905" s="500"/>
      <c r="AZ905" s="500"/>
      <c r="BA905" s="496"/>
      <c r="BB905" s="496"/>
      <c r="BC905" s="496"/>
      <c r="BD905" s="496"/>
      <c r="BE905" s="496"/>
      <c r="BF905" s="496"/>
      <c r="BG905" s="496"/>
      <c r="BH905" s="496"/>
      <c r="BI905" s="496"/>
      <c r="BJ905" s="496"/>
      <c r="BK905" s="496"/>
      <c r="BL905" s="496"/>
      <c r="BM905" s="496"/>
      <c r="BN905" s="496"/>
      <c r="BO905" s="496"/>
      <c r="BP905" s="496"/>
      <c r="BQ905" s="496"/>
      <c r="BR905" s="496"/>
      <c r="BS905" s="496"/>
      <c r="BT905" s="496"/>
      <c r="BU905" s="496"/>
    </row>
    <row r="906" spans="1:129" ht="12.75" x14ac:dyDescent="0.25">
      <c r="L906" s="1987"/>
      <c r="N906" s="603"/>
      <c r="AK906" s="496"/>
      <c r="AL906" s="496"/>
      <c r="AM906" s="496"/>
      <c r="AN906" s="496"/>
      <c r="AO906" s="495"/>
      <c r="AP906" s="495"/>
      <c r="AQ906" s="495"/>
      <c r="AR906" s="496"/>
      <c r="AS906" s="500"/>
      <c r="AT906" s="495"/>
      <c r="AU906" s="496"/>
      <c r="AV906" s="500"/>
      <c r="AW906" s="495"/>
      <c r="AX906" s="496"/>
      <c r="AY906" s="500"/>
      <c r="AZ906" s="500"/>
      <c r="BA906" s="496"/>
      <c r="BB906" s="496"/>
      <c r="BC906" s="496"/>
      <c r="BD906" s="496"/>
      <c r="BE906" s="496"/>
      <c r="BF906" s="496"/>
      <c r="BG906" s="496"/>
      <c r="BH906" s="496"/>
      <c r="BI906" s="496"/>
      <c r="BJ906" s="496"/>
      <c r="BK906" s="496"/>
      <c r="BL906" s="496"/>
      <c r="BM906" s="496"/>
      <c r="BN906" s="496"/>
      <c r="BO906" s="496"/>
      <c r="BP906" s="496"/>
      <c r="BQ906" s="496"/>
      <c r="BR906" s="496"/>
      <c r="BS906" s="496"/>
      <c r="BT906" s="496"/>
      <c r="BU906" s="496"/>
    </row>
    <row r="907" spans="1:129" ht="12.75" x14ac:dyDescent="0.25">
      <c r="L907" s="1987"/>
      <c r="AK907" s="603"/>
      <c r="AL907" s="603"/>
      <c r="AM907" s="603"/>
      <c r="AN907" s="603"/>
      <c r="AO907" s="2216"/>
      <c r="AP907" s="2216"/>
      <c r="AQ907" s="2216"/>
      <c r="AS907" s="2217"/>
      <c r="AT907" s="2216"/>
      <c r="AV907" s="2217"/>
      <c r="AW907" s="2216"/>
      <c r="AY907" s="2217"/>
      <c r="AZ907" s="2217"/>
    </row>
    <row r="908" spans="1:129" ht="12.75" x14ac:dyDescent="0.25">
      <c r="N908" s="1411"/>
      <c r="AK908" s="603"/>
      <c r="AL908" s="603"/>
      <c r="AM908" s="603"/>
      <c r="AN908" s="603"/>
    </row>
    <row r="909" spans="1:129" ht="12.75" x14ac:dyDescent="0.2">
      <c r="N909" s="1957"/>
    </row>
    <row r="910" spans="1:129" ht="12.75" x14ac:dyDescent="0.2">
      <c r="E910" s="1987"/>
      <c r="F910" s="1987"/>
      <c r="G910" s="1987"/>
      <c r="H910" s="1987"/>
      <c r="N910" s="2219"/>
    </row>
    <row r="911" spans="1:129" ht="12.75" x14ac:dyDescent="0.2">
      <c r="E911" s="1987"/>
      <c r="F911" s="1987"/>
      <c r="G911" s="1987"/>
    </row>
    <row r="912" spans="1:129" ht="12.75" x14ac:dyDescent="0.2">
      <c r="C912" s="2220" t="s">
        <v>1515</v>
      </c>
      <c r="K912" s="603"/>
      <c r="T912" s="1957" t="s">
        <v>1516</v>
      </c>
    </row>
    <row r="913" spans="2:40" s="603" customFormat="1" ht="12.75" x14ac:dyDescent="0.2">
      <c r="C913" s="1987" t="s">
        <v>1517</v>
      </c>
      <c r="E913" s="1987" t="s">
        <v>1518</v>
      </c>
      <c r="F913" s="1987" t="s">
        <v>1519</v>
      </c>
      <c r="G913" s="1987"/>
      <c r="H913" s="1987" t="s">
        <v>1270</v>
      </c>
      <c r="I913" s="1987">
        <f>T15</f>
        <v>2022</v>
      </c>
      <c r="J913" s="2221" t="s">
        <v>1520</v>
      </c>
      <c r="K913" s="1987" t="s">
        <v>1521</v>
      </c>
      <c r="L913" s="1987" t="str">
        <f>LEFT(N16,3)&amp;". "&amp;TEXT(N15,"0.00")</f>
        <v>Dic. 2.021</v>
      </c>
      <c r="M913" s="2217"/>
      <c r="N913" s="2216"/>
      <c r="P913" s="2217"/>
      <c r="Q913" s="2217"/>
      <c r="T913" s="2222"/>
      <c r="U913" s="2222"/>
      <c r="V913" s="2222"/>
      <c r="AK913" s="2218"/>
      <c r="AL913" s="2218"/>
      <c r="AM913" s="2218"/>
      <c r="AN913" s="2218"/>
    </row>
    <row r="914" spans="2:40" s="603" customFormat="1" ht="12.75" x14ac:dyDescent="0.2">
      <c r="C914" s="1987" t="s">
        <v>1522</v>
      </c>
      <c r="E914" s="2223">
        <f>Q15</f>
        <v>2021</v>
      </c>
      <c r="F914" s="1987" t="s">
        <v>1523</v>
      </c>
      <c r="G914" s="1987"/>
      <c r="H914" s="1987" t="s">
        <v>1524</v>
      </c>
      <c r="I914" s="1987">
        <f>U15</f>
        <v>2023</v>
      </c>
      <c r="J914" s="2221" t="s">
        <v>1525</v>
      </c>
      <c r="K914" s="1987" t="s">
        <v>1518</v>
      </c>
      <c r="L914" s="1987" t="str">
        <f>LEFT(K16,3)&amp;". "&amp;TEXT(K15,"0.00")</f>
        <v>Jun. 2.020</v>
      </c>
      <c r="M914" s="2217"/>
      <c r="N914" s="1957" t="s">
        <v>1526</v>
      </c>
      <c r="P914" s="2217"/>
      <c r="Q914" s="2217"/>
      <c r="T914" s="1987"/>
      <c r="X914" s="1957" t="s">
        <v>1527</v>
      </c>
      <c r="AK914" s="2218"/>
      <c r="AL914" s="2218"/>
      <c r="AM914" s="2218"/>
      <c r="AN914" s="2218"/>
    </row>
    <row r="915" spans="2:40" s="603" customFormat="1" ht="12.75" x14ac:dyDescent="0.2">
      <c r="E915" s="1987" t="s">
        <v>1528</v>
      </c>
      <c r="F915" s="1987" t="s">
        <v>1529</v>
      </c>
      <c r="G915" s="1987"/>
      <c r="H915" s="1987" t="s">
        <v>1530</v>
      </c>
      <c r="I915" s="2216"/>
      <c r="J915" s="2216"/>
      <c r="K915" s="2216"/>
      <c r="M915" s="2217"/>
      <c r="N915" s="1987" t="str">
        <f ca="1">SUBSTITUTE(CELL("DIRECCION",AN586),"$",0)</f>
        <v>0AN0586</v>
      </c>
      <c r="O915" s="1987" t="str">
        <f ca="1">SUBSTITUTE(CELL("DIRECCION",AN660),"$",0)</f>
        <v>0AN0660</v>
      </c>
      <c r="P915" s="2217"/>
      <c r="Q915" s="2217"/>
      <c r="X915" s="2224">
        <v>1</v>
      </c>
      <c r="Y915" s="2224">
        <v>1</v>
      </c>
      <c r="Z915" s="2224" t="str">
        <f ca="1">CONCATENATE(HLOOKUP(Y915,$X$918:$AC$920,3,0),TEXT(HLOOKUP(X915,$X$916:$AC$920,4,0),"@"))</f>
        <v>0A724</v>
      </c>
      <c r="AA915" s="2224" t="str">
        <f ca="1">CONCATENATE(HLOOKUP(Y915,$X$918:$AC$920,3,0),TEXT(HLOOKUP(X915,$Y$917:$AC$920,3,0),"@"))</f>
        <v>0A725</v>
      </c>
      <c r="AB915" s="2224">
        <f>HLOOKUP(X915,$X$916:$AB$920,4,0)</f>
        <v>724</v>
      </c>
      <c r="AK915" s="2218"/>
      <c r="AL915" s="2218"/>
      <c r="AM915" s="2218"/>
      <c r="AN915" s="2218"/>
    </row>
    <row r="916" spans="2:40" s="603" customFormat="1" ht="12.75" x14ac:dyDescent="0.2">
      <c r="E916" s="1987"/>
      <c r="F916" s="1987" t="s">
        <v>1531</v>
      </c>
      <c r="G916" s="1987"/>
      <c r="I916" s="2216"/>
      <c r="J916" s="2216"/>
      <c r="K916" s="2216"/>
      <c r="M916" s="2217"/>
      <c r="N916" s="1987" t="str">
        <f ca="1">SUBSTITUTE(CELL("DIRECCION",AP586),"$",0)</f>
        <v>0AP0586</v>
      </c>
      <c r="O916" s="1987" t="str">
        <f ca="1">SUBSTITUTE(CELL("DIRECCION",AP660),"$",0)</f>
        <v>0AP0660</v>
      </c>
      <c r="P916" s="2217"/>
      <c r="Q916" s="2217"/>
      <c r="T916" s="1957" t="s">
        <v>1532</v>
      </c>
      <c r="X916" s="2221">
        <v>1</v>
      </c>
      <c r="Y916" s="2221"/>
      <c r="Z916" s="2221">
        <v>2</v>
      </c>
      <c r="AA916" s="2221"/>
      <c r="AB916" s="2221">
        <v>3</v>
      </c>
      <c r="AC916" s="2221"/>
      <c r="AK916" s="2218"/>
      <c r="AL916" s="2218"/>
      <c r="AM916" s="2218"/>
      <c r="AN916" s="2218"/>
    </row>
    <row r="917" spans="2:40" s="603" customFormat="1" ht="12.75" x14ac:dyDescent="0.2">
      <c r="F917" s="1987"/>
      <c r="G917" s="1987"/>
      <c r="H917" s="1987"/>
      <c r="I917" s="2221"/>
      <c r="J917" s="2221"/>
      <c r="K917" s="2221"/>
      <c r="L917" s="1987"/>
      <c r="M917" s="2217"/>
      <c r="N917" s="1987" t="str">
        <f ca="1">SUBSTITUTE(CELL("DIRECCION",AS586),"$",0)</f>
        <v>0AS0586</v>
      </c>
      <c r="O917" s="1987" t="str">
        <f ca="1">SUBSTITUTE(CELL("DIRECCION",AS660),"$",0)</f>
        <v>0AS0660</v>
      </c>
      <c r="P917" s="2217"/>
      <c r="Q917" s="2217"/>
      <c r="T917" s="2225">
        <v>2005</v>
      </c>
      <c r="X917" s="2221"/>
      <c r="Y917" s="2221">
        <v>1</v>
      </c>
      <c r="Z917" s="2221"/>
      <c r="AA917" s="2221">
        <v>2</v>
      </c>
      <c r="AB917" s="2221"/>
      <c r="AC917" s="2221">
        <v>3</v>
      </c>
      <c r="AK917" s="2218"/>
      <c r="AL917" s="2218"/>
      <c r="AM917" s="2218"/>
      <c r="AN917" s="2218"/>
    </row>
    <row r="918" spans="2:40" s="603" customFormat="1" ht="12.75" x14ac:dyDescent="0.25">
      <c r="F918" s="1957" t="s">
        <v>1533</v>
      </c>
      <c r="G918" s="1987"/>
      <c r="H918" s="1987"/>
      <c r="I918" s="2221"/>
      <c r="J918" s="2221"/>
      <c r="K918" s="2221"/>
      <c r="L918" s="1987"/>
      <c r="M918" s="2217"/>
      <c r="N918" s="2216"/>
      <c r="P918" s="2217"/>
      <c r="Q918" s="2217"/>
      <c r="X918" s="2221">
        <v>1</v>
      </c>
      <c r="Y918" s="2221">
        <v>2</v>
      </c>
      <c r="Z918" s="2221">
        <v>3</v>
      </c>
      <c r="AA918" s="2221">
        <v>4</v>
      </c>
      <c r="AB918" s="2221">
        <v>5</v>
      </c>
      <c r="AC918" s="2221">
        <v>6</v>
      </c>
    </row>
    <row r="919" spans="2:40" s="603" customFormat="1" ht="12.75" x14ac:dyDescent="0.25">
      <c r="B919" s="1957" t="s">
        <v>1534</v>
      </c>
      <c r="C919" s="1987"/>
      <c r="F919" s="2226"/>
      <c r="G919" s="2226"/>
      <c r="I919" s="2221"/>
      <c r="J919" s="2221"/>
      <c r="K919" s="2221"/>
      <c r="L919" s="1987"/>
      <c r="M919" s="2217"/>
      <c r="N919" s="1957" t="s">
        <v>1535</v>
      </c>
      <c r="P919" s="2217"/>
      <c r="Q919" s="2217"/>
      <c r="T919" s="1957" t="s">
        <v>1536</v>
      </c>
      <c r="X919" s="2221">
        <f>ROW(AN724)</f>
        <v>724</v>
      </c>
      <c r="Y919" s="2221">
        <f>ROW(AN725)</f>
        <v>725</v>
      </c>
      <c r="Z919" s="2221">
        <f>ROW(AN726)</f>
        <v>726</v>
      </c>
      <c r="AA919" s="2221">
        <f>ROW(AN727)</f>
        <v>727</v>
      </c>
      <c r="AB919" s="2221">
        <f>ROW(AN728)</f>
        <v>728</v>
      </c>
      <c r="AC919" s="2221">
        <f>ROW(AN729)</f>
        <v>729</v>
      </c>
    </row>
    <row r="920" spans="2:40" s="603" customFormat="1" ht="12.75" x14ac:dyDescent="0.25">
      <c r="B920" s="2227" t="s">
        <v>1537</v>
      </c>
      <c r="C920" s="2228">
        <v>0</v>
      </c>
      <c r="F920" s="2226"/>
      <c r="G920" s="2226"/>
      <c r="H920" s="1987"/>
      <c r="I920" s="2221"/>
      <c r="J920" s="2221"/>
      <c r="K920" s="2221"/>
      <c r="L920" s="1987"/>
      <c r="M920" s="2217"/>
      <c r="N920" s="1987" t="str">
        <f ca="1">CONCATENATE(CELL("DIRECCION",AL578),":",CELL("DIRECCION",BT687))</f>
        <v>$AL$578:$BT$687</v>
      </c>
      <c r="O920" s="1987"/>
      <c r="P920" s="2217"/>
      <c r="Q920" s="2217"/>
      <c r="T920" s="2225">
        <v>2008</v>
      </c>
      <c r="X920" s="2221" t="str">
        <f ca="1">LEFT(SUBSTITUTE(CELL("DIRECCION",AN723),"$",0),2)</f>
        <v>0A</v>
      </c>
      <c r="Y920" s="2221" t="str">
        <f ca="1">LEFT(SUBSTITUTE(CELL("DIRECCION",AP723),"$",0),2)</f>
        <v>0A</v>
      </c>
      <c r="Z920" s="2221" t="str">
        <f ca="1">LEFT(SUBSTITUTE(CELL("DIRECCION",AS723),"$",0),2)</f>
        <v>0A</v>
      </c>
      <c r="AA920" s="2221" t="str">
        <f ca="1">LEFT(SUBSTITUTE(CELL("DIRECCION",AV723),"$",0),2)</f>
        <v>0A</v>
      </c>
      <c r="AB920" s="2221" t="str">
        <f ca="1">LEFT(SUBSTITUTE(CELL("DIRECCION",AY723),"$",0),2)</f>
        <v>0A</v>
      </c>
      <c r="AC920" s="2221" t="str">
        <f ca="1">LEFT(SUBSTITUTE(CELL("DIRECCION",BB723),"$",0),2)</f>
        <v>0B</v>
      </c>
    </row>
    <row r="921" spans="2:40" s="603" customFormat="1" ht="12.75" x14ac:dyDescent="0.25">
      <c r="B921" s="2228">
        <v>0</v>
      </c>
      <c r="C921" s="2228">
        <f ca="1">IF(B921=1,SUBSTITUTE(CELL("DIRECCION",H914),"$",0),IF(B921=2,SUBSTITUTE(CELL("DIRECCION",H915),"$",0),0))</f>
        <v>0</v>
      </c>
      <c r="E921" s="1987"/>
      <c r="F921" s="1987" t="str">
        <f ca="1">SUBSTITUTE(CONCATENATE(CELL("DIRECCION",E90),":",CELL("DIRECCION",E92),",",CELL("DIRECCION",E97),":",CELL("DIRECCION",E98),",",CELL("DIRECCION",H90),":",CELL("DIRECCION",H92),",",CELL("DIRECCION",H97),":",CELL("DIRECCION",H98),",",CELL("DIRECCION",K90),":",CELL("DIRECCION",K92),",",CELL("DIRECCION",N90),":",CELL("DIRECCION",N92),",",CONCATENATE(CELL("DIRECCION",N97),":",CELL("DIRECCION",N98),",",CELL("DIRECCION",Q90),":",CELL("DIRECCION",Q92),",",CELL("DIRECCION",Q97),":",CELL("DIRECCION",Q98))),"$",0)</f>
        <v>0E090:0E092,0E097:0E098,0H090:0H092,0H097:0H098,0K090:0K092,0N090:0N092,0N097:0N098,0Q090:0Q092,0Q097:0Q098</v>
      </c>
      <c r="G921" s="1987"/>
      <c r="H921" s="1987"/>
      <c r="I921" s="2221"/>
      <c r="J921" s="2221"/>
      <c r="K921" s="2221"/>
      <c r="L921" s="1987"/>
      <c r="M921" s="2217"/>
      <c r="N921" s="2229"/>
      <c r="O921" s="1987"/>
      <c r="P921" s="2217"/>
      <c r="Q921" s="2217"/>
    </row>
    <row r="922" spans="2:40" s="603" customFormat="1" ht="12.75" x14ac:dyDescent="0.25">
      <c r="B922" s="732"/>
      <c r="C922" s="2230"/>
      <c r="D922" s="2231"/>
      <c r="E922" s="2231"/>
      <c r="F922" s="2226"/>
      <c r="G922" s="1987"/>
      <c r="H922" s="1987"/>
      <c r="I922" s="2221"/>
      <c r="J922" s="2221"/>
      <c r="K922" s="2232"/>
      <c r="L922" s="1987"/>
      <c r="M922" s="1987"/>
      <c r="N922" s="1987" t="str">
        <f ca="1">CONCATENATE(CELL("DIRECCION",AL758),":",CELL("DIRECCION",BT845))</f>
        <v>$AL$758:$BT$845</v>
      </c>
      <c r="O922" s="1987"/>
      <c r="P922" s="2217"/>
      <c r="Q922" s="2217"/>
      <c r="T922" s="2217" t="s">
        <v>1538</v>
      </c>
    </row>
    <row r="923" spans="2:40" s="603" customFormat="1" ht="12.75" x14ac:dyDescent="0.25">
      <c r="B923" s="732"/>
      <c r="C923" s="2230"/>
      <c r="D923" s="2231"/>
      <c r="E923" s="2231"/>
      <c r="I923" s="2216"/>
      <c r="J923" s="2216"/>
      <c r="K923" s="2232"/>
      <c r="L923" s="1987"/>
      <c r="M923" s="1987"/>
      <c r="N923" s="1987"/>
      <c r="O923" s="1987"/>
      <c r="P923" s="2217"/>
      <c r="Q923" s="2217"/>
      <c r="T923" s="2233">
        <f t="shared" ref="T923:AI923" si="878">T71/T17*T400</f>
        <v>390.00000000000006</v>
      </c>
      <c r="U923" s="2233">
        <f t="shared" si="878"/>
        <v>390.00000000000006</v>
      </c>
      <c r="V923" s="2233">
        <f t="shared" si="878"/>
        <v>390.00000000000006</v>
      </c>
      <c r="W923" s="2233">
        <f t="shared" si="878"/>
        <v>390.00000000000006</v>
      </c>
      <c r="X923" s="2233">
        <f t="shared" si="878"/>
        <v>390.00000000000006</v>
      </c>
      <c r="Y923" s="2233">
        <f t="shared" si="878"/>
        <v>390.00000000000006</v>
      </c>
      <c r="Z923" s="2233">
        <f t="shared" si="878"/>
        <v>390.00000000000006</v>
      </c>
      <c r="AA923" s="2233">
        <f t="shared" si="878"/>
        <v>390.00000000000006</v>
      </c>
      <c r="AB923" s="2233">
        <f t="shared" si="878"/>
        <v>390.00000000000006</v>
      </c>
      <c r="AC923" s="2233">
        <f t="shared" si="878"/>
        <v>390.00000000000006</v>
      </c>
      <c r="AD923" s="2233">
        <f t="shared" si="878"/>
        <v>390.00000000000006</v>
      </c>
      <c r="AE923" s="2233">
        <f t="shared" si="878"/>
        <v>390.00000000000006</v>
      </c>
      <c r="AF923" s="2233">
        <f t="shared" si="878"/>
        <v>390.00000000000006</v>
      </c>
      <c r="AG923" s="2233">
        <f t="shared" si="878"/>
        <v>390.00000000000006</v>
      </c>
      <c r="AH923" s="2233">
        <f t="shared" si="878"/>
        <v>390.00000000000006</v>
      </c>
      <c r="AI923" s="2233">
        <f t="shared" si="878"/>
        <v>390.00000000000006</v>
      </c>
    </row>
    <row r="924" spans="2:40" s="603" customFormat="1" ht="12.75" x14ac:dyDescent="0.25">
      <c r="B924" s="1957" t="s">
        <v>1539</v>
      </c>
      <c r="C924" s="1987"/>
      <c r="D924" s="2234"/>
      <c r="H924" s="1957" t="s">
        <v>1540</v>
      </c>
      <c r="I924" s="1987"/>
      <c r="L924" s="1987"/>
      <c r="M924" s="1987"/>
      <c r="N924" s="1957" t="s">
        <v>1541</v>
      </c>
      <c r="O924" s="2216"/>
      <c r="P924" s="2217"/>
      <c r="Q924" s="2217"/>
    </row>
    <row r="925" spans="2:40" s="603" customFormat="1" ht="12.75" x14ac:dyDescent="0.25">
      <c r="B925" s="1987" t="s">
        <v>1542</v>
      </c>
      <c r="C925" s="1987">
        <v>1</v>
      </c>
      <c r="D925" s="1987" t="s">
        <v>1543</v>
      </c>
      <c r="H925" s="2224">
        <v>2</v>
      </c>
      <c r="I925" s="1957" t="str">
        <f ca="1">IF(H925=1,I927,IF(H925=2,I933,0))</f>
        <v>370:377,379:379</v>
      </c>
      <c r="J925" s="2224" t="str">
        <f ca="1">IF(H925=1,SUBSTITUTE(CELL("DIRECCION",H927),"$",0),IF(H925=2,SUBSTITUTE(CELL("DIRECCION",H933),"$",0),0))</f>
        <v>0H0933</v>
      </c>
      <c r="K925" s="1957" t="str">
        <f ca="1">IF(H925=1,I931,IF(H925=2,I937,0))</f>
        <v>350:357,359:359,360:367,369:369,370:377,379:379</v>
      </c>
      <c r="L925" s="2224" t="str">
        <f ca="1">IF(H925=1,SUBSTITUTE(CELL("DIRECCION",S310),"$",0),IF(H925=2,SUBSTITUTE(CELL("DIRECCION",S350),"$",0),0))</f>
        <v>0S0350</v>
      </c>
      <c r="M925" s="1987"/>
      <c r="N925" s="2235" t="s">
        <v>1544</v>
      </c>
      <c r="O925" s="2216"/>
      <c r="P925" s="2217"/>
      <c r="Q925" s="2217"/>
      <c r="T925" s="1957"/>
      <c r="U925" s="1987"/>
      <c r="V925" s="1987"/>
      <c r="W925" s="1987"/>
      <c r="X925" s="1957" t="s">
        <v>1545</v>
      </c>
    </row>
    <row r="926" spans="2:40" s="603" customFormat="1" ht="12.75" x14ac:dyDescent="0.25">
      <c r="B926" s="1987" t="s">
        <v>1546</v>
      </c>
      <c r="C926" s="1987">
        <v>2</v>
      </c>
      <c r="D926" s="1987" t="s">
        <v>1547</v>
      </c>
      <c r="H926" s="1987" t="s">
        <v>1548</v>
      </c>
      <c r="I926" s="1987"/>
      <c r="L926" s="1987"/>
      <c r="M926" s="1987"/>
      <c r="N926" s="1987" t="str">
        <f ca="1">CONCATENATE(MID(CELL("DIRECCION",AO583),2,2),":",MID(CELL("DIRECCION",AO583),2,2),",",MID(CELL("DIRECCION",AQ583),2,2),":",MID(CELL("DIRECCION",AR583),2,2),",",MID(CELL("DIRECCION",AT583),2,2),":",MID(CELL("DIRECCION",AU583),2,2),",",MID(CELL("DIRECCION",AW583),2,2),":",MID(CELL("DIRECCION",AX583),2,2),",",MID(CELL("DIRECCION",AZ583),2,2),":",MID(CELL("DIRECCION",BA583),2,2),",",MID(CELL("DIRECCION",BC583),2,2),":",MID(CELL("DIRECCION",BD583),2,2))</f>
        <v>AO:AO,AQ:AR,AT:AU,AW:AX,AZ:BA,BC:BD</v>
      </c>
      <c r="O926" s="2216"/>
      <c r="P926" s="2217"/>
      <c r="Q926" s="2217"/>
      <c r="T926" s="2234"/>
      <c r="U926" s="1987"/>
      <c r="V926" s="1987"/>
      <c r="W926" s="1987"/>
      <c r="X926" s="1977">
        <f>AI946</f>
        <v>16</v>
      </c>
      <c r="Y926" s="1977">
        <f>AD938</f>
        <v>2032</v>
      </c>
    </row>
    <row r="927" spans="2:40" s="603" customFormat="1" ht="12.75" x14ac:dyDescent="0.2">
      <c r="B927" s="1987" t="s">
        <v>1549</v>
      </c>
      <c r="C927" s="1987">
        <v>3</v>
      </c>
      <c r="D927" s="1987" t="s">
        <v>1550</v>
      </c>
      <c r="H927" s="2224">
        <v>1</v>
      </c>
      <c r="I927" s="1957" t="str">
        <f ca="1">IF(H927=0,0,VLOOKUP(H927,$H$928:$I$930,2,0))</f>
        <v>320:327,329:329,330:337,339:339</v>
      </c>
      <c r="L927" s="1987"/>
      <c r="M927" s="1987"/>
      <c r="N927" s="2217" t="str">
        <f ca="1">CONCATENATE(MID(CELL("DIRECCION",AP583),2,2),":",MID(CELL("DIRECCION",AP583),2,2))</f>
        <v>AP:AP</v>
      </c>
      <c r="O927" s="2221" t="str">
        <f ca="1">CONCATENATE(MID(CELL("DIRECCION",AL583),2,2),":",MID(CELL("DIRECCION",BO583),2,2))</f>
        <v>AL:BO</v>
      </c>
      <c r="P927" s="2217"/>
      <c r="Q927" s="2217"/>
      <c r="T927" s="2218"/>
      <c r="U927" s="1987"/>
      <c r="V927" s="1987"/>
      <c r="W927" s="1987"/>
      <c r="X927" s="1987"/>
    </row>
    <row r="928" spans="2:40" s="603" customFormat="1" ht="12.75" x14ac:dyDescent="0.25">
      <c r="B928" s="1987" t="s">
        <v>1551</v>
      </c>
      <c r="C928" s="1987">
        <v>4</v>
      </c>
      <c r="D928" s="1987" t="s">
        <v>1552</v>
      </c>
      <c r="H928" s="2221">
        <v>1</v>
      </c>
      <c r="I928" s="1987" t="str">
        <f ca="1">CONCATENATE(RIGHT(CELL("DIRECCION",B320),3),":",RIGHT(CELL("DIRECCION",B327),3),",",RIGHT(CELL("DIRECCION",B329),3),":",RIGHT(CELL("DIRECCION",B329),3),",",RIGHT(CELL("DIRECCION",B330),3),":",RIGHT(CELL("DIRECCION",B337),3),",",RIGHT(CELL("DIRECCION",B339),3),":",RIGHT(CELL("DIRECCION",B339),3))</f>
        <v>320:327,329:329,330:337,339:339</v>
      </c>
      <c r="M928" s="1987"/>
      <c r="N928" s="2217" t="str">
        <f ca="1">CONCATENATE(MID(CELL("DIRECCION",AS583),2,2),":",MID(CELL("DIRECCION",AS583),2,2))</f>
        <v>AS:AS</v>
      </c>
      <c r="O928" s="2221" t="str">
        <f ca="1">CONCATENATE(MID(CELL("DIRECCION",CA846),2,2),":",MID(CELL("DIRECCION",DX846),2,2))</f>
        <v>CA:DX</v>
      </c>
      <c r="P928" s="2217"/>
      <c r="Q928" s="2217"/>
      <c r="T928" s="2217"/>
    </row>
    <row r="929" spans="2:34" s="603" customFormat="1" ht="12.75" x14ac:dyDescent="0.25">
      <c r="B929" s="1987"/>
      <c r="C929" s="1987">
        <v>5</v>
      </c>
      <c r="D929" s="1987"/>
      <c r="H929" s="2221">
        <v>2</v>
      </c>
      <c r="I929" s="1987" t="str">
        <f ca="1">CONCATENATE(RIGHT(CELL("DIRECCION",B330),3),":",RIGHT(CELL("DIRECCION",B337),3),",",RIGHT(CELL("DIRECCION",B339),3),":",RIGHT(CELL("DIRECCION",B339),3))</f>
        <v>330:337,339:339</v>
      </c>
      <c r="M929" s="1987"/>
      <c r="N929" s="2217" t="str">
        <f ca="1">CONCATENATE(MID(CELL("DIRECCION",AY583),2,2),":",MID(CELL("DIRECCION",AY583),2,2))</f>
        <v>AY:AY</v>
      </c>
      <c r="O929" s="2216"/>
      <c r="P929" s="2217"/>
      <c r="Q929" s="2217"/>
      <c r="T929" s="2235" t="s">
        <v>1553</v>
      </c>
    </row>
    <row r="930" spans="2:34" s="603" customFormat="1" ht="12.75" x14ac:dyDescent="0.25">
      <c r="B930" s="2224"/>
      <c r="C930" s="1987"/>
      <c r="D930" s="2236"/>
      <c r="H930" s="2221">
        <v>3</v>
      </c>
      <c r="I930" s="1987"/>
      <c r="M930" s="1987"/>
      <c r="N930" s="2217" t="str">
        <f ca="1">CONCATENATE(MID(CELL("DIRECCION",AV583),2,2),":",MID(CELL("DIRECCION",AV583),2,2))</f>
        <v>AV:AV</v>
      </c>
      <c r="O930" s="2216"/>
      <c r="P930" s="2217"/>
      <c r="Q930" s="2217"/>
      <c r="T930" s="1977" t="str">
        <f ca="1">SUBSTITUTE(CELL("DIRECCION",P938)&amp;":"&amp;CELL("DIRECCION",AD938),"$",0)</f>
        <v>0P0938:0AD0938</v>
      </c>
    </row>
    <row r="931" spans="2:34" s="603" customFormat="1" ht="12.75" x14ac:dyDescent="0.25">
      <c r="B931" s="1957" t="s">
        <v>1554</v>
      </c>
      <c r="C931" s="2237"/>
      <c r="D931" s="2238"/>
      <c r="H931" s="2221" t="s">
        <v>1555</v>
      </c>
      <c r="I931" s="1987" t="str">
        <f ca="1">CONCATENATE(RIGHT(CELL("DIRECCION",B310),3),":",RIGHT(CELL("DIRECCION",B317),3),",",RIGHT(CELL("DIRECCION",B319),3),":",RIGHT(CELL("DIRECCION",B319),3),",",RIGHT(CELL("DIRECCION",B320),3),":",RIGHT(CELL("DIRECCION",B327),3),",",RIGHT(CELL("DIRECCION",B329),3),":",RIGHT(CELL("DIRECCION",B329),3),",",RIGHT(CELL("DIRECCION",B330),3),":",RIGHT(CELL("DIRECCION",B337),3),",",RIGHT(CELL("DIRECCION",B339),3),":",RIGHT(CELL("DIRECCION",B339),3))</f>
        <v>310:317,319:319,320:327,329:329,330:337,339:339</v>
      </c>
      <c r="M931" s="1987"/>
      <c r="N931" s="1987"/>
      <c r="O931" s="1987"/>
      <c r="P931" s="2217"/>
      <c r="Q931" s="2217"/>
      <c r="T931" s="1977">
        <f>COUNT(P938:AD938)</f>
        <v>15</v>
      </c>
      <c r="U931" s="1977" t="str">
        <f ca="1">SUBSTITUTE(CELL("DIRECCION",Q938),"$",0)</f>
        <v>0Q0938</v>
      </c>
      <c r="V931" s="1977" t="str">
        <f ca="1">SUBSTITUTE(CELL("DIRECCION",S938),"$",0)</f>
        <v>0S0938</v>
      </c>
      <c r="X931" s="1957" t="s">
        <v>1556</v>
      </c>
    </row>
    <row r="932" spans="2:34" s="603" customFormat="1" ht="12.75" x14ac:dyDescent="0.25">
      <c r="B932" s="2239" t="s">
        <v>1557</v>
      </c>
      <c r="C932" s="2240">
        <f>$C$314+IF($C$313=0,0,VLOOKUP($C$313,$B$950:$E$961,4,0)/12)+IF(OR($C$312=0,$C$312=0),0,$C$312/12)+IF($C$316=0,0,VLOOKUP($C$316,$H$950:$J$953,2,0)/12)-IF($C$316=0,0,IF(D932&gt;VLOOKUP($C$316,$H$950:$J$953,3,0),E932,0))</f>
        <v>0</v>
      </c>
      <c r="D932" s="2241">
        <f>IF($C$316=0,0,IF(F933-E933&lt;=0.01,F933,ROUNDDOWN((12-((($C$314+IF($C$313=0,0,VLOOKUP($C$313,$B$950:$E$961,4,0)/12)+IF(OR($C$312=0,$C$312=0),0,$C$312/12)+IF($C$316=0,0,VLOOKUP($C$316,$H$950:$J$953,2,0)/12))-ROUNDDOWN(($C$314+IF($C$313=0,0,VLOOKUP($C$313,$B$950:$E$961,4,0)/12)+IF(OR($C$312=0,$C$312=0),0,$C$312/12)+IF($C$316=0,0,VLOOKUP($C$316,$H$950:$J$953,2,0)/12)),0)-IF($C$316=0,0,VLOOKUP($C$316,$H$950:$J$953,2,0)/12))*12))/VLOOKUP($C$316,$H$950:$J$953,2,0),0)))</f>
        <v>0</v>
      </c>
      <c r="E932" s="2242">
        <f>IF($C$316=0,1,IF(D932&gt;VLOOKUP($C$316,$H$950:$J$953,3,0),(D932-VLOOKUP($C$316,$H$950:$J$953,3,0))/VLOOKUP($C$316,$H$950:$J$953,3,0),D932/VLOOKUP($C$316,$H$950:$J$953,3,0)))</f>
        <v>1</v>
      </c>
      <c r="F932" s="2243">
        <f>IF($C$316=0,0,ROUNDDOWN(($C$311-$C$312/12)*VLOOKUP($C$316,$H$950:$J$953,3,0),0))</f>
        <v>0</v>
      </c>
      <c r="H932" s="1987" t="s">
        <v>1558</v>
      </c>
      <c r="I932" s="1987"/>
      <c r="M932" s="1987"/>
      <c r="N932" s="2235" t="s">
        <v>1559</v>
      </c>
      <c r="O932" s="1987"/>
      <c r="P932" s="2217"/>
      <c r="Q932" s="2217"/>
      <c r="X932" s="1977">
        <f>ROW(AM622)</f>
        <v>622</v>
      </c>
    </row>
    <row r="933" spans="2:34" s="603" customFormat="1" ht="12.75" x14ac:dyDescent="0.25">
      <c r="B933" s="2244" t="s">
        <v>1560</v>
      </c>
      <c r="C933" s="2245">
        <f>IF($C$315&lt;&gt;0,(VLOOKUP($C$315,$B$924:$C$929,2,0)),0)</f>
        <v>0</v>
      </c>
      <c r="D933" s="2246">
        <f>IF($C$313=0,0,VLOOKUP($C$313,$B$950:$C$961,2,0))</f>
        <v>0</v>
      </c>
      <c r="E933" s="2241">
        <f>IF($C$316=0,0,(12-((($C$314+IF($C$313=0,0,VLOOKUP($C$313,$B$950:$E$961,4,0)/12)+IF(OR($C$312=0,$C$312=0),0,$C$312/12)+IF($C$316=0,0,VLOOKUP($C$316,$H$950:$J$953,2,0)/12))-ROUNDDOWN(($C$314+IF($C$313=0,0,VLOOKUP($C$313,$B$950:$E$961,4,0)/12)+IF(OR($C$312=0,$C$312=0),0,$C$312/12)+IF($C$316=0,0,VLOOKUP($C$316,$H$950:$J$953,2,0)/12)),0)-IF($C$316=0,0,VLOOKUP($C$316,$H$950:$J$953,2,0)/12))*12))/VLOOKUP($C$316,$H$950:$J$953,2,0))</f>
        <v>0</v>
      </c>
      <c r="F933" s="2241">
        <f>IF($C$316=0,0,ROUND((12-((($C$314+IF($C$313=0,0,VLOOKUP($C$313,$B$950:$E$961,4,0)/12)+IF(OR($C$312=0,$C$312=0),0,$C$312/12)+IF($C$316=0,0,VLOOKUP($C$316,$H$950:$J$953,2,0)/12))-ROUNDDOWN(($C$314+IF($C$313=0,0,VLOOKUP($C$313,$B$950:$E$961,4,0)/12)+IF(OR($C$312=0,$C$312=0),0,$C$312/12)+IF($C$316=0,0,VLOOKUP($C$316,$H$950:$J$953,2,0)/12)),0)-IF($C$316=0,0,VLOOKUP($C$316,$H$950:$J$953,2,0)/12))*12))/VLOOKUP($C$316,$H$950:$J$953,2,0),0))</f>
        <v>0</v>
      </c>
      <c r="H933" s="2224">
        <v>2</v>
      </c>
      <c r="I933" s="1957" t="str">
        <f ca="1">IF(H933=0,0,VLOOKUP(H933,$H$934:$I$936,2,0))</f>
        <v>370:377,379:379</v>
      </c>
      <c r="M933" s="1987"/>
      <c r="N933" s="2217" t="str">
        <f ca="1">CONCATENATE(CELL("DIRECCION",BW844),":",CELL("DIRECCION",DX901))</f>
        <v>$BW$844:$DX$901</v>
      </c>
      <c r="O933" s="1987"/>
      <c r="P933" s="2217"/>
      <c r="Q933" s="2217"/>
      <c r="X933" s="1977">
        <f>ROW(AM635)</f>
        <v>635</v>
      </c>
    </row>
    <row r="934" spans="2:34" s="603" customFormat="1" ht="12.75" x14ac:dyDescent="0.25">
      <c r="B934" s="2239" t="s">
        <v>1561</v>
      </c>
      <c r="C934" s="2240">
        <f>$C$324+IF($C$323=0,0,VLOOKUP($C$323,$B$950:$E$961,4,0)/12)+IF(OR($C$322=0,$C$322=0),0,$C$322/12)+IF($C$326=0,0,VLOOKUP($C$326,$H$950:$J$953,2,0)/12)-IF($C$326=0,0,IF(D934&gt;VLOOKUP($C$326,$H$950:$J$953,3,0),E934,0))</f>
        <v>0</v>
      </c>
      <c r="D934" s="2241">
        <f>IF($C$326=0,0,IF(F935-E935&lt;=0.01,F935,ROUNDDOWN((12-((($C$324+IF($C$323=0,0,VLOOKUP($C$323,$B$950:$E$961,4,0)/12)+IF(OR($C$322=0,$C$322=0),0,$C$322/12)+IF($C$326=0,0,VLOOKUP($C$326,$H$950:$J$953,2,0)/12))-ROUNDDOWN(($C$324+IF($C$323=0,0,VLOOKUP($C$323,$B$950:$E$961,4,0)/12)+IF(OR($C$322=0,$C$322=0),0,$C$322/12)+IF($C$326=0,0,VLOOKUP($C$326,$H$950:$J$953,2,0)/12)),0)-IF($C$326=0,0,VLOOKUP($C$326,$H$950:$J$953,2,0)/12))*12))/VLOOKUP($C$326,$H$950:$J$953,2,0),0)))</f>
        <v>0</v>
      </c>
      <c r="E934" s="2242">
        <f>IF($C$326=0,1,IF(D934&gt;VLOOKUP($C$326,$H$950:$J$953,3,0),(D934-VLOOKUP($C$326,$H$950:$J$953,3,0))/VLOOKUP($C$326,$H$950:$J$953,3,0),D934/VLOOKUP($C$326,$H$950:$J$953,3,0)))</f>
        <v>1</v>
      </c>
      <c r="F934" s="2243">
        <f>IF($C$326=0,0,ROUNDDOWN(($C$321-$C$322/12)*VLOOKUP($C$326,$H$950:$J$953,3,0),0))</f>
        <v>0</v>
      </c>
      <c r="H934" s="2221">
        <v>1</v>
      </c>
      <c r="I934" s="1987" t="str">
        <f ca="1">CONCATENATE(RIGHT(CELL("DIRECCION",B360),3),":",RIGHT(CELL("DIRECCION",B367),3),",",RIGHT(CELL("DIRECCION",B369),3),":",RIGHT(CELL("DIRECCION",B369),3),",",RIGHT(CELL("DIRECCION",B370),3),":",RIGHT(CELL("DIRECCION",B377),3),",",RIGHT(CELL("DIRECCION",B379),3),":",RIGHT(CELL("DIRECCION",B379),3))</f>
        <v>360:367,369:369,370:377,379:379</v>
      </c>
      <c r="L934" s="1987"/>
      <c r="M934" s="1987"/>
      <c r="N934" s="1987"/>
      <c r="O934" s="1987"/>
      <c r="P934" s="2217"/>
      <c r="Q934" s="2217"/>
      <c r="X934" s="1977">
        <f>ROW(AM783)</f>
        <v>783</v>
      </c>
    </row>
    <row r="935" spans="2:34" s="603" customFormat="1" ht="12.75" x14ac:dyDescent="0.25">
      <c r="B935" s="2244" t="s">
        <v>1562</v>
      </c>
      <c r="C935" s="2245">
        <f>IF($C$325&lt;&gt;0,(VLOOKUP($C$325,$B$924:$C$929,2,0)),0)</f>
        <v>0</v>
      </c>
      <c r="D935" s="2246">
        <f>IF($C$323=0,0,VLOOKUP($C$323,$B$950:$C$961,2,0))</f>
        <v>0</v>
      </c>
      <c r="E935" s="2241">
        <f>IF($C$326=0,0,(12-((($C$324+IF($C$323=0,0,VLOOKUP($C$323,$B$950:$E$961,4,0)/12)+IF(OR($C$322=0,$C$322=0),0,$C$322/12)+IF($C$326=0,0,VLOOKUP($C$326,$H$950:$J$953,2,0)/12))-ROUNDDOWN(($C$324+IF($C$323=0,0,VLOOKUP($C$323,$B$950:$E$961,4,0)/12)+IF(OR($C$322=0,$C$322=0),0,$C$322/12)+IF($C$326=0,0,VLOOKUP($C$326,$H$950:$J$953,2,0)/12)),0)-IF($C$326=0,0,VLOOKUP($C$326,$H$950:$J$953,2,0)/12))*12))/VLOOKUP($C$326,$H$950:$J$953,2,0))</f>
        <v>0</v>
      </c>
      <c r="F935" s="2241">
        <f>IF($C$326=0,0,ROUND((12-((($C$324+IF($C$323=0,0,VLOOKUP($C$323,$B$950:$E$961,4,0)/12)+IF(OR($C$322=0,$C$322=0),0,$C$322/12)+IF($C$326=0,0,VLOOKUP($C$326,$H$950:$J$953,2,0)/12))-ROUNDDOWN(($C$324+IF($C$323=0,0,VLOOKUP($C$323,$B$950:$E$961,4,0)/12)+IF(OR($C$322=0,$C$322=0),0,$C$322/12)+IF($C$326=0,0,VLOOKUP($C$326,$H$950:$J$953,2,0)/12)),0)-IF($C$326=0,0,VLOOKUP($C$326,$H$950:$J$953,2,0)/12))*12))/VLOOKUP($C$326,$H$950:$J$953,2,0),0))</f>
        <v>0</v>
      </c>
      <c r="H935" s="2221">
        <v>2</v>
      </c>
      <c r="I935" s="1987" t="str">
        <f ca="1">CONCATENATE(RIGHT(CELL("DIRECCION",B370),3),":",RIGHT(CELL("DIRECCION",B377),3),",",RIGHT(CELL("DIRECCION",B379),3),":",RIGHT(CELL("DIRECCION",B379),3))</f>
        <v>370:377,379:379</v>
      </c>
      <c r="L935" s="1987"/>
      <c r="M935" s="1987"/>
      <c r="N935" s="1987"/>
      <c r="O935" s="1987"/>
      <c r="P935" s="2217"/>
      <c r="Q935" s="2217"/>
      <c r="X935" s="1977">
        <f>ROW(AM789)</f>
        <v>789</v>
      </c>
    </row>
    <row r="936" spans="2:34" s="603" customFormat="1" ht="12.75" x14ac:dyDescent="0.2">
      <c r="B936" s="2239" t="s">
        <v>1563</v>
      </c>
      <c r="C936" s="2240">
        <f>$C$334+IF($C$333=0,0,VLOOKUP($C$333,$B$950:$E$961,4,0)/12)+IF(OR($C$332=0,$C$332=0),0,$C$332/12)+IF($C$336=0,0,VLOOKUP($C$336,$H$950:$J$953,2,0)/12)-IF($C$336=0,0,IF(D936&gt;VLOOKUP($C$336,$H$950:$J$953,3,0),E936,0))</f>
        <v>0</v>
      </c>
      <c r="D936" s="2241">
        <f>IF($C$336=0,0,IF(F937-E937&lt;=0.01,F937,ROUNDDOWN((12-((($C$334+IF($C$333=0,0,VLOOKUP($C$333,$B$950:$E$961,4,0)/12)+IF(OR($C$332=0,$C$332=0),0,$C$332/12)+IF($C$336=0,0,VLOOKUP($C$336,$H$950:$J$953,2,0)/12))-ROUNDDOWN(($C$334+IF($C$333=0,0,VLOOKUP($C$333,$B$950:$E$961,4,0)/12)+IF(OR($C$332=0,$C$332=0),0,$C$332/12)+IF($C$336=0,0,VLOOKUP($C$336,$H$950:$J$953,2,0)/12)),0)-IF($C$336=0,0,VLOOKUP($C$336,$H$950:$J$953,2,0)/12))*12))/VLOOKUP($C$336,$H$950:$J$953,2,0),0)))</f>
        <v>0</v>
      </c>
      <c r="E936" s="2242">
        <f>IF($C$336=0,1,IF(D936&gt;VLOOKUP($C$336,$H$950:$J$953,3,0),(D936-VLOOKUP($C$336,$H$950:$J$953,3,0))/VLOOKUP($C$336,$H$950:$J$953,3,0),D936/VLOOKUP($C$336,$H$950:$J$953,3,0)))</f>
        <v>1</v>
      </c>
      <c r="F936" s="2243">
        <f>IF($C$336=0,0,ROUNDDOWN(($C$331-$C$332/12)*VLOOKUP($C$336,$H$950:$J$953,3,0),0))</f>
        <v>0</v>
      </c>
      <c r="H936" s="2221">
        <v>3</v>
      </c>
      <c r="I936" s="1987"/>
      <c r="L936" s="1987"/>
      <c r="M936" s="1987"/>
      <c r="N936" s="1987"/>
      <c r="O936" s="1987"/>
      <c r="P936" s="2220" t="s">
        <v>1564</v>
      </c>
      <c r="Q936" s="2218"/>
      <c r="R936" s="2218"/>
      <c r="W936" s="1987"/>
      <c r="X936" s="1987"/>
    </row>
    <row r="937" spans="2:34" s="603" customFormat="1" ht="12.75" x14ac:dyDescent="0.2">
      <c r="B937" s="2244" t="s">
        <v>1565</v>
      </c>
      <c r="C937" s="2245">
        <f>IF($C$335&lt;&gt;0,(VLOOKUP($C$335,$B$924:$C$929,2,0)),0)</f>
        <v>0</v>
      </c>
      <c r="D937" s="2246">
        <f>IF($C$333=0,0,VLOOKUP($C$333,$B$950:$C$961,2,0))</f>
        <v>0</v>
      </c>
      <c r="E937" s="2241">
        <f>IF($C$336=0,0,(12-((($C$334+IF($C$333=0,0,VLOOKUP($C$333,$B$950:$E$961,4,0)/12)+IF(OR($C$332=0,$C$332=0),0,$C$332/12)+IF($C$336=0,0,VLOOKUP($C$336,$H$950:$J$953,2,0)/12))-ROUNDDOWN(($C$334+IF($C$333=0,0,VLOOKUP($C$333,$B$950:$E$961,4,0)/12)+IF(OR($C$332=0,$C$332=0),0,$C$332/12)+IF($C$336=0,0,VLOOKUP($C$336,$H$950:$J$953,2,0)/12)),0)-IF($C$336=0,0,VLOOKUP($C$336,$H$950:$J$953,2,0)/12))*12))/VLOOKUP($C$336,$H$950:$J$953,2,0))</f>
        <v>0</v>
      </c>
      <c r="F937" s="2241">
        <f>IF($C$336=0,0,ROUND((12-((($C$334+IF($C$333=0,0,VLOOKUP($C$333,$B$950:$E$961,4,0)/12)+IF(OR($C$332=0,$C$332=0),0,$C$332/12)+IF($C$336=0,0,VLOOKUP($C$336,$H$950:$J$953,2,0)/12))-ROUNDDOWN(($C$334+IF($C$333=0,0,VLOOKUP($C$333,$B$950:$E$961,4,0)/12)+IF(OR($C$332=0,$C$332=0),0,$C$332/12)+IF($C$336=0,0,VLOOKUP($C$336,$H$950:$J$953,2,0)/12)),0)-IF($C$336=0,0,VLOOKUP($C$336,$H$950:$J$953,2,0)/12))*12))/VLOOKUP($C$336,$H$950:$J$953,2,0),0))</f>
        <v>0</v>
      </c>
      <c r="H937" s="2221" t="s">
        <v>1555</v>
      </c>
      <c r="I937" s="1987" t="str">
        <f ca="1">CONCATENATE(RIGHT(CELL("DIRECCION",B350),3),":",RIGHT(CELL("DIRECCION",B357),3),",",RIGHT(CELL("DIRECCION",B359),3),":",RIGHT(CELL("DIRECCION",B359),3),",",RIGHT(CELL("DIRECCION",B360),3),":",RIGHT(CELL("DIRECCION",B367),3),",",RIGHT(CELL("DIRECCION",B369),3),":",RIGHT(CELL("DIRECCION",B369),3),",",RIGHT(CELL("DIRECCION",B370),3),":",RIGHT(CELL("DIRECCION",B377),3),",",RIGHT(CELL("DIRECCION",B379),3),":",RIGHT(CELL("DIRECCION",B379),3))</f>
        <v>350:357,359:359,360:367,369:369,370:377,379:379</v>
      </c>
      <c r="L937" s="1987"/>
      <c r="M937" s="2218"/>
      <c r="N937" s="1987"/>
      <c r="O937" s="1987"/>
      <c r="P937" s="2247">
        <v>2019</v>
      </c>
      <c r="Q937" s="1957" t="str">
        <f ca="1">HLOOKUP(P937,$P$938:$AD$942,2,0)</f>
        <v>AP:AP</v>
      </c>
      <c r="R937" s="1957" t="str">
        <f>HLOOKUP(P937,$P$938:$AD$942,5,0)</f>
        <v>OCULTA</v>
      </c>
      <c r="W937" s="1987"/>
      <c r="X937" s="1987"/>
    </row>
    <row r="938" spans="2:34" s="603" customFormat="1" ht="12.75" x14ac:dyDescent="0.25">
      <c r="B938" s="1987"/>
      <c r="C938" s="1987"/>
      <c r="D938" s="1987"/>
      <c r="E938" s="1987"/>
      <c r="F938" s="1987"/>
      <c r="I938" s="2216"/>
      <c r="J938" s="2216"/>
      <c r="K938" s="1987"/>
      <c r="L938" s="1987"/>
      <c r="M938" s="1987"/>
      <c r="N938" s="1987"/>
      <c r="O938" s="1987"/>
      <c r="P938" s="2225">
        <f>C15</f>
        <v>2018</v>
      </c>
      <c r="Q938" s="2225">
        <f>E15</f>
        <v>2019</v>
      </c>
      <c r="R938" s="1977">
        <f>H15</f>
        <v>2020</v>
      </c>
      <c r="S938" s="1977">
        <f>N15</f>
        <v>2021</v>
      </c>
      <c r="T938" s="2248">
        <f t="shared" ref="T938:AH938" si="879">T15</f>
        <v>2022</v>
      </c>
      <c r="U938" s="2248">
        <f t="shared" si="879"/>
        <v>2023</v>
      </c>
      <c r="V938" s="2248">
        <f t="shared" si="879"/>
        <v>2024</v>
      </c>
      <c r="W938" s="2248">
        <f t="shared" si="879"/>
        <v>2025</v>
      </c>
      <c r="X938" s="2248">
        <f t="shared" si="879"/>
        <v>2026</v>
      </c>
      <c r="Y938" s="2248">
        <f t="shared" si="879"/>
        <v>2027</v>
      </c>
      <c r="Z938" s="2248">
        <f t="shared" si="879"/>
        <v>2028</v>
      </c>
      <c r="AA938" s="2248">
        <f t="shared" si="879"/>
        <v>2029</v>
      </c>
      <c r="AB938" s="2248">
        <f t="shared" si="879"/>
        <v>2030</v>
      </c>
      <c r="AC938" s="2248">
        <f t="shared" si="879"/>
        <v>2031</v>
      </c>
      <c r="AD938" s="2248">
        <f t="shared" si="879"/>
        <v>2032</v>
      </c>
      <c r="AE938" s="2248">
        <f t="shared" si="879"/>
        <v>2033</v>
      </c>
      <c r="AF938" s="2248">
        <f t="shared" si="879"/>
        <v>2034</v>
      </c>
      <c r="AG938" s="2248">
        <f t="shared" si="879"/>
        <v>2035</v>
      </c>
      <c r="AH938" s="2248">
        <f t="shared" si="879"/>
        <v>2036</v>
      </c>
    </row>
    <row r="939" spans="2:34" s="603" customFormat="1" ht="12.75" x14ac:dyDescent="0.25">
      <c r="B939" s="1987"/>
      <c r="C939" s="1987"/>
      <c r="D939" s="1987"/>
      <c r="E939" s="1987"/>
      <c r="F939" s="1987"/>
      <c r="H939" s="1957" t="s">
        <v>1566</v>
      </c>
      <c r="I939" s="2221"/>
      <c r="J939" s="2221"/>
      <c r="K939" s="1987"/>
      <c r="L939" s="1987"/>
      <c r="M939" s="1987"/>
      <c r="N939" s="1987"/>
      <c r="O939" s="1987"/>
      <c r="P939" s="2249" t="str">
        <f ca="1">CONCATENATE(MID(CELL("DIRECCION",AN583),2,2),":",MID(CELL("DIRECCION",AN583),2,2))</f>
        <v>AN:AN</v>
      </c>
      <c r="Q939" s="2249" t="str">
        <f ca="1">CONCATENATE(MID(CELL("DIRECCION",AP583),2,2),":",MID(CELL("DIRECCION",AP583),2,2))</f>
        <v>AP:AP</v>
      </c>
      <c r="R939" s="1977" t="str">
        <f ca="1">CONCATENATE(MID(CELL("DIRECCION",AS583),2,2),":",MID(CELL("DIRECCION",AS583),2,2))</f>
        <v>AS:AS</v>
      </c>
      <c r="S939" s="1977" t="str">
        <f ca="1">CONCATENATE(MID(CELL("DIRECCION",AY583),2,2),":",MID(CELL("DIRECCION",AY583),2,2))</f>
        <v>AY:AY</v>
      </c>
      <c r="T939" s="1977" t="str">
        <f t="shared" ref="T939:AH939" ca="1" si="880">CONCATENATE(MID(CELL("DIRECCION",BE583),2,2),":",MID(CELL("DIRECCION",BE583),2,2))</f>
        <v>BE:BE</v>
      </c>
      <c r="U939" s="1977" t="str">
        <f t="shared" ca="1" si="880"/>
        <v>BF:BF</v>
      </c>
      <c r="V939" s="1977" t="str">
        <f t="shared" ca="1" si="880"/>
        <v>BG:BG</v>
      </c>
      <c r="W939" s="1977" t="str">
        <f t="shared" ca="1" si="880"/>
        <v>BH:BH</v>
      </c>
      <c r="X939" s="1977" t="str">
        <f t="shared" ca="1" si="880"/>
        <v>BI:BI</v>
      </c>
      <c r="Y939" s="1977" t="str">
        <f t="shared" ca="1" si="880"/>
        <v>BJ:BJ</v>
      </c>
      <c r="Z939" s="1977" t="str">
        <f t="shared" ca="1" si="880"/>
        <v>BK:BK</v>
      </c>
      <c r="AA939" s="1977" t="str">
        <f t="shared" ca="1" si="880"/>
        <v>BL:BL</v>
      </c>
      <c r="AB939" s="1977" t="str">
        <f t="shared" ca="1" si="880"/>
        <v>BM:BM</v>
      </c>
      <c r="AC939" s="1977" t="str">
        <f t="shared" ca="1" si="880"/>
        <v>BN:BN</v>
      </c>
      <c r="AD939" s="1977" t="str">
        <f t="shared" ca="1" si="880"/>
        <v>BO:BO</v>
      </c>
      <c r="AE939" s="1977" t="str">
        <f t="shared" ca="1" si="880"/>
        <v>BP:BP</v>
      </c>
      <c r="AF939" s="1977" t="str">
        <f t="shared" ca="1" si="880"/>
        <v>BQ:BQ</v>
      </c>
      <c r="AG939" s="1977" t="str">
        <f t="shared" ca="1" si="880"/>
        <v>BR:BR</v>
      </c>
      <c r="AH939" s="1977" t="str">
        <f t="shared" ca="1" si="880"/>
        <v>BS:BS</v>
      </c>
    </row>
    <row r="940" spans="2:34" s="603" customFormat="1" ht="12.75" x14ac:dyDescent="0.25">
      <c r="B940" s="1987"/>
      <c r="C940" s="1987"/>
      <c r="D940" s="1987"/>
      <c r="E940" s="1987"/>
      <c r="F940" s="1987"/>
      <c r="H940" s="1987" t="str">
        <f ca="1">CELL("DIRECCION",AY608)</f>
        <v>$AY$608</v>
      </c>
      <c r="I940" s="2221" t="str">
        <f ca="1">LEFT(CELL("DIRECCION",AS583),3)</f>
        <v>$AS</v>
      </c>
      <c r="J940" s="2221"/>
      <c r="K940" s="2232"/>
      <c r="L940" s="1987"/>
      <c r="M940" s="1987"/>
      <c r="N940" s="1987"/>
      <c r="O940" s="1987"/>
      <c r="P940" s="2249" t="str">
        <f t="shared" ref="P940:AH940" si="881">IF($T$917&gt;P938,$C$914,$C$913)</f>
        <v>VISIBLE</v>
      </c>
      <c r="Q940" s="2249" t="str">
        <f t="shared" si="881"/>
        <v>VISIBLE</v>
      </c>
      <c r="R940" s="1977" t="str">
        <f t="shared" si="881"/>
        <v>VISIBLE</v>
      </c>
      <c r="S940" s="1977" t="str">
        <f t="shared" si="881"/>
        <v>VISIBLE</v>
      </c>
      <c r="T940" s="1977" t="str">
        <f t="shared" si="881"/>
        <v>VISIBLE</v>
      </c>
      <c r="U940" s="1977" t="str">
        <f t="shared" si="881"/>
        <v>VISIBLE</v>
      </c>
      <c r="V940" s="1977" t="str">
        <f t="shared" si="881"/>
        <v>VISIBLE</v>
      </c>
      <c r="W940" s="1977" t="str">
        <f t="shared" si="881"/>
        <v>VISIBLE</v>
      </c>
      <c r="X940" s="1977" t="str">
        <f t="shared" si="881"/>
        <v>VISIBLE</v>
      </c>
      <c r="Y940" s="1977" t="str">
        <f t="shared" si="881"/>
        <v>VISIBLE</v>
      </c>
      <c r="Z940" s="1977" t="str">
        <f t="shared" si="881"/>
        <v>VISIBLE</v>
      </c>
      <c r="AA940" s="1977" t="str">
        <f t="shared" si="881"/>
        <v>VISIBLE</v>
      </c>
      <c r="AB940" s="1977" t="str">
        <f t="shared" si="881"/>
        <v>VISIBLE</v>
      </c>
      <c r="AC940" s="1977" t="str">
        <f t="shared" si="881"/>
        <v>VISIBLE</v>
      </c>
      <c r="AD940" s="1977" t="str">
        <f t="shared" si="881"/>
        <v>VISIBLE</v>
      </c>
      <c r="AE940" s="1977" t="str">
        <f t="shared" si="881"/>
        <v>VISIBLE</v>
      </c>
      <c r="AF940" s="1977" t="str">
        <f t="shared" si="881"/>
        <v>VISIBLE</v>
      </c>
      <c r="AG940" s="1977" t="str">
        <f t="shared" si="881"/>
        <v>VISIBLE</v>
      </c>
      <c r="AH940" s="1977" t="str">
        <f t="shared" si="881"/>
        <v>VISIBLE</v>
      </c>
    </row>
    <row r="941" spans="2:34" s="603" customFormat="1" ht="12.75" x14ac:dyDescent="0.2">
      <c r="B941" s="1957" t="s">
        <v>1567</v>
      </c>
      <c r="C941" s="1987"/>
      <c r="D941" s="1987"/>
      <c r="E941" s="1987"/>
      <c r="F941" s="1987"/>
      <c r="H941" s="1987" t="str">
        <f ca="1">CELL("DIRECCION",AY611)</f>
        <v>$AY$611</v>
      </c>
      <c r="I941" s="2221" t="str">
        <f ca="1">LEFT(CELL("DIRECCION",AY583),3)</f>
        <v>$AY</v>
      </c>
      <c r="J941" s="2221"/>
      <c r="K941" s="2218"/>
      <c r="L941" s="2218"/>
      <c r="M941" s="2218"/>
      <c r="N941" s="2218"/>
      <c r="O941" s="2232"/>
      <c r="P941" s="2249" t="str">
        <f t="shared" ref="P941:AH941" si="882">IF($T$920&lt;P938,$C$914,$C$913)</f>
        <v>OCULTA</v>
      </c>
      <c r="Q941" s="2249" t="str">
        <f t="shared" si="882"/>
        <v>OCULTA</v>
      </c>
      <c r="R941" s="1977" t="str">
        <f t="shared" si="882"/>
        <v>OCULTA</v>
      </c>
      <c r="S941" s="1977" t="str">
        <f t="shared" si="882"/>
        <v>OCULTA</v>
      </c>
      <c r="T941" s="1977" t="str">
        <f t="shared" si="882"/>
        <v>OCULTA</v>
      </c>
      <c r="U941" s="1977" t="str">
        <f t="shared" si="882"/>
        <v>OCULTA</v>
      </c>
      <c r="V941" s="1977" t="str">
        <f t="shared" si="882"/>
        <v>OCULTA</v>
      </c>
      <c r="W941" s="1977" t="str">
        <f t="shared" si="882"/>
        <v>OCULTA</v>
      </c>
      <c r="X941" s="1977" t="str">
        <f t="shared" si="882"/>
        <v>OCULTA</v>
      </c>
      <c r="Y941" s="1977" t="str">
        <f t="shared" si="882"/>
        <v>OCULTA</v>
      </c>
      <c r="Z941" s="1977" t="str">
        <f t="shared" si="882"/>
        <v>OCULTA</v>
      </c>
      <c r="AA941" s="1977" t="str">
        <f t="shared" si="882"/>
        <v>OCULTA</v>
      </c>
      <c r="AB941" s="1977" t="str">
        <f t="shared" si="882"/>
        <v>OCULTA</v>
      </c>
      <c r="AC941" s="1977" t="str">
        <f t="shared" si="882"/>
        <v>OCULTA</v>
      </c>
      <c r="AD941" s="1977" t="str">
        <f t="shared" si="882"/>
        <v>OCULTA</v>
      </c>
      <c r="AE941" s="1977" t="str">
        <f t="shared" si="882"/>
        <v>OCULTA</v>
      </c>
      <c r="AF941" s="1977" t="str">
        <f t="shared" si="882"/>
        <v>OCULTA</v>
      </c>
      <c r="AG941" s="1977" t="str">
        <f t="shared" si="882"/>
        <v>OCULTA</v>
      </c>
      <c r="AH941" s="1977" t="str">
        <f t="shared" si="882"/>
        <v>OCULTA</v>
      </c>
    </row>
    <row r="942" spans="2:34" s="603" customFormat="1" ht="12.75" x14ac:dyDescent="0.25">
      <c r="B942" s="2239" t="s">
        <v>1557</v>
      </c>
      <c r="C942" s="2240">
        <f>$C$354+IF($C$353=0,0,VLOOKUP($C$353,$B$950:$E$961,4,0)/12)+IF(OR($C$352=0,$C$352=0),0,$C$352/12)+IF($C$356=0,0,VLOOKUP($C$356,$H$950:$J$953,2,0)/12)-IF($C$356=0,0,IF(D942&gt;VLOOKUP($C$356,$H$950:$J$953,3,0),E942,0))</f>
        <v>0</v>
      </c>
      <c r="D942" s="2241">
        <f>IF($C$356=0,0,IF(F943-E943&lt;=0.01,F943,ROUNDDOWN((12-((($C$354+IF($C$353=0,0,VLOOKUP($C$353,$B$950:$E$961,4,0)/12)+IF(OR($C$352=0,$C$352=0),0,$C$352/12)+IF($C$356=0,0,VLOOKUP($C$356,$H$950:$J$953,2,0)/12))-ROUNDDOWN(($C$354+IF($C$353=0,0,VLOOKUP($C$353,$B$950:$E$961,4,0)/12)+IF(OR($C$352=0,$C$352=0),0,$C$352/12)+IF($C$356=0,0,VLOOKUP($C$356,$H$950:$J$953,2,0)/12)),0)-IF($C$356=0,0,VLOOKUP($C$356,$H$950:$J$953,2,0)/12))*12))/VLOOKUP($C$356,$H$950:$J$953,2,0),0)))</f>
        <v>0</v>
      </c>
      <c r="E942" s="2242">
        <f>IF($C$356=0,1,IF(D942&gt;VLOOKUP($C$356,$H$950:$J$953,3,0),(D942-VLOOKUP($C$356,$H$950:$J$953,3,0))/VLOOKUP($C$356,$H$950:$J$953,3,0),D942/VLOOKUP($C$356,$H$950:$J$953,3,0)))</f>
        <v>1</v>
      </c>
      <c r="F942" s="2243">
        <f>IF($C$356=0,0,ROUNDDOWN(($C$351-$C$352/12)*VLOOKUP($C$356,$H$950:$J$953,3,0),0))</f>
        <v>0</v>
      </c>
      <c r="H942" s="1987" t="str">
        <f ca="1">CELL("DIRECCION",AY702)</f>
        <v>$AY$702</v>
      </c>
      <c r="I942" s="2221" t="str">
        <f ca="1">LEFT(CELL("DIRECCION",BB583),3)</f>
        <v>$BB</v>
      </c>
      <c r="J942" s="2221"/>
      <c r="K942" s="1987"/>
      <c r="L942" s="1987"/>
      <c r="M942" s="1987"/>
      <c r="P942" s="2249" t="str">
        <f t="shared" ref="P942:AH942" si="883">IF(OR(P940=$C$914,P941=$C$914),$C$914,$C$913)</f>
        <v>OCULTA</v>
      </c>
      <c r="Q942" s="2249" t="str">
        <f t="shared" si="883"/>
        <v>OCULTA</v>
      </c>
      <c r="R942" s="1977" t="str">
        <f t="shared" si="883"/>
        <v>OCULTA</v>
      </c>
      <c r="S942" s="1977" t="str">
        <f t="shared" si="883"/>
        <v>OCULTA</v>
      </c>
      <c r="T942" s="1977" t="str">
        <f t="shared" si="883"/>
        <v>OCULTA</v>
      </c>
      <c r="U942" s="1977" t="str">
        <f t="shared" si="883"/>
        <v>OCULTA</v>
      </c>
      <c r="V942" s="1977" t="str">
        <f t="shared" si="883"/>
        <v>OCULTA</v>
      </c>
      <c r="W942" s="1977" t="str">
        <f t="shared" si="883"/>
        <v>OCULTA</v>
      </c>
      <c r="X942" s="1977" t="str">
        <f t="shared" si="883"/>
        <v>OCULTA</v>
      </c>
      <c r="Y942" s="1977" t="str">
        <f t="shared" si="883"/>
        <v>OCULTA</v>
      </c>
      <c r="Z942" s="1977" t="str">
        <f t="shared" si="883"/>
        <v>OCULTA</v>
      </c>
      <c r="AA942" s="1977" t="str">
        <f t="shared" si="883"/>
        <v>OCULTA</v>
      </c>
      <c r="AB942" s="1977" t="str">
        <f t="shared" si="883"/>
        <v>OCULTA</v>
      </c>
      <c r="AC942" s="1977" t="str">
        <f t="shared" si="883"/>
        <v>OCULTA</v>
      </c>
      <c r="AD942" s="1977" t="str">
        <f t="shared" si="883"/>
        <v>OCULTA</v>
      </c>
      <c r="AE942" s="1977" t="str">
        <f t="shared" si="883"/>
        <v>OCULTA</v>
      </c>
      <c r="AF942" s="1977" t="str">
        <f t="shared" si="883"/>
        <v>OCULTA</v>
      </c>
      <c r="AG942" s="1977" t="str">
        <f t="shared" si="883"/>
        <v>OCULTA</v>
      </c>
      <c r="AH942" s="1977" t="str">
        <f t="shared" si="883"/>
        <v>OCULTA</v>
      </c>
    </row>
    <row r="943" spans="2:34" s="603" customFormat="1" ht="12.75" x14ac:dyDescent="0.25">
      <c r="B943" s="2244" t="s">
        <v>1560</v>
      </c>
      <c r="C943" s="2245">
        <f>IF($C$355&lt;&gt;0,(VLOOKUP($C$355,$B$924:$C$929,2,0)),0)</f>
        <v>0</v>
      </c>
      <c r="D943" s="2246">
        <f>IF($C$353=0,0,VLOOKUP($C$353,$B$950:$C$961,2,0))</f>
        <v>0</v>
      </c>
      <c r="E943" s="2241">
        <f>IF($C$356=0,0,(12-((($C$354+IF($C$353=0,0,VLOOKUP($C$353,$B$950:$E$961,4,0)/12)+IF(OR($C$352=0,$C$352=0),0,$C$352/12)+IF($C$356=0,0,VLOOKUP($C$356,$H$950:$J$953,2,0)/12))-ROUNDDOWN(($C$354+IF($C$353=0,0,VLOOKUP($C$353,$B$950:$E$961,4,0)/12)+IF(OR($C$352=0,$C$352=0),0,$C$352/12)+IF($C$356=0,0,VLOOKUP($C$356,$H$950:$J$953,2,0)/12)),0)-IF($C$356=0,0,VLOOKUP($C$356,$H$950:$J$953,2,0)/12))*12))/VLOOKUP($C$356,$H$950:$J$953,2,0))</f>
        <v>0</v>
      </c>
      <c r="F943" s="2241">
        <f>IF($C$356=0,0,ROUND((12-((($C$354+IF($C$353=0,0,VLOOKUP($C$353,$B$950:$E$961,4,0)/12)+IF(OR($C$352=0,$C$352=0),0,$C$352/12)+IF($C$356=0,0,VLOOKUP($C$356,$H$950:$J$953,2,0)/12))-ROUNDDOWN(($C$354+IF($C$353=0,0,VLOOKUP($C$353,$B$950:$E$961,4,0)/12)+IF(OR($C$352=0,$C$352=0),0,$C$352/12)+IF($C$356=0,0,VLOOKUP($C$356,$H$950:$J$953,2,0)/12)),0)-IF($C$356=0,0,VLOOKUP($C$356,$H$950:$J$953,2,0)/12))*12))/VLOOKUP($C$356,$H$950:$J$953,2,0),0))</f>
        <v>0</v>
      </c>
      <c r="H943" s="1987" t="str">
        <f ca="1">CELL("DIRECCION",AY617)</f>
        <v>$AY$617</v>
      </c>
      <c r="I943" s="2221"/>
      <c r="J943" s="2221"/>
      <c r="K943" s="2221"/>
      <c r="L943" s="1987"/>
      <c r="M943" s="2217"/>
      <c r="N943" s="2216"/>
      <c r="P943" s="2217"/>
      <c r="Q943" s="2217"/>
    </row>
    <row r="944" spans="2:34" s="603" customFormat="1" ht="12.75" x14ac:dyDescent="0.25">
      <c r="B944" s="2239" t="s">
        <v>1561</v>
      </c>
      <c r="C944" s="2240">
        <f>$C$364+IF($C$363=0,0,VLOOKUP($C$363,$B$950:$E$961,4,0)/12)+IF(OR($C$362=0,$C$362=0),0,$C$362/12)+IF($C$366=0,0,VLOOKUP($C$366,$H$950:$J$953,2,0)/12)-IF($C$366=0,0,IF(D944&gt;VLOOKUP($C$366,$H$950:$J$953,3,0),E944,0))</f>
        <v>0</v>
      </c>
      <c r="D944" s="2241">
        <f>IF($C$366=0,0,IF(F945-E945&lt;=0.01,F945,ROUNDDOWN((12-((($C$364+IF($C$363=0,0,VLOOKUP($C$363,$B$950:$E$961,4,0)/12)+IF(OR($C$362=0,$C$362=0),0,$C$362/12)+IF($C$366=0,0,VLOOKUP($C$366,$H$950:$J$953,2,0)/12))-ROUNDDOWN(($C$364+IF($C$363=0,0,VLOOKUP($C$363,$B$950:$E$961,4,0)/12)+IF(OR($C$362=0,$C$362=0),0,$C$362/12)+IF($C$366=0,0,VLOOKUP($C$366,$H$950:$J$953,2,0)/12)),0)-IF($C$366=0,0,VLOOKUP($C$366,$H$950:$J$953,2,0)/12))*12))/VLOOKUP($C$366,$H$950:$J$953,2,0),0)))</f>
        <v>0</v>
      </c>
      <c r="E944" s="2242">
        <f>IF($C$366=0,1,IF(D944&gt;VLOOKUP($C$366,$H$950:$J$953,3,0),(D944-VLOOKUP($C$366,$H$950:$J$953,3,0))/VLOOKUP($C$366,$H$950:$J$953,3,0),D944/VLOOKUP($C$366,$H$950:$J$953,3,0)))</f>
        <v>1</v>
      </c>
      <c r="F944" s="2243">
        <f>IF($C$366=0,0,ROUNDDOWN(($C$361-$C$362/12)*VLOOKUP($C$366,$H$950:$J$953,3,0),0))</f>
        <v>0</v>
      </c>
      <c r="H944" s="1987" t="str">
        <f ca="1">CELL("DIRECCION",AY766)</f>
        <v>$AY$766</v>
      </c>
      <c r="I944" s="2221"/>
      <c r="J944" s="2221"/>
      <c r="K944" s="2232"/>
      <c r="L944" s="1957" t="s">
        <v>1568</v>
      </c>
      <c r="M944" s="1987"/>
      <c r="N944" s="1987"/>
      <c r="O944" s="1987"/>
      <c r="P944" s="2247">
        <v>2008</v>
      </c>
      <c r="Q944" s="1957" t="e">
        <f>HLOOKUP(P944,$P$945:$S$949,2,0)</f>
        <v>#N/A</v>
      </c>
      <c r="R944" s="1957" t="e">
        <f>HLOOKUP(P944,$P$945:$S$949,5,0)</f>
        <v>#N/A</v>
      </c>
      <c r="T944" s="2250" t="s">
        <v>1569</v>
      </c>
      <c r="U944" s="2231"/>
      <c r="V944" s="2231"/>
      <c r="X944" s="1987"/>
      <c r="Y944" s="1987"/>
      <c r="Z944" s="1987"/>
    </row>
    <row r="945" spans="2:36" s="603" customFormat="1" ht="12.75" x14ac:dyDescent="0.25">
      <c r="B945" s="2244" t="s">
        <v>1562</v>
      </c>
      <c r="C945" s="2245">
        <f>IF($C$365&lt;&gt;0,(VLOOKUP($C$365,$B$924:$C$929,2,0)),0)</f>
        <v>0</v>
      </c>
      <c r="D945" s="2246">
        <f>IF($C$363=0,0,VLOOKUP($C$363,$B$950:$C$961,2,0))</f>
        <v>0</v>
      </c>
      <c r="E945" s="2241">
        <f>IF($C$366=0,0,(12-((($C$364+IF($C$363=0,0,VLOOKUP($C$363,$B$950:$E$961,4,0)/12)+IF(OR($C$362=0,$C$362=0),0,$C$362/12)+IF($C$366=0,0,VLOOKUP($C$366,$H$950:$J$953,2,0)/12))-ROUNDDOWN(($C$364+IF($C$363=0,0,VLOOKUP($C$363,$B$950:$E$961,4,0)/12)+IF(OR($C$362=0,$C$362=0),0,$C$362/12)+IF($C$366=0,0,VLOOKUP($C$366,$H$950:$J$953,2,0)/12)),0)-IF($C$366=0,0,VLOOKUP($C$366,$H$950:$J$953,2,0)/12))*12))/VLOOKUP($C$366,$H$950:$J$953,2,0))</f>
        <v>0</v>
      </c>
      <c r="F945" s="2241">
        <f>IF($C$366=0,0,ROUND((12-((($C$364+IF($C$363=0,0,VLOOKUP($C$363,$B$950:$E$961,4,0)/12)+IF(OR($C$362=0,$C$362=0),0,$C$362/12)+IF($C$366=0,0,VLOOKUP($C$366,$H$950:$J$953,2,0)/12))-ROUNDDOWN(($C$364+IF($C$363=0,0,VLOOKUP($C$363,$B$950:$E$961,4,0)/12)+IF(OR($C$362=0,$C$362=0),0,$C$362/12)+IF($C$366=0,0,VLOOKUP($C$366,$H$950:$J$953,2,0)/12)),0)-IF($C$366=0,0,VLOOKUP($C$366,$H$950:$J$953,2,0)/12))*12))/VLOOKUP($C$366,$H$950:$J$953,2,0),0))</f>
        <v>0</v>
      </c>
      <c r="H945" s="1987"/>
      <c r="I945" s="2221"/>
      <c r="J945" s="2221"/>
      <c r="K945" s="2232"/>
      <c r="L945" s="1987">
        <v>1</v>
      </c>
      <c r="M945" s="1987"/>
      <c r="N945" s="1987"/>
      <c r="O945" s="1987"/>
      <c r="P945" s="2225">
        <f>C15</f>
        <v>2018</v>
      </c>
      <c r="Q945" s="2225">
        <f>E15</f>
        <v>2019</v>
      </c>
      <c r="R945" s="1977">
        <f>H15</f>
        <v>2020</v>
      </c>
      <c r="S945" s="1977">
        <f>N15</f>
        <v>2021</v>
      </c>
      <c r="T945" s="2251">
        <f>T950</f>
        <v>16</v>
      </c>
      <c r="U945" s="2251" t="str">
        <f ca="1">IF(OR(T945=0,T945&lt;Y946),0,HLOOKUP(T945,$T$946:$AI$948,2,0))</f>
        <v>CO:DF</v>
      </c>
      <c r="V945" s="2251" t="str">
        <f ca="1">IF(OR(T945=0,T945&lt;Y946),0,HLOOKUP(T945,$T$946:$AI$948,3,0))</f>
        <v>CA:CN</v>
      </c>
      <c r="W945" s="2250" t="str">
        <f ca="1">IF(T945=10,AC949,IF(T945=11,AD949,IF(T945=12,AE949,IF(T945=13,AF949,IF(T945=14,AG949,IF(T945=15,AH949,AI949))))))</f>
        <v>DG:DX</v>
      </c>
    </row>
    <row r="946" spans="2:36" s="603" customFormat="1" ht="12.75" x14ac:dyDescent="0.25">
      <c r="B946" s="2239" t="s">
        <v>1563</v>
      </c>
      <c r="C946" s="2240">
        <f>$C$374+IF($C$373=0,0,VLOOKUP($C$373,$B$950:$E$961,4,0)/12)+IF(OR($C$372=0,$C$372=0),0,$C$372/12)+IF($C$376=0,0,VLOOKUP($C$376,$H$950:$J$953,2,0)/12)-IF($C$376=0,0,IF(D946&gt;VLOOKUP($C$376,$H$950:$J$953,3,0),E946,0))</f>
        <v>0</v>
      </c>
      <c r="D946" s="2241">
        <f>IF($C$376=0,0,IF(F947-E947&lt;=0.01,F947,ROUNDDOWN((12-((($C$374+IF($C$373=0,0,VLOOKUP($C$373,$B$950:$E$961,4,0)/12)+IF(OR($C$372=0,$C$372=0),0,$C$372/12)+IF($C$376=0,0,VLOOKUP($C$376,$H$950:$J$953,2,0)/12))-ROUNDDOWN(($C$374+IF($C$373=0,0,VLOOKUP($C$373,$B$950:$E$961,4,0)/12)+IF(OR($C$372=0,$C$372=0),0,$C$372/12)+IF($C$376=0,0,VLOOKUP($C$376,$H$950:$J$953,2,0)/12)),0)-IF($C$376=0,0,VLOOKUP($C$376,$H$950:$J$953,2,0)/12))*12))/VLOOKUP($C$376,$H$950:$J$953,2,0),0)))</f>
        <v>0</v>
      </c>
      <c r="E946" s="2242">
        <f>IF($C$376=0,1,IF(D946&gt;VLOOKUP($C$376,$H$950:$J$953,3,0),(D946-VLOOKUP($C$376,$H$950:$J$953,3,0))/VLOOKUP($C$376,$H$950:$J$953,3,0),D946/VLOOKUP($C$376,$H$950:$J$953,3,0)))</f>
        <v>1</v>
      </c>
      <c r="F946" s="2243">
        <f>IF($C$376=0,0,ROUNDDOWN(($C$371-$C$372/12)*VLOOKUP($C$376,$H$950:$J$953,3,0),0))</f>
        <v>0</v>
      </c>
      <c r="H946" s="1987"/>
      <c r="I946" s="2221"/>
      <c r="J946" s="2221"/>
      <c r="K946" s="2232"/>
      <c r="L946" s="1987">
        <v>2</v>
      </c>
      <c r="M946" s="1987"/>
      <c r="N946" s="1987"/>
      <c r="O946" s="1987"/>
      <c r="P946" s="2249" t="str">
        <f ca="1">CONCATENATE(MID(CELL("DIRECCION",AO583),2,2),":",MID(CELL("DIRECCION",AO583),2,2))</f>
        <v>AO:AO</v>
      </c>
      <c r="Q946" s="2249" t="str">
        <f ca="1">CONCATENATE(MID(CELL("DIRECCION",AQ583),2,2),":",MID(CELL("DIRECCION",AR583),2,2))</f>
        <v>AQ:AR</v>
      </c>
      <c r="R946" s="1977" t="str">
        <f ca="1">CONCATENATE(MID(CELL("DIRECCION",AT583),2,2),":",MID(CELL("DIRECCION",AU583),2,2))</f>
        <v>AT:AU</v>
      </c>
      <c r="S946" s="1977" t="str">
        <f ca="1">CONCATENATE(MID(CELL("DIRECCION",AZ583),2,2),":",MID(CELL("DIRECCION",BA583),2,2))</f>
        <v>AZ:BA</v>
      </c>
      <c r="T946" s="1977">
        <f>COUNTA($T$15:T15)</f>
        <v>1</v>
      </c>
      <c r="U946" s="1977">
        <f>COUNTA($T$15:U15)</f>
        <v>2</v>
      </c>
      <c r="V946" s="1977">
        <f>COUNTA($T$15:V15)</f>
        <v>3</v>
      </c>
      <c r="W946" s="1977">
        <f>COUNTA($T$15:W15)</f>
        <v>4</v>
      </c>
      <c r="X946" s="1977">
        <f>COUNTA($T$15:X15)</f>
        <v>5</v>
      </c>
      <c r="Y946" s="1977">
        <f>COUNTA($T$15:Y15)</f>
        <v>6</v>
      </c>
      <c r="Z946" s="1977">
        <f>COUNTA($T$15:Z15)</f>
        <v>7</v>
      </c>
      <c r="AA946" s="1977">
        <f>COUNTA($T$15:AA15)</f>
        <v>8</v>
      </c>
      <c r="AB946" s="1977">
        <f>COUNTA($T$15:AB15)</f>
        <v>9</v>
      </c>
      <c r="AC946" s="1977">
        <f>COUNTA($T$15:AC15)</f>
        <v>10</v>
      </c>
      <c r="AD946" s="1977">
        <f>COUNTA($T$15:AD15)</f>
        <v>11</v>
      </c>
      <c r="AE946" s="1977">
        <f>COUNTA($T$15:AE15)</f>
        <v>12</v>
      </c>
      <c r="AF946" s="1977">
        <f>COUNTA($T$15:AF15)</f>
        <v>13</v>
      </c>
      <c r="AG946" s="1977">
        <f>COUNTA($T$15:AG15)</f>
        <v>14</v>
      </c>
      <c r="AH946" s="1977">
        <f>COUNTA($T$15:AH15)</f>
        <v>15</v>
      </c>
      <c r="AI946" s="1977">
        <f>COUNTA($T$15:AI15)</f>
        <v>16</v>
      </c>
    </row>
    <row r="947" spans="2:36" s="603" customFormat="1" ht="12.75" x14ac:dyDescent="0.25">
      <c r="B947" s="2244" t="s">
        <v>1565</v>
      </c>
      <c r="C947" s="2245">
        <f>IF($C$375&lt;&gt;0,(VLOOKUP($C$375,$B$924:$C$929,2,0)),0)</f>
        <v>0</v>
      </c>
      <c r="D947" s="2246">
        <f>IF($C$373=0,0,VLOOKUP($C$373,$B$950:$C$961,2,0))</f>
        <v>0</v>
      </c>
      <c r="E947" s="2241">
        <f>IF($C$376=0,0,(12-((($C$374+IF($C$373=0,0,VLOOKUP($C$373,$B$950:$E$961,4,0)/12)+IF(OR($C$372=0,$C$372=0),0,$C$372/12)+IF($C$376=0,0,VLOOKUP($C$376,$H$950:$J$953,2,0)/12))-ROUNDDOWN(($C$374+IF($C$373=0,0,VLOOKUP($C$373,$B$950:$E$961,4,0)/12)+IF(OR($C$372=0,$C$372=0),0,$C$372/12)+IF($C$376=0,0,VLOOKUP($C$376,$H$950:$J$953,2,0)/12)),0)-IF($C$376=0,0,VLOOKUP($C$376,$H$950:$J$953,2,0)/12))*12))/VLOOKUP($C$376,$H$950:$J$953,2,0))</f>
        <v>0</v>
      </c>
      <c r="F947" s="2241">
        <f>IF($C$376=0,0,ROUND((12-((($C$374+IF($C$373=0,0,VLOOKUP($C$373,$B$950:$E$961,4,0)/12)+IF(OR($C$372=0,$C$372=0),0,$C$372/12)+IF($C$376=0,0,VLOOKUP($C$376,$H$950:$J$953,2,0)/12))-ROUNDDOWN(($C$374+IF($C$373=0,0,VLOOKUP($C$373,$B$950:$E$961,4,0)/12)+IF(OR($C$372=0,$C$372=0),0,$C$372/12)+IF($C$376=0,0,VLOOKUP($C$376,$H$950:$J$953,2,0)/12)),0)-IF($C$376=0,0,VLOOKUP($C$376,$H$950:$J$953,2,0)/12))*12))/VLOOKUP($C$376,$H$950:$J$953,2,0),0))</f>
        <v>0</v>
      </c>
      <c r="I947" s="2216"/>
      <c r="J947" s="2216"/>
      <c r="K947" s="2232"/>
      <c r="L947" s="1987">
        <v>3</v>
      </c>
      <c r="M947" s="1987"/>
      <c r="N947" s="1987"/>
      <c r="O947" s="1987"/>
      <c r="P947" s="2249" t="str">
        <f>IF($T$917&gt;P945,$C$914,$C$913)</f>
        <v>VISIBLE</v>
      </c>
      <c r="Q947" s="2249" t="str">
        <f>IF($T$917&gt;Q945,$C$914,$C$913)</f>
        <v>VISIBLE</v>
      </c>
      <c r="R947" s="1977" t="str">
        <f>IF($T$917&gt;R945,$C$914,$C$913)</f>
        <v>VISIBLE</v>
      </c>
      <c r="S947" s="1977" t="str">
        <f>IF($T$917&gt;S945,$C$914,$C$913)</f>
        <v>VISIBLE</v>
      </c>
      <c r="T947" s="1977"/>
      <c r="U947" s="1977"/>
      <c r="V947" s="1977"/>
      <c r="W947" s="1977"/>
      <c r="X947" s="1977"/>
      <c r="Y947" s="1977" t="str">
        <f ca="1">CONCATENATE(MID(CELL("DIRECCION",CL846),2,2),":",MID(CELL("DIRECCION",CT846),2,2))</f>
        <v>CL:CT</v>
      </c>
      <c r="Z947" s="1977" t="str">
        <f ca="1">CONCATENATE(MID(CELL("DIRECCION",CL846),2,2),":",MID(CELL("DIRECCION",CW846),2,2))</f>
        <v>CL:CW</v>
      </c>
      <c r="AA947" s="1977" t="str">
        <f ca="1">CONCATENATE(MID(CELL("DIRECCION",CL846),2,2),":",MID(CELL("DIRECCION",CZ846),2,2))</f>
        <v>CL:CZ</v>
      </c>
      <c r="AB947" s="1977" t="str">
        <f ca="1">CONCATENATE(MID(CELL("DIRECCION",CO846),2,2),":",MID(CELL("DIRECCION",DC846),2,2))</f>
        <v>CO:DC</v>
      </c>
      <c r="AC947" s="1977" t="str">
        <f ca="1">CONCATENATE(MID(CELL("DIRECCION",CL846),2,2),":",MID(CELL("DIRECCION",CZ846),2,2))</f>
        <v>CL:CZ</v>
      </c>
      <c r="AD947" s="1977" t="str">
        <f ca="1">CONCATENATE(MID(CELL("DIRECCION",CL846),2,2),":",MID(CELL("DIRECCION",CZ846),2,2))</f>
        <v>CL:CZ</v>
      </c>
      <c r="AE947" s="1977" t="str">
        <f ca="1">CONCATENATE(MID(CELL("DIRECCION",CL846),2,2),":",MID(CELL("DIRECCION",CZ846),2,2))</f>
        <v>CL:CZ</v>
      </c>
      <c r="AF947" s="1977" t="str">
        <f ca="1">CONCATENATE(MID(CELL("DIRECCION",CO846),2,2),":",MID(CELL("DIRECCION",DC846),2,2))</f>
        <v>CO:DC</v>
      </c>
      <c r="AG947" s="1977" t="str">
        <f ca="1">CONCATENATE(MID(CELL("DIRECCION",CO846),2,2),":",MID(CELL("DIRECCION",DC846),2,2))</f>
        <v>CO:DC</v>
      </c>
      <c r="AH947" s="1977" t="str">
        <f ca="1">CONCATENATE(MID(CELL("DIRECCION",CO846),2,2),":",MID(CELL("DIRECCION",DC846),2,2))</f>
        <v>CO:DC</v>
      </c>
      <c r="AI947" s="1977" t="str">
        <f ca="1">CONCATENATE(MID(CELL("DIRECCION",CO846),2,2),":",MID(CELL("DIRECCION",DF846),2,2))</f>
        <v>CO:DF</v>
      </c>
    </row>
    <row r="948" spans="2:36" s="603" customFormat="1" ht="12.75" x14ac:dyDescent="0.2">
      <c r="I948" s="2216"/>
      <c r="J948" s="2216"/>
      <c r="K948" s="2216"/>
      <c r="L948" s="1987">
        <v>4</v>
      </c>
      <c r="M948" s="2217"/>
      <c r="N948" s="2218"/>
      <c r="O948" s="1987"/>
      <c r="P948" s="2249" t="str">
        <f>IF($T$920&lt;P945,$C$914,$C$913)</f>
        <v>OCULTA</v>
      </c>
      <c r="Q948" s="2249" t="str">
        <f>IF($T$920&lt;Q945,$C$914,$C$913)</f>
        <v>OCULTA</v>
      </c>
      <c r="R948" s="1977" t="str">
        <f>IF($T$920&lt;R945,$C$914,$C$913)</f>
        <v>OCULTA</v>
      </c>
      <c r="S948" s="1977" t="str">
        <f>IF($T$920&lt;S945,$C$914,$C$913)</f>
        <v>OCULTA</v>
      </c>
      <c r="T948" s="1977"/>
      <c r="U948" s="1977"/>
      <c r="V948" s="1977"/>
      <c r="W948" s="1977"/>
      <c r="X948" s="1977"/>
      <c r="Y948" s="1977" t="str">
        <f ca="1">CONCATENATE(MID(CELL("DIRECCION",CA846),2,2),":",MID(CELL("DIRECCION",CK846),2,2))</f>
        <v>CA:CK</v>
      </c>
      <c r="Z948" s="1977" t="str">
        <f ca="1">CONCATENATE(MID(CELL("DIRECCION",CA846),2,2),":",MID(CELL("DIRECCION",CK846),2,2))</f>
        <v>CA:CK</v>
      </c>
      <c r="AA948" s="1977" t="str">
        <f ca="1">CONCATENATE(MID(CELL("DIRECCION",CA846),2,2),":",MID(CELL("DIRECCION",CK846),2,2))</f>
        <v>CA:CK</v>
      </c>
      <c r="AB948" s="1977" t="str">
        <f ca="1">CONCATENATE(MID(CELL("DIRECCION",CA846),2,2),":",MID(CELL("DIRECCION",CN846),2,2))</f>
        <v>CA:CN</v>
      </c>
      <c r="AC948" s="1977" t="str">
        <f ca="1">CONCATENATE(MID(CELL("DIRECCION",CA846),2,2),":",MID(CELL("DIRECCION",CK846),2,2))</f>
        <v>CA:CK</v>
      </c>
      <c r="AD948" s="1977" t="str">
        <f ca="1">CONCATENATE(MID(CELL("DIRECCION",CA846),2,2),":",MID(CELL("DIRECCION",CK846),2,2))</f>
        <v>CA:CK</v>
      </c>
      <c r="AE948" s="1987" t="str">
        <f ca="1">CONCATENATE(MID(CELL("DIRECCION",CA846),2,2),":",MID(CELL("DIRECCION",CK846),2,2))</f>
        <v>CA:CK</v>
      </c>
      <c r="AF948" s="1987" t="str">
        <f ca="1">CONCATENATE(MID(CELL("DIRECCION",CA846),2,2),":",MID(CELL("DIRECCION",CN846),2,2))</f>
        <v>CA:CN</v>
      </c>
      <c r="AG948" s="1987" t="str">
        <f ca="1">CONCATENATE(MID(CELL("DIRECCION",CA846),2,2),":",MID(CELL("DIRECCION",CN846),2,2))</f>
        <v>CA:CN</v>
      </c>
      <c r="AH948" s="1987" t="str">
        <f ca="1">CONCATENATE(MID(CELL("DIRECCION",CA846),2,2),":",MID(CELL("DIRECCION",CN846),2,2))</f>
        <v>CA:CN</v>
      </c>
      <c r="AI948" s="1987" t="str">
        <f ca="1">CONCATENATE(MID(CELL("DIRECCION",CA846),2,2),":",MID(CELL("DIRECCION",CN846),2,2))</f>
        <v>CA:CN</v>
      </c>
    </row>
    <row r="949" spans="2:36" s="603" customFormat="1" ht="12.75" x14ac:dyDescent="0.2">
      <c r="B949" s="1957" t="s">
        <v>1570</v>
      </c>
      <c r="C949" s="2216"/>
      <c r="D949" s="2216"/>
      <c r="E949" s="2216"/>
      <c r="G949" s="2217"/>
      <c r="H949" s="2216"/>
      <c r="J949" s="2216"/>
      <c r="K949" s="2216"/>
      <c r="L949" s="1987">
        <v>5</v>
      </c>
      <c r="M949" s="2217"/>
      <c r="P949" s="2249" t="str">
        <f>IF(OR(P947=$C$914,P948=$C$914),$C$914,$C$913)</f>
        <v>OCULTA</v>
      </c>
      <c r="Q949" s="2249" t="str">
        <f>IF(OR(Q947=$C$914,Q948=$C$914),$C$914,$C$913)</f>
        <v>OCULTA</v>
      </c>
      <c r="R949" s="1977" t="str">
        <f>IF(OR(R947=$C$914,R948=$C$914),$C$914,$C$913)</f>
        <v>OCULTA</v>
      </c>
      <c r="S949" s="1977" t="str">
        <f>IF(OR(S947=$C$914,S948=$C$914),$C$914,$C$913)</f>
        <v>OCULTA</v>
      </c>
      <c r="T949" s="2220" t="s">
        <v>1571</v>
      </c>
      <c r="U949" s="2218"/>
      <c r="X949" s="1987"/>
      <c r="Y949" s="1987"/>
      <c r="Z949" s="1987"/>
      <c r="AA949" s="1987"/>
      <c r="AC949" s="603" t="str">
        <f ca="1">CONCATENATE(MID(CELL("DIRECCION",DA846),2,2),":",MID(CELL("DIRECCION",DF846),2,2))</f>
        <v>DA:DF</v>
      </c>
      <c r="AD949" s="603" t="str">
        <f ca="1">CONCATENATE(MID(CELL("DIRECCION",DA846),2,2),":",MID(CELL("DIRECCION",DI846),2,2))</f>
        <v>DA:DI</v>
      </c>
      <c r="AE949" s="1977" t="str">
        <f ca="1">CONCATENATE(MID(CELL("DIRECCION",DA846),2,2),":",MID(CELL("DIRECCION",DL846),2,2))</f>
        <v>DA:DL</v>
      </c>
      <c r="AF949" s="1977" t="str">
        <f ca="1">CONCATENATE(MID(CELL("DIRECCION",DD846),2,2),":",MID(CELL("DIRECCION",DO846),2,2))</f>
        <v>DD:DO</v>
      </c>
      <c r="AG949" s="1977" t="str">
        <f ca="1">CONCATENATE(MID(CELL("DIRECCION",DD846),2,2),":",MID(CELL("DIRECCION",DR846),2,2))</f>
        <v>DD:DR</v>
      </c>
      <c r="AH949" s="1977" t="str">
        <f ca="1">CONCATENATE(MID(CELL("DIRECCION",DD846),2,2),":",MID(CELL("DIRECCION",DU846),2,2))</f>
        <v>DD:DU</v>
      </c>
      <c r="AI949" s="1977" t="str">
        <f ca="1">CONCATENATE(MID(CELL("DIRECCION",DG846),2,2),":",MID(CELL("DIRECCION",DX846),2,2))</f>
        <v>DG:DX</v>
      </c>
    </row>
    <row r="950" spans="2:36" s="603" customFormat="1" ht="12.75" x14ac:dyDescent="0.25">
      <c r="B950" s="1987" t="s">
        <v>1572</v>
      </c>
      <c r="C950" s="2252">
        <f>12/12</f>
        <v>1</v>
      </c>
      <c r="D950" s="1987">
        <v>1</v>
      </c>
      <c r="E950" s="2221">
        <v>0</v>
      </c>
      <c r="F950" s="1987" t="s">
        <v>1572</v>
      </c>
      <c r="H950" s="1987" t="s">
        <v>1573</v>
      </c>
      <c r="I950" s="1987">
        <v>1</v>
      </c>
      <c r="J950" s="2217">
        <v>12</v>
      </c>
      <c r="L950" s="1987">
        <v>6</v>
      </c>
      <c r="P950" s="2217"/>
      <c r="Q950" s="2217"/>
      <c r="T950" s="586">
        <v>16</v>
      </c>
      <c r="U950" s="586">
        <f>IF(ISERROR(HLOOKUP(T950,$T$951:$AH$952,2,0))=TRUE,0,HLOOKUP(T950,$T$951:$AH$952,2,0))</f>
        <v>0</v>
      </c>
      <c r="V950" s="1987"/>
      <c r="W950" s="1987"/>
      <c r="X950" s="1987"/>
      <c r="Y950" s="1987"/>
      <c r="Z950" s="1987"/>
      <c r="AA950" s="2234"/>
    </row>
    <row r="951" spans="2:36" s="603" customFormat="1" ht="12.75" x14ac:dyDescent="0.2">
      <c r="B951" s="1987" t="s">
        <v>1574</v>
      </c>
      <c r="C951" s="2252">
        <f>11/12</f>
        <v>0.91666666666666663</v>
      </c>
      <c r="D951" s="1987">
        <v>2</v>
      </c>
      <c r="E951" s="2221">
        <f>COUNTA($B$950:B950)</f>
        <v>1</v>
      </c>
      <c r="F951" s="1987" t="s">
        <v>1574</v>
      </c>
      <c r="H951" s="1987" t="s">
        <v>1575</v>
      </c>
      <c r="I951" s="1987">
        <v>3</v>
      </c>
      <c r="J951" s="1987">
        <v>4</v>
      </c>
      <c r="L951" s="1987">
        <v>7</v>
      </c>
      <c r="P951" s="2247">
        <v>2009</v>
      </c>
      <c r="Q951" s="1957" t="e">
        <f>HLOOKUP(P951,$P$953:$Q$957,2,0)</f>
        <v>#N/A</v>
      </c>
      <c r="R951" s="1957" t="e">
        <f>HLOOKUP(P951,$P$953:$Q$957,4,0)</f>
        <v>#N/A</v>
      </c>
      <c r="T951" s="2253">
        <f>COUNTA($T$15:T15)</f>
        <v>1</v>
      </c>
      <c r="U951" s="2253">
        <f>COUNTA($T$15:U15)</f>
        <v>2</v>
      </c>
      <c r="V951" s="2253">
        <f>COUNTA($T$15:V15)</f>
        <v>3</v>
      </c>
      <c r="W951" s="2253">
        <f>COUNTA($T$15:W15)</f>
        <v>4</v>
      </c>
      <c r="X951" s="2253">
        <f>COUNTA($T$15:X15)</f>
        <v>5</v>
      </c>
      <c r="Y951" s="2253">
        <f>COUNTA($T$15:Y15)</f>
        <v>6</v>
      </c>
      <c r="Z951" s="2253">
        <f>COUNTA($T$15:Z15)</f>
        <v>7</v>
      </c>
      <c r="AA951" s="2253">
        <f>COUNTA($T$15:AA15)</f>
        <v>8</v>
      </c>
      <c r="AB951" s="2253">
        <f>COUNTA($T$15:AB15)</f>
        <v>9</v>
      </c>
      <c r="AC951" s="2253">
        <f>COUNTA($T$15:AC15)</f>
        <v>10</v>
      </c>
      <c r="AD951" s="1977">
        <f>COUNTA($T$15:AD15)</f>
        <v>11</v>
      </c>
      <c r="AE951" s="1977">
        <f>COUNTA($T$15:AE15)</f>
        <v>12</v>
      </c>
      <c r="AF951" s="1977">
        <f>COUNTA($T$15:AF15)</f>
        <v>13</v>
      </c>
      <c r="AG951" s="1977">
        <f>COUNTA($T$15:AG15)</f>
        <v>14</v>
      </c>
      <c r="AH951" s="1977">
        <f>COUNTA($T$15:AH15)</f>
        <v>15</v>
      </c>
      <c r="AI951" s="1977">
        <f>COUNTA($T$15:AI15)</f>
        <v>16</v>
      </c>
    </row>
    <row r="952" spans="2:36" s="603" customFormat="1" ht="12.75" x14ac:dyDescent="0.2">
      <c r="B952" s="1987" t="s">
        <v>1576</v>
      </c>
      <c r="C952" s="2252">
        <f>10/12</f>
        <v>0.83333333333333337</v>
      </c>
      <c r="D952" s="1987">
        <v>3</v>
      </c>
      <c r="E952" s="2221">
        <f>COUNTA($B$950:B951)</f>
        <v>2</v>
      </c>
      <c r="F952" s="1987" t="s">
        <v>1576</v>
      </c>
      <c r="H952" s="1987" t="s">
        <v>1577</v>
      </c>
      <c r="I952" s="1987">
        <v>6</v>
      </c>
      <c r="J952" s="1987">
        <v>2</v>
      </c>
      <c r="L952" s="1987">
        <v>8</v>
      </c>
      <c r="P952" s="2247">
        <v>2009</v>
      </c>
      <c r="Q952" s="1957" t="e">
        <f>HLOOKUP(P952,$P$953:$Q$957,3,0)</f>
        <v>#N/A</v>
      </c>
      <c r="R952" s="1957" t="e">
        <f>HLOOKUP(P951,$P$953:$Q$957,5,0)</f>
        <v>#N/A</v>
      </c>
      <c r="T952" s="2253" t="str">
        <f ca="1">CONCATENATE(MID(CELL("DIRECCION",U14),2,1),":",MID(CELL("DIRECCION",$AI$14),2,2),",",MID(CELL("DIRECCION",BF582),2,2),":",MID(CELL("DIRECCION",$BT$582),2,2),",",MID(CELL("DIRECCION",CF846),2,2),":",MID(CELL("DIRECCION",$DX$846),2,2))</f>
        <v>U:AI,BF:BT,CF:DX</v>
      </c>
      <c r="U952" s="2253" t="str">
        <f ca="1">CONCATENATE(MID(CELL("DIRECCION",V14),2,1),":",MID(CELL("DIRECCION",$AI$14),2,2),",",MID(CELL("DIRECCION",BG582),2,2),":",MID(CELL("DIRECCION",$BT$582),2,2),",",MID(CELL("DIRECCION",CI846),2,2),":",MID(CELL("DIRECCION",$DX$846),2,2))</f>
        <v>V:AI,BG:BT,CI:DX</v>
      </c>
      <c r="V952" s="2253" t="str">
        <f ca="1">CONCATENATE(MID(CELL("DIRECCION",W14),2,1),":",MID(CELL("DIRECCION",$AI$14),2,2),",",MID(CELL("DIRECCION",BH582),2,2),":",MID(CELL("DIRECCION",$BT$582),2,2),",",MID(CELL("DIRECCION",CL846),2,2),":",MID(CELL("DIRECCION",$DX$846),2,2))</f>
        <v>W:AI,BH:BT,CL:DX</v>
      </c>
      <c r="W952" s="2253" t="str">
        <f ca="1">CONCATENATE(MID(CELL("DIRECCION",X14),2,1),":",MID(CELL("DIRECCION",$AI$14),2,2),",",MID(CELL("DIRECCION",BI582),2,2),":",MID(CELL("DIRECCION",$BT$582),2,2),",",MID(CELL("DIRECCION",CO846),2,2),":",MID(CELL("DIRECCION",$DX$846),2,2))</f>
        <v>X:AI,BI:BT,CO:DX</v>
      </c>
      <c r="X952" s="2253" t="str">
        <f ca="1">CONCATENATE(MID(CELL("DIRECCION",Y14),2,1),":",MID(CELL("DIRECCION",$AI$14),2,2),",",MID(CELL("DIRECCION",BJ582),2,2),":",MID(CELL("DIRECCION",$BT$582),2,2),",",MID(CELL("DIRECCION",CR846),2,2),":",MID(CELL("DIRECCION",$DX$846),2,2))</f>
        <v>Y:AI,BJ:BT,CR:DX</v>
      </c>
      <c r="Y952" s="2253" t="str">
        <f ca="1">CONCATENATE(MID(CELL("DIRECCION",Z14),2,1),":",MID(CELL("DIRECCION",$AI$14),2,2),",",MID(CELL("DIRECCION",BK582),2,2),":",MID(CELL("DIRECCION",$BT$582),2,2),",",MID(CELL("DIRECCION",CU846),2,2),":",MID(CELL("DIRECCION",$DX$846),2,2))</f>
        <v>Z:AI,BK:BT,CU:DX</v>
      </c>
      <c r="Z952" s="2253" t="str">
        <f ca="1">CONCATENATE(MID(CELL("DIRECCION",AA14),2,2),":",MID(CELL("DIRECCION",$AI$14),2,2),",",MID(CELL("DIRECCION",BL582),2,2),":",MID(CELL("DIRECCION",$BT$582),2,2),",",MID(CELL("DIRECCION",CX846),2,2),":",MID(CELL("DIRECCION",$DX$846),2,2))</f>
        <v>AA:AI,BL:BT,CX:DX</v>
      </c>
      <c r="AA952" s="2253" t="str">
        <f ca="1">CONCATENATE(MID(CELL("DIRECCION",AB14),2,2),":",MID(CELL("DIRECCION",$AI$14),2,2),",",MID(CELL("DIRECCION",BM582),2,2),":",MID(CELL("DIRECCION",$BT$582),2,2),",",MID(CELL("DIRECCION",DA846),2,2),":",MID(CELL("DIRECCION",$DX$846),2,2))</f>
        <v>AB:AI,BM:BT,DA:DX</v>
      </c>
      <c r="AB952" s="2253" t="str">
        <f ca="1">CONCATENATE(MID(CELL("DIRECCION",AC14),2,2),":",MID(CELL("DIRECCION",$AI$14),2,2),",",MID(CELL("DIRECCION",BN582),2,2),":",MID(CELL("DIRECCION",$BT$582),2,2),",",MID(CELL("DIRECCION",DD846),2,2),":",MID(CELL("DIRECCION",$DX$846),2,2))</f>
        <v>AC:AI,BN:BT,DD:DX</v>
      </c>
      <c r="AC952" s="2253" t="str">
        <f ca="1">CONCATENATE(MID(CELL("DIRECCION",AD14),2,2),":",MID(CELL("DIRECCION",$AI$14),2,2),",",MID(CELL("DIRECCION",BO582),2,2),":",MID(CELL("DIRECCION",$BT$582),2,2),",",MID(CELL("DIRECCION",DG846),2,2),":",MID(CELL("DIRECCION",$DX$846),2,2))</f>
        <v>AD:AI,BO:BT,DG:DX</v>
      </c>
      <c r="AD952" s="2253" t="str">
        <f ca="1">CONCATENATE(MID(CELL("DIRECCION",AE14),2,2),":",MID(CELL("DIRECCION",$AI$14),2,2),",",MID(CELL("DIRECCION",BP582),2,2),":",MID(CELL("DIRECCION",$BT$582),2,2),",",MID(CELL("DIRECCION",DJ846),2,2),":",MID(CELL("DIRECCION",$DX$846),2,2))</f>
        <v>AE:AI,BP:BT,DJ:DX</v>
      </c>
      <c r="AE952" s="2253" t="str">
        <f ca="1">CONCATENATE(MID(CELL("DIRECCION",AF14),2,2),":",MID(CELL("DIRECCION",$AI$14),2,2),",",MID(CELL("DIRECCION",BQ582),2,2),":",MID(CELL("DIRECCION",$BT$582),2,2),",",MID(CELL("DIRECCION",DM846),2,2),":",MID(CELL("DIRECCION",$DX$846),2,2))</f>
        <v>AF:AI,BQ:BT,DM:DX</v>
      </c>
      <c r="AF952" s="2253" t="str">
        <f ca="1">CONCATENATE(MID(CELL("DIRECCION",AG14),2,2),":",MID(CELL("DIRECCION",$AI$14),2,2),",",MID(CELL("DIRECCION",BR582),2,2),":",MID(CELL("DIRECCION",$BT$582),2,2),",",MID(CELL("DIRECCION",DP846),2,2),":",MID(CELL("DIRECCION",$DX$846),2,2))</f>
        <v>AG:AI,BR:BT,DP:DX</v>
      </c>
      <c r="AG952" s="2253" t="str">
        <f ca="1">CONCATENATE(MID(CELL("DIRECCION",AH14),2,2),":",MID(CELL("DIRECCION",$AI$14),2,2),",",MID(CELL("DIRECCION",BS582),2,2),":",MID(CELL("DIRECCION",$BT$582),2,2),",",MID(CELL("DIRECCION",DS846),2,2),":",MID(CELL("DIRECCION",$DX$846),2,2))</f>
        <v>AH:AI,BS:BT,DS:DX</v>
      </c>
      <c r="AH952" s="2253" t="str">
        <f ca="1">CONCATENATE(MID(CELL("DIRECCION",AI14),2,2),":",MID(CELL("DIRECCION",$AI$14),2,2),",",MID(CELL("DIRECCION",BT582),2,2),":",MID(CELL("DIRECCION",$BT$582),2,2),",",MID(CELL("DIRECCION",DV846),2,2),":",MID(CELL("DIRECCION",$DX$846),2,2))</f>
        <v>AI:AI,BT:BT,DV:DX</v>
      </c>
    </row>
    <row r="953" spans="2:36" s="603" customFormat="1" ht="12.75" x14ac:dyDescent="0.25">
      <c r="B953" s="1987" t="s">
        <v>1578</v>
      </c>
      <c r="C953" s="2252">
        <f>9/12</f>
        <v>0.75</v>
      </c>
      <c r="D953" s="1987">
        <v>4</v>
      </c>
      <c r="E953" s="2221">
        <f>COUNTA($B$950:B952)</f>
        <v>3</v>
      </c>
      <c r="F953" s="1987" t="s">
        <v>1578</v>
      </c>
      <c r="H953" s="1987" t="s">
        <v>1579</v>
      </c>
      <c r="I953" s="1987">
        <v>12</v>
      </c>
      <c r="J953" s="2217">
        <v>1</v>
      </c>
      <c r="L953" s="1987">
        <v>9</v>
      </c>
      <c r="P953" s="2225">
        <f>K15</f>
        <v>2020</v>
      </c>
      <c r="Q953" s="2225">
        <f>Q15</f>
        <v>2021</v>
      </c>
    </row>
    <row r="954" spans="2:36" s="603" customFormat="1" ht="12.75" x14ac:dyDescent="0.25">
      <c r="B954" s="1987" t="s">
        <v>1580</v>
      </c>
      <c r="C954" s="2252">
        <f>8/12</f>
        <v>0.66666666666666663</v>
      </c>
      <c r="D954" s="1987">
        <v>5</v>
      </c>
      <c r="E954" s="2221">
        <f>COUNTA($B$950:B953)</f>
        <v>4</v>
      </c>
      <c r="F954" s="1987" t="s">
        <v>1580</v>
      </c>
      <c r="L954" s="1987">
        <v>10</v>
      </c>
      <c r="P954" s="2249" t="str">
        <f ca="1">CONCATENATE(MID(CELL("DIRECCION",AV583),2,2),":",MID(CELL("DIRECCION",AV583),2,2))</f>
        <v>AV:AV</v>
      </c>
      <c r="Q954" s="2249" t="str">
        <f ca="1">CONCATENATE(MID(CELL("DIRECCION",BB583),2,2),":",MID(CELL("DIRECCION",BB583),2,2))</f>
        <v>BB:BB</v>
      </c>
      <c r="U954" s="1957" t="s">
        <v>1581</v>
      </c>
    </row>
    <row r="955" spans="2:36" s="603" customFormat="1" ht="12.75" x14ac:dyDescent="0.2">
      <c r="B955" s="1987" t="s">
        <v>1582</v>
      </c>
      <c r="C955" s="2252">
        <f>7/12</f>
        <v>0.58333333333333337</v>
      </c>
      <c r="D955" s="1987">
        <v>6</v>
      </c>
      <c r="E955" s="2221">
        <f>COUNTA($B$950:B954)</f>
        <v>5</v>
      </c>
      <c r="F955" s="1987" t="s">
        <v>1582</v>
      </c>
      <c r="L955" s="1987">
        <v>11</v>
      </c>
      <c r="P955" s="2249" t="str">
        <f ca="1">CONCATENATE(MID(CELL("DIRECCION",AW583),2,2),":",MID(CELL("DIRECCION",AX583),2,2))</f>
        <v>AW:AX</v>
      </c>
      <c r="Q955" s="2249" t="str">
        <f ca="1">CONCATENATE(MID(CELL("DIRECCION",BC583),2,2),":",MID(CELL("DIRECCION",BD583),2,2))</f>
        <v>BC:BD</v>
      </c>
      <c r="R955" s="2220" t="s">
        <v>1583</v>
      </c>
      <c r="U955" s="1977">
        <f>COUNTA($U$15:U15)</f>
        <v>1</v>
      </c>
      <c r="V955" s="1977">
        <f>COUNTA($U$15:V15)</f>
        <v>2</v>
      </c>
      <c r="W955" s="1977">
        <f>COUNTA($U$15:W15)</f>
        <v>3</v>
      </c>
      <c r="X955" s="1977">
        <f>COUNTA($U$15:X15)</f>
        <v>4</v>
      </c>
      <c r="Y955" s="1977">
        <f>COUNTA($U$15:Y15)</f>
        <v>5</v>
      </c>
      <c r="Z955" s="1977">
        <f>COUNTA($U$15:Z15)</f>
        <v>6</v>
      </c>
      <c r="AA955" s="1977">
        <f>COUNTA($U$15:AA15)</f>
        <v>7</v>
      </c>
      <c r="AB955" s="1977">
        <f>COUNTA($U$15:AB15)</f>
        <v>8</v>
      </c>
      <c r="AC955" s="1977">
        <f>COUNTA($U$15:AC15)</f>
        <v>9</v>
      </c>
      <c r="AD955" s="1977">
        <f>COUNTA($U$15:AD15)</f>
        <v>10</v>
      </c>
      <c r="AE955" s="1977">
        <f>COUNTA($U$15:AE15)</f>
        <v>11</v>
      </c>
      <c r="AF955" s="1977">
        <f>COUNTA($U$15:AF15)</f>
        <v>12</v>
      </c>
      <c r="AG955" s="1977">
        <f>COUNTA($U$15:AG15)</f>
        <v>13</v>
      </c>
      <c r="AH955" s="1977">
        <f>COUNTA($U$15:AH15)</f>
        <v>14</v>
      </c>
      <c r="AI955" s="1977">
        <f>COUNTA($U$15:AI15)</f>
        <v>15</v>
      </c>
      <c r="AJ955" s="1977"/>
    </row>
    <row r="956" spans="2:36" s="603" customFormat="1" ht="12.75" x14ac:dyDescent="0.25">
      <c r="B956" s="1987" t="s">
        <v>1584</v>
      </c>
      <c r="C956" s="2252">
        <f>6/12</f>
        <v>0.5</v>
      </c>
      <c r="D956" s="1987">
        <v>7</v>
      </c>
      <c r="E956" s="2221">
        <f>COUNTA($B$950:B955)</f>
        <v>6</v>
      </c>
      <c r="F956" s="1987" t="s">
        <v>1584</v>
      </c>
      <c r="L956" s="1987">
        <v>12</v>
      </c>
      <c r="P956" s="2249" t="str">
        <f>IF($R$956&lt;&gt;$E$915,$C$914,$C$913)</f>
        <v>OCULTA</v>
      </c>
      <c r="Q956" s="2249" t="str">
        <f>IF($R$956&lt;&gt;$E$913,$C$913,$C$914)</f>
        <v>OCULTA</v>
      </c>
      <c r="R956" s="2249" t="s">
        <v>1518</v>
      </c>
    </row>
    <row r="957" spans="2:36" s="603" customFormat="1" ht="12.75" x14ac:dyDescent="0.25">
      <c r="B957" s="1987" t="s">
        <v>1585</v>
      </c>
      <c r="C957" s="2252">
        <f>5/12</f>
        <v>0.41666666666666669</v>
      </c>
      <c r="D957" s="1987">
        <v>8</v>
      </c>
      <c r="E957" s="2221">
        <f>COUNTA($B$950:B956)</f>
        <v>7</v>
      </c>
      <c r="F957" s="1987" t="s">
        <v>1585</v>
      </c>
      <c r="L957" s="1987">
        <v>13</v>
      </c>
      <c r="P957" s="2249" t="str">
        <f>IF($R$956&lt;&gt;$E$915,$C$914,$C$913)</f>
        <v>OCULTA</v>
      </c>
      <c r="Q957" s="2249" t="str">
        <f>IF($R$956&lt;&gt;$E$913,$C$913,$C$914)</f>
        <v>OCULTA</v>
      </c>
      <c r="U957" s="1957" t="s">
        <v>1586</v>
      </c>
    </row>
    <row r="958" spans="2:36" s="603" customFormat="1" ht="12.75" x14ac:dyDescent="0.25">
      <c r="B958" s="1987" t="s">
        <v>1587</v>
      </c>
      <c r="C958" s="2252">
        <f>4/12</f>
        <v>0.33333333333333331</v>
      </c>
      <c r="D958" s="1987">
        <v>9</v>
      </c>
      <c r="E958" s="2221">
        <f>COUNTA($B$950:B957)</f>
        <v>8</v>
      </c>
      <c r="F958" s="1987" t="s">
        <v>1587</v>
      </c>
      <c r="L958" s="1987">
        <v>14</v>
      </c>
      <c r="P958" s="2217"/>
      <c r="Q958" s="2217"/>
      <c r="U958" s="1977">
        <f t="shared" ref="U958:AI958" si="884">U955*12</f>
        <v>12</v>
      </c>
      <c r="V958" s="1977">
        <f t="shared" si="884"/>
        <v>24</v>
      </c>
      <c r="W958" s="1977">
        <f t="shared" si="884"/>
        <v>36</v>
      </c>
      <c r="X958" s="1977">
        <f t="shared" si="884"/>
        <v>48</v>
      </c>
      <c r="Y958" s="1977">
        <f t="shared" si="884"/>
        <v>60</v>
      </c>
      <c r="Z958" s="1977">
        <f t="shared" si="884"/>
        <v>72</v>
      </c>
      <c r="AA958" s="1977">
        <f t="shared" si="884"/>
        <v>84</v>
      </c>
      <c r="AB958" s="1977">
        <f t="shared" si="884"/>
        <v>96</v>
      </c>
      <c r="AC958" s="1977">
        <f t="shared" si="884"/>
        <v>108</v>
      </c>
      <c r="AD958" s="1977">
        <f t="shared" si="884"/>
        <v>120</v>
      </c>
      <c r="AE958" s="1977">
        <f t="shared" si="884"/>
        <v>132</v>
      </c>
      <c r="AF958" s="1977">
        <f t="shared" si="884"/>
        <v>144</v>
      </c>
      <c r="AG958" s="1977">
        <f t="shared" si="884"/>
        <v>156</v>
      </c>
      <c r="AH958" s="1977">
        <f t="shared" si="884"/>
        <v>168</v>
      </c>
      <c r="AI958" s="1977">
        <f t="shared" si="884"/>
        <v>180</v>
      </c>
    </row>
    <row r="959" spans="2:36" s="603" customFormat="1" ht="12.75" x14ac:dyDescent="0.25">
      <c r="B959" s="1987" t="s">
        <v>1588</v>
      </c>
      <c r="C959" s="2252">
        <f>3/12</f>
        <v>0.25</v>
      </c>
      <c r="D959" s="1987">
        <v>10</v>
      </c>
      <c r="E959" s="2221">
        <f>COUNTA($B$950:B958)</f>
        <v>9</v>
      </c>
      <c r="F959" s="1987" t="s">
        <v>1588</v>
      </c>
      <c r="L959" s="1987">
        <v>15</v>
      </c>
      <c r="P959" s="2217"/>
      <c r="Q959" s="2217"/>
    </row>
    <row r="960" spans="2:36" s="603" customFormat="1" ht="12.75" x14ac:dyDescent="0.25">
      <c r="B960" s="1987" t="s">
        <v>1589</v>
      </c>
      <c r="C960" s="2252">
        <f>2/12</f>
        <v>0.16666666666666666</v>
      </c>
      <c r="D960" s="1987">
        <v>11</v>
      </c>
      <c r="E960" s="2221">
        <f>COUNTA($B$950:B959)</f>
        <v>10</v>
      </c>
      <c r="F960" s="1987" t="s">
        <v>1589</v>
      </c>
      <c r="P960" s="2235"/>
      <c r="Q960" s="2217"/>
    </row>
    <row r="961" spans="2:30" s="603" customFormat="1" ht="12.75" x14ac:dyDescent="0.25">
      <c r="B961" s="1987" t="s">
        <v>1590</v>
      </c>
      <c r="C961" s="2252">
        <f>1/12</f>
        <v>8.3333333333333329E-2</v>
      </c>
      <c r="D961" s="1987">
        <v>12</v>
      </c>
      <c r="E961" s="2221">
        <f>COUNTA($B$950:B960)</f>
        <v>11</v>
      </c>
      <c r="F961" s="1987" t="s">
        <v>1590</v>
      </c>
      <c r="P961" s="1977"/>
      <c r="Q961" s="1977"/>
      <c r="R961" s="1977"/>
      <c r="S961" s="1977"/>
      <c r="T961" s="1977"/>
      <c r="U961" s="1977"/>
      <c r="V961" s="1977"/>
      <c r="W961" s="1977"/>
      <c r="X961" s="1977"/>
      <c r="Y961" s="1977"/>
      <c r="Z961" s="1977"/>
      <c r="AA961" s="1977"/>
      <c r="AB961" s="1977"/>
      <c r="AC961" s="1977"/>
      <c r="AD961" s="1977"/>
    </row>
    <row r="962" spans="2:30" s="603" customFormat="1" ht="12.75" x14ac:dyDescent="0.25">
      <c r="I962" s="2216"/>
      <c r="J962" s="2216"/>
      <c r="M962" s="2217"/>
      <c r="N962" s="2216"/>
      <c r="P962" s="1977"/>
      <c r="Q962" s="1977"/>
      <c r="R962" s="1977"/>
      <c r="S962" s="1977"/>
      <c r="T962" s="2248"/>
      <c r="U962" s="2248"/>
      <c r="V962" s="2248"/>
      <c r="W962" s="2248"/>
      <c r="X962" s="2248"/>
      <c r="Y962" s="2248"/>
      <c r="Z962" s="2248"/>
      <c r="AA962" s="2248"/>
      <c r="AB962" s="2248"/>
      <c r="AC962" s="2248"/>
      <c r="AD962" s="2248"/>
    </row>
    <row r="963" spans="2:30" s="603" customFormat="1" ht="12.75" x14ac:dyDescent="0.25">
      <c r="I963" s="2216"/>
      <c r="J963" s="2216"/>
      <c r="K963" s="2216"/>
      <c r="M963" s="2217"/>
      <c r="N963" s="2216"/>
      <c r="P963" s="2217"/>
      <c r="Q963" s="2217"/>
    </row>
    <row r="964" spans="2:30" s="603" customFormat="1" ht="12.75" x14ac:dyDescent="0.25">
      <c r="I964" s="2216"/>
      <c r="J964" s="2216"/>
      <c r="K964" s="2216"/>
      <c r="M964" s="2217"/>
      <c r="N964" s="2216"/>
      <c r="P964" s="2217"/>
      <c r="Q964" s="2217"/>
      <c r="Z964" s="1987"/>
      <c r="AD964" s="1987"/>
    </row>
    <row r="965" spans="2:30" s="603" customFormat="1" ht="12.75" x14ac:dyDescent="0.25">
      <c r="I965" s="2216"/>
      <c r="J965" s="2216"/>
      <c r="K965" s="2216"/>
      <c r="M965" s="2217"/>
      <c r="N965" s="2216"/>
      <c r="P965" s="2217"/>
      <c r="Q965" s="2217"/>
      <c r="Z965" s="1987"/>
      <c r="AD965" s="1987"/>
    </row>
    <row r="966" spans="2:30" s="603" customFormat="1" ht="12.75" x14ac:dyDescent="0.25">
      <c r="I966" s="2216"/>
      <c r="J966" s="2216"/>
      <c r="K966" s="2216"/>
      <c r="M966" s="2217"/>
      <c r="N966" s="2216"/>
      <c r="P966" s="2217"/>
      <c r="Q966" s="2217"/>
      <c r="W966" s="1987"/>
      <c r="X966" s="1987"/>
      <c r="Y966" s="1987"/>
      <c r="Z966" s="1987"/>
      <c r="AD966" s="1987"/>
    </row>
    <row r="967" spans="2:30" s="603" customFormat="1" ht="12.75" x14ac:dyDescent="0.25">
      <c r="I967" s="2216"/>
      <c r="J967" s="2216"/>
      <c r="K967" s="2216"/>
      <c r="M967" s="2217"/>
      <c r="N967" s="2216"/>
      <c r="P967" s="2217"/>
      <c r="Q967" s="2217"/>
      <c r="W967" s="1987"/>
      <c r="X967" s="1987"/>
      <c r="Y967" s="1987"/>
      <c r="Z967" s="1987"/>
      <c r="AD967" s="1987"/>
    </row>
    <row r="968" spans="2:30" s="603" customFormat="1" ht="12.75" x14ac:dyDescent="0.25">
      <c r="I968" s="2216"/>
      <c r="J968" s="2216"/>
      <c r="K968" s="2216"/>
      <c r="M968" s="2217"/>
      <c r="N968" s="2216"/>
      <c r="P968" s="2217"/>
      <c r="Q968" s="2217"/>
      <c r="W968" s="1987"/>
      <c r="X968" s="1987"/>
      <c r="Y968" s="1987"/>
      <c r="Z968" s="1987"/>
      <c r="AD968" s="1987"/>
    </row>
    <row r="969" spans="2:30" s="603" customFormat="1" ht="12.75" x14ac:dyDescent="0.25">
      <c r="I969" s="2216"/>
      <c r="J969" s="2216"/>
      <c r="K969" s="2216"/>
      <c r="M969" s="2217"/>
      <c r="N969" s="2216"/>
      <c r="P969" s="2217"/>
      <c r="Q969" s="2217"/>
      <c r="W969" s="1987"/>
      <c r="X969" s="1987"/>
      <c r="Y969" s="1987"/>
      <c r="Z969" s="1987"/>
      <c r="AD969" s="1987"/>
    </row>
    <row r="970" spans="2:30" s="603" customFormat="1" ht="12.75" x14ac:dyDescent="0.25">
      <c r="I970" s="2216"/>
      <c r="J970" s="2216"/>
      <c r="K970" s="2216"/>
      <c r="M970" s="2217"/>
      <c r="N970" s="2216"/>
      <c r="P970" s="2217"/>
      <c r="Q970" s="2217"/>
      <c r="V970" s="1987"/>
      <c r="W970" s="1987"/>
      <c r="X970" s="1987"/>
      <c r="Y970" s="1987"/>
      <c r="Z970" s="1987"/>
      <c r="AA970" s="1987"/>
      <c r="AB970" s="1987"/>
      <c r="AC970" s="1987"/>
      <c r="AD970" s="1987"/>
    </row>
    <row r="971" spans="2:30" s="603" customFormat="1" ht="12.75" x14ac:dyDescent="0.25">
      <c r="I971" s="2216"/>
      <c r="J971" s="2216"/>
      <c r="K971" s="2216"/>
      <c r="M971" s="2217"/>
      <c r="N971" s="2216"/>
      <c r="P971" s="2217"/>
      <c r="Q971" s="2217"/>
      <c r="V971" s="1987"/>
      <c r="W971" s="1987"/>
      <c r="X971" s="1987"/>
      <c r="Y971" s="1987"/>
      <c r="Z971" s="1987"/>
      <c r="AA971" s="1987"/>
      <c r="AB971" s="1987"/>
      <c r="AC971" s="1987"/>
      <c r="AD971" s="1987"/>
    </row>
    <row r="972" spans="2:30" s="603" customFormat="1" ht="12.75" x14ac:dyDescent="0.25">
      <c r="I972" s="2216"/>
      <c r="J972" s="2216"/>
      <c r="K972" s="2216"/>
      <c r="M972" s="2217"/>
      <c r="N972" s="2216"/>
      <c r="P972" s="2217"/>
      <c r="Q972" s="2217"/>
      <c r="V972" s="1987"/>
      <c r="W972" s="1987"/>
      <c r="X972" s="1987"/>
      <c r="Y972" s="1987"/>
      <c r="Z972" s="1987"/>
      <c r="AB972" s="1987"/>
      <c r="AC972" s="1987"/>
      <c r="AD972" s="1987"/>
    </row>
    <row r="973" spans="2:30" s="603" customFormat="1" ht="12.75" x14ac:dyDescent="0.25">
      <c r="I973" s="2216"/>
      <c r="J973" s="2216"/>
      <c r="K973" s="2216"/>
      <c r="M973" s="2217"/>
      <c r="N973" s="2216"/>
      <c r="P973" s="2217"/>
      <c r="Q973" s="2217"/>
    </row>
    <row r="974" spans="2:30" s="603" customFormat="1" ht="12.75" x14ac:dyDescent="0.25">
      <c r="I974" s="2216"/>
      <c r="J974" s="2216"/>
      <c r="K974" s="2216"/>
      <c r="M974" s="2217"/>
      <c r="N974" s="2216"/>
      <c r="P974" s="2217"/>
      <c r="Q974" s="2217"/>
    </row>
    <row r="975" spans="2:30" s="603" customFormat="1" ht="12.75" x14ac:dyDescent="0.25">
      <c r="I975" s="2216"/>
      <c r="J975" s="2216"/>
      <c r="K975" s="2216"/>
      <c r="M975" s="2217"/>
      <c r="N975" s="2216"/>
      <c r="P975" s="2217"/>
      <c r="Q975" s="2217"/>
    </row>
    <row r="976" spans="2:30" s="603" customFormat="1" ht="12.75" x14ac:dyDescent="0.25">
      <c r="I976" s="2216"/>
      <c r="J976" s="2216"/>
      <c r="K976" s="2216"/>
      <c r="M976" s="2217"/>
      <c r="N976" s="2216"/>
      <c r="P976" s="2217"/>
      <c r="Q976" s="2217"/>
    </row>
    <row r="977" spans="20:30" s="603" customFormat="1" ht="12.75" x14ac:dyDescent="0.25"/>
    <row r="978" spans="20:30" s="603" customFormat="1" ht="12.75" x14ac:dyDescent="0.25"/>
    <row r="979" spans="20:30" s="603" customFormat="1" ht="12.75" x14ac:dyDescent="0.25">
      <c r="T979" s="1987"/>
      <c r="U979" s="1987"/>
      <c r="V979" s="1987"/>
      <c r="W979" s="1987"/>
      <c r="X979" s="1987"/>
      <c r="Y979" s="1987"/>
      <c r="Z979" s="1987"/>
      <c r="AA979" s="1987"/>
      <c r="AB979" s="1987"/>
      <c r="AC979" s="1987"/>
      <c r="AD979" s="1987"/>
    </row>
    <row r="980" spans="20:30" s="603" customFormat="1" ht="12.75" x14ac:dyDescent="0.25">
      <c r="T980" s="1987"/>
      <c r="Z980" s="2254"/>
      <c r="AA980" s="2254"/>
      <c r="AB980" s="1987"/>
      <c r="AC980" s="831"/>
      <c r="AD980" s="831"/>
    </row>
    <row r="981" spans="20:30" s="603" customFormat="1" ht="12.75" x14ac:dyDescent="0.25">
      <c r="T981" s="1987"/>
    </row>
    <row r="982" spans="20:30" s="603" customFormat="1" ht="12.75" x14ac:dyDescent="0.25">
      <c r="T982" s="1987"/>
    </row>
    <row r="983" spans="20:30" s="603" customFormat="1" ht="12.75" x14ac:dyDescent="0.25">
      <c r="T983" s="1987"/>
    </row>
    <row r="984" spans="20:30" s="603" customFormat="1" ht="12.75" x14ac:dyDescent="0.25">
      <c r="T984" s="1987"/>
    </row>
    <row r="985" spans="20:30" s="603" customFormat="1" ht="12.75" x14ac:dyDescent="0.25">
      <c r="T985" s="1987"/>
    </row>
    <row r="986" spans="20:30" s="603" customFormat="1" ht="12.75" x14ac:dyDescent="0.25">
      <c r="T986" s="1987"/>
    </row>
    <row r="987" spans="20:30" s="603" customFormat="1" ht="12.75" x14ac:dyDescent="0.25">
      <c r="T987" s="1987"/>
    </row>
    <row r="988" spans="20:30" s="603" customFormat="1" ht="12.75" x14ac:dyDescent="0.25">
      <c r="T988" s="1987"/>
    </row>
    <row r="989" spans="20:30" s="603" customFormat="1" ht="12.75" x14ac:dyDescent="0.25">
      <c r="T989" s="1987"/>
    </row>
    <row r="990" spans="20:30" s="603" customFormat="1" ht="12.75" x14ac:dyDescent="0.25">
      <c r="T990" s="1987"/>
    </row>
    <row r="991" spans="20:30" s="603" customFormat="1" ht="12.75" x14ac:dyDescent="0.25">
      <c r="T991" s="1987"/>
    </row>
    <row r="992" spans="20:30" s="603" customFormat="1" ht="12.75" x14ac:dyDescent="0.25">
      <c r="T992" s="1987"/>
    </row>
    <row r="993" spans="20:30" s="603" customFormat="1" ht="12.75" x14ac:dyDescent="0.25">
      <c r="T993" s="1987"/>
    </row>
    <row r="994" spans="20:30" s="603" customFormat="1" ht="12.75" x14ac:dyDescent="0.25">
      <c r="T994" s="1987"/>
    </row>
    <row r="995" spans="20:30" s="603" customFormat="1" ht="12.75" x14ac:dyDescent="0.25">
      <c r="T995" s="1987"/>
    </row>
    <row r="996" spans="20:30" s="603" customFormat="1" ht="12.75" x14ac:dyDescent="0.25">
      <c r="T996" s="1987"/>
    </row>
    <row r="997" spans="20:30" s="603" customFormat="1" ht="12.75" x14ac:dyDescent="0.25">
      <c r="T997" s="1987"/>
      <c r="U997" s="1987"/>
      <c r="V997" s="1987"/>
      <c r="W997" s="1987"/>
      <c r="X997" s="1987"/>
      <c r="Y997" s="1987"/>
      <c r="Z997" s="1987"/>
      <c r="AA997" s="1987"/>
      <c r="AB997" s="1987"/>
      <c r="AC997" s="1987"/>
      <c r="AD997" s="1987"/>
    </row>
    <row r="998" spans="20:30" s="603" customFormat="1" ht="12.75" x14ac:dyDescent="0.25">
      <c r="T998" s="1987"/>
      <c r="U998" s="1987"/>
      <c r="V998" s="1987"/>
      <c r="W998" s="1987"/>
      <c r="X998" s="1987"/>
      <c r="Y998" s="1987"/>
      <c r="Z998" s="1987"/>
      <c r="AA998" s="1987"/>
      <c r="AB998" s="1987"/>
      <c r="AC998" s="1987"/>
      <c r="AD998" s="1987"/>
    </row>
    <row r="999" spans="20:30" s="603" customFormat="1" ht="12.75" x14ac:dyDescent="0.25">
      <c r="T999" s="1987"/>
      <c r="U999" s="1987"/>
      <c r="V999" s="1987"/>
      <c r="W999" s="1987"/>
      <c r="X999" s="1987"/>
      <c r="Y999" s="1987"/>
    </row>
    <row r="1000" spans="20:30" s="603" customFormat="1" ht="12.75" x14ac:dyDescent="0.25">
      <c r="T1000" s="1987"/>
      <c r="U1000" s="1987"/>
      <c r="V1000" s="1987"/>
      <c r="W1000" s="1987"/>
      <c r="X1000" s="1987"/>
      <c r="Y1000" s="1987"/>
    </row>
    <row r="1001" spans="20:30" s="603" customFormat="1" ht="12.75" x14ac:dyDescent="0.25">
      <c r="T1001" s="1987"/>
      <c r="U1001" s="1987"/>
      <c r="V1001" s="1987"/>
      <c r="W1001" s="1987"/>
      <c r="X1001" s="1987"/>
      <c r="Y1001" s="1987"/>
    </row>
    <row r="1002" spans="20:30" s="603" customFormat="1" ht="12.75" x14ac:dyDescent="0.25">
      <c r="T1002" s="1987"/>
      <c r="U1002" s="1987"/>
      <c r="V1002" s="1987"/>
      <c r="W1002" s="1987"/>
      <c r="X1002" s="1987"/>
      <c r="Y1002" s="1987"/>
    </row>
    <row r="1003" spans="20:30" s="603" customFormat="1" ht="12.75" x14ac:dyDescent="0.25">
      <c r="T1003" s="1987"/>
      <c r="U1003" s="1987"/>
      <c r="V1003" s="1987"/>
      <c r="W1003" s="1987"/>
      <c r="X1003" s="1987"/>
      <c r="Y1003" s="1987"/>
    </row>
    <row r="1004" spans="20:30" s="603" customFormat="1" ht="12.75" x14ac:dyDescent="0.25">
      <c r="T1004" s="1987"/>
      <c r="U1004" s="1987"/>
      <c r="V1004" s="1987"/>
      <c r="W1004" s="1987"/>
      <c r="X1004" s="1987"/>
      <c r="Y1004" s="1987"/>
    </row>
    <row r="1005" spans="20:30" s="603" customFormat="1" ht="12.75" x14ac:dyDescent="0.25">
      <c r="T1005" s="1987"/>
      <c r="U1005" s="1987"/>
      <c r="V1005" s="1987"/>
      <c r="W1005" s="1987"/>
      <c r="X1005" s="1987"/>
      <c r="Y1005" s="1987"/>
    </row>
    <row r="1006" spans="20:30" s="603" customFormat="1" ht="12.75" x14ac:dyDescent="0.25">
      <c r="T1006" s="1987"/>
      <c r="U1006" s="1987"/>
      <c r="V1006" s="1987"/>
      <c r="W1006" s="1987"/>
      <c r="X1006" s="1987"/>
      <c r="Y1006" s="1987"/>
    </row>
    <row r="1007" spans="20:30" s="603" customFormat="1" ht="12.75" x14ac:dyDescent="0.25">
      <c r="T1007" s="1987"/>
      <c r="U1007" s="1987"/>
      <c r="V1007" s="1987"/>
      <c r="W1007" s="1987"/>
      <c r="X1007" s="1987"/>
      <c r="Y1007" s="1987"/>
    </row>
    <row r="1008" spans="20:30" s="603" customFormat="1" ht="12.75" x14ac:dyDescent="0.25">
      <c r="T1008" s="1987"/>
      <c r="U1008" s="1987"/>
      <c r="V1008" s="1987"/>
      <c r="W1008" s="1987"/>
      <c r="X1008" s="1987"/>
      <c r="Y1008" s="1987"/>
    </row>
    <row r="1009" spans="20:30" s="603" customFormat="1" ht="12.75" x14ac:dyDescent="0.25">
      <c r="T1009" s="1987"/>
      <c r="U1009" s="1987"/>
      <c r="V1009" s="1987"/>
      <c r="W1009" s="1987"/>
      <c r="X1009" s="1987"/>
      <c r="Y1009" s="1987"/>
    </row>
    <row r="1010" spans="20:30" s="603" customFormat="1" ht="12.75" x14ac:dyDescent="0.25">
      <c r="T1010" s="1987"/>
      <c r="U1010" s="1987"/>
      <c r="V1010" s="1987"/>
      <c r="W1010" s="1987"/>
      <c r="X1010" s="1987"/>
      <c r="Y1010" s="1987"/>
    </row>
    <row r="1011" spans="20:30" s="603" customFormat="1" ht="12.75" x14ac:dyDescent="0.25">
      <c r="T1011" s="1987"/>
      <c r="U1011" s="1987"/>
      <c r="V1011" s="1987"/>
      <c r="W1011" s="1987"/>
      <c r="X1011" s="1987"/>
      <c r="Y1011" s="1987"/>
    </row>
    <row r="1012" spans="20:30" s="603" customFormat="1" ht="12.75" x14ac:dyDescent="0.25">
      <c r="T1012" s="1987"/>
      <c r="U1012" s="1987"/>
      <c r="V1012" s="1987"/>
      <c r="W1012" s="1987"/>
      <c r="X1012" s="1987"/>
      <c r="Y1012" s="1987"/>
    </row>
    <row r="1013" spans="20:30" s="603" customFormat="1" ht="12.75" x14ac:dyDescent="0.25">
      <c r="T1013" s="1987"/>
      <c r="U1013" s="1987"/>
      <c r="V1013" s="1987"/>
      <c r="W1013" s="1987"/>
      <c r="X1013" s="1987"/>
      <c r="Y1013" s="1987"/>
      <c r="Z1013" s="1987"/>
      <c r="AA1013" s="1987"/>
      <c r="AB1013" s="1987"/>
      <c r="AC1013" s="1987"/>
      <c r="AD1013" s="1987"/>
    </row>
    <row r="1014" spans="20:30" s="603" customFormat="1" ht="12.75" x14ac:dyDescent="0.25">
      <c r="T1014" s="1987"/>
      <c r="U1014" s="1987"/>
      <c r="V1014" s="1987"/>
      <c r="W1014" s="1987"/>
      <c r="X1014" s="1987"/>
      <c r="Y1014" s="1987"/>
      <c r="Z1014" s="1987"/>
      <c r="AA1014" s="1987"/>
      <c r="AB1014" s="1987"/>
      <c r="AC1014" s="1987"/>
      <c r="AD1014" s="1987"/>
    </row>
    <row r="1015" spans="20:30" s="603" customFormat="1" ht="12.75" x14ac:dyDescent="0.25">
      <c r="T1015" s="1987"/>
      <c r="U1015" s="1987"/>
      <c r="V1015" s="1987"/>
      <c r="W1015" s="1987"/>
      <c r="X1015" s="1987"/>
      <c r="Y1015" s="1987"/>
      <c r="Z1015" s="1987"/>
      <c r="AA1015" s="1987"/>
      <c r="AB1015" s="1987"/>
      <c r="AC1015" s="1987"/>
      <c r="AD1015" s="1987"/>
    </row>
    <row r="1016" spans="20:30" s="603" customFormat="1" ht="12.75" x14ac:dyDescent="0.25">
      <c r="T1016" s="1987"/>
      <c r="U1016" s="1987"/>
      <c r="V1016" s="1987"/>
      <c r="W1016" s="1987"/>
      <c r="X1016" s="1987"/>
      <c r="Y1016" s="1987"/>
      <c r="Z1016" s="1987"/>
      <c r="AA1016" s="1987"/>
      <c r="AB1016" s="1987"/>
      <c r="AC1016" s="1987"/>
      <c r="AD1016" s="1987"/>
    </row>
    <row r="1017" spans="20:30" s="603" customFormat="1" ht="12.75" x14ac:dyDescent="0.25">
      <c r="T1017" s="1987"/>
      <c r="U1017" s="1987"/>
      <c r="V1017" s="1987"/>
      <c r="W1017" s="1987"/>
      <c r="X1017" s="1987"/>
      <c r="Y1017" s="1987"/>
      <c r="Z1017" s="1987"/>
      <c r="AA1017" s="1987"/>
      <c r="AB1017" s="1987"/>
      <c r="AC1017" s="1987"/>
      <c r="AD1017" s="1987"/>
    </row>
    <row r="1018" spans="20:30" s="603" customFormat="1" ht="12.75" x14ac:dyDescent="0.25">
      <c r="T1018" s="1987"/>
      <c r="U1018" s="1987"/>
      <c r="V1018" s="1987"/>
      <c r="W1018" s="1987"/>
      <c r="X1018" s="1987"/>
      <c r="Y1018" s="1987"/>
      <c r="Z1018" s="1987"/>
      <c r="AA1018" s="1987"/>
      <c r="AB1018" s="1987"/>
      <c r="AC1018" s="1987"/>
      <c r="AD1018" s="1987"/>
    </row>
    <row r="1019" spans="20:30" s="603" customFormat="1" ht="12.75" x14ac:dyDescent="0.25">
      <c r="T1019" s="1987"/>
      <c r="U1019" s="1987"/>
      <c r="V1019" s="1987"/>
      <c r="W1019" s="1987"/>
      <c r="X1019" s="1987"/>
      <c r="Y1019" s="1987"/>
      <c r="Z1019" s="1987"/>
      <c r="AA1019" s="1987"/>
      <c r="AB1019" s="1987"/>
      <c r="AC1019" s="1987"/>
      <c r="AD1019" s="1987"/>
    </row>
    <row r="1020" spans="20:30" s="603" customFormat="1" ht="12.75" x14ac:dyDescent="0.25">
      <c r="T1020" s="1987"/>
      <c r="U1020" s="1987"/>
      <c r="V1020" s="1987"/>
      <c r="W1020" s="1987"/>
      <c r="X1020" s="1987"/>
      <c r="Y1020" s="1987"/>
      <c r="Z1020" s="1987"/>
      <c r="AA1020" s="1987"/>
      <c r="AB1020" s="1987"/>
      <c r="AC1020" s="1987"/>
      <c r="AD1020" s="1987"/>
    </row>
    <row r="1021" spans="20:30" s="603" customFormat="1" ht="12.75" x14ac:dyDescent="0.25">
      <c r="T1021" s="1987"/>
      <c r="U1021" s="1987"/>
      <c r="V1021" s="1987"/>
      <c r="W1021" s="1987"/>
      <c r="X1021" s="1987"/>
      <c r="Y1021" s="1987"/>
      <c r="Z1021" s="1987"/>
      <c r="AA1021" s="1987"/>
      <c r="AB1021" s="1987"/>
      <c r="AC1021" s="1987"/>
      <c r="AD1021" s="1987"/>
    </row>
    <row r="1022" spans="20:30" s="603" customFormat="1" ht="12.75" x14ac:dyDescent="0.25"/>
    <row r="1023" spans="20:30" s="603" customFormat="1" ht="12.75" x14ac:dyDescent="0.25"/>
    <row r="1024" spans="20:30" s="603" customFormat="1" ht="12.75" x14ac:dyDescent="0.25"/>
    <row r="1025" s="603" customFormat="1" ht="12.75" x14ac:dyDescent="0.25"/>
    <row r="1026" s="603" customFormat="1" ht="12.75" x14ac:dyDescent="0.25"/>
    <row r="1027" s="603" customFormat="1" ht="12.75" x14ac:dyDescent="0.25"/>
    <row r="1028" s="603" customFormat="1" ht="12.75" x14ac:dyDescent="0.25"/>
    <row r="1029" s="603" customFormat="1" ht="12.75" x14ac:dyDescent="0.25"/>
    <row r="1030" s="603" customFormat="1" ht="12.75" x14ac:dyDescent="0.25"/>
    <row r="1031" s="603" customFormat="1" ht="12.75" x14ac:dyDescent="0.25"/>
    <row r="1032" s="603" customFormat="1" ht="12.75" x14ac:dyDescent="0.25"/>
    <row r="1033" s="603" customFormat="1" ht="12.75" x14ac:dyDescent="0.25"/>
    <row r="1034" s="603" customFormat="1" ht="12.75" x14ac:dyDescent="0.25"/>
    <row r="1035" s="603" customFormat="1" ht="12.75" x14ac:dyDescent="0.25"/>
    <row r="1036" s="603" customFormat="1" ht="12.75" x14ac:dyDescent="0.25"/>
    <row r="1037" s="603" customFormat="1" ht="12.75" x14ac:dyDescent="0.25"/>
    <row r="1038" s="603" customFormat="1" ht="12.75" x14ac:dyDescent="0.25"/>
    <row r="1039" s="603" customFormat="1" ht="12.75" x14ac:dyDescent="0.25"/>
    <row r="1040" s="603" customFormat="1" ht="12.75" x14ac:dyDescent="0.25"/>
    <row r="1041" spans="37:40" ht="12.75" x14ac:dyDescent="0.25">
      <c r="AK1041" s="603"/>
      <c r="AL1041" s="603"/>
      <c r="AM1041" s="603"/>
      <c r="AN1041" s="603"/>
    </row>
    <row r="1042" spans="37:40" ht="12.75" x14ac:dyDescent="0.25">
      <c r="AK1042" s="603"/>
      <c r="AL1042" s="603"/>
      <c r="AM1042" s="603"/>
      <c r="AN1042" s="603"/>
    </row>
    <row r="1043" spans="37:40" ht="12.75" x14ac:dyDescent="0.25">
      <c r="AK1043" s="603"/>
      <c r="AL1043" s="603"/>
      <c r="AM1043" s="603"/>
      <c r="AN1043" s="603"/>
    </row>
    <row r="1044" spans="37:40" ht="12.75" x14ac:dyDescent="0.25">
      <c r="AK1044" s="603"/>
      <c r="AL1044" s="603"/>
      <c r="AM1044" s="603"/>
      <c r="AN1044" s="603"/>
    </row>
    <row r="1045" spans="37:40" ht="12.75" x14ac:dyDescent="0.25">
      <c r="AK1045" s="603"/>
      <c r="AL1045" s="603"/>
      <c r="AM1045" s="603"/>
      <c r="AN1045" s="603"/>
    </row>
  </sheetData>
  <sheetProtection password="D5B5" sheet="1" objects="1" scenarios="1"/>
  <mergeCells count="1">
    <mergeCell ref="AO583:AO584"/>
  </mergeCells>
  <conditionalFormatting sqref="C3">
    <cfRule type="cellIs" dxfId="31" priority="10" stopIfTrue="1" operator="equal">
      <formula>$L$914</formula>
    </cfRule>
    <cfRule type="cellIs" dxfId="30" priority="11" stopIfTrue="1" operator="equal">
      <formula>$L$913</formula>
    </cfRule>
    <cfRule type="expression" dxfId="29" priority="12" stopIfTrue="1">
      <formula>""</formula>
    </cfRule>
  </conditionalFormatting>
  <conditionalFormatting sqref="C3">
    <cfRule type="cellIs" dxfId="28" priority="7" stopIfTrue="1" operator="equal">
      <formula>$L$914</formula>
    </cfRule>
    <cfRule type="cellIs" dxfId="27" priority="8" stopIfTrue="1" operator="equal">
      <formula>$L$913</formula>
    </cfRule>
    <cfRule type="expression" dxfId="26" priority="9" stopIfTrue="1">
      <formula>""</formula>
    </cfRule>
  </conditionalFormatting>
  <conditionalFormatting sqref="C3">
    <cfRule type="cellIs" dxfId="25" priority="4" stopIfTrue="1" operator="equal">
      <formula>$L$914</formula>
    </cfRule>
    <cfRule type="cellIs" dxfId="24" priority="5" stopIfTrue="1" operator="equal">
      <formula>$L$913</formula>
    </cfRule>
    <cfRule type="expression" dxfId="23" priority="6" stopIfTrue="1">
      <formula>""</formula>
    </cfRule>
  </conditionalFormatting>
  <conditionalFormatting sqref="C3">
    <cfRule type="cellIs" dxfId="22" priority="1" stopIfTrue="1" operator="equal">
      <formula>$L$914</formula>
    </cfRule>
    <cfRule type="cellIs" dxfId="21" priority="2" stopIfTrue="1" operator="equal">
      <formula>$L$913</formula>
    </cfRule>
    <cfRule type="expression" dxfId="20" priority="3" stopIfTrue="1">
      <formula>""</formula>
    </cfRule>
  </conditionalFormatting>
  <dataValidations disablePrompts="1" count="28">
    <dataValidation type="list" allowBlank="1" showInputMessage="1" showErrorMessage="1" sqref="V242" xr:uid="{00000000-0002-0000-2800-000000000000}">
      <formula1>$H$913:$H$915</formula1>
    </dataValidation>
    <dataValidation type="list" allowBlank="1" showInputMessage="1" showErrorMessage="1" sqref="W241" xr:uid="{00000000-0002-0000-2800-000001000000}">
      <formula1>$AO$896:$AO$897</formula1>
    </dataValidation>
    <dataValidation type="list" allowBlank="1" showInputMessage="1" showErrorMessage="1" sqref="C336" xr:uid="{00000000-0002-0000-2800-000002000000}">
      <formula1>H950:H953</formula1>
    </dataValidation>
    <dataValidation type="list" allowBlank="1" showInputMessage="1" showErrorMessage="1" sqref="C335" xr:uid="{00000000-0002-0000-2800-000003000000}">
      <formula1>B925:B929</formula1>
    </dataValidation>
    <dataValidation type="list" allowBlank="1" showInputMessage="1" showErrorMessage="1" sqref="C334" xr:uid="{00000000-0002-0000-2800-000004000000}">
      <formula1>T311:AI311</formula1>
    </dataValidation>
    <dataValidation type="list" allowBlank="1" showInputMessage="1" showErrorMessage="1" sqref="C333" xr:uid="{00000000-0002-0000-2800-000005000000}">
      <formula1>F950:F961</formula1>
    </dataValidation>
    <dataValidation type="list" allowBlank="1" showInputMessage="1" showErrorMessage="1" sqref="C331" xr:uid="{00000000-0002-0000-2800-000006000000}">
      <formula1>U955:AI955</formula1>
    </dataValidation>
    <dataValidation type="list" allowBlank="1" showInputMessage="1" showErrorMessage="1" sqref="C326" xr:uid="{00000000-0002-0000-2800-000007000000}">
      <formula1>H950:H953</formula1>
    </dataValidation>
    <dataValidation type="list" allowBlank="1" showInputMessage="1" showErrorMessage="1" sqref="C325" xr:uid="{00000000-0002-0000-2800-000008000000}">
      <formula1>B925:B929</formula1>
    </dataValidation>
    <dataValidation type="list" allowBlank="1" showInputMessage="1" showErrorMessage="1" sqref="C324" xr:uid="{00000000-0002-0000-2800-000009000000}">
      <formula1>T311:AI311</formula1>
    </dataValidation>
    <dataValidation type="list" allowBlank="1" showInputMessage="1" showErrorMessage="1" sqref="C323" xr:uid="{00000000-0002-0000-2800-00000A000000}">
      <formula1>F950:F961</formula1>
    </dataValidation>
    <dataValidation type="list" allowBlank="1" showInputMessage="1" showErrorMessage="1" sqref="C321" xr:uid="{00000000-0002-0000-2800-00000B000000}">
      <formula1>U955:AI955</formula1>
    </dataValidation>
    <dataValidation type="list" allowBlank="1" showInputMessage="1" showErrorMessage="1" sqref="C316" xr:uid="{00000000-0002-0000-2800-00000C000000}">
      <formula1>H950:H953</formula1>
    </dataValidation>
    <dataValidation type="list" allowBlank="1" showInputMessage="1" showErrorMessage="1" sqref="C315" xr:uid="{00000000-0002-0000-2800-00000D000000}">
      <formula1>B925:B929</formula1>
    </dataValidation>
    <dataValidation type="list" allowBlank="1" showInputMessage="1" showErrorMessage="1" sqref="C314" xr:uid="{00000000-0002-0000-2800-00000E000000}">
      <formula1>T311:AI311</formula1>
    </dataValidation>
    <dataValidation type="list" allowBlank="1" showInputMessage="1" showErrorMessage="1" sqref="C313" xr:uid="{00000000-0002-0000-2800-00000F000000}">
      <formula1>F950:F961</formula1>
    </dataValidation>
    <dataValidation type="list" allowBlank="1" showInputMessage="1" showErrorMessage="1" sqref="C311" xr:uid="{00000000-0002-0000-2800-000010000000}">
      <formula1>U955:AI955</formula1>
    </dataValidation>
    <dataValidation type="list" allowBlank="1" showInputMessage="1" showErrorMessage="1" sqref="C270" xr:uid="{00000000-0002-0000-2800-000011000000}">
      <formula1>L945:L959</formula1>
    </dataValidation>
    <dataValidation type="list" allowBlank="1" showInputMessage="1" showErrorMessage="1" sqref="C257" xr:uid="{00000000-0002-0000-2800-000012000000}">
      <formula1>F950:F961</formula1>
    </dataValidation>
    <dataValidation type="list" allowBlank="1" showInputMessage="1" showErrorMessage="1" sqref="C246 C258" xr:uid="{00000000-0002-0000-2800-000013000000}">
      <formula1>T247:AI247</formula1>
    </dataValidation>
    <dataValidation type="list" allowBlank="1" showInputMessage="1" showErrorMessage="1" sqref="C245" xr:uid="{00000000-0002-0000-2800-000014000000}">
      <formula1>F950:F961</formula1>
    </dataValidation>
    <dataValidation type="custom" allowBlank="1" showInputMessage="1" showErrorMessage="1" errorTitle="Período de Gracia No Aplicable" error="El período de gracia debe ser menor al plazo (en meses)." sqref="C372 C362 C352" xr:uid="{00000000-0002-0000-2800-000015000000}">
      <formula1>C352&lt;(C351*12)</formula1>
    </dataValidation>
    <dataValidation type="list" allowBlank="1" showInputMessage="1" showErrorMessage="1" sqref="C365 C375" xr:uid="{00000000-0002-0000-2800-000016000000}">
      <formula1>$B$925:$B$926</formula1>
    </dataValidation>
    <dataValidation type="list" allowBlank="1" showInputMessage="1" showErrorMessage="1" sqref="C364 C374 C354" xr:uid="{00000000-0002-0000-2800-000017000000}">
      <formula1>$T$311:$AI$311</formula1>
    </dataValidation>
    <dataValidation type="list" allowBlank="1" showInputMessage="1" showErrorMessage="1" sqref="C356 C366 C376" xr:uid="{00000000-0002-0000-2800-000018000000}">
      <formula1>$H$950:$H$953</formula1>
    </dataValidation>
    <dataValidation type="list" allowBlank="1" showInputMessage="1" showErrorMessage="1" sqref="C355" xr:uid="{00000000-0002-0000-2800-000019000000}">
      <formula1>$B$925:$B$929</formula1>
    </dataValidation>
    <dataValidation type="list" allowBlank="1" showInputMessage="1" showErrorMessage="1" sqref="C353 C363 C373" xr:uid="{00000000-0002-0000-2800-00001A000000}">
      <formula1>$F$950:$F$961</formula1>
    </dataValidation>
    <dataValidation type="list" allowBlank="1" showInputMessage="1" showErrorMessage="1" sqref="C351 C361 C371" xr:uid="{00000000-0002-0000-2800-00001B000000}">
      <formula1>$U$955:$AI$955</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2"/>
  <dimension ref="A1:CM1048572"/>
  <sheetViews>
    <sheetView showGridLines="0" showRowColHeaders="0" zoomScale="50" zoomScaleNormal="50" workbookViewId="0">
      <selection activeCell="B8" sqref="B8:E10"/>
    </sheetView>
  </sheetViews>
  <sheetFormatPr baseColWidth="10" defaultColWidth="10.28515625" defaultRowHeight="27.75" customHeight="1" x14ac:dyDescent="0.25"/>
  <cols>
    <col min="1" max="1" width="3.140625" style="2255" customWidth="1"/>
    <col min="2" max="2" width="59.28515625" style="659" bestFit="1" customWidth="1"/>
    <col min="3" max="3" width="31" style="659" customWidth="1"/>
    <col min="4" max="4" width="29" style="659" customWidth="1"/>
    <col min="5" max="5" width="30.42578125" style="659" customWidth="1"/>
    <col min="6" max="6" width="3.140625" style="659" customWidth="1"/>
    <col min="7" max="7" width="72.140625" style="659" bestFit="1" customWidth="1"/>
    <col min="8" max="8" width="32.85546875" style="659" customWidth="1"/>
    <col min="9" max="9" width="30" style="659" customWidth="1"/>
    <col min="10" max="10" width="31.7109375" style="659" customWidth="1"/>
    <col min="11" max="12" width="5.140625" style="2255" customWidth="1"/>
    <col min="13" max="13" width="6.5703125" style="2255" customWidth="1"/>
    <col min="14" max="14" width="91.140625" style="659" customWidth="1"/>
    <col min="15" max="30" width="41.85546875" style="659" customWidth="1"/>
    <col min="31" max="32" width="10.28515625" style="2255" customWidth="1"/>
    <col min="33" max="33" width="11.7109375" style="2255" customWidth="1"/>
    <col min="34" max="34" width="63.85546875" style="2255" customWidth="1"/>
    <col min="35" max="35" width="17.42578125" style="2255" customWidth="1"/>
    <col min="36" max="36" width="16.28515625" style="2255" customWidth="1"/>
    <col min="37" max="37" width="14.140625" style="2255" customWidth="1"/>
    <col min="38" max="38" width="31.140625" style="2255" customWidth="1"/>
    <col min="39" max="39" width="35.85546875" style="2255" customWidth="1"/>
    <col min="40" max="40" width="11.85546875" style="2255" customWidth="1"/>
    <col min="41" max="41" width="13.7109375" style="2255" hidden="1" customWidth="1"/>
    <col min="42" max="42" width="15.85546875" style="2255" customWidth="1"/>
    <col min="43" max="43" width="14.42578125" style="2255" customWidth="1"/>
    <col min="44" max="44" width="15.28515625" style="2255" customWidth="1"/>
    <col min="45" max="45" width="16.140625" style="2255" customWidth="1"/>
    <col min="46" max="46" width="13.7109375" style="2255" customWidth="1"/>
    <col min="47" max="47" width="16.28515625" style="2255" customWidth="1"/>
    <col min="48" max="56" width="10.28515625" style="2255" customWidth="1"/>
    <col min="57" max="57" width="17.140625" style="2255" customWidth="1"/>
    <col min="58" max="62" width="10.28515625" style="2255" customWidth="1"/>
    <col min="63" max="63" width="27.85546875" style="2255" customWidth="1"/>
    <col min="64" max="69" width="10.28515625" style="2255" customWidth="1"/>
    <col min="70" max="72" width="10.28515625" style="659" customWidth="1"/>
    <col min="73" max="73" width="14.140625" style="659" customWidth="1"/>
    <col min="74" max="74" width="15.140625" style="659" customWidth="1"/>
    <col min="75" max="75" width="10.42578125" style="659" customWidth="1"/>
    <col min="76" max="76" width="15.28515625" style="659" customWidth="1"/>
    <col min="77" max="77" width="18.42578125" style="659" customWidth="1"/>
    <col min="78" max="78" width="20" style="659" customWidth="1"/>
    <col min="79" max="79" width="18" style="659" customWidth="1"/>
    <col min="80" max="80" width="17.28515625" style="659" customWidth="1"/>
    <col min="81" max="82" width="21.7109375" style="659" customWidth="1"/>
    <col min="83" max="83" width="24.28515625" style="659" customWidth="1"/>
    <col min="84" max="84" width="16.85546875" style="659" customWidth="1"/>
    <col min="85" max="85" width="16.28515625" style="659" customWidth="1"/>
    <col min="86" max="86" width="40.5703125" style="659" customWidth="1"/>
    <col min="87" max="87" width="36.140625" style="659" customWidth="1"/>
    <col min="88" max="88" width="38.42578125" style="659" customWidth="1"/>
    <col min="89" max="89" width="35.42578125" style="659" customWidth="1"/>
    <col min="90" max="90" width="24" style="659" customWidth="1"/>
    <col min="91" max="91" width="22.42578125" style="659" customWidth="1"/>
    <col min="92" max="16384" width="10.28515625" style="659"/>
  </cols>
  <sheetData>
    <row r="1" spans="2:46" s="2255" customFormat="1" ht="26.25" x14ac:dyDescent="0.25">
      <c r="B1" s="2256"/>
      <c r="C1" s="2257"/>
      <c r="D1" s="2258"/>
      <c r="E1" s="2258"/>
    </row>
    <row r="2" spans="2:46" ht="30" x14ac:dyDescent="0.25">
      <c r="B2" s="2259"/>
      <c r="C2" s="2260"/>
      <c r="D2" s="2258"/>
      <c r="E2" s="2258"/>
      <c r="F2" s="2255"/>
      <c r="G2" s="2255"/>
      <c r="H2" s="2255"/>
      <c r="I2" s="2255"/>
      <c r="J2" s="2255"/>
      <c r="L2" s="2261"/>
    </row>
    <row r="3" spans="2:46" s="2255" customFormat="1" ht="27" x14ac:dyDescent="0.25">
      <c r="D3" s="2262"/>
    </row>
    <row r="4" spans="2:46" s="2255" customFormat="1" ht="12" x14ac:dyDescent="0.25"/>
    <row r="5" spans="2:46" x14ac:dyDescent="0.25">
      <c r="B5" s="3365" t="s">
        <v>1591</v>
      </c>
      <c r="C5" s="3365"/>
      <c r="D5" s="3365"/>
      <c r="E5" s="3365"/>
      <c r="F5" s="3365"/>
      <c r="G5" s="3365"/>
      <c r="H5" s="3365"/>
      <c r="I5" s="3365"/>
      <c r="J5" s="3365"/>
    </row>
    <row r="6" spans="2:46" s="2255" customFormat="1" x14ac:dyDescent="0.25">
      <c r="B6" s="3366" t="str">
        <f>'RC'!D7</f>
        <v>Prueba Da 27.08.23</v>
      </c>
      <c r="C6" s="3367"/>
      <c r="D6" s="3367"/>
      <c r="E6" s="3367"/>
      <c r="F6" s="3367"/>
      <c r="G6" s="3367"/>
      <c r="H6" s="3367"/>
      <c r="I6" s="3367"/>
      <c r="J6" s="3368"/>
      <c r="N6" s="2263"/>
    </row>
    <row r="7" spans="2:46" ht="27" x14ac:dyDescent="0.25">
      <c r="B7" s="2264"/>
      <c r="C7" s="3187" t="str">
        <f>'Estados Financieros'!E9</f>
        <v>Tasas:  = 0, -  = 0, -  = 0,</v>
      </c>
      <c r="D7" s="2264"/>
      <c r="E7" s="2265" t="str">
        <f>Resumen!T4</f>
        <v>Miles de Lempira HNL</v>
      </c>
      <c r="F7" s="2264"/>
      <c r="G7" s="2264"/>
      <c r="H7" s="2264"/>
      <c r="I7" s="2264"/>
      <c r="J7" s="2264"/>
      <c r="N7" s="2263"/>
      <c r="O7" s="2255"/>
      <c r="P7" s="2255"/>
      <c r="Q7" s="2255"/>
      <c r="R7" s="2255"/>
      <c r="S7" s="2255"/>
      <c r="T7" s="2255"/>
      <c r="U7" s="2255"/>
      <c r="V7" s="2255"/>
      <c r="W7" s="2255"/>
      <c r="X7" s="2255"/>
      <c r="Y7" s="2255"/>
      <c r="Z7" s="2255"/>
      <c r="AA7" s="2255"/>
      <c r="AB7" s="2255"/>
      <c r="AC7" s="2255"/>
      <c r="AD7" s="2255"/>
    </row>
    <row r="8" spans="2:46" s="2255" customFormat="1" x14ac:dyDescent="0.25">
      <c r="B8" s="3271" t="s">
        <v>899</v>
      </c>
      <c r="C8" s="3272"/>
      <c r="D8" s="3272"/>
      <c r="E8" s="3273"/>
      <c r="F8" s="2264"/>
      <c r="G8" s="2266" t="s">
        <v>1592</v>
      </c>
      <c r="H8" s="2267"/>
      <c r="I8" s="2267" t="s">
        <v>865</v>
      </c>
      <c r="J8" s="2268" t="s">
        <v>865</v>
      </c>
      <c r="N8" s="2263"/>
    </row>
    <row r="9" spans="2:46" x14ac:dyDescent="0.25">
      <c r="B9" s="3274"/>
      <c r="C9" s="3275" t="str">
        <f>IF(('Balances y Proyecciones'!Q17)&lt;&gt;360,CONCATENATE((LEFT('Balances y Proyecciones'!H16,3))," ",RIGHT('Balances y Proyecciones'!H15,2)),CONCATENATE((LEFT('Balances y Proyecciones'!E16,3))," ",RIGHT('Balances y Proyecciones'!E15,2)))</f>
        <v>Dic 20</v>
      </c>
      <c r="D9" s="3275" t="str">
        <f>IF(('Balances y Proyecciones'!Q17)&lt;&gt;360,CONCATENATE((LEFT('Balances y Proyecciones'!N16,3))," ",RIGHT('Balances y Proyecciones'!N15,2)),CONCATENATE((LEFT('Balances y Proyecciones'!H16,3))," ",RIGHT('Balances y Proyecciones'!H15,2)))</f>
        <v>Dic 21</v>
      </c>
      <c r="E9" s="3273" t="str">
        <f>IF(('Balances y Proyecciones'!Q17)&lt;&gt;360,CONCATENATE((LEFT('Balances y Proyecciones'!Q16,3))," ",RIGHT('Balances y Proyecciones'!Q15,2)),CONCATENATE((LEFT('Balances y Proyecciones'!N16,3))," ",RIGHT('Balances y Proyecciones'!N15,2)))</f>
        <v>Jun 21</v>
      </c>
      <c r="F9" s="2264"/>
      <c r="G9" s="2269"/>
      <c r="H9" s="2270" t="str">
        <f>IF(('Balances y Proyecciones'!Q17)&lt;&gt;360,CONCATENATE((LEFT('Balances y Proyecciones'!H16,3))," ",RIGHT('Balances y Proyecciones'!H15,2)),CONCATENATE((LEFT('Balances y Proyecciones'!E16,3))," ",RIGHT('Balances y Proyecciones'!E15,2)))</f>
        <v>Dic 20</v>
      </c>
      <c r="I9" s="2270" t="str">
        <f>IF(('Balances y Proyecciones'!Q17)&lt;&gt;360,CONCATENATE((LEFT('Balances y Proyecciones'!N16,3))," ",RIGHT('Balances y Proyecciones'!N15,2)),CONCATENATE((LEFT('Balances y Proyecciones'!H16,3))," ",RIGHT('Balances y Proyecciones'!H15,2)))</f>
        <v>Dic 21</v>
      </c>
      <c r="J9" s="2268" t="str">
        <f>IF(('Balances y Proyecciones'!Q17)&lt;&gt;360,CONCATENATE((LEFT('Balances y Proyecciones'!Q16,3))," ",RIGHT('Balances y Proyecciones'!Q15,2)),CONCATENATE((LEFT('Balances y Proyecciones'!N16,3))," ",RIGHT('Balances y Proyecciones'!N15,2)))</f>
        <v>Jun 21</v>
      </c>
      <c r="N9" s="2263"/>
      <c r="O9" s="2255"/>
      <c r="P9" s="2255"/>
      <c r="Q9" s="2255"/>
      <c r="R9" s="2255"/>
      <c r="S9" s="2255"/>
      <c r="T9" s="2255"/>
      <c r="U9" s="2255"/>
      <c r="V9" s="2255"/>
      <c r="W9" s="2255"/>
      <c r="X9" s="2255"/>
      <c r="Y9" s="2255"/>
      <c r="Z9" s="2255"/>
      <c r="AA9" s="2255"/>
      <c r="AB9" s="2255"/>
      <c r="AC9" s="2255"/>
      <c r="AD9" s="2255"/>
    </row>
    <row r="10" spans="2:46" x14ac:dyDescent="0.25">
      <c r="B10" s="3276"/>
      <c r="C10" s="3277" t="str">
        <f>IF(('Balances y Proyecciones'!Q17)&lt;&gt;360,'Estados Financieros'!F5,'Estados Financieros'!E5)</f>
        <v>Auditados Sin Salvedades</v>
      </c>
      <c r="D10" s="3277" t="str">
        <f>IF(('Balances y Proyecciones'!Q17)&lt;&gt;360,'Estados Financieros'!G5,'Estados Financieros'!F5)</f>
        <v>Auditados Sin Salvedades</v>
      </c>
      <c r="E10" s="3278" t="str">
        <f>IF(('Balances y Proyecciones'!Q17)&lt;&gt;360,'Estados Financieros'!H5,'Estados Financieros'!G5)</f>
        <v>No Auditados</v>
      </c>
      <c r="F10" s="2264"/>
      <c r="G10" s="2272" t="s">
        <v>1593</v>
      </c>
      <c r="H10" s="2273">
        <f>IF(('Balances y Proyecciones'!Q17)&lt;&gt;360,'Balances y Proyecciones'!H71,'Balances y Proyecciones'!E71)</f>
        <v>3610</v>
      </c>
      <c r="I10" s="2273">
        <f>IF(('Balances y Proyecciones'!Q17)&lt;&gt;360,'Balances y Proyecciones'!N71,'Balances y Proyecciones'!H71)</f>
        <v>3610</v>
      </c>
      <c r="J10" s="2274">
        <f>IF(('Balances y Proyecciones'!Q17)&lt;&gt;360,'Balances y Proyecciones'!Q71,'Balances y Proyecciones'!N71)</f>
        <v>3610</v>
      </c>
      <c r="N10" s="2275" t="str">
        <f>CONCATENATE(LEFT(B6,20), "  ", "(Cifras en $ MM)")</f>
        <v>Prueba Da 27.08.23  (Cifras en $ MM)</v>
      </c>
      <c r="O10" s="2264"/>
      <c r="P10" s="2264"/>
      <c r="Q10" s="2264"/>
      <c r="R10" s="2264"/>
      <c r="S10" s="2264"/>
      <c r="T10" s="2264"/>
      <c r="U10" s="2264"/>
      <c r="V10" s="2264"/>
      <c r="W10" s="2264"/>
      <c r="X10" s="2264"/>
      <c r="Y10" s="2264"/>
      <c r="Z10" s="2264"/>
      <c r="AA10" s="2264"/>
      <c r="AB10" s="2264"/>
      <c r="AC10" s="2264"/>
      <c r="AD10" s="2264"/>
    </row>
    <row r="11" spans="2:46" x14ac:dyDescent="0.25">
      <c r="B11" s="2276" t="s">
        <v>541</v>
      </c>
      <c r="C11" s="2277"/>
      <c r="D11" s="2277"/>
      <c r="E11" s="2278"/>
      <c r="F11" s="2264"/>
      <c r="G11" s="2272" t="s">
        <v>1594</v>
      </c>
      <c r="H11" s="2273">
        <f>IF(('Balances y Proyecciones'!Q17)&lt;&gt;360,-'Balances y Proyecciones'!H72-'Balances y Proyecciones'!H74,-'Balances y Proyecciones'!E72-'Balances y Proyecciones'!E74)</f>
        <v>-800</v>
      </c>
      <c r="I11" s="2273">
        <f>IF(('Balances y Proyecciones'!Q17)&lt;&gt;360,-'Balances y Proyecciones'!N72-'Balances y Proyecciones'!N74,-'Balances y Proyecciones'!H72-'Balances y Proyecciones'!H74)</f>
        <v>-800</v>
      </c>
      <c r="J11" s="2274">
        <f>IF(('Balances y Proyecciones'!Q17)&lt;&gt;360,-'Balances y Proyecciones'!Q72-'Balances y Proyecciones'!Q74,-'Balances y Proyecciones'!N72-'Balances y Proyecciones'!N74)</f>
        <v>-800</v>
      </c>
      <c r="N11" s="2279" t="s">
        <v>1595</v>
      </c>
      <c r="O11" s="2280">
        <f>'Balances y Proyecciones'!BE763</f>
        <v>2022</v>
      </c>
      <c r="P11" s="2280">
        <f>'Balances y Proyecciones'!BF763</f>
        <v>2023</v>
      </c>
      <c r="Q11" s="2280">
        <f>'Balances y Proyecciones'!BG763</f>
        <v>2024</v>
      </c>
      <c r="R11" s="2280">
        <f>'Balances y Proyecciones'!BH763</f>
        <v>2025</v>
      </c>
      <c r="S11" s="2280">
        <f>'Balances y Proyecciones'!BI763</f>
        <v>2026</v>
      </c>
      <c r="T11" s="2280">
        <f>'Balances y Proyecciones'!BJ763</f>
        <v>2027</v>
      </c>
      <c r="U11" s="2280">
        <f>'Balances y Proyecciones'!BK763</f>
        <v>2028</v>
      </c>
      <c r="V11" s="2280">
        <f>'Balances y Proyecciones'!BL763</f>
        <v>2029</v>
      </c>
      <c r="W11" s="2280">
        <f>'Balances y Proyecciones'!BM763</f>
        <v>2030</v>
      </c>
      <c r="X11" s="2280">
        <f>'Balances y Proyecciones'!BN763</f>
        <v>2031</v>
      </c>
      <c r="Y11" s="2280">
        <f>'Balances y Proyecciones'!BO763</f>
        <v>2032</v>
      </c>
      <c r="Z11" s="2280">
        <f>'Balances y Proyecciones'!BP763</f>
        <v>2033</v>
      </c>
      <c r="AA11" s="2280">
        <f>'Balances y Proyecciones'!BQ763</f>
        <v>2034</v>
      </c>
      <c r="AB11" s="2280">
        <f>'Balances y Proyecciones'!BR763</f>
        <v>2035</v>
      </c>
      <c r="AC11" s="2280">
        <f>'Balances y Proyecciones'!BS763</f>
        <v>2036</v>
      </c>
      <c r="AD11" s="2280">
        <f>'Balances y Proyecciones'!BT763</f>
        <v>2037</v>
      </c>
      <c r="AG11" s="2281" t="str">
        <f>CONCATENATE(B6," ", "Covenant")</f>
        <v>Prueba Da 27.08.23 Covenant</v>
      </c>
      <c r="AH11" s="2280">
        <f>O11</f>
        <v>2022</v>
      </c>
      <c r="AI11" s="2280">
        <f t="shared" ref="AI11:AT11" si="0">AH11+1</f>
        <v>2023</v>
      </c>
      <c r="AJ11" s="2280">
        <f t="shared" si="0"/>
        <v>2024</v>
      </c>
      <c r="AK11" s="2280">
        <f t="shared" si="0"/>
        <v>2025</v>
      </c>
      <c r="AL11" s="2280">
        <f t="shared" si="0"/>
        <v>2026</v>
      </c>
      <c r="AM11" s="2280">
        <f t="shared" si="0"/>
        <v>2027</v>
      </c>
      <c r="AN11" s="2280">
        <f t="shared" si="0"/>
        <v>2028</v>
      </c>
      <c r="AO11" s="2280">
        <f t="shared" si="0"/>
        <v>2029</v>
      </c>
      <c r="AP11" s="2280">
        <f t="shared" si="0"/>
        <v>2030</v>
      </c>
      <c r="AQ11" s="2280">
        <f t="shared" si="0"/>
        <v>2031</v>
      </c>
      <c r="AR11" s="2280">
        <f t="shared" si="0"/>
        <v>2032</v>
      </c>
      <c r="AS11" s="2280">
        <f t="shared" si="0"/>
        <v>2033</v>
      </c>
      <c r="AT11" s="2280">
        <f t="shared" si="0"/>
        <v>2034</v>
      </c>
    </row>
    <row r="12" spans="2:46" x14ac:dyDescent="0.25">
      <c r="B12" s="2272" t="s">
        <v>543</v>
      </c>
      <c r="C12" s="2282">
        <f>IF(('Balances y Proyecciones'!Q17)&lt;&gt;360,'Balances y Proyecciones'!H18,'Balances y Proyecciones'!E18)</f>
        <v>390</v>
      </c>
      <c r="D12" s="2282">
        <f>IF(('Balances y Proyecciones'!Q17)&lt;&gt;360,'Balances y Proyecciones'!N18,'Balances y Proyecciones'!H18)</f>
        <v>390</v>
      </c>
      <c r="E12" s="2283">
        <f>IF(('Balances y Proyecciones'!Q17)&lt;&gt;360,'Balances y Proyecciones'!Q18,'Balances y Proyecciones'!N18)</f>
        <v>390</v>
      </c>
      <c r="F12" s="2264"/>
      <c r="G12" s="2284" t="s">
        <v>1480</v>
      </c>
      <c r="H12" s="2285">
        <f>H10+H11</f>
        <v>2810</v>
      </c>
      <c r="I12" s="2285">
        <f>I10+I11</f>
        <v>2810</v>
      </c>
      <c r="J12" s="2286">
        <f>J10+J11</f>
        <v>2810</v>
      </c>
      <c r="N12" s="2287" t="s">
        <v>1596</v>
      </c>
      <c r="O12" s="2288">
        <f>'Balances y Proyecciones'!CC848</f>
        <v>3610</v>
      </c>
      <c r="P12" s="2288">
        <f>'Balances y Proyecciones'!CF848</f>
        <v>3610</v>
      </c>
      <c r="Q12" s="2288">
        <f>'Balances y Proyecciones'!CI848</f>
        <v>3610</v>
      </c>
      <c r="R12" s="2288">
        <f>'Balances y Proyecciones'!CL848</f>
        <v>3610</v>
      </c>
      <c r="S12" s="2288">
        <f>'Balances y Proyecciones'!CO848</f>
        <v>3610</v>
      </c>
      <c r="T12" s="2288">
        <f>'Balances y Proyecciones'!CR848</f>
        <v>3610</v>
      </c>
      <c r="U12" s="2288">
        <f>'Balances y Proyecciones'!CU848</f>
        <v>3610</v>
      </c>
      <c r="V12" s="2288">
        <f>'Balances y Proyecciones'!CX848</f>
        <v>3610</v>
      </c>
      <c r="W12" s="2288">
        <f>'Balances y Proyecciones'!DA848</f>
        <v>3610</v>
      </c>
      <c r="X12" s="2288">
        <f>'Balances y Proyecciones'!DD848</f>
        <v>3610</v>
      </c>
      <c r="Y12" s="2288">
        <f>'Balances y Proyecciones'!DG848</f>
        <v>3610</v>
      </c>
      <c r="Z12" s="2288">
        <f>'Balances y Proyecciones'!DJ848</f>
        <v>3610</v>
      </c>
      <c r="AA12" s="2288">
        <f>'Balances y Proyecciones'!DM848</f>
        <v>3610</v>
      </c>
      <c r="AB12" s="2288">
        <f>'Balances y Proyecciones'!DP848</f>
        <v>3610</v>
      </c>
      <c r="AC12" s="2288">
        <f>'Balances y Proyecciones'!DS848</f>
        <v>3610</v>
      </c>
      <c r="AD12" s="2288">
        <f>'Balances y Proyecciones'!DV848</f>
        <v>3610</v>
      </c>
      <c r="AG12" s="2289"/>
      <c r="AH12" s="2290"/>
      <c r="AI12" s="2290"/>
      <c r="AJ12" s="2290"/>
      <c r="AK12" s="2290"/>
      <c r="AL12" s="2290"/>
      <c r="AM12" s="2290"/>
      <c r="AN12" s="2290"/>
      <c r="AO12" s="2290"/>
      <c r="AP12" s="2290"/>
      <c r="AQ12" s="2290"/>
      <c r="AR12" s="2290"/>
      <c r="AS12" s="2290"/>
      <c r="AT12" s="2290"/>
    </row>
    <row r="13" spans="2:46" x14ac:dyDescent="0.25">
      <c r="B13" s="2272" t="s">
        <v>107</v>
      </c>
      <c r="C13" s="2282">
        <f>IF(('Balances y Proyecciones'!Q17)&lt;&gt;360,'Balances y Proyecciones'!H19+'Balances y Proyecciones'!H20,'Balances y Proyecciones'!E19+'Balances y Proyecciones'!E20)</f>
        <v>90</v>
      </c>
      <c r="D13" s="2282">
        <f>IF(('Balances y Proyecciones'!Q17)&lt;&gt;360,'Balances y Proyecciones'!N19+'Balances y Proyecciones'!N20,'Balances y Proyecciones'!H19+'Balances y Proyecciones'!H20)</f>
        <v>90</v>
      </c>
      <c r="E13" s="2283">
        <f>IF(('Balances y Proyecciones'!Q17)&lt;&gt;360,'Balances y Proyecciones'!Q19+'Balances y Proyecciones'!Q20,'Balances y Proyecciones'!N19+'Balances y Proyecciones'!N20)</f>
        <v>90</v>
      </c>
      <c r="F13" s="2264"/>
      <c r="G13" s="2284" t="s">
        <v>881</v>
      </c>
      <c r="H13" s="2285">
        <f>IF(('Balances y Proyecciones'!Q17)&lt;&gt;360,'Balances y Proyecciones'!H93,'Balances y Proyecciones'!E93)</f>
        <v>2850</v>
      </c>
      <c r="I13" s="2285">
        <f>IF(('Balances y Proyecciones'!Q17)&lt;&gt;360,'Balances y Proyecciones'!N93,'Balances y Proyecciones'!H93)</f>
        <v>2850</v>
      </c>
      <c r="J13" s="2286">
        <f>IF(('Balances y Proyecciones'!Q17)&lt;&gt;360,'Balances y Proyecciones'!Q93,'Balances y Proyecciones'!N93)</f>
        <v>2850</v>
      </c>
      <c r="N13" s="2291" t="s">
        <v>1597</v>
      </c>
      <c r="O13" s="2292">
        <f>'Balances y Proyecciones'!CE848</f>
        <v>0</v>
      </c>
      <c r="P13" s="2292">
        <f>'Balances y Proyecciones'!CH848</f>
        <v>0</v>
      </c>
      <c r="Q13" s="2292">
        <f>'Balances y Proyecciones'!CK848</f>
        <v>0</v>
      </c>
      <c r="R13" s="2292">
        <f>'Balances y Proyecciones'!CN848</f>
        <v>0</v>
      </c>
      <c r="S13" s="2292">
        <f>'Balances y Proyecciones'!CQ848</f>
        <v>0</v>
      </c>
      <c r="T13" s="2292">
        <f>'Balances y Proyecciones'!CT848</f>
        <v>0</v>
      </c>
      <c r="U13" s="2292">
        <f>'Balances y Proyecciones'!CW848</f>
        <v>0</v>
      </c>
      <c r="V13" s="2292">
        <f>'Balances y Proyecciones'!CZ848</f>
        <v>0</v>
      </c>
      <c r="W13" s="2292">
        <f>'Balances y Proyecciones'!DC848</f>
        <v>0</v>
      </c>
      <c r="X13" s="2292">
        <f>'Balances y Proyecciones'!DF848</f>
        <v>0</v>
      </c>
      <c r="Y13" s="2292">
        <f>'Balances y Proyecciones'!DI848</f>
        <v>0</v>
      </c>
      <c r="Z13" s="2292">
        <f>'Balances y Proyecciones'!DL848</f>
        <v>0</v>
      </c>
      <c r="AA13" s="2292">
        <f>'Balances y Proyecciones'!DO848</f>
        <v>0</v>
      </c>
      <c r="AB13" s="2292">
        <f>'Balances y Proyecciones'!DR848</f>
        <v>0</v>
      </c>
      <c r="AC13" s="2292">
        <f>'Balances y Proyecciones'!DU848</f>
        <v>0</v>
      </c>
      <c r="AD13" s="2292">
        <f>'Balances y Proyecciones'!DX848</f>
        <v>0</v>
      </c>
      <c r="AG13" s="2289"/>
      <c r="AH13" s="2290"/>
      <c r="AI13" s="2290"/>
      <c r="AJ13" s="2290"/>
      <c r="AK13" s="2290"/>
      <c r="AL13" s="2290"/>
      <c r="AM13" s="2290"/>
      <c r="AN13" s="2290"/>
      <c r="AO13" s="2290"/>
      <c r="AP13" s="2290"/>
      <c r="AQ13" s="2290"/>
      <c r="AR13" s="2290"/>
      <c r="AS13" s="2290"/>
      <c r="AT13" s="2290"/>
    </row>
    <row r="14" spans="2:46" ht="27" x14ac:dyDescent="0.25">
      <c r="B14" s="2272" t="s">
        <v>1598</v>
      </c>
      <c r="C14" s="2282">
        <f>IF(('Balances y Proyecciones'!Q17)&lt;&gt;360,'Balances y Proyecciones'!H21+'Balances y Proyecciones'!H22,'Balances y Proyecciones'!E21+'Balances y Proyecciones'!E22)</f>
        <v>390</v>
      </c>
      <c r="D14" s="2282">
        <f>IF(('Balances y Proyecciones'!Q17)&lt;&gt;360,'Balances y Proyecciones'!N21+'Balances y Proyecciones'!N22,'Balances y Proyecciones'!H21+'Balances y Proyecciones'!H22)</f>
        <v>390</v>
      </c>
      <c r="E14" s="2283">
        <f>IF(('Balances y Proyecciones'!Q17)&lt;&gt;360,'Balances y Proyecciones'!Q21+'Balances y Proyecciones'!Q22,'Balances y Proyecciones'!N21+'Balances y Proyecciones'!N22)</f>
        <v>390</v>
      </c>
      <c r="F14" s="2264"/>
      <c r="G14" s="2272" t="s">
        <v>1497</v>
      </c>
      <c r="H14" s="2273">
        <f>IF(('Balances y Proyecciones'!Q17)&lt;&gt;360,-'Balances y Proyecciones'!H76,-'Balances y Proyecciones'!E76)</f>
        <v>-10</v>
      </c>
      <c r="I14" s="2273">
        <f>IF(('Balances y Proyecciones'!Q17)&lt;&gt;360,-'Balances y Proyecciones'!N76,-'Balances y Proyecciones'!H76)</f>
        <v>-10</v>
      </c>
      <c r="J14" s="2274">
        <f>IF(('Balances y Proyecciones'!Q17)&lt;&gt;360,-'Balances y Proyecciones'!Q76,-'Balances y Proyecciones'!N76)</f>
        <v>-10</v>
      </c>
      <c r="N14" s="2293" t="s">
        <v>881</v>
      </c>
      <c r="O14" s="2288">
        <f>'Balances y Proyecciones'!CC854</f>
        <v>2863.2</v>
      </c>
      <c r="P14" s="2288">
        <f>'Balances y Proyecciones'!CF854</f>
        <v>2876.4</v>
      </c>
      <c r="Q14" s="2288">
        <f>'Balances y Proyecciones'!CI854</f>
        <v>2889.6</v>
      </c>
      <c r="R14" s="2288">
        <f>'Balances y Proyecciones'!CL854</f>
        <v>2902.8</v>
      </c>
      <c r="S14" s="2288">
        <f>'Balances y Proyecciones'!CO854</f>
        <v>2916</v>
      </c>
      <c r="T14" s="2288">
        <f>'Balances y Proyecciones'!CR854</f>
        <v>2929.2</v>
      </c>
      <c r="U14" s="2288">
        <f>'Balances y Proyecciones'!CU854</f>
        <v>2942.4</v>
      </c>
      <c r="V14" s="2288">
        <f>'Balances y Proyecciones'!CX854</f>
        <v>2955.6</v>
      </c>
      <c r="W14" s="2288">
        <f>'Balances y Proyecciones'!DA854</f>
        <v>2968.8</v>
      </c>
      <c r="X14" s="2288">
        <f>'Balances y Proyecciones'!DD854</f>
        <v>2982</v>
      </c>
      <c r="Y14" s="2288">
        <f>'Balances y Proyecciones'!DG854</f>
        <v>2995.2</v>
      </c>
      <c r="Z14" s="2288">
        <f>'Balances y Proyecciones'!DJ854</f>
        <v>3008.4</v>
      </c>
      <c r="AA14" s="2288">
        <f>'Balances y Proyecciones'!DM854</f>
        <v>3021.6</v>
      </c>
      <c r="AB14" s="2288">
        <f>'Balances y Proyecciones'!DP854</f>
        <v>3034.7999999999997</v>
      </c>
      <c r="AC14" s="2288">
        <f>'Balances y Proyecciones'!DS854</f>
        <v>3048</v>
      </c>
      <c r="AD14" s="2288">
        <f>'Balances y Proyecciones'!DV854</f>
        <v>3061.2</v>
      </c>
      <c r="AG14" s="2289"/>
      <c r="AH14" s="2290"/>
      <c r="AI14" s="2290"/>
      <c r="AJ14" s="2290"/>
      <c r="AK14" s="2290"/>
      <c r="AL14" s="2290"/>
      <c r="AM14" s="2290"/>
      <c r="AN14" s="2290"/>
      <c r="AO14" s="2290"/>
      <c r="AP14" s="2290"/>
      <c r="AQ14" s="2290"/>
      <c r="AR14" s="2290"/>
      <c r="AS14" s="2290"/>
      <c r="AT14" s="2290"/>
    </row>
    <row r="15" spans="2:46" ht="27" x14ac:dyDescent="0.25">
      <c r="B15" s="2294" t="s">
        <v>1599</v>
      </c>
      <c r="C15" s="2282">
        <f>IF(('Balances y Proyecciones'!Q17)&lt;&gt;360,'Balances y Proyecciones'!H24,'Balances y Proyecciones'!E24)</f>
        <v>360</v>
      </c>
      <c r="D15" s="2282">
        <f>IF(('Balances y Proyecciones'!Q17)&lt;&gt;360,'Balances y Proyecciones'!N24,'Balances y Proyecciones'!H24)</f>
        <v>360</v>
      </c>
      <c r="E15" s="2283">
        <f>IF(('Balances y Proyecciones'!Q17)&lt;&gt;360,'Balances y Proyecciones'!Q24,'Balances y Proyecciones'!N24)</f>
        <v>360</v>
      </c>
      <c r="F15" s="2264"/>
      <c r="G15" s="2272" t="s">
        <v>1600</v>
      </c>
      <c r="H15" s="2295">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10</v>
      </c>
      <c r="I15" s="2295">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10</v>
      </c>
      <c r="J15" s="2296">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10</v>
      </c>
      <c r="N15" s="2291" t="s">
        <v>882</v>
      </c>
      <c r="O15" s="2292">
        <f>'Balances y Proyecciones'!CD854</f>
        <v>0.79313019390581707</v>
      </c>
      <c r="P15" s="2292">
        <f>'Balances y Proyecciones'!CG854</f>
        <v>0.79678670360110804</v>
      </c>
      <c r="Q15" s="2292">
        <f>'Balances y Proyecciones'!CJ854</f>
        <v>0.80044321329639889</v>
      </c>
      <c r="R15" s="2292">
        <f>'Balances y Proyecciones'!CM854</f>
        <v>0.80409972299168975</v>
      </c>
      <c r="S15" s="2292">
        <f>'Balances y Proyecciones'!CP854</f>
        <v>0.8077562326869806</v>
      </c>
      <c r="T15" s="2292">
        <f>'Balances y Proyecciones'!CS854</f>
        <v>0.81141274238227146</v>
      </c>
      <c r="U15" s="2292">
        <f>'Balances y Proyecciones'!CV854</f>
        <v>0.81506925207756231</v>
      </c>
      <c r="V15" s="2292">
        <f>'Balances y Proyecciones'!CY854</f>
        <v>0.81872576177285317</v>
      </c>
      <c r="W15" s="2292">
        <f>'Balances y Proyecciones'!DB854</f>
        <v>0.82238227146814413</v>
      </c>
      <c r="X15" s="2292">
        <f>'Balances y Proyecciones'!DE854</f>
        <v>0.82603878116343488</v>
      </c>
      <c r="Y15" s="2292">
        <f>'Balances y Proyecciones'!DH854</f>
        <v>0.82969529085872573</v>
      </c>
      <c r="Z15" s="2292">
        <f>'Balances y Proyecciones'!DK854</f>
        <v>0.8333518005540167</v>
      </c>
      <c r="AA15" s="2292">
        <f>'Balances y Proyecciones'!DN854</f>
        <v>0.83700831024930744</v>
      </c>
      <c r="AB15" s="2292">
        <f>'Balances y Proyecciones'!DO854</f>
        <v>4.3877143996808865E-3</v>
      </c>
      <c r="AC15" s="2292">
        <f>'Balances y Proyecciones'!DT854</f>
        <v>0.84432132963988915</v>
      </c>
      <c r="AD15" s="2292">
        <f>'Balances y Proyecciones'!DW854</f>
        <v>0.84797783933518001</v>
      </c>
      <c r="AG15" s="2289"/>
      <c r="AH15" s="2290"/>
      <c r="AI15" s="2290"/>
      <c r="AJ15" s="2290"/>
      <c r="AK15" s="2290"/>
      <c r="AL15" s="2290"/>
      <c r="AM15" s="2290"/>
      <c r="AN15" s="2290"/>
      <c r="AO15" s="2290"/>
      <c r="AP15" s="2290"/>
      <c r="AQ15" s="2290"/>
      <c r="AR15" s="2290"/>
      <c r="AS15" s="2290"/>
      <c r="AT15" s="2290"/>
    </row>
    <row r="16" spans="2:46" ht="27" x14ac:dyDescent="0.25">
      <c r="B16" s="2272" t="s">
        <v>663</v>
      </c>
      <c r="C16" s="2282">
        <f>IF(('Balances y Proyecciones'!Q17)&lt;&gt;360,'Balances y Proyecciones'!H23+'Balances y Proyecciones'!H25,'Balances y Proyecciones'!E23+'Balances y Proyecciones'!E25)</f>
        <v>630</v>
      </c>
      <c r="D16" s="2282">
        <f>IF(('Balances y Proyecciones'!Q17)&lt;&gt;360,'Balances y Proyecciones'!N23+'Balances y Proyecciones'!N25,'Balances y Proyecciones'!H23+'Balances y Proyecciones'!H25)</f>
        <v>630</v>
      </c>
      <c r="E16" s="2283">
        <f>IF(('Balances y Proyecciones'!Q17)&lt;&gt;360,'Balances y Proyecciones'!Q23+'Balances y Proyecciones'!Q25,'Balances y Proyecciones'!N23+'Balances y Proyecciones'!N25)</f>
        <v>630</v>
      </c>
      <c r="F16" s="2264"/>
      <c r="G16" s="2272" t="s">
        <v>1601</v>
      </c>
      <c r="H16" s="2295">
        <f>IF(('Balances y Proyecciones'!Q17)&lt;&gt;360,'Balances y Proyecciones'!H78,'Balances y Proyecciones'!E78)</f>
        <v>0</v>
      </c>
      <c r="I16" s="2295">
        <f>IF(('Balances y Proyecciones'!Q17)&lt;&gt;360,'Balances y Proyecciones'!N78,'Balances y Proyecciones'!H78)</f>
        <v>0</v>
      </c>
      <c r="J16" s="2296">
        <f>IF(('Balances y Proyecciones'!Q17)&lt;&gt;360,'Balances y Proyecciones'!Q78,'Balances y Proyecciones'!N78)</f>
        <v>0</v>
      </c>
      <c r="K16" s="2297"/>
      <c r="N16" s="2293" t="s">
        <v>1602</v>
      </c>
      <c r="O16" s="2288">
        <f>'Balances y Proyecciones'!CC869</f>
        <v>-7.1054273576010019E-14</v>
      </c>
      <c r="P16" s="2288">
        <f>'Balances y Proyecciones'!CF869</f>
        <v>0</v>
      </c>
      <c r="Q16" s="2288">
        <f>'Balances y Proyecciones'!CI869</f>
        <v>0</v>
      </c>
      <c r="R16" s="2288">
        <f>'Balances y Proyecciones'!CL869</f>
        <v>0</v>
      </c>
      <c r="S16" s="2288">
        <f>'Balances y Proyecciones'!CO869</f>
        <v>0</v>
      </c>
      <c r="T16" s="2288">
        <f>'Balances y Proyecciones'!CR869</f>
        <v>0</v>
      </c>
      <c r="U16" s="2288">
        <f>'Balances y Proyecciones'!CU869</f>
        <v>0</v>
      </c>
      <c r="V16" s="2288">
        <f>'Balances y Proyecciones'!CX869</f>
        <v>0</v>
      </c>
      <c r="W16" s="2288">
        <f>'Balances y Proyecciones'!DA869</f>
        <v>0</v>
      </c>
      <c r="X16" s="2288">
        <f>'Balances y Proyecciones'!DD869</f>
        <v>0</v>
      </c>
      <c r="Y16" s="2288">
        <f>'Balances y Proyecciones'!DG869</f>
        <v>0</v>
      </c>
      <c r="Z16" s="2288">
        <f>'Balances y Proyecciones'!DJ869</f>
        <v>0</v>
      </c>
      <c r="AA16" s="2288">
        <f>'Balances y Proyecciones'!DM869</f>
        <v>0</v>
      </c>
      <c r="AB16" s="2288">
        <f>'Balances y Proyecciones'!DP869</f>
        <v>0</v>
      </c>
      <c r="AC16" s="2288">
        <f>'Balances y Proyecciones'!DS869</f>
        <v>0</v>
      </c>
      <c r="AD16" s="2288">
        <f>'Balances y Proyecciones'!DV869</f>
        <v>0</v>
      </c>
    </row>
    <row r="17" spans="2:47" x14ac:dyDescent="0.25">
      <c r="B17" s="2284" t="s">
        <v>1603</v>
      </c>
      <c r="C17" s="2298">
        <f>SUM(C12:C16)</f>
        <v>1860</v>
      </c>
      <c r="D17" s="2298">
        <f>SUM(D12:D16)</f>
        <v>1860</v>
      </c>
      <c r="E17" s="2299">
        <f>SUM(E12:E16)</f>
        <v>1860</v>
      </c>
      <c r="F17" s="2264"/>
      <c r="G17" s="2272" t="s">
        <v>811</v>
      </c>
      <c r="H17" s="2295">
        <f>IF(('Balances y Proyecciones'!Q17)&lt;&gt;360,-'Balances y Proyecciones'!H88,-'Balances y Proyecciones'!E88)</f>
        <v>0</v>
      </c>
      <c r="I17" s="2295">
        <f>IF(('Balances y Proyecciones'!Q17)&lt;&gt;360,-'Balances y Proyecciones'!N88,-'Balances y Proyecciones'!H88)</f>
        <v>0</v>
      </c>
      <c r="J17" s="2296">
        <f>IF(('Balances y Proyecciones'!Q17)&lt;&gt;360,-'Balances y Proyecciones'!Q88,-'Balances y Proyecciones'!N88)</f>
        <v>0</v>
      </c>
      <c r="N17" s="2293" t="s">
        <v>811</v>
      </c>
      <c r="O17" s="2288">
        <f>'Balances y Proyecciones'!CC868</f>
        <v>0</v>
      </c>
      <c r="P17" s="2288">
        <f>'Balances y Proyecciones'!CF868</f>
        <v>0</v>
      </c>
      <c r="Q17" s="2288">
        <f>'Balances y Proyecciones'!CI868</f>
        <v>0</v>
      </c>
      <c r="R17" s="2288">
        <f>'Balances y Proyecciones'!CL868</f>
        <v>0</v>
      </c>
      <c r="S17" s="2288">
        <f>'Balances y Proyecciones'!CO868</f>
        <v>0</v>
      </c>
      <c r="T17" s="2288">
        <f>'Balances y Proyecciones'!CR868</f>
        <v>0</v>
      </c>
      <c r="U17" s="2288">
        <f>'Balances y Proyecciones'!CU868</f>
        <v>0</v>
      </c>
      <c r="V17" s="2288">
        <f>'Balances y Proyecciones'!CX868</f>
        <v>0</v>
      </c>
      <c r="W17" s="2288">
        <f>'Balances y Proyecciones'!DA868</f>
        <v>0</v>
      </c>
      <c r="X17" s="2288">
        <f>'Balances y Proyecciones'!DD868</f>
        <v>0</v>
      </c>
      <c r="Y17" s="2288">
        <f>'Balances y Proyecciones'!DG868</f>
        <v>0</v>
      </c>
      <c r="Z17" s="2288">
        <f>'Balances y Proyecciones'!DJ868</f>
        <v>0</v>
      </c>
      <c r="AA17" s="2288">
        <f>'Balances y Proyecciones'!DM868</f>
        <v>0</v>
      </c>
      <c r="AB17" s="2288">
        <f>'Balances y Proyecciones'!DP868</f>
        <v>0</v>
      </c>
      <c r="AC17" s="2288">
        <f>'Balances y Proyecciones'!DS868</f>
        <v>0</v>
      </c>
      <c r="AD17" s="2288">
        <f>'Balances y Proyecciones'!DV868</f>
        <v>0</v>
      </c>
    </row>
    <row r="18" spans="2:47" x14ac:dyDescent="0.25">
      <c r="B18" s="2272" t="s">
        <v>1604</v>
      </c>
      <c r="C18" s="2282">
        <f>IF(('Balances y Proyecciones'!Q17)&lt;&gt;360,'Balances y Proyecciones'!H28+'Balances y Proyecciones'!H29,'Balances y Proyecciones'!E28+'Balances y Proyecciones'!E29)</f>
        <v>600</v>
      </c>
      <c r="D18" s="2282">
        <f>IF(('Balances y Proyecciones'!Q17)&lt;&gt;360,'Balances y Proyecciones'!N28+'Balances y Proyecciones'!N29,'Balances y Proyecciones'!H28+'Balances y Proyecciones'!H29)</f>
        <v>600</v>
      </c>
      <c r="E18" s="2283">
        <f>IF(('Balances y Proyecciones'!Q17)&lt;&gt;360,'Balances y Proyecciones'!Q28+'Balances y Proyecciones'!Q29,'Balances y Proyecciones'!N28+'Balances y Proyecciones'!N29)</f>
        <v>600</v>
      </c>
      <c r="F18" s="2264"/>
      <c r="G18" s="2300" t="s">
        <v>1487</v>
      </c>
      <c r="H18" s="2301">
        <f>H12+H14+H15+H16+H17</f>
        <v>2810</v>
      </c>
      <c r="I18" s="2301">
        <f>I12+I14+I15+I16+I17</f>
        <v>2810</v>
      </c>
      <c r="J18" s="2302">
        <f>J12+J14+J15+J16+J17</f>
        <v>2810</v>
      </c>
      <c r="N18" s="2293" t="s">
        <v>1771</v>
      </c>
      <c r="O18" s="2288">
        <f>'Balances y Proyecciones'!CC870</f>
        <v>-178.20000000000005</v>
      </c>
      <c r="P18" s="2288">
        <f>'Balances y Proyecciones'!CF870</f>
        <v>-178.20000000000005</v>
      </c>
      <c r="Q18" s="2288">
        <f>'Balances y Proyecciones'!CI870</f>
        <v>-178.20000000000005</v>
      </c>
      <c r="R18" s="2288">
        <f>'Balances y Proyecciones'!CL870</f>
        <v>-178.20000000000005</v>
      </c>
      <c r="S18" s="2288">
        <f>'Balances y Proyecciones'!CO870</f>
        <v>-178.20000000000005</v>
      </c>
      <c r="T18" s="2288">
        <f>'Balances y Proyecciones'!CR870</f>
        <v>-178.20000000000005</v>
      </c>
      <c r="U18" s="2288">
        <f>'Balances y Proyecciones'!CU870</f>
        <v>-178.20000000000005</v>
      </c>
      <c r="V18" s="2288">
        <f>'Balances y Proyecciones'!CX870</f>
        <v>-178.20000000000005</v>
      </c>
      <c r="W18" s="2288">
        <f>'Balances y Proyecciones'!DA870</f>
        <v>-178.19999999999982</v>
      </c>
      <c r="X18" s="2288">
        <f>'Balances y Proyecciones'!DD870</f>
        <v>-178.19999999999982</v>
      </c>
      <c r="Y18" s="2288">
        <f>'Balances y Proyecciones'!DG870</f>
        <v>-178.19999999999982</v>
      </c>
      <c r="Z18" s="2288">
        <f>'Balances y Proyecciones'!DJ870</f>
        <v>-178.19999999999982</v>
      </c>
      <c r="AA18" s="2288">
        <f>'Balances y Proyecciones'!DM870</f>
        <v>-178.19999999999982</v>
      </c>
      <c r="AB18" s="2288">
        <f>'Balances y Proyecciones'!DP870</f>
        <v>-178.19999999999982</v>
      </c>
      <c r="AC18" s="2288">
        <f>'Balances y Proyecciones'!DS870</f>
        <v>-178.19999999999982</v>
      </c>
      <c r="AD18" s="2288">
        <f>'Balances y Proyecciones'!DV870</f>
        <v>-178.19999999999982</v>
      </c>
      <c r="AG18" s="2281" t="str">
        <f>CONCATENATE(B6," ", "Covenant")</f>
        <v>Prueba Da 27.08.23 Covenant</v>
      </c>
      <c r="AH18" s="2303" t="s">
        <v>1605</v>
      </c>
    </row>
    <row r="19" spans="2:47" ht="27" x14ac:dyDescent="0.25">
      <c r="B19" s="2272" t="s">
        <v>1491</v>
      </c>
      <c r="C19" s="2282">
        <f>IF(('Balances y Proyecciones'!Q17)&lt;&gt;360,'Balances y Proyecciones'!H27,'Balances y Proyecciones'!E27)</f>
        <v>270</v>
      </c>
      <c r="D19" s="2282">
        <f>IF(('Balances y Proyecciones'!Q17)&lt;&gt;360,'Balances y Proyecciones'!N27,'Balances y Proyecciones'!H27)</f>
        <v>270</v>
      </c>
      <c r="E19" s="2283">
        <f>IF(('Balances y Proyecciones'!Q17)&lt;&gt;360,'Balances y Proyecciones'!Q27,'Balances y Proyecciones'!N27)</f>
        <v>270</v>
      </c>
      <c r="F19" s="2264"/>
      <c r="G19" s="2255"/>
      <c r="H19" s="2255"/>
      <c r="I19" s="2255"/>
      <c r="J19" s="2255"/>
      <c r="N19" s="2293" t="s">
        <v>1608</v>
      </c>
      <c r="O19" s="2288">
        <f>'Balances y Proyecciones'!CC871</f>
        <v>0</v>
      </c>
      <c r="P19" s="2288">
        <f>'Balances y Proyecciones'!CF871</f>
        <v>0</v>
      </c>
      <c r="Q19" s="2288">
        <f>'Balances y Proyecciones'!CI871</f>
        <v>0</v>
      </c>
      <c r="R19" s="2288">
        <f>'Balances y Proyecciones'!CL871</f>
        <v>0</v>
      </c>
      <c r="S19" s="2288">
        <f>'Balances y Proyecciones'!CO871</f>
        <v>0</v>
      </c>
      <c r="T19" s="2288">
        <f>'Balances y Proyecciones'!CR871</f>
        <v>0</v>
      </c>
      <c r="U19" s="2288">
        <f>'Balances y Proyecciones'!CU871</f>
        <v>0</v>
      </c>
      <c r="V19" s="2288">
        <f>'Balances y Proyecciones'!CX871</f>
        <v>0</v>
      </c>
      <c r="W19" s="2288">
        <f>'Balances y Proyecciones'!DA871</f>
        <v>0</v>
      </c>
      <c r="X19" s="2288">
        <f>'Balances y Proyecciones'!DD871</f>
        <v>0</v>
      </c>
      <c r="Y19" s="2288">
        <f>'Balances y Proyecciones'!DG871</f>
        <v>0</v>
      </c>
      <c r="Z19" s="2288">
        <f>'Balances y Proyecciones'!DJ871</f>
        <v>0</v>
      </c>
      <c r="AA19" s="2288">
        <f>'Balances y Proyecciones'!DM871</f>
        <v>0</v>
      </c>
      <c r="AB19" s="2288">
        <f>'Balances y Proyecciones'!DP871</f>
        <v>0</v>
      </c>
      <c r="AC19" s="2288">
        <f>'Balances y Proyecciones'!DS871</f>
        <v>0</v>
      </c>
      <c r="AD19" s="2288">
        <f>'Balances y Proyecciones'!DV871</f>
        <v>0</v>
      </c>
      <c r="AG19" s="2289"/>
      <c r="AH19" s="2290"/>
    </row>
    <row r="20" spans="2:47" x14ac:dyDescent="0.25">
      <c r="B20" s="2272" t="s">
        <v>1606</v>
      </c>
      <c r="C20" s="2282">
        <f>IF(('Balances y Proyecciones'!Q17)&lt;&gt;360,'Balances y Proyecciones'!H31+'Balances y Proyecciones'!H30,'Balances y Proyecciones'!E31+'Balances y Proyecciones'!E30)</f>
        <v>390</v>
      </c>
      <c r="D20" s="2282">
        <f>IF(('Balances y Proyecciones'!Q17)&lt;&gt;360,'Balances y Proyecciones'!N31+'Balances y Proyecciones'!N30,'Balances y Proyecciones'!H31+'Balances y Proyecciones'!H30)</f>
        <v>390</v>
      </c>
      <c r="E20" s="2283">
        <f>IF(('Balances y Proyecciones'!Q17)&lt;&gt;360,'Balances y Proyecciones'!Q31+'Balances y Proyecciones'!Q30,'Balances y Proyecciones'!N31+'Balances y Proyecciones'!N30)</f>
        <v>390</v>
      </c>
      <c r="F20" s="2264"/>
      <c r="G20" s="2279" t="s">
        <v>1607</v>
      </c>
      <c r="H20" s="2304"/>
      <c r="I20" s="2267" t="s">
        <v>865</v>
      </c>
      <c r="J20" s="2268" t="s">
        <v>865</v>
      </c>
      <c r="N20" s="2305" t="s">
        <v>1610</v>
      </c>
      <c r="O20" s="2306">
        <f t="shared" ref="O20:AD20" si="1">O14+O16+O17+O18+O19</f>
        <v>2685</v>
      </c>
      <c r="P20" s="2306">
        <f t="shared" si="1"/>
        <v>2698.2</v>
      </c>
      <c r="Q20" s="2306">
        <f t="shared" si="1"/>
        <v>2711.3999999999996</v>
      </c>
      <c r="R20" s="2306">
        <f t="shared" si="1"/>
        <v>2724.6000000000004</v>
      </c>
      <c r="S20" s="2306">
        <f t="shared" si="1"/>
        <v>2737.8</v>
      </c>
      <c r="T20" s="2306">
        <f t="shared" si="1"/>
        <v>2751</v>
      </c>
      <c r="U20" s="2306">
        <f t="shared" si="1"/>
        <v>2764.2</v>
      </c>
      <c r="V20" s="2306">
        <f t="shared" si="1"/>
        <v>2777.3999999999996</v>
      </c>
      <c r="W20" s="2306">
        <f t="shared" si="1"/>
        <v>2790.6000000000004</v>
      </c>
      <c r="X20" s="2306">
        <f t="shared" si="1"/>
        <v>2803.8</v>
      </c>
      <c r="Y20" s="2306">
        <f t="shared" si="1"/>
        <v>2817</v>
      </c>
      <c r="Z20" s="2306">
        <f t="shared" si="1"/>
        <v>2830.2000000000003</v>
      </c>
      <c r="AA20" s="2306">
        <f t="shared" si="1"/>
        <v>2843.4</v>
      </c>
      <c r="AB20" s="2306">
        <f t="shared" si="1"/>
        <v>2856.6</v>
      </c>
      <c r="AC20" s="2306">
        <f t="shared" si="1"/>
        <v>2869.8</v>
      </c>
      <c r="AD20" s="2306">
        <f t="shared" si="1"/>
        <v>2883</v>
      </c>
      <c r="AG20" s="2289"/>
      <c r="AH20" s="2290"/>
    </row>
    <row r="21" spans="2:47" x14ac:dyDescent="0.25">
      <c r="B21" s="2272" t="s">
        <v>1609</v>
      </c>
      <c r="C21" s="2282">
        <f>IF(('Balances y Proyecciones'!Q17)&lt;&gt;360,'Balances y Proyecciones'!H32,'Balances y Proyecciones'!E32)</f>
        <v>750</v>
      </c>
      <c r="D21" s="2282">
        <f>IF(('Balances y Proyecciones'!Q17)&lt;&gt;360,'Balances y Proyecciones'!N32,'Balances y Proyecciones'!H32)</f>
        <v>750</v>
      </c>
      <c r="E21" s="2283">
        <f>IF(('Balances y Proyecciones'!Q17)&lt;&gt;360,'Balances y Proyecciones'!Q32,'Balances y Proyecciones'!N32)</f>
        <v>750</v>
      </c>
      <c r="F21" s="2264"/>
      <c r="G21" s="2269"/>
      <c r="H21" s="2270" t="str">
        <f>+H9</f>
        <v>Dic 20</v>
      </c>
      <c r="I21" s="2270" t="str">
        <f>+I9</f>
        <v>Dic 21</v>
      </c>
      <c r="J21" s="2270" t="str">
        <f>+J9</f>
        <v>Jun 21</v>
      </c>
      <c r="N21" s="2293" t="s">
        <v>1613</v>
      </c>
      <c r="O21" s="2288">
        <f>'Balances y Proyecciones'!CC876</f>
        <v>-79.534000000000006</v>
      </c>
      <c r="P21" s="2288">
        <f>'Balances y Proyecciones'!CF876</f>
        <v>-99.268000000000001</v>
      </c>
      <c r="Q21" s="2288">
        <f>'Balances y Proyecciones'!CI876</f>
        <v>-119.00200000000002</v>
      </c>
      <c r="R21" s="2288">
        <f>'Balances y Proyecciones'!CL876</f>
        <v>-138.73600000000002</v>
      </c>
      <c r="S21" s="2288">
        <f>'Balances y Proyecciones'!CO876</f>
        <v>-158.47000000000003</v>
      </c>
      <c r="T21" s="2288">
        <f>'Balances y Proyecciones'!CR876</f>
        <v>-178.20400000000004</v>
      </c>
      <c r="U21" s="2288">
        <f>'Balances y Proyecciones'!CU876</f>
        <v>-197.93800000000002</v>
      </c>
      <c r="V21" s="2288">
        <f>'Balances y Proyecciones'!CX876</f>
        <v>-217.67200000000003</v>
      </c>
      <c r="W21" s="2288">
        <f>'Balances y Proyecciones'!DA876</f>
        <v>-237.40600000000006</v>
      </c>
      <c r="X21" s="2288">
        <f>'Balances y Proyecciones'!DD876</f>
        <v>-257.14</v>
      </c>
      <c r="Y21" s="2288">
        <f>'Balances y Proyecciones'!DG876</f>
        <v>-276.87399999999997</v>
      </c>
      <c r="Z21" s="2288">
        <f>'Balances y Proyecciones'!DJ876</f>
        <v>-296.60799999999995</v>
      </c>
      <c r="AA21" s="2288">
        <f>'Balances y Proyecciones'!DM876</f>
        <v>-316.34199999999987</v>
      </c>
      <c r="AB21" s="2288">
        <f>'Balances y Proyecciones'!DP876</f>
        <v>-336.07599999999991</v>
      </c>
      <c r="AC21" s="2288">
        <f>'Balances y Proyecciones'!DS876</f>
        <v>-355.80999999999983</v>
      </c>
      <c r="AD21" s="2288">
        <f>'Balances y Proyecciones'!DV876</f>
        <v>-375.54399999999998</v>
      </c>
      <c r="AG21" s="2289"/>
      <c r="AH21" s="2290"/>
    </row>
    <row r="22" spans="2:47" x14ac:dyDescent="0.25">
      <c r="B22" s="2272" t="s">
        <v>1611</v>
      </c>
      <c r="C22" s="2282">
        <f>IF(('Balances y Proyecciones'!Q17)&lt;&gt;360,'Balances y Proyecciones'!H33,'Balances y Proyecciones'!E33)</f>
        <v>90</v>
      </c>
      <c r="D22" s="2282">
        <f>IF(('Balances y Proyecciones'!Q17)&lt;&gt;360,'Balances y Proyecciones'!N33,'Balances y Proyecciones'!H33)</f>
        <v>90</v>
      </c>
      <c r="E22" s="2283">
        <f>IF(('Balances y Proyecciones'!Q17)&lt;&gt;360,'Balances y Proyecciones'!Q33,'Balances y Proyecciones'!N33)</f>
        <v>90</v>
      </c>
      <c r="F22" s="2264"/>
      <c r="G22" s="2307" t="s">
        <v>1612</v>
      </c>
      <c r="H22" s="2264"/>
      <c r="I22" s="2264"/>
      <c r="J22" s="2308"/>
      <c r="N22" s="2293" t="s">
        <v>1615</v>
      </c>
      <c r="O22" s="2288">
        <f>'Balances y Proyecciones'!CC874+'Balances y Proyecciones'!CC875</f>
        <v>9.9999999999999858</v>
      </c>
      <c r="P22" s="2288">
        <f>'Balances y Proyecciones'!CF874+'Balances y Proyecciones'!CF875</f>
        <v>9.9999999999999858</v>
      </c>
      <c r="Q22" s="2288">
        <f>'Balances y Proyecciones'!CI874+'Balances y Proyecciones'!CI875</f>
        <v>9.9999999999999858</v>
      </c>
      <c r="R22" s="2288">
        <f>'Balances y Proyecciones'!CL874+'Balances y Proyecciones'!CL875</f>
        <v>9.9999999999999858</v>
      </c>
      <c r="S22" s="2288">
        <f>'Balances y Proyecciones'!CO874+'Balances y Proyecciones'!CO875</f>
        <v>9.9999999999999858</v>
      </c>
      <c r="T22" s="2288">
        <f>'Balances y Proyecciones'!CR874+'Balances y Proyecciones'!CR875</f>
        <v>9.9999999999999858</v>
      </c>
      <c r="U22" s="2288">
        <f>'Balances y Proyecciones'!CU874+'Balances y Proyecciones'!CU875</f>
        <v>9.9999999999999858</v>
      </c>
      <c r="V22" s="2288">
        <f>'Balances y Proyecciones'!CX874+'Balances y Proyecciones'!CX875</f>
        <v>9.9999999999999858</v>
      </c>
      <c r="W22" s="2288">
        <f>'Balances y Proyecciones'!DA874+'Balances y Proyecciones'!DA875</f>
        <v>9.9999999999999858</v>
      </c>
      <c r="X22" s="2288">
        <f>'Balances y Proyecciones'!DD874+'Balances y Proyecciones'!DD875</f>
        <v>9.9999999999999858</v>
      </c>
      <c r="Y22" s="2288">
        <f>'Balances y Proyecciones'!DG874+'Balances y Proyecciones'!DG875</f>
        <v>9.9999999999999858</v>
      </c>
      <c r="Z22" s="2288">
        <f>'Balances y Proyecciones'!DJ874+'Balances y Proyecciones'!DJ875</f>
        <v>9.9999999999999858</v>
      </c>
      <c r="AA22" s="2288">
        <f>'Balances y Proyecciones'!DM874+'Balances y Proyecciones'!DM875</f>
        <v>9.9999999999999858</v>
      </c>
      <c r="AB22" s="2288">
        <f>'Balances y Proyecciones'!DP874+'Balances y Proyecciones'!DP875</f>
        <v>9.9999999999999858</v>
      </c>
      <c r="AC22" s="2288">
        <f>'Balances y Proyecciones'!DS874+'Balances y Proyecciones'!DS875</f>
        <v>9.9999999999999858</v>
      </c>
      <c r="AD22" s="2288">
        <f>'Balances y Proyecciones'!DV874+'Balances y Proyecciones'!DV875</f>
        <v>9.9999999999999858</v>
      </c>
    </row>
    <row r="23" spans="2:47" x14ac:dyDescent="0.25">
      <c r="B23" s="2284" t="s">
        <v>1614</v>
      </c>
      <c r="C23" s="2298">
        <f>SUM(C18:C22)</f>
        <v>2100</v>
      </c>
      <c r="D23" s="2298">
        <f>SUM(D18:D22)</f>
        <v>2100</v>
      </c>
      <c r="E23" s="2299">
        <f>SUM(E18:E22)</f>
        <v>2100</v>
      </c>
      <c r="F23" s="2264"/>
      <c r="G23" s="2272" t="s">
        <v>880</v>
      </c>
      <c r="H23" s="2309">
        <f>IF(('Balances y Proyecciones'!Q17)&lt;&gt;360,'Balances y Proyecciones'!AS718,'Balances y Proyecciones'!AP718)</f>
        <v>0.77839335180055402</v>
      </c>
      <c r="I23" s="2309">
        <f>IF(('Balances y Proyecciones'!Q17)&lt;&gt;360,'Balances y Proyecciones'!AY718,'Balances y Proyecciones'!AS718)</f>
        <v>0.77839335180055402</v>
      </c>
      <c r="J23" s="2310">
        <f>IF(('Balances y Proyecciones'!Q17)&lt;&gt;360,'Balances y Proyecciones'!BB718,'Balances y Proyecciones'!AY718)</f>
        <v>0.77839335180055402</v>
      </c>
      <c r="N23" s="2305" t="s">
        <v>1617</v>
      </c>
      <c r="O23" s="2306">
        <f t="shared" ref="O23:AD23" si="2">SUM(O20:O22)</f>
        <v>2615.4659999999999</v>
      </c>
      <c r="P23" s="2306">
        <f t="shared" si="2"/>
        <v>2608.9319999999998</v>
      </c>
      <c r="Q23" s="2306">
        <f t="shared" si="2"/>
        <v>2602.3979999999997</v>
      </c>
      <c r="R23" s="2306">
        <f t="shared" si="2"/>
        <v>2595.8640000000005</v>
      </c>
      <c r="S23" s="2306">
        <f t="shared" si="2"/>
        <v>2589.33</v>
      </c>
      <c r="T23" s="2306">
        <f t="shared" si="2"/>
        <v>2582.7959999999998</v>
      </c>
      <c r="U23" s="2306">
        <f t="shared" si="2"/>
        <v>2576.2619999999997</v>
      </c>
      <c r="V23" s="2306">
        <f t="shared" si="2"/>
        <v>2569.7279999999996</v>
      </c>
      <c r="W23" s="2306">
        <f t="shared" si="2"/>
        <v>2563.1940000000004</v>
      </c>
      <c r="X23" s="2306">
        <f t="shared" si="2"/>
        <v>2556.6600000000003</v>
      </c>
      <c r="Y23" s="2306">
        <f t="shared" si="2"/>
        <v>2550.1260000000002</v>
      </c>
      <c r="Z23" s="2306">
        <f t="shared" si="2"/>
        <v>2543.5920000000006</v>
      </c>
      <c r="AA23" s="2306">
        <f t="shared" si="2"/>
        <v>2537.058</v>
      </c>
      <c r="AB23" s="2306">
        <f t="shared" si="2"/>
        <v>2530.5239999999999</v>
      </c>
      <c r="AC23" s="2306">
        <f t="shared" si="2"/>
        <v>2523.9900000000002</v>
      </c>
      <c r="AD23" s="2306">
        <f t="shared" si="2"/>
        <v>2517.4560000000001</v>
      </c>
    </row>
    <row r="24" spans="2:47" x14ac:dyDescent="0.25">
      <c r="B24" s="2311" t="s">
        <v>671</v>
      </c>
      <c r="C24" s="2312">
        <f>C17+C23</f>
        <v>3960</v>
      </c>
      <c r="D24" s="2312">
        <f>D17+D23</f>
        <v>3960</v>
      </c>
      <c r="E24" s="2313">
        <f>E17+E23</f>
        <v>3960</v>
      </c>
      <c r="F24" s="2264"/>
      <c r="G24" s="2272" t="s">
        <v>1616</v>
      </c>
      <c r="H24" s="2309">
        <f>IF(('Balances y Proyecciones'!Q17)&lt;&gt;360,'Balances y Proyecciones'!AS719,'Balances y Proyecciones'!AP719)</f>
        <v>0.78947368421052633</v>
      </c>
      <c r="I24" s="2309">
        <f>IF(('Balances y Proyecciones'!Q17)&lt;&gt;360,'Balances y Proyecciones'!AY719,'Balances y Proyecciones'!AS719)</f>
        <v>0.78947368421052633</v>
      </c>
      <c r="J24" s="2310">
        <f>IF(('Balances y Proyecciones'!Q17)&lt;&gt;360,'Balances y Proyecciones'!BB719,'Balances y Proyecciones'!AY719)</f>
        <v>0.78947368421052633</v>
      </c>
      <c r="N24" s="2293" t="s">
        <v>1497</v>
      </c>
      <c r="O24" s="2288">
        <f>'Balances y Proyecciones'!CC880</f>
        <v>-7.6000000000000014</v>
      </c>
      <c r="P24" s="2288">
        <f>'Balances y Proyecciones'!CF880</f>
        <v>-7.2000000000000011</v>
      </c>
      <c r="Q24" s="2288">
        <f>'Balances y Proyecciones'!CI880</f>
        <v>-3.2000000000000006</v>
      </c>
      <c r="R24" s="2288">
        <f>'Balances y Proyecciones'!CL880</f>
        <v>-3.2000000000000006</v>
      </c>
      <c r="S24" s="2288">
        <f>'Balances y Proyecciones'!CO880</f>
        <v>-3.2000000000000006</v>
      </c>
      <c r="T24" s="2288">
        <f>'Balances y Proyecciones'!CR880</f>
        <v>-3.2000000000000006</v>
      </c>
      <c r="U24" s="2288">
        <f>'Balances y Proyecciones'!CU880</f>
        <v>-3.2000000000000006</v>
      </c>
      <c r="V24" s="2288">
        <f>'Balances y Proyecciones'!CX880</f>
        <v>-3.2000000000000006</v>
      </c>
      <c r="W24" s="2288">
        <f>'Balances y Proyecciones'!DA880</f>
        <v>-3.2000000000000006</v>
      </c>
      <c r="X24" s="2288">
        <f>'Balances y Proyecciones'!DD880</f>
        <v>-3.2000000000000006</v>
      </c>
      <c r="Y24" s="2288">
        <f>'Balances y Proyecciones'!DG880</f>
        <v>-3.2000000000000006</v>
      </c>
      <c r="Z24" s="2288">
        <f>'Balances y Proyecciones'!DJ880</f>
        <v>-3.2000000000000006</v>
      </c>
      <c r="AA24" s="2288">
        <f>'Balances y Proyecciones'!DM880</f>
        <v>-3.2000000000000006</v>
      </c>
      <c r="AB24" s="2288">
        <f>'Balances y Proyecciones'!DP880</f>
        <v>-3.2000000000000006</v>
      </c>
      <c r="AC24" s="2288">
        <f>'Balances y Proyecciones'!DS880</f>
        <v>-3.2000000000000006</v>
      </c>
      <c r="AD24" s="2288">
        <f>'Balances y Proyecciones'!DV880</f>
        <v>-3.2000000000000006</v>
      </c>
    </row>
    <row r="25" spans="2:47" x14ac:dyDescent="0.25">
      <c r="B25" s="2307" t="s">
        <v>678</v>
      </c>
      <c r="C25" s="2314"/>
      <c r="D25" s="2314"/>
      <c r="E25" s="2315"/>
      <c r="F25" s="2264"/>
      <c r="G25" s="2272" t="s">
        <v>883</v>
      </c>
      <c r="H25" s="2309">
        <f>IF(('Balances y Proyecciones'!Q17)&lt;&gt;360,'Balances y Proyecciones'!AS721,'Balances y Proyecciones'!AP721)</f>
        <v>0.77839335180055402</v>
      </c>
      <c r="I25" s="2309">
        <f>IF(('Balances y Proyecciones'!Q17)&lt;&gt;360,'Balances y Proyecciones'!AY721,'Balances y Proyecciones'!AS721)</f>
        <v>0.77839335180055402</v>
      </c>
      <c r="J25" s="2310">
        <f>IF(('Balances y Proyecciones'!$Q$17)&lt;&gt;360,'Balances y Proyecciones'!$BB$721,'Balances y Proyecciones'!$AY$721)</f>
        <v>0.77839335180055402</v>
      </c>
      <c r="N25" s="2293" t="s">
        <v>1620</v>
      </c>
      <c r="O25" s="2288">
        <f>'Balances y Proyecciones'!CC881+'Balances y Proyecciones'!CC882</f>
        <v>-10</v>
      </c>
      <c r="P25" s="2288">
        <f>'Balances y Proyecciones'!CF881+'Balances y Proyecciones'!CF882</f>
        <v>0</v>
      </c>
      <c r="Q25" s="2288">
        <f>'Balances y Proyecciones'!CI881+'Balances y Proyecciones'!CI882</f>
        <v>0</v>
      </c>
      <c r="R25" s="2288">
        <f>'Balances y Proyecciones'!CL881+'Balances y Proyecciones'!CL882</f>
        <v>0</v>
      </c>
      <c r="S25" s="2288">
        <f>'Balances y Proyecciones'!CO881+'Balances y Proyecciones'!CO882</f>
        <v>0</v>
      </c>
      <c r="T25" s="2288">
        <f>'Balances y Proyecciones'!CR881+'Balances y Proyecciones'!CR882</f>
        <v>0</v>
      </c>
      <c r="U25" s="2288">
        <f>'Balances y Proyecciones'!CU881+'Balances y Proyecciones'!CU882</f>
        <v>0</v>
      </c>
      <c r="V25" s="2288">
        <f>'Balances y Proyecciones'!CX881+'Balances y Proyecciones'!CX882</f>
        <v>0</v>
      </c>
      <c r="W25" s="2288">
        <f>'Balances y Proyecciones'!DA881+'Balances y Proyecciones'!DA882</f>
        <v>0</v>
      </c>
      <c r="X25" s="2288">
        <f>'Balances y Proyecciones'!DD881+'Balances y Proyecciones'!DD882</f>
        <v>0</v>
      </c>
      <c r="Y25" s="2288">
        <f>'Balances y Proyecciones'!DG881+'Balances y Proyecciones'!DG882</f>
        <v>0</v>
      </c>
      <c r="Z25" s="2288">
        <f>'Balances y Proyecciones'!DJ881+'Balances y Proyecciones'!DJ882</f>
        <v>0</v>
      </c>
      <c r="AA25" s="2288">
        <f>'Balances y Proyecciones'!DM881+'Balances y Proyecciones'!DM882</f>
        <v>0</v>
      </c>
      <c r="AB25" s="2288">
        <f>'Balances y Proyecciones'!DP881+'Balances y Proyecciones'!DP882</f>
        <v>0</v>
      </c>
      <c r="AC25" s="2288">
        <f>'Balances y Proyecciones'!DS881+'Balances y Proyecciones'!DS882</f>
        <v>0</v>
      </c>
      <c r="AD25" s="2288">
        <f>'Balances y Proyecciones'!DV881+'Balances y Proyecciones'!DV882</f>
        <v>0</v>
      </c>
    </row>
    <row r="26" spans="2:47" ht="27" x14ac:dyDescent="0.25">
      <c r="B26" s="2272" t="s">
        <v>1618</v>
      </c>
      <c r="C26" s="2282">
        <f>IF(('Balances y Proyecciones'!Q17)&lt;&gt;360,'Balances y Proyecciones'!H36+'Balances y Proyecciones'!H37+'Balances y Proyecciones'!H38+'Balances y Proyecciones'!H39,'Balances y Proyecciones'!E36+'Balances y Proyecciones'!E37+'Balances y Proyecciones'!E38+'Balances y Proyecciones'!E39)</f>
        <v>30</v>
      </c>
      <c r="D26" s="2282">
        <f>IF(('Balances y Proyecciones'!Q17)&lt;&gt;360,'Balances y Proyecciones'!N36+'Balances y Proyecciones'!N37+'Balances y Proyecciones'!N38+'Balances y Proyecciones'!N39,'Balances y Proyecciones'!H36+'Balances y Proyecciones'!H37+'Balances y Proyecciones'!H38+'Balances y Proyecciones'!H39)</f>
        <v>30</v>
      </c>
      <c r="E26" s="2283">
        <f>IF(('Balances y Proyecciones'!Q17)&lt;&gt;360,'Balances y Proyecciones'!Q36+'Balances y Proyecciones'!Q37+'Balances y Proyecciones'!Q38+'Balances y Proyecciones'!Q39,'Balances y Proyecciones'!N36+'Balances y Proyecciones'!N37+'Balances y Proyecciones'!N38+'Balances y Proyecciones'!N39)</f>
        <v>30</v>
      </c>
      <c r="F26" s="2264"/>
      <c r="G26" s="2272" t="s">
        <v>1619</v>
      </c>
      <c r="H26" s="2309">
        <f>IF('Balances y Proyecciones'!$Q$17=360,'Balances y Proyecciones'!$AP$757,'Balances y Proyecciones'!$AS$757)</f>
        <v>0.90064102564102566</v>
      </c>
      <c r="I26" s="2309">
        <f>IF('Balances y Proyecciones'!Q17=360,'Balances y Proyecciones'!AS757,'Balances y Proyecciones'!AY757)</f>
        <v>0.90064102564102566</v>
      </c>
      <c r="J26" s="2310">
        <f>IF('Balances y Proyecciones'!$Q$17=360,'Balances y Proyecciones'!$AY$757,'Balances y Proyecciones'!$BB$757)</f>
        <v>1.8012820512820513</v>
      </c>
      <c r="N26" s="2293" t="s">
        <v>1622</v>
      </c>
      <c r="O26" s="2288">
        <f>'Balances y Proyecciones'!CC883</f>
        <v>0</v>
      </c>
      <c r="P26" s="2288">
        <f>'Balances y Proyecciones'!CF883</f>
        <v>0</v>
      </c>
      <c r="Q26" s="2288">
        <f>'Balances y Proyecciones'!CI883</f>
        <v>0</v>
      </c>
      <c r="R26" s="2288">
        <f>'Balances y Proyecciones'!CL883</f>
        <v>0</v>
      </c>
      <c r="S26" s="2288">
        <f>'Balances y Proyecciones'!CO883</f>
        <v>0</v>
      </c>
      <c r="T26" s="2288">
        <f>'Balances y Proyecciones'!CR883</f>
        <v>0</v>
      </c>
      <c r="U26" s="2288">
        <f>'Balances y Proyecciones'!CU883</f>
        <v>0</v>
      </c>
      <c r="V26" s="2288">
        <f>'Balances y Proyecciones'!CX883</f>
        <v>0</v>
      </c>
      <c r="W26" s="2288">
        <f>'Balances y Proyecciones'!DA883</f>
        <v>0</v>
      </c>
      <c r="X26" s="2288">
        <f>'Balances y Proyecciones'!DD883</f>
        <v>0</v>
      </c>
      <c r="Y26" s="2288">
        <f>'Balances y Proyecciones'!DG883</f>
        <v>0</v>
      </c>
      <c r="Z26" s="2288">
        <f>'Balances y Proyecciones'!DJ883</f>
        <v>0</v>
      </c>
      <c r="AA26" s="2288">
        <f>'Balances y Proyecciones'!DM883</f>
        <v>0</v>
      </c>
      <c r="AB26" s="2288">
        <f>'Balances y Proyecciones'!DP883</f>
        <v>0</v>
      </c>
      <c r="AC26" s="2288">
        <f>'Balances y Proyecciones'!DS883</f>
        <v>0</v>
      </c>
      <c r="AD26" s="2288">
        <f>'Balances y Proyecciones'!DV883</f>
        <v>0</v>
      </c>
    </row>
    <row r="27" spans="2:47" x14ac:dyDescent="0.25">
      <c r="B27" s="2272" t="s">
        <v>108</v>
      </c>
      <c r="C27" s="2282">
        <f>IF(('Balances y Proyecciones'!Q17)&lt;&gt;360,'Balances y Proyecciones'!H40,'Balances y Proyecciones'!E40)</f>
        <v>30</v>
      </c>
      <c r="D27" s="2282">
        <f>IF(('Balances y Proyecciones'!Q17)&lt;&gt;360,'Balances y Proyecciones'!N40,'Balances y Proyecciones'!H40)</f>
        <v>30</v>
      </c>
      <c r="E27" s="2283">
        <f>IF(('Balances y Proyecciones'!Q17)&lt;&gt;360,'Balances y Proyecciones'!Q40,'Balances y Proyecciones'!N40)</f>
        <v>30</v>
      </c>
      <c r="F27" s="2264"/>
      <c r="G27" s="2307" t="s">
        <v>1621</v>
      </c>
      <c r="H27" s="2264"/>
      <c r="I27" s="2264"/>
      <c r="J27" s="2308"/>
      <c r="N27" s="2293" t="s">
        <v>1625</v>
      </c>
      <c r="O27" s="2288">
        <f>'Balances y Proyecciones'!CC884</f>
        <v>0</v>
      </c>
      <c r="P27" s="2288">
        <f>'Balances y Proyecciones'!CF884</f>
        <v>0</v>
      </c>
      <c r="Q27" s="2288">
        <f>'Balances y Proyecciones'!CI884</f>
        <v>0</v>
      </c>
      <c r="R27" s="2288">
        <f>'Balances y Proyecciones'!CL884</f>
        <v>0</v>
      </c>
      <c r="S27" s="2288">
        <f>'Balances y Proyecciones'!CO884</f>
        <v>0</v>
      </c>
      <c r="T27" s="2288">
        <f>'Balances y Proyecciones'!CR884</f>
        <v>0</v>
      </c>
      <c r="U27" s="2288">
        <f>'Balances y Proyecciones'!CU884</f>
        <v>0</v>
      </c>
      <c r="V27" s="2288">
        <f>'Balances y Proyecciones'!CX884</f>
        <v>0</v>
      </c>
      <c r="W27" s="2288">
        <f>'Balances y Proyecciones'!DA884</f>
        <v>0</v>
      </c>
      <c r="X27" s="2288">
        <f>'Balances y Proyecciones'!DD884</f>
        <v>0</v>
      </c>
      <c r="Y27" s="2288">
        <f>'Balances y Proyecciones'!DG884</f>
        <v>0</v>
      </c>
      <c r="Z27" s="2288">
        <f>'Balances y Proyecciones'!DJ884</f>
        <v>0</v>
      </c>
      <c r="AA27" s="2288">
        <f>'Balances y Proyecciones'!DM884</f>
        <v>0</v>
      </c>
      <c r="AB27" s="2288">
        <f>'Balances y Proyecciones'!DP884</f>
        <v>0</v>
      </c>
      <c r="AC27" s="2288">
        <f>'Balances y Proyecciones'!DS884</f>
        <v>0</v>
      </c>
      <c r="AD27" s="2288">
        <f>'Balances y Proyecciones'!DV884</f>
        <v>0</v>
      </c>
    </row>
    <row r="28" spans="2:47" ht="28.5" thickBot="1" x14ac:dyDescent="0.3">
      <c r="B28" s="2294" t="s">
        <v>1623</v>
      </c>
      <c r="C28" s="2282">
        <f>IF(('Balances y Proyecciones'!Q17)&lt;&gt;360,'Balances y Proyecciones'!H44,'Balances y Proyecciones'!E44)</f>
        <v>120</v>
      </c>
      <c r="D28" s="2282">
        <f>IF(('Balances y Proyecciones'!Q17)&lt;&gt;360,'Balances y Proyecciones'!N44,'Balances y Proyecciones'!H44)</f>
        <v>120</v>
      </c>
      <c r="E28" s="2283">
        <f>IF(('Balances y Proyecciones'!Q17)&lt;&gt;360,'Balances y Proyecciones'!Q44,'Balances y Proyecciones'!N44)</f>
        <v>120</v>
      </c>
      <c r="F28" s="2264"/>
      <c r="G28" s="2294" t="s">
        <v>1624</v>
      </c>
      <c r="H28" s="2309">
        <f>IF(('Balances y Proyecciones'!Q17)&lt;&gt;360,'Balances y Proyecciones'!AS714,'Balances y Proyecciones'!AP714)</f>
        <v>0</v>
      </c>
      <c r="I28" s="2309">
        <f>IF(('Balances y Proyecciones'!Q17)&lt;&gt;360,'Balances y Proyecciones'!AY714,'Balances y Proyecciones'!AS714)</f>
        <v>0</v>
      </c>
      <c r="J28" s="2310">
        <f>IF(('Balances y Proyecciones'!Q17)&lt;&gt;360,'Balances y Proyecciones'!BB714,'Balances y Proyecciones'!AY714)</f>
        <v>1</v>
      </c>
      <c r="N28" s="2305" t="s">
        <v>1628</v>
      </c>
      <c r="O28" s="2306">
        <f t="shared" ref="O28:AD28" si="3">SUM(O23:O27)</f>
        <v>2597.866</v>
      </c>
      <c r="P28" s="2306">
        <f t="shared" si="3"/>
        <v>2601.732</v>
      </c>
      <c r="Q28" s="2306">
        <f t="shared" si="3"/>
        <v>2599.1979999999999</v>
      </c>
      <c r="R28" s="2306">
        <f t="shared" si="3"/>
        <v>2592.6640000000007</v>
      </c>
      <c r="S28" s="2306">
        <f t="shared" si="3"/>
        <v>2586.13</v>
      </c>
      <c r="T28" s="2306">
        <f t="shared" si="3"/>
        <v>2579.596</v>
      </c>
      <c r="U28" s="2306">
        <f t="shared" si="3"/>
        <v>2573.0619999999999</v>
      </c>
      <c r="V28" s="2306">
        <f t="shared" si="3"/>
        <v>2566.5279999999998</v>
      </c>
      <c r="W28" s="2306">
        <f t="shared" si="3"/>
        <v>2559.9940000000006</v>
      </c>
      <c r="X28" s="2306">
        <f t="shared" si="3"/>
        <v>2553.4600000000005</v>
      </c>
      <c r="Y28" s="2306">
        <f t="shared" si="3"/>
        <v>2546.9260000000004</v>
      </c>
      <c r="Z28" s="2306">
        <f t="shared" si="3"/>
        <v>2540.3920000000007</v>
      </c>
      <c r="AA28" s="2306">
        <f t="shared" si="3"/>
        <v>2533.8580000000002</v>
      </c>
      <c r="AB28" s="2306">
        <f t="shared" si="3"/>
        <v>2527.3240000000001</v>
      </c>
      <c r="AC28" s="2306">
        <f t="shared" si="3"/>
        <v>2520.7900000000004</v>
      </c>
      <c r="AD28" s="2306">
        <f t="shared" si="3"/>
        <v>2514.2560000000003</v>
      </c>
    </row>
    <row r="29" spans="2:47" ht="27" x14ac:dyDescent="0.25">
      <c r="B29" s="2272" t="s">
        <v>1626</v>
      </c>
      <c r="C29" s="2282">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f>
        <v>300</v>
      </c>
      <c r="D29" s="2282">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f>
        <v>300</v>
      </c>
      <c r="E29" s="2283">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300</v>
      </c>
      <c r="F29" s="2264"/>
      <c r="G29" s="2272" t="s">
        <v>1627</v>
      </c>
      <c r="H29" s="2316">
        <f>IF(('Balances y Proyecciones'!Q17)&lt;&gt;360,'Balances y Proyecciones'!AS725,'Balances y Proyecciones'!AP725)</f>
        <v>8.9750692520775619</v>
      </c>
      <c r="I29" s="2316">
        <f>IF(('Balances y Proyecciones'!Q17)&lt;&gt;360,'Balances y Proyecciones'!AY725,'Balances y Proyecciones'!AS725)</f>
        <v>8.9750692520775619</v>
      </c>
      <c r="J29" s="2317">
        <f>IF(('Balances y Proyecciones'!Q17)&lt;&gt;360,'Balances y Proyecciones'!BB725,'Balances y Proyecciones'!AY725)</f>
        <v>4.4875346260387809</v>
      </c>
      <c r="N29" s="2293" t="s">
        <v>1495</v>
      </c>
      <c r="O29" s="2288">
        <f>'Balances y Proyecciones'!CC878</f>
        <v>0</v>
      </c>
      <c r="P29" s="2288">
        <f>'Balances y Proyecciones'!CF878</f>
        <v>0</v>
      </c>
      <c r="Q29" s="2288">
        <f>'Balances y Proyecciones'!CI878</f>
        <v>0</v>
      </c>
      <c r="R29" s="2288">
        <f>'Balances y Proyecciones'!CL878</f>
        <v>0</v>
      </c>
      <c r="S29" s="2288">
        <f>'Balances y Proyecciones'!CO878</f>
        <v>0</v>
      </c>
      <c r="T29" s="2288">
        <f>'Balances y Proyecciones'!CR878</f>
        <v>0</v>
      </c>
      <c r="U29" s="2288">
        <f>'Balances y Proyecciones'!CU878</f>
        <v>0</v>
      </c>
      <c r="V29" s="2288">
        <f>'Balances y Proyecciones'!CX878</f>
        <v>0</v>
      </c>
      <c r="W29" s="2288">
        <f>'Balances y Proyecciones'!DA878</f>
        <v>0</v>
      </c>
      <c r="X29" s="2288">
        <f>'Balances y Proyecciones'!DD878</f>
        <v>0</v>
      </c>
      <c r="Y29" s="2288">
        <f>'Balances y Proyecciones'!DG878</f>
        <v>0</v>
      </c>
      <c r="Z29" s="2288">
        <f>'Balances y Proyecciones'!DJ878</f>
        <v>0</v>
      </c>
      <c r="AA29" s="2288">
        <f>'Balances y Proyecciones'!DM878</f>
        <v>0</v>
      </c>
      <c r="AB29" s="2288">
        <f>'Balances y Proyecciones'!DP878</f>
        <v>0</v>
      </c>
      <c r="AC29" s="2288">
        <f>'Balances y Proyecciones'!DS878</f>
        <v>0</v>
      </c>
      <c r="AD29" s="2288">
        <f>'Balances y Proyecciones'!DV878</f>
        <v>0</v>
      </c>
      <c r="AG29" s="3369" t="s">
        <v>1629</v>
      </c>
      <c r="AH29" s="3370"/>
      <c r="AI29" s="3370"/>
      <c r="AJ29" s="3370"/>
      <c r="AK29" s="3370"/>
      <c r="AL29" s="3370"/>
      <c r="AM29" s="3370"/>
      <c r="AN29" s="3370"/>
      <c r="AO29" s="3370"/>
      <c r="AP29" s="3370"/>
      <c r="AQ29" s="3370"/>
      <c r="AR29" s="3370"/>
      <c r="AS29" s="3370"/>
      <c r="AT29" s="3370"/>
      <c r="AU29" s="3371"/>
    </row>
    <row r="30" spans="2:47" x14ac:dyDescent="0.25">
      <c r="B30" s="2284" t="s">
        <v>1630</v>
      </c>
      <c r="C30" s="2298">
        <f>SUM(C26:C29)</f>
        <v>480</v>
      </c>
      <c r="D30" s="2298">
        <f>SUM(D26:D29)</f>
        <v>480</v>
      </c>
      <c r="E30" s="2299">
        <f>SUM(E26:E29)</f>
        <v>480</v>
      </c>
      <c r="F30" s="2264"/>
      <c r="G30" s="2272" t="s">
        <v>1631</v>
      </c>
      <c r="H30" s="2316">
        <f>IF(('Balances y Proyecciones'!Q17)&lt;&gt;360,'Balances y Proyecciones'!AS727,'Balances y Proyecciones'!AP727)</f>
        <v>280.8</v>
      </c>
      <c r="I30" s="2316">
        <f>IF(('Balances y Proyecciones'!Q17)&lt;&gt;360,'Balances y Proyecciones'!AY727,'Balances y Proyecciones'!AS727)</f>
        <v>280.8</v>
      </c>
      <c r="J30" s="2317">
        <f>IF(('Balances y Proyecciones'!Q17)&lt;&gt;360,'Balances y Proyecciones'!BB727,'Balances y Proyecciones'!AY727)</f>
        <v>140.4</v>
      </c>
      <c r="N30" s="2293" t="s">
        <v>529</v>
      </c>
      <c r="O30" s="2288">
        <f>'Balances y Proyecciones'!CC877</f>
        <v>-1882.7000000000003</v>
      </c>
      <c r="P30" s="2288">
        <f>'Balances y Proyecciones'!CF877</f>
        <v>-1884.308</v>
      </c>
      <c r="Q30" s="2288">
        <f>'Balances y Proyecciones'!CI877</f>
        <v>-1884.576</v>
      </c>
      <c r="R30" s="2288">
        <f>'Balances y Proyecciones'!CL877</f>
        <v>-1887.2560000000003</v>
      </c>
      <c r="S30" s="2288">
        <f>'Balances y Proyecciones'!CO877</f>
        <v>-1887.2560000000003</v>
      </c>
      <c r="T30" s="2288">
        <f>'Balances y Proyecciones'!CR877</f>
        <v>-1887.2560000000003</v>
      </c>
      <c r="U30" s="2288">
        <f>'Balances y Proyecciones'!CU877</f>
        <v>-1887.2559999999994</v>
      </c>
      <c r="V30" s="2288">
        <f>'Balances y Proyecciones'!CX877</f>
        <v>-1887.2560000000012</v>
      </c>
      <c r="W30" s="2288">
        <f>'Balances y Proyecciones'!DA877</f>
        <v>-1887.2559999999994</v>
      </c>
      <c r="X30" s="2288">
        <f>'Balances y Proyecciones'!DD877</f>
        <v>-1887.2560000000012</v>
      </c>
      <c r="Y30" s="2288">
        <f>'Balances y Proyecciones'!DG877</f>
        <v>-1887.2559999999994</v>
      </c>
      <c r="Z30" s="2288">
        <f>'Balances y Proyecciones'!DJ877</f>
        <v>-1887.2560000000012</v>
      </c>
      <c r="AA30" s="2288">
        <f>'Balances y Proyecciones'!DM877</f>
        <v>-1887.2559999999994</v>
      </c>
      <c r="AB30" s="2288">
        <f>'Balances y Proyecciones'!DP877</f>
        <v>-1887.2560000000012</v>
      </c>
      <c r="AC30" s="2288">
        <f>'Balances y Proyecciones'!DS877</f>
        <v>-1887.2559999999994</v>
      </c>
      <c r="AD30" s="2288">
        <f>'Balances y Proyecciones'!DV877</f>
        <v>-1887.2560000000012</v>
      </c>
      <c r="AG30" s="3372"/>
      <c r="AH30" s="3373"/>
      <c r="AI30" s="3373"/>
      <c r="AJ30" s="3373"/>
      <c r="AK30" s="3373"/>
      <c r="AL30" s="3373"/>
      <c r="AM30" s="3373"/>
      <c r="AN30" s="3373"/>
      <c r="AO30" s="3373"/>
      <c r="AP30" s="3373"/>
      <c r="AQ30" s="3373"/>
      <c r="AR30" s="3373"/>
      <c r="AS30" s="3373"/>
      <c r="AT30" s="3373"/>
      <c r="AU30" s="3374"/>
    </row>
    <row r="31" spans="2:47" ht="28.5" thickBot="1" x14ac:dyDescent="0.3">
      <c r="B31" s="2272" t="s">
        <v>1632</v>
      </c>
      <c r="C31" s="2282">
        <f>IF(('Balances y Proyecciones'!Q17)&lt;&gt;360,'Balances y Proyecciones'!H49+'Balances y Proyecciones'!H50+'Balances y Proyecciones'!H51,'Balances y Proyecciones'!E49+'Balances y Proyecciones'!E50+'Balances y Proyecciones'!E51)</f>
        <v>20</v>
      </c>
      <c r="D31" s="2282">
        <f>IF(('Balances y Proyecciones'!Q17)&lt;&gt;360,'Balances y Proyecciones'!N49+'Balances y Proyecciones'!N50+'Balances y Proyecciones'!N51,'Balances y Proyecciones'!H49+'Balances y Proyecciones'!H50+'Balances y Proyecciones'!H51)</f>
        <v>20</v>
      </c>
      <c r="E31" s="2283">
        <f>IF(('Balances y Proyecciones'!Q17)&lt;&gt;360,'Balances y Proyecciones'!Q49+'Balances y Proyecciones'!Q50+'Balances y Proyecciones'!Q51,'Balances y Proyecciones'!N49+'Balances y Proyecciones'!N50+'Balances y Proyecciones'!N51)</f>
        <v>20</v>
      </c>
      <c r="F31" s="2264"/>
      <c r="G31" s="2272" t="s">
        <v>1633</v>
      </c>
      <c r="H31" s="2316">
        <f>H29+H30</f>
        <v>289.77506925207757</v>
      </c>
      <c r="I31" s="2316">
        <f>I29+I30</f>
        <v>289.77506925207757</v>
      </c>
      <c r="J31" s="2317">
        <f>J29+J30</f>
        <v>144.88753462603879</v>
      </c>
      <c r="N31" s="2305" t="s">
        <v>1636</v>
      </c>
      <c r="O31" s="2306">
        <f t="shared" ref="O31:AD31" si="4">SUM(O28:O30)</f>
        <v>715.16599999999971</v>
      </c>
      <c r="P31" s="2306">
        <f t="shared" si="4"/>
        <v>717.42399999999998</v>
      </c>
      <c r="Q31" s="2306">
        <f t="shared" si="4"/>
        <v>714.62199999999984</v>
      </c>
      <c r="R31" s="2306">
        <f t="shared" si="4"/>
        <v>705.40800000000036</v>
      </c>
      <c r="S31" s="2306">
        <f t="shared" si="4"/>
        <v>698.8739999999998</v>
      </c>
      <c r="T31" s="2306">
        <f t="shared" si="4"/>
        <v>692.33999999999969</v>
      </c>
      <c r="U31" s="2306">
        <f t="shared" si="4"/>
        <v>685.80600000000049</v>
      </c>
      <c r="V31" s="2306">
        <f t="shared" si="4"/>
        <v>679.27199999999857</v>
      </c>
      <c r="W31" s="2306">
        <f t="shared" si="4"/>
        <v>672.73800000000119</v>
      </c>
      <c r="X31" s="2306">
        <f t="shared" si="4"/>
        <v>666.20399999999927</v>
      </c>
      <c r="Y31" s="2306">
        <f t="shared" si="4"/>
        <v>659.67000000000098</v>
      </c>
      <c r="Z31" s="2306">
        <f t="shared" si="4"/>
        <v>653.13599999999951</v>
      </c>
      <c r="AA31" s="2306">
        <f t="shared" si="4"/>
        <v>646.60200000000077</v>
      </c>
      <c r="AB31" s="2306">
        <f t="shared" si="4"/>
        <v>640.06799999999885</v>
      </c>
      <c r="AC31" s="2306">
        <f t="shared" si="4"/>
        <v>633.53400000000101</v>
      </c>
      <c r="AD31" s="2306">
        <f t="shared" si="4"/>
        <v>626.99999999999909</v>
      </c>
      <c r="AG31" s="2318"/>
      <c r="AU31" s="2319"/>
    </row>
    <row r="32" spans="2:47" thickBot="1" x14ac:dyDescent="0.3">
      <c r="B32" s="2272" t="s">
        <v>1634</v>
      </c>
      <c r="C32" s="2282">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f>
        <v>430</v>
      </c>
      <c r="D32" s="2282">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f>
        <v>430</v>
      </c>
      <c r="E32" s="2283">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f>
        <v>430</v>
      </c>
      <c r="F32" s="2264"/>
      <c r="G32" s="2272" t="s">
        <v>1635</v>
      </c>
      <c r="H32" s="2316">
        <f>IF(('Balances y Proyecciones'!Q17)&lt;&gt;360,'Balances y Proyecciones'!AS730,'Balances y Proyecciones'!AP730)</f>
        <v>21.6</v>
      </c>
      <c r="I32" s="2316">
        <f>IF(('Balances y Proyecciones'!Q17)&lt;&gt;360,'Balances y Proyecciones'!AY730,'Balances y Proyecciones'!AS730)</f>
        <v>21.6</v>
      </c>
      <c r="J32" s="2317">
        <f>IF(('Balances y Proyecciones'!Q17)&lt;&gt;360,'Balances y Proyecciones'!BB730,'Balances y Proyecciones'!AY730)</f>
        <v>10.8</v>
      </c>
      <c r="N32" s="2293" t="s">
        <v>1503</v>
      </c>
      <c r="O32" s="2288">
        <f>'Balances y Proyecciones'!CC886</f>
        <v>390</v>
      </c>
      <c r="P32" s="2288">
        <f>'Balances y Proyecciones'!CF886</f>
        <v>1105.1659999999993</v>
      </c>
      <c r="Q32" s="2288">
        <f>'Balances y Proyecciones'!CI886</f>
        <v>1822.5899999999992</v>
      </c>
      <c r="R32" s="2288">
        <f>'Balances y Proyecciones'!CL886</f>
        <v>2537.2119999999991</v>
      </c>
      <c r="S32" s="2288">
        <f>'Balances y Proyecciones'!CO886</f>
        <v>3242.619999999999</v>
      </c>
      <c r="T32" s="2288">
        <f>'Balances y Proyecciones'!CR886</f>
        <v>3941.4939999999988</v>
      </c>
      <c r="U32" s="2288">
        <f>'Balances y Proyecciones'!CU886</f>
        <v>4633.833999999998</v>
      </c>
      <c r="V32" s="2288">
        <f>'Balances y Proyecciones'!CX886</f>
        <v>5319.6399999999985</v>
      </c>
      <c r="W32" s="2288">
        <f>'Balances y Proyecciones'!DA886</f>
        <v>5998.9119999999966</v>
      </c>
      <c r="X32" s="2288">
        <f>'Balances y Proyecciones'!DD886</f>
        <v>6671.6499999999978</v>
      </c>
      <c r="Y32" s="2288">
        <f>'Balances y Proyecciones'!DG886</f>
        <v>7337.8539999999966</v>
      </c>
      <c r="Z32" s="2288">
        <f>'Balances y Proyecciones'!DJ886</f>
        <v>7997.5239999999976</v>
      </c>
      <c r="AA32" s="2288">
        <f>'Balances y Proyecciones'!DM886</f>
        <v>8650.6599999999962</v>
      </c>
      <c r="AB32" s="2288">
        <f>'Balances y Proyecciones'!DP886</f>
        <v>9297.261999999997</v>
      </c>
      <c r="AC32" s="2288">
        <f>'Balances y Proyecciones'!DS886</f>
        <v>9937.3299999999963</v>
      </c>
      <c r="AD32" s="2288">
        <f>'Balances y Proyecciones'!DV886</f>
        <v>10570.863999999998</v>
      </c>
      <c r="AG32" s="2318"/>
      <c r="AH32" s="2320" t="s">
        <v>1637</v>
      </c>
      <c r="AI32" s="2321" t="e">
        <f>+AJ32</f>
        <v>#VALUE!</v>
      </c>
      <c r="AJ32" s="2322" t="e">
        <f>+AU71</f>
        <v>#VALUE!</v>
      </c>
      <c r="AU32" s="2319"/>
    </row>
    <row r="33" spans="1:91" ht="28.5" thickBot="1" x14ac:dyDescent="0.3">
      <c r="B33" s="2284" t="s">
        <v>1638</v>
      </c>
      <c r="C33" s="2298">
        <f>SUM(C31:C32)</f>
        <v>450</v>
      </c>
      <c r="D33" s="2298">
        <f>SUM(D31:D32)</f>
        <v>450</v>
      </c>
      <c r="E33" s="2299">
        <f>SUM(E31:E32)</f>
        <v>450</v>
      </c>
      <c r="F33" s="2264"/>
      <c r="G33" s="2272" t="s">
        <v>1639</v>
      </c>
      <c r="H33" s="2316">
        <f>H31-H32</f>
        <v>268.17506925207755</v>
      </c>
      <c r="I33" s="2316">
        <f>I31-I32</f>
        <v>268.17506925207755</v>
      </c>
      <c r="J33" s="2317">
        <f>J31-J32</f>
        <v>134.08753462603877</v>
      </c>
      <c r="N33" s="2305" t="s">
        <v>1504</v>
      </c>
      <c r="O33" s="2306">
        <f t="shared" ref="O33:AD33" si="5">O31+O32</f>
        <v>1105.1659999999997</v>
      </c>
      <c r="P33" s="2306">
        <f t="shared" si="5"/>
        <v>1822.5899999999992</v>
      </c>
      <c r="Q33" s="2306">
        <f t="shared" si="5"/>
        <v>2537.2119999999991</v>
      </c>
      <c r="R33" s="2306">
        <f t="shared" si="5"/>
        <v>3242.6199999999994</v>
      </c>
      <c r="S33" s="2306">
        <f t="shared" si="5"/>
        <v>3941.4939999999988</v>
      </c>
      <c r="T33" s="2306">
        <f t="shared" si="5"/>
        <v>4633.8339999999989</v>
      </c>
      <c r="U33" s="2306">
        <f t="shared" si="5"/>
        <v>5319.6399999999985</v>
      </c>
      <c r="V33" s="2306">
        <f t="shared" si="5"/>
        <v>5998.9119999999966</v>
      </c>
      <c r="W33" s="2306">
        <f t="shared" si="5"/>
        <v>6671.6499999999978</v>
      </c>
      <c r="X33" s="2306">
        <f t="shared" si="5"/>
        <v>7337.8539999999975</v>
      </c>
      <c r="Y33" s="2306">
        <f t="shared" si="5"/>
        <v>7997.5239999999976</v>
      </c>
      <c r="Z33" s="2306">
        <f t="shared" si="5"/>
        <v>8650.6599999999962</v>
      </c>
      <c r="AA33" s="2306">
        <f t="shared" si="5"/>
        <v>9297.261999999997</v>
      </c>
      <c r="AB33" s="2306">
        <f t="shared" si="5"/>
        <v>9937.3299999999963</v>
      </c>
      <c r="AC33" s="2306">
        <f t="shared" si="5"/>
        <v>10570.863999999998</v>
      </c>
      <c r="AD33" s="2306">
        <f t="shared" si="5"/>
        <v>11197.863999999998</v>
      </c>
      <c r="AG33" s="2318"/>
      <c r="AH33" s="2320" t="s">
        <v>1640</v>
      </c>
      <c r="AI33" s="2323" t="e">
        <f>+AJ33</f>
        <v>#VALUE!</v>
      </c>
      <c r="AJ33" s="2322" t="e">
        <f>IF(AND($AJ$32&gt;=0.5,$AJ$32&lt;=1.61),"R1",IF(AND($AJ$32&gt;=1.61,$AJ$32&lt;=2.21),"R2",IF(AND($AJ$32&gt;=2.21,$AJ$32&lt;=2.81),"R3",IF(AND($AJ$32&gt;=2.81,$AJ$32&lt;=3.31),"R4",IF(AND($AJ$32&gt;=3.31,$AJ$32&lt;=4.1),"R5",0)))))</f>
        <v>#VALUE!</v>
      </c>
      <c r="AU33" s="2319"/>
    </row>
    <row r="34" spans="1:91" ht="28.5" thickBot="1" x14ac:dyDescent="0.3">
      <c r="B34" s="2311" t="s">
        <v>763</v>
      </c>
      <c r="C34" s="2312">
        <f>C30+C33</f>
        <v>930</v>
      </c>
      <c r="D34" s="2312">
        <f>D30+D33</f>
        <v>930</v>
      </c>
      <c r="E34" s="2313">
        <f>E30+E33</f>
        <v>930</v>
      </c>
      <c r="F34" s="2264"/>
      <c r="G34" s="2307" t="s">
        <v>1641</v>
      </c>
      <c r="H34" s="2264"/>
      <c r="I34" s="2264"/>
      <c r="J34" s="2308"/>
      <c r="N34" s="2293" t="s">
        <v>1643</v>
      </c>
      <c r="O34" s="2288">
        <f>'Balances y Proyecciones'!CC891</f>
        <v>40</v>
      </c>
      <c r="P34" s="2288">
        <f>'Balances y Proyecciones'!CF891</f>
        <v>40</v>
      </c>
      <c r="Q34" s="2288">
        <f>'Balances y Proyecciones'!CI891</f>
        <v>40</v>
      </c>
      <c r="R34" s="2288">
        <f>'Balances y Proyecciones'!CL891</f>
        <v>40</v>
      </c>
      <c r="S34" s="2288">
        <f>'Balances y Proyecciones'!CO891</f>
        <v>40</v>
      </c>
      <c r="T34" s="2288">
        <f>'Balances y Proyecciones'!CR891</f>
        <v>40</v>
      </c>
      <c r="U34" s="2288">
        <f>'Balances y Proyecciones'!CU891</f>
        <v>40</v>
      </c>
      <c r="V34" s="2288">
        <f>'Balances y Proyecciones'!CX891</f>
        <v>40</v>
      </c>
      <c r="W34" s="2288">
        <f>'Balances y Proyecciones'!DA891</f>
        <v>40</v>
      </c>
      <c r="X34" s="2288">
        <f>'Balances y Proyecciones'!DD891</f>
        <v>40</v>
      </c>
      <c r="Y34" s="2288">
        <f>'Balances y Proyecciones'!DG891</f>
        <v>40</v>
      </c>
      <c r="Z34" s="2288">
        <f>'Balances y Proyecciones'!DJ891</f>
        <v>40</v>
      </c>
      <c r="AA34" s="2288">
        <f>'Balances y Proyecciones'!DM891</f>
        <v>40</v>
      </c>
      <c r="AB34" s="2288">
        <f>'Balances y Proyecciones'!DP891</f>
        <v>40</v>
      </c>
      <c r="AC34" s="2288">
        <f>'Balances y Proyecciones'!DS891</f>
        <v>40</v>
      </c>
      <c r="AD34" s="2288">
        <f>'Balances y Proyecciones'!DV891</f>
        <v>40</v>
      </c>
      <c r="AG34" s="2318"/>
      <c r="AI34" s="2324"/>
      <c r="AU34" s="2319"/>
    </row>
    <row r="35" spans="1:91" ht="28.5" thickBot="1" x14ac:dyDescent="0.3">
      <c r="B35" s="2307" t="s">
        <v>764</v>
      </c>
      <c r="C35" s="2314"/>
      <c r="D35" s="2314"/>
      <c r="E35" s="2315"/>
      <c r="F35" s="2264"/>
      <c r="G35" s="2272" t="s">
        <v>1642</v>
      </c>
      <c r="H35" s="2309">
        <f>IF(('Balances y Proyecciones'!Q17)&lt;&gt;360,'Balances y Proyecciones'!AS751,'Balances y Proyecciones'!AP751)</f>
        <v>0.24031007751937986</v>
      </c>
      <c r="I35" s="2309">
        <f>IF(('Balances y Proyecciones'!Q17)&lt;&gt;360,'Balances y Proyecciones'!AY751,'Balances y Proyecciones'!AS751)</f>
        <v>0.24031007751937986</v>
      </c>
      <c r="J35" s="2310">
        <f>IF(('Balances y Proyecciones'!Q17)&lt;&gt;360,'Balances y Proyecciones'!BB751,'Balances y Proyecciones'!AY751)</f>
        <v>0.24031007751937986</v>
      </c>
      <c r="N35" s="2293" t="s">
        <v>910</v>
      </c>
      <c r="O35" s="2326">
        <f t="shared" ref="O35:AD35" si="6">O34/O14</f>
        <v>1.3970382788488405E-2</v>
      </c>
      <c r="P35" s="2326">
        <f t="shared" si="6"/>
        <v>1.3906271728549576E-2</v>
      </c>
      <c r="Q35" s="2326">
        <f t="shared" si="6"/>
        <v>1.3842746400885937E-2</v>
      </c>
      <c r="R35" s="2326">
        <f t="shared" si="6"/>
        <v>1.3779798814937301E-2</v>
      </c>
      <c r="S35" s="2326">
        <f t="shared" si="6"/>
        <v>1.3717421124828532E-2</v>
      </c>
      <c r="T35" s="2326">
        <f t="shared" si="6"/>
        <v>1.365560562610952E-2</v>
      </c>
      <c r="U35" s="2326">
        <f t="shared" si="6"/>
        <v>1.3594344752582924E-2</v>
      </c>
      <c r="V35" s="2326">
        <f t="shared" si="6"/>
        <v>1.3533631073216944E-2</v>
      </c>
      <c r="W35" s="2326">
        <f t="shared" si="6"/>
        <v>1.3473457289140393E-2</v>
      </c>
      <c r="X35" s="2326">
        <f t="shared" si="6"/>
        <v>1.341381623071764E-2</v>
      </c>
      <c r="Y35" s="2326">
        <f t="shared" si="6"/>
        <v>1.3354700854700856E-2</v>
      </c>
      <c r="Z35" s="2326">
        <f t="shared" si="6"/>
        <v>1.3296104241457253E-2</v>
      </c>
      <c r="AA35" s="2326">
        <f t="shared" si="6"/>
        <v>1.3238019592268996E-2</v>
      </c>
      <c r="AB35" s="2326">
        <f t="shared" si="6"/>
        <v>1.3180440226703572E-2</v>
      </c>
      <c r="AC35" s="2326">
        <f t="shared" si="6"/>
        <v>1.3123359580052493E-2</v>
      </c>
      <c r="AD35" s="2326">
        <f t="shared" si="6"/>
        <v>1.3066771200836274E-2</v>
      </c>
      <c r="AG35" s="2318"/>
      <c r="AH35" s="2325" t="s">
        <v>1644</v>
      </c>
      <c r="AU35" s="2319"/>
    </row>
    <row r="36" spans="1:91" thickBot="1" x14ac:dyDescent="0.3">
      <c r="B36" s="2272" t="s">
        <v>1645</v>
      </c>
      <c r="C36" s="2282">
        <f>IF(('Balances y Proyecciones'!Q17)&lt;&gt;360,'Balances y Proyecciones'!H60,'Balances y Proyecciones'!E60)</f>
        <v>70</v>
      </c>
      <c r="D36" s="2282">
        <f>IF(('Balances y Proyecciones'!Q17)&lt;&gt;360,'Balances y Proyecciones'!N60,'Balances y Proyecciones'!H60)</f>
        <v>70</v>
      </c>
      <c r="E36" s="2283">
        <f>IF(('Balances y Proyecciones'!Q17)&lt;&gt;360,'Balances y Proyecciones'!Q60,'Balances y Proyecciones'!N60)</f>
        <v>70</v>
      </c>
      <c r="F36" s="2264"/>
      <c r="G36" s="2272" t="s">
        <v>1646</v>
      </c>
      <c r="H36" s="2309">
        <f>IF(('Balances y Proyecciones'!Q17)&lt;&gt;360,(('Balances y Proyecciones'!AS704+'Balances y Proyecciones'!AS657)/'Balances y Proyecciones'!AS703),(('Balances y Proyecciones'!AP704+'Balances y Proyecciones'!AP657)/'Balances y Proyecciones'!AP703))</f>
        <v>1.2919896640826873E-2</v>
      </c>
      <c r="I36" s="2309">
        <f>IF(('Balances y Proyecciones'!Q17)&lt;&gt;360,(('Balances y Proyecciones'!AY704+'Balances y Proyecciones'!AY657)/'Balances y Proyecciones'!AY703),(('Balances y Proyecciones'!AS704+'Balances y Proyecciones'!AS657)/'Balances y Proyecciones'!AS703))</f>
        <v>1.2919896640826873E-2</v>
      </c>
      <c r="J36" s="2310">
        <f>IF(('Balances y Proyecciones'!Q17)&lt;&gt;360,(('Balances y Proyecciones'!BB704+'Balances y Proyecciones'!BB657)/'Balances y Proyecciones'!BB703),(('Balances y Proyecciones'!AY704+'Balances y Proyecciones'!AY657)/'Balances y Proyecciones'!AY703))</f>
        <v>1.2919896640826873E-2</v>
      </c>
      <c r="N36" s="2293" t="s">
        <v>1652</v>
      </c>
      <c r="O36" s="2326">
        <f t="shared" ref="O36:AD36" si="7">O14/(-O24)</f>
        <v>376.73684210526307</v>
      </c>
      <c r="P36" s="2326">
        <f t="shared" si="7"/>
        <v>399.49999999999994</v>
      </c>
      <c r="Q36" s="2326">
        <f t="shared" si="7"/>
        <v>902.99999999999977</v>
      </c>
      <c r="R36" s="2326">
        <f t="shared" si="7"/>
        <v>907.12499999999989</v>
      </c>
      <c r="S36" s="2326">
        <f t="shared" si="7"/>
        <v>911.24999999999977</v>
      </c>
      <c r="T36" s="2326">
        <f t="shared" si="7"/>
        <v>915.37499999999977</v>
      </c>
      <c r="U36" s="2326">
        <f t="shared" si="7"/>
        <v>919.49999999999989</v>
      </c>
      <c r="V36" s="2326">
        <f t="shared" si="7"/>
        <v>923.62499999999977</v>
      </c>
      <c r="W36" s="2326">
        <f t="shared" si="7"/>
        <v>927.74999999999989</v>
      </c>
      <c r="X36" s="2326">
        <f t="shared" si="7"/>
        <v>931.87499999999977</v>
      </c>
      <c r="Y36" s="2326">
        <f t="shared" si="7"/>
        <v>935.99999999999977</v>
      </c>
      <c r="Z36" s="2326">
        <f t="shared" si="7"/>
        <v>940.12499999999989</v>
      </c>
      <c r="AA36" s="2326">
        <f t="shared" si="7"/>
        <v>944.24999999999977</v>
      </c>
      <c r="AB36" s="2326">
        <f t="shared" si="7"/>
        <v>948.37499999999977</v>
      </c>
      <c r="AC36" s="2326">
        <f t="shared" si="7"/>
        <v>952.49999999999977</v>
      </c>
      <c r="AD36" s="2326">
        <f t="shared" si="7"/>
        <v>956.62499999999977</v>
      </c>
      <c r="AG36" s="2327"/>
      <c r="AH36" s="2328"/>
      <c r="AI36" s="2328"/>
      <c r="AJ36" s="156"/>
      <c r="AK36" s="2329"/>
      <c r="AL36" s="156"/>
      <c r="AM36" s="156"/>
      <c r="AN36" s="156"/>
      <c r="AO36" s="156"/>
      <c r="AP36" s="2330" t="s">
        <v>1647</v>
      </c>
      <c r="AQ36" s="2330" t="s">
        <v>1648</v>
      </c>
      <c r="AR36" s="2330" t="s">
        <v>1649</v>
      </c>
      <c r="AS36" s="2330" t="s">
        <v>1650</v>
      </c>
      <c r="AT36" s="156"/>
      <c r="AU36" s="2331"/>
    </row>
    <row r="37" spans="1:91" thickBot="1" x14ac:dyDescent="0.4">
      <c r="A37" s="659"/>
      <c r="B37" s="2332" t="s">
        <v>1651</v>
      </c>
      <c r="C37" s="2333">
        <f>IF(('Balances y Proyecciones'!Q17)&lt;&gt;360,'Balances y Proyecciones'!H61,'Balances y Proyecciones'!E61)</f>
        <v>50</v>
      </c>
      <c r="D37" s="2333">
        <f>IF(('Balances y Proyecciones'!Q17)&lt;&gt;360,'Balances y Proyecciones'!N61,'Balances y Proyecciones'!H61)</f>
        <v>50</v>
      </c>
      <c r="E37" s="2334">
        <f>IF(('Balances y Proyecciones'!Q17)&lt;&gt;360,'Balances y Proyecciones'!Q61,'Balances y Proyecciones'!N61)</f>
        <v>50</v>
      </c>
      <c r="F37" s="2335"/>
      <c r="G37" s="2332" t="s">
        <v>915</v>
      </c>
      <c r="H37" s="2336">
        <f>IF(('Balances y Proyecciones'!Q17)&lt;&gt;360,'Balances y Proyecciones'!AS743,'Balances y Proyecciones'!AP743)</f>
        <v>1.3850415512465374E-2</v>
      </c>
      <c r="I37" s="2336">
        <f>IF(('Balances y Proyecciones'!Q17)&lt;&gt;360,'Balances y Proyecciones'!AY743,'Balances y Proyecciones'!AS743)</f>
        <v>1.3850415512465374E-2</v>
      </c>
      <c r="J37" s="2337">
        <f>IF(('Balances y Proyecciones'!Q17)&lt;&gt;360,'Balances y Proyecciones'!BB743,'Balances y Proyecciones'!AY743)</f>
        <v>6.9252077562326868E-3</v>
      </c>
      <c r="K37" s="659"/>
      <c r="L37" s="659"/>
      <c r="M37" s="659"/>
      <c r="N37" s="2354" t="s">
        <v>1657</v>
      </c>
      <c r="O37" s="2355">
        <f t="shared" ref="O37:AD37" si="8">O20/(-O24-O25)</f>
        <v>152.55681818181816</v>
      </c>
      <c r="P37" s="2355">
        <f t="shared" si="8"/>
        <v>374.74999999999994</v>
      </c>
      <c r="Q37" s="2355">
        <f t="shared" si="8"/>
        <v>847.31249999999977</v>
      </c>
      <c r="R37" s="2355">
        <f t="shared" si="8"/>
        <v>851.4375</v>
      </c>
      <c r="S37" s="2355">
        <f t="shared" si="8"/>
        <v>855.56249999999989</v>
      </c>
      <c r="T37" s="2355">
        <f t="shared" si="8"/>
        <v>859.68749999999989</v>
      </c>
      <c r="U37" s="2355">
        <f t="shared" si="8"/>
        <v>863.81249999999977</v>
      </c>
      <c r="V37" s="2355">
        <f t="shared" si="8"/>
        <v>867.93749999999977</v>
      </c>
      <c r="W37" s="2355">
        <f t="shared" si="8"/>
        <v>872.0625</v>
      </c>
      <c r="X37" s="2355">
        <f t="shared" si="8"/>
        <v>876.18749999999989</v>
      </c>
      <c r="Y37" s="2355">
        <f t="shared" si="8"/>
        <v>880.31249999999977</v>
      </c>
      <c r="Z37" s="2355">
        <f t="shared" si="8"/>
        <v>884.43749999999989</v>
      </c>
      <c r="AA37" s="2355">
        <f t="shared" si="8"/>
        <v>888.56249999999989</v>
      </c>
      <c r="AB37" s="2355">
        <f t="shared" si="8"/>
        <v>892.68749999999977</v>
      </c>
      <c r="AC37" s="2355">
        <f t="shared" si="8"/>
        <v>896.81249999999989</v>
      </c>
      <c r="AD37" s="2355">
        <f t="shared" si="8"/>
        <v>900.93749999999977</v>
      </c>
      <c r="AE37" s="659"/>
      <c r="AF37" s="659"/>
      <c r="AG37" s="2338">
        <v>1</v>
      </c>
      <c r="AH37" s="2339" t="s">
        <v>1653</v>
      </c>
      <c r="AI37" s="2340" t="e">
        <f>IF(AND($AU$37&gt;=1,$AU$37&lt;=1.61),"R1",IF(AND($AU$37&gt;1.61,$AU$37&lt;=2.21),"R2",IF(AND($AU$37&gt;2.21,$AU$37&lt;=2.81),"R3",IF(AND($AU$37&gt;2.81,$AU$37&lt;=3.31),"R4",IF(AND($AU$37&gt;3.31,$AU$37&lt;=4.1),"R5",0)))))</f>
        <v>#VALUE!</v>
      </c>
      <c r="AJ37" s="156"/>
      <c r="AK37" s="156"/>
      <c r="AL37" s="156"/>
      <c r="AM37" s="156"/>
      <c r="AN37" s="2341">
        <f>SUM(AN38:AN42)</f>
        <v>0.99999999999999989</v>
      </c>
      <c r="AO37" s="2342"/>
      <c r="AP37" s="2343">
        <v>1</v>
      </c>
      <c r="AQ37" s="2344">
        <v>2</v>
      </c>
      <c r="AR37" s="2344">
        <v>3</v>
      </c>
      <c r="AS37" s="2345">
        <v>4</v>
      </c>
      <c r="AT37" s="2346" t="s">
        <v>1654</v>
      </c>
      <c r="AU37" s="2347" t="e">
        <f>SUM(AU38:AU42)</f>
        <v>#VALUE!</v>
      </c>
      <c r="AV37" s="659"/>
      <c r="AW37" s="659"/>
      <c r="AX37" s="659"/>
      <c r="AY37" s="659"/>
      <c r="AZ37" s="659"/>
      <c r="BA37" s="659"/>
      <c r="BB37" s="659"/>
      <c r="BC37" s="659"/>
      <c r="BD37" s="659"/>
      <c r="BE37" s="659"/>
      <c r="BF37" s="659"/>
      <c r="BG37" s="659"/>
      <c r="BH37" s="659"/>
      <c r="BI37" s="659"/>
      <c r="BJ37" s="659"/>
      <c r="BK37" s="659"/>
      <c r="BL37" s="659"/>
      <c r="BM37" s="659"/>
      <c r="BN37" s="659"/>
      <c r="BO37" s="659"/>
      <c r="BP37" s="659"/>
      <c r="BQ37" s="659"/>
      <c r="CC37" s="2348"/>
      <c r="CD37" s="2349"/>
      <c r="CE37" s="2349"/>
      <c r="CF37" s="2350" t="s">
        <v>1655</v>
      </c>
      <c r="CG37" s="2351" t="s">
        <v>1655</v>
      </c>
    </row>
    <row r="38" spans="1:91" ht="62.25" thickBot="1" x14ac:dyDescent="0.4">
      <c r="B38" s="2272" t="s">
        <v>1656</v>
      </c>
      <c r="C38" s="2282">
        <f>IF(('Balances y Proyecciones'!Q17)&lt;&gt;360,'Balances y Proyecciones'!H62+'Balances y Proyecciones'!H66-C40,'Balances y Proyecciones'!E62+'Balances y Proyecciones'!E66-C40)</f>
        <v>40</v>
      </c>
      <c r="D38" s="2282">
        <f>IF(('Balances y Proyecciones'!Q17)&lt;&gt;360,'Balances y Proyecciones'!N62+'Balances y Proyecciones'!N66-D40,'Balances y Proyecciones'!H62+'Balances y Proyecciones'!H66-D40)</f>
        <v>40</v>
      </c>
      <c r="E38" s="2283">
        <f>IF(('Balances y Proyecciones'!Q17)&lt;&gt;360,'Balances y Proyecciones'!Q62+'Balances y Proyecciones'!Q66-E40,'Balances y Proyecciones'!N62+'Balances y Proyecciones'!N66-E40)</f>
        <v>40</v>
      </c>
      <c r="F38" s="2264"/>
      <c r="G38" s="2272" t="s">
        <v>910</v>
      </c>
      <c r="H38" s="2352">
        <f>IF(('Balances y Proyecciones'!Q17)&lt;&gt;360,'Balances y Proyecciones'!AS745,'Balances y Proyecciones'!AP745)</f>
        <v>1.7543859649122806E-2</v>
      </c>
      <c r="I38" s="2352">
        <f>IF(('Balances y Proyecciones'!Q17)&lt;&gt;360,'Balances y Proyecciones'!AY745,'Balances y Proyecciones'!AS745)</f>
        <v>1.7543859649122806E-2</v>
      </c>
      <c r="J38" s="2353">
        <f>IF(('Balances y Proyecciones'!Q17)&lt;&gt;360,'Balances y Proyecciones'!BB745,'Balances y Proyecciones'!AY745)</f>
        <v>8.771929824561403E-3</v>
      </c>
      <c r="N38" s="2354" t="s">
        <v>1663</v>
      </c>
      <c r="O38" s="2288">
        <f>CI66</f>
        <v>2685</v>
      </c>
      <c r="P38" s="2288">
        <f>CJ66</f>
        <v>2698.2</v>
      </c>
      <c r="Q38" s="2288">
        <f>CK66</f>
        <v>2711.3999999999996</v>
      </c>
      <c r="R38" s="2255"/>
      <c r="S38" s="2372"/>
      <c r="T38" s="2372"/>
      <c r="U38" s="2372"/>
      <c r="V38" s="2372"/>
      <c r="W38" s="2372"/>
      <c r="X38" s="2372"/>
      <c r="Y38" s="2372"/>
      <c r="Z38" s="2372"/>
      <c r="AA38" s="2372"/>
      <c r="AB38" s="2372"/>
      <c r="AC38" s="2372"/>
      <c r="AD38" s="2372"/>
      <c r="AG38" s="2327"/>
      <c r="AH38" s="2356" t="s">
        <v>1658</v>
      </c>
      <c r="AI38" s="3375"/>
      <c r="AJ38" s="3376"/>
      <c r="AK38" s="3376"/>
      <c r="AL38" s="3376"/>
      <c r="AM38" s="3377"/>
      <c r="AN38" s="2357">
        <v>0.4</v>
      </c>
      <c r="AO38" s="2358"/>
      <c r="AP38" s="2359"/>
      <c r="AQ38" s="2360"/>
      <c r="AR38" s="2360"/>
      <c r="AS38" s="2360"/>
      <c r="AT38" s="2361" t="str">
        <f>IF(AP38&lt;&gt;"",$AP$37,IF(AQ38&lt;&gt;"",$AQ$37,IF(AR38&lt;&gt;"",$AR$37,IF(AS38&lt;&gt;"",$AS$37,"P"))))</f>
        <v>P</v>
      </c>
      <c r="AU38" s="2362" t="e">
        <f>AT38*AN38</f>
        <v>#VALUE!</v>
      </c>
      <c r="BU38" s="2363" t="s">
        <v>1659</v>
      </c>
      <c r="BV38" s="2364" t="s">
        <v>1660</v>
      </c>
      <c r="BW38" s="2363" t="s">
        <v>1605</v>
      </c>
      <c r="BX38" s="2363" t="str">
        <f>'Estados Financieros'!$E$3</f>
        <v>Información Anual</v>
      </c>
      <c r="BY38" s="2363" t="str">
        <f>+'Estados Financieros'!$F$3</f>
        <v>Información Anual</v>
      </c>
      <c r="BZ38" s="2363" t="str">
        <f>+'Estados Financieros'!$G$3</f>
        <v>Información Anual</v>
      </c>
      <c r="CA38" s="2365" t="str">
        <f>CONCATENATE('Estados Financieros'!$H$4," ",'Estados Financieros'!$H$3)</f>
        <v>2021 Ultima Inf. Mensual Nueva</v>
      </c>
      <c r="CB38" s="2366" t="str">
        <f>CONCATENATE('Estados Financieros'!$I$4," ",'Estados Financieros'!$I$3)</f>
        <v>2020 Información Mensual Histórica</v>
      </c>
      <c r="CC38" s="2367" t="str">
        <f>+BX38</f>
        <v>Información Anual</v>
      </c>
      <c r="CD38" s="2368" t="str">
        <f>+BY38</f>
        <v>Información Anual</v>
      </c>
      <c r="CE38" s="2368" t="str">
        <f>+BZ38</f>
        <v>Información Anual</v>
      </c>
      <c r="CF38" s="2369" t="str">
        <f>+CA38</f>
        <v>2021 Ultima Inf. Mensual Nueva</v>
      </c>
      <c r="CG38" s="2370" t="str">
        <f>+CB38</f>
        <v>2020 Información Mensual Histórica</v>
      </c>
      <c r="CH38" s="2371" t="s">
        <v>1661</v>
      </c>
      <c r="CI38" s="2363" t="str">
        <f>'Estados Financieros'!$E$3</f>
        <v>Información Anual</v>
      </c>
      <c r="CJ38" s="2363" t="str">
        <f>+'Estados Financieros'!$F$3</f>
        <v>Información Anual</v>
      </c>
      <c r="CK38" s="2363" t="str">
        <f>+'Estados Financieros'!$G$3</f>
        <v>Información Anual</v>
      </c>
      <c r="CL38" s="2365" t="str">
        <f>CONCATENATE('Estados Financieros'!$H$4," ",'Estados Financieros'!$H$3)</f>
        <v>2021 Ultima Inf. Mensual Nueva</v>
      </c>
      <c r="CM38" s="2366" t="str">
        <f>CONCATENATE('Estados Financieros'!$I$4," ",'Estados Financieros'!$I$3)</f>
        <v>2020 Información Mensual Histórica</v>
      </c>
    </row>
    <row r="39" spans="1:91" thickBot="1" x14ac:dyDescent="0.4">
      <c r="B39" s="2272" t="s">
        <v>1662</v>
      </c>
      <c r="C39" s="2282">
        <f>IF(('Balances y Proyecciones'!Q17)&lt;&gt;360,'Balances y Proyecciones'!H63+'Balances y Proyecciones'!H64+'Balances y Proyecciones'!H65,'Balances y Proyecciones'!E63+'Balances y Proyecciones'!E64+'Balances y Proyecciones'!E65)</f>
        <v>2860</v>
      </c>
      <c r="D39" s="2282">
        <f>IF(('Balances y Proyecciones'!Q17)&lt;&gt;360,'Balances y Proyecciones'!N63+'Balances y Proyecciones'!N64+'Balances y Proyecciones'!N65,'Balances y Proyecciones'!H63+'Balances y Proyecciones'!H64+'Balances y Proyecciones'!H65)</f>
        <v>2860</v>
      </c>
      <c r="E39" s="2283">
        <f>IF(('Balances y Proyecciones'!Q17)&lt;&gt;360,'Balances y Proyecciones'!Q63+'Balances y Proyecciones'!Q64+'Balances y Proyecciones'!Q65,'Balances y Proyecciones'!N63+'Balances y Proyecciones'!N64+'Balances y Proyecciones'!N65)</f>
        <v>2860</v>
      </c>
      <c r="F39" s="2264"/>
      <c r="G39" s="2272" t="s">
        <v>911</v>
      </c>
      <c r="H39" s="2352">
        <f>IF(('Balances y Proyecciones'!Q17)&lt;&gt;360,'Balances y Proyecciones'!AS746,'Balances y Proyecciones'!AP746)</f>
        <v>-0.11929824561403508</v>
      </c>
      <c r="I39" s="2352">
        <f>IF(('Balances y Proyecciones'!Q17)&lt;&gt;360,'Balances y Proyecciones'!AY746,'Balances y Proyecciones'!AS746)</f>
        <v>-0.11929824561403508</v>
      </c>
      <c r="J39" s="2353">
        <f>IF(('Balances y Proyecciones'!Q17)&lt;&gt;360,'Balances y Proyecciones'!BB746,'Balances y Proyecciones'!AY746)</f>
        <v>-5.9649122807017542E-2</v>
      </c>
      <c r="N39" s="3263" t="s">
        <v>1667</v>
      </c>
      <c r="O39" s="2288">
        <f>CI77</f>
        <v>17.600000000000001</v>
      </c>
      <c r="P39" s="2288">
        <f>CJ77</f>
        <v>7.2000000000000011</v>
      </c>
      <c r="Q39" s="2288">
        <f>CK77</f>
        <v>3.2000000000000006</v>
      </c>
      <c r="R39" s="2255"/>
      <c r="S39" s="2372"/>
      <c r="T39" s="2372"/>
      <c r="U39" s="2372"/>
      <c r="V39" s="2372"/>
      <c r="W39" s="2372"/>
      <c r="X39" s="2372"/>
      <c r="Y39" s="2372"/>
      <c r="Z39" s="2372"/>
      <c r="AA39" s="2372"/>
      <c r="AB39" s="2372"/>
      <c r="AC39" s="2372"/>
      <c r="AD39" s="2372"/>
      <c r="AG39" s="2327"/>
      <c r="AH39" s="2373" t="s">
        <v>1664</v>
      </c>
      <c r="AI39" s="3378"/>
      <c r="AJ39" s="3379"/>
      <c r="AK39" s="3379"/>
      <c r="AL39" s="3379"/>
      <c r="AM39" s="3380"/>
      <c r="AN39" s="2374">
        <v>0.1</v>
      </c>
      <c r="AO39" s="2375"/>
      <c r="AP39" s="2376"/>
      <c r="AQ39" s="2377"/>
      <c r="AR39" s="2377"/>
      <c r="AS39" s="2377"/>
      <c r="AT39" s="2378" t="str">
        <f>IF(AP39&lt;&gt;"",$AP$37,IF(AQ39&lt;&gt;"",$AQ$37,IF(AR39&lt;&gt;"",$AR$37,IF(AS39&lt;&gt;"",$AS$37,"P"))))</f>
        <v>P</v>
      </c>
      <c r="AU39" s="2362" t="e">
        <f>AT39*AN39</f>
        <v>#VALUE!</v>
      </c>
      <c r="BU39" s="2379" t="s">
        <v>1665</v>
      </c>
      <c r="BV39" s="2380"/>
      <c r="BW39" s="2380"/>
      <c r="BX39" s="2380"/>
      <c r="BY39" s="2381"/>
      <c r="BZ39" s="2381"/>
      <c r="CA39" s="2381"/>
      <c r="CB39" s="2381"/>
      <c r="CC39" s="2382"/>
      <c r="CF39" s="2380"/>
      <c r="CG39" s="2383"/>
      <c r="CH39" s="2380"/>
      <c r="CI39" s="2380"/>
    </row>
    <row r="40" spans="1:91" ht="28.5" thickBot="1" x14ac:dyDescent="0.4">
      <c r="B40" s="2272" t="s">
        <v>1611</v>
      </c>
      <c r="C40" s="2282">
        <f>IF(('Balances y Proyecciones'!Q17)&lt;&gt;360,'Estados Financieros'!F365,'Estados Financieros'!E365)</f>
        <v>10</v>
      </c>
      <c r="D40" s="2282">
        <f>IF(('Balances y Proyecciones'!Q17)&lt;&gt;360,'Estados Financieros'!G365,'Estados Financieros'!F365)</f>
        <v>10</v>
      </c>
      <c r="E40" s="2283">
        <f>IF(('Balances y Proyecciones'!Q17)&lt;&gt;360,'Estados Financieros'!H365,'Estados Financieros'!G365)</f>
        <v>10</v>
      </c>
      <c r="F40" s="2264"/>
      <c r="G40" s="2307" t="s">
        <v>1666</v>
      </c>
      <c r="H40" s="2352"/>
      <c r="I40" s="2352"/>
      <c r="J40" s="2353"/>
      <c r="N40" s="2354" t="s">
        <v>1670</v>
      </c>
      <c r="O40" s="2326">
        <f>CI79</f>
        <v>152.55681818181816</v>
      </c>
      <c r="P40" s="2326">
        <f>CJ79</f>
        <v>374.74999999999994</v>
      </c>
      <c r="Q40" s="2326">
        <f>CK79</f>
        <v>847.31249999999977</v>
      </c>
      <c r="R40" s="2255"/>
      <c r="S40" s="2255"/>
      <c r="T40" s="2255"/>
      <c r="U40" s="2255"/>
      <c r="V40" s="2255"/>
      <c r="W40" s="2255"/>
      <c r="X40" s="2255"/>
      <c r="Y40" s="2255"/>
      <c r="Z40" s="2255"/>
      <c r="AA40" s="2255"/>
      <c r="AB40" s="2255"/>
      <c r="AC40" s="2255"/>
      <c r="AD40" s="2255"/>
      <c r="AG40" s="2327"/>
      <c r="AH40" s="2373" t="s">
        <v>1668</v>
      </c>
      <c r="AI40" s="3378"/>
      <c r="AJ40" s="3379"/>
      <c r="AK40" s="3379"/>
      <c r="AL40" s="3379"/>
      <c r="AM40" s="3380"/>
      <c r="AN40" s="2374">
        <v>0.1</v>
      </c>
      <c r="AO40" s="2375"/>
      <c r="AP40" s="2376"/>
      <c r="AQ40" s="2377"/>
      <c r="AR40" s="2377"/>
      <c r="AS40" s="2377"/>
      <c r="AT40" s="2378" t="str">
        <f>IF(AP40&lt;&gt;"",$AP$37,IF(AQ40&lt;&gt;"",$AQ$37,IF(AR40&lt;&gt;"",$AR$37,IF(AS40&lt;&gt;"",$AS$37,"P"))))</f>
        <v>P</v>
      </c>
      <c r="AU40" s="2362" t="e">
        <f>AT40*AN40</f>
        <v>#VALUE!</v>
      </c>
      <c r="AV40" s="156"/>
      <c r="BK40" s="2384" t="s">
        <v>1644</v>
      </c>
      <c r="BL40" s="2384">
        <v>1</v>
      </c>
      <c r="BU40" s="2385"/>
      <c r="BV40" s="2380"/>
      <c r="BW40" s="2380"/>
      <c r="BX40" s="2380"/>
      <c r="BY40" s="2381"/>
      <c r="BZ40" s="2381"/>
      <c r="CA40" s="2381"/>
      <c r="CB40" s="2381"/>
      <c r="CC40" s="2382"/>
      <c r="CF40" s="2380"/>
      <c r="CG40" s="2383"/>
      <c r="CH40" s="2380"/>
      <c r="CI40" s="2380"/>
    </row>
    <row r="41" spans="1:91" thickBot="1" x14ac:dyDescent="0.4">
      <c r="B41" s="2386"/>
      <c r="C41" s="2255"/>
      <c r="D41" s="2255"/>
      <c r="E41" s="2387"/>
      <c r="F41" s="2264"/>
      <c r="G41" s="2272" t="s">
        <v>1669</v>
      </c>
      <c r="H41" s="2352">
        <f>IF(('Balances y Proyecciones'!Q17)&lt;&gt;360,'Balances y Proyecciones'!AS737,'Balances y Proyecciones'!AP737)</f>
        <v>285</v>
      </c>
      <c r="I41" s="2352">
        <f>IF(('Balances y Proyecciones'!Q17)&lt;&gt;360,'Balances y Proyecciones'!AY737,'Balances y Proyecciones'!AS737)</f>
        <v>285</v>
      </c>
      <c r="J41" s="2353">
        <f>IF(('Balances y Proyecciones'!Q17)&lt;&gt;360,'Balances y Proyecciones'!BB737,'Balances y Proyecciones'!AY737)</f>
        <v>285</v>
      </c>
      <c r="N41" s="2255"/>
      <c r="O41" s="2255"/>
      <c r="P41" s="2255"/>
      <c r="Q41" s="2255"/>
      <c r="R41" s="2255"/>
      <c r="S41" s="2255"/>
      <c r="T41" s="2255"/>
      <c r="U41" s="2255"/>
      <c r="V41" s="2255"/>
      <c r="W41" s="2255"/>
      <c r="X41" s="2255"/>
      <c r="Y41" s="2255"/>
      <c r="Z41" s="2255"/>
      <c r="AA41" s="2255"/>
      <c r="AB41" s="2255"/>
      <c r="AC41" s="2255"/>
      <c r="AD41" s="2255"/>
      <c r="AG41" s="2327"/>
      <c r="AH41" s="2373" t="s">
        <v>1671</v>
      </c>
      <c r="AI41" s="3378"/>
      <c r="AJ41" s="3379"/>
      <c r="AK41" s="3379"/>
      <c r="AL41" s="3379"/>
      <c r="AM41" s="3380"/>
      <c r="AN41" s="2374">
        <v>0.3</v>
      </c>
      <c r="AO41" s="2375"/>
      <c r="AP41" s="2376"/>
      <c r="AQ41" s="2377"/>
      <c r="AR41" s="2377"/>
      <c r="AS41" s="2377"/>
      <c r="AT41" s="2378" t="str">
        <f>IF(AP41&lt;&gt;"",$AP$37,IF(AQ41&lt;&gt;"",$AQ$37,IF(AR41&lt;&gt;"",$AR$37,IF(AS41&lt;&gt;"",$AS$37,"P"))))</f>
        <v>P</v>
      </c>
      <c r="AU41" s="2362" t="e">
        <f>AT41*AN41</f>
        <v>#VALUE!</v>
      </c>
      <c r="AV41" s="156"/>
      <c r="BK41" s="2388" t="s">
        <v>1672</v>
      </c>
      <c r="BL41" s="2384">
        <v>2</v>
      </c>
      <c r="BU41" s="2385" t="s">
        <v>543</v>
      </c>
      <c r="BV41" s="2389">
        <v>5</v>
      </c>
      <c r="BW41" s="2390">
        <v>1</v>
      </c>
      <c r="BX41" s="2391" t="str">
        <f>'Estados Financieros'!E9</f>
        <v>Tasas:  = 0, -  = 0, -  = 0,</v>
      </c>
      <c r="BY41" s="2391">
        <f>'Estados Financieros'!F9</f>
        <v>0</v>
      </c>
      <c r="BZ41" s="2391">
        <f>'Estados Financieros'!G9</f>
        <v>0</v>
      </c>
      <c r="CA41" s="2391" t="str">
        <f>'Estados Financieros'!H9</f>
        <v>Corte</v>
      </c>
      <c r="CB41" s="2391" t="str">
        <f>'Estados Financieros'!I9</f>
        <v>Corte</v>
      </c>
      <c r="CC41" s="2392" t="e">
        <f t="shared" ref="CC41:CC47" si="9">+BW41*BX41</f>
        <v>#VALUE!</v>
      </c>
      <c r="CD41" s="2393">
        <f t="shared" ref="CD41:CD47" si="10">+BW41*BY41</f>
        <v>0</v>
      </c>
      <c r="CE41" s="2393">
        <f t="shared" ref="CE41:CE47" si="11">+BW41*BZ41</f>
        <v>0</v>
      </c>
      <c r="CF41" s="2393" t="e">
        <f t="shared" ref="CF41:CF47" si="12">+CA41*BW41</f>
        <v>#VALUE!</v>
      </c>
      <c r="CG41" s="2394" t="e">
        <f t="shared" ref="CG41:CG47" si="13">+CB41*BW41</f>
        <v>#VALUE!</v>
      </c>
      <c r="CH41" s="2385" t="s">
        <v>1618</v>
      </c>
      <c r="CI41" s="2391">
        <f>'Estados Financieros'!E190+'Estados Financieros'!E264</f>
        <v>20</v>
      </c>
      <c r="CJ41" s="2391">
        <f>'Estados Financieros'!F190+'Estados Financieros'!F264</f>
        <v>20</v>
      </c>
      <c r="CK41" s="2391">
        <f>'Estados Financieros'!G190+'Estados Financieros'!G264</f>
        <v>20</v>
      </c>
      <c r="CL41" s="2391">
        <f>'Estados Financieros'!H190+'Estados Financieros'!H264</f>
        <v>20</v>
      </c>
      <c r="CM41" s="2391">
        <f>'Estados Financieros'!I190+'Estados Financieros'!I264</f>
        <v>20</v>
      </c>
    </row>
    <row r="42" spans="1:91" ht="28.5" thickBot="1" x14ac:dyDescent="0.4">
      <c r="B42" s="2395" t="s">
        <v>793</v>
      </c>
      <c r="C42" s="3173">
        <f>SUM(C36:C40)</f>
        <v>3030</v>
      </c>
      <c r="D42" s="3173">
        <f>SUM(D36:D40)</f>
        <v>3030</v>
      </c>
      <c r="E42" s="3174">
        <f>SUM(E36:E40)</f>
        <v>3030</v>
      </c>
      <c r="F42" s="2396"/>
      <c r="G42" s="2397" t="s">
        <v>922</v>
      </c>
      <c r="H42" s="2398">
        <f>IF(('Balances y Proyecciones'!Q17)&lt;&gt;360,'Balances y Proyecciones'!AS741,'Balances y Proyecciones'!AP741)</f>
        <v>142.5</v>
      </c>
      <c r="I42" s="2398">
        <f>IF(('Balances y Proyecciones'!Q17)&lt;&gt;360,'Balances y Proyecciones'!AY741,'Balances y Proyecciones'!AS741)</f>
        <v>142.5</v>
      </c>
      <c r="J42" s="2399">
        <f>IF(('Balances y Proyecciones'!Q17)&lt;&gt;360,'Balances y Proyecciones'!BB741,'Balances y Proyecciones'!AY741)</f>
        <v>142.5</v>
      </c>
      <c r="N42" s="2255"/>
      <c r="O42" s="2255"/>
      <c r="P42" s="2255"/>
      <c r="Q42" s="2255"/>
      <c r="R42" s="2255"/>
      <c r="S42" s="2255"/>
      <c r="T42" s="2255"/>
      <c r="U42" s="2255"/>
      <c r="V42" s="2255"/>
      <c r="W42" s="2255"/>
      <c r="X42" s="2255"/>
      <c r="Y42" s="2255"/>
      <c r="Z42" s="2255"/>
      <c r="AA42" s="2255"/>
      <c r="AB42" s="2255"/>
      <c r="AC42" s="2255"/>
      <c r="AD42" s="2255"/>
      <c r="AG42" s="2327"/>
      <c r="AH42" s="2400" t="s">
        <v>1673</v>
      </c>
      <c r="AI42" s="3381"/>
      <c r="AJ42" s="3382"/>
      <c r="AK42" s="3382"/>
      <c r="AL42" s="3382"/>
      <c r="AM42" s="3383"/>
      <c r="AN42" s="2401">
        <v>0.1</v>
      </c>
      <c r="AO42" s="2402"/>
      <c r="AP42" s="2403"/>
      <c r="AQ42" s="2404"/>
      <c r="AR42" s="2404"/>
      <c r="AS42" s="2404"/>
      <c r="AT42" s="2405" t="str">
        <f>IF(AP42&lt;&gt;"",$AP$37,IF(AQ42&lt;&gt;"",$AQ$37,IF(AR42&lt;&gt;"",$AR$37,IF(AS42&lt;&gt;"",$AS$37,"P"))))</f>
        <v>P</v>
      </c>
      <c r="AU42" s="2406" t="e">
        <f>AT42*AN42</f>
        <v>#VALUE!</v>
      </c>
      <c r="AV42" s="156"/>
      <c r="BK42" s="2407" t="s">
        <v>1674</v>
      </c>
      <c r="BL42" s="2384">
        <v>3</v>
      </c>
      <c r="BU42" s="2385" t="s">
        <v>1675</v>
      </c>
      <c r="BV42" s="2389">
        <v>5</v>
      </c>
      <c r="BW42" s="2390">
        <v>1</v>
      </c>
      <c r="BX42" s="2391">
        <f>'Estados Financieros'!E10+'Estados Financieros'!E11+'Estados Financieros'!E12</f>
        <v>60</v>
      </c>
      <c r="BY42" s="2391">
        <f>'Estados Financieros'!F10+'Estados Financieros'!F11+'Estados Financieros'!F12</f>
        <v>60</v>
      </c>
      <c r="BZ42" s="2391">
        <f>'Estados Financieros'!G10+'Estados Financieros'!G11+'Estados Financieros'!G12</f>
        <v>60</v>
      </c>
      <c r="CA42" s="2391">
        <f>'Estados Financieros'!H10+'Estados Financieros'!H11+'Estados Financieros'!H12</f>
        <v>60</v>
      </c>
      <c r="CB42" s="2391">
        <f>'Estados Financieros'!I10+'Estados Financieros'!I11+'Estados Financieros'!I12</f>
        <v>60</v>
      </c>
      <c r="CC42" s="2392">
        <f t="shared" si="9"/>
        <v>60</v>
      </c>
      <c r="CD42" s="2393">
        <f t="shared" si="10"/>
        <v>60</v>
      </c>
      <c r="CE42" s="2393">
        <f t="shared" si="11"/>
        <v>60</v>
      </c>
      <c r="CF42" s="2393">
        <f t="shared" si="12"/>
        <v>60</v>
      </c>
      <c r="CG42" s="2394">
        <f t="shared" si="13"/>
        <v>60</v>
      </c>
      <c r="CH42" s="2385" t="s">
        <v>108</v>
      </c>
      <c r="CI42" s="2391">
        <f>'Estados Financieros'!E195</f>
        <v>10</v>
      </c>
      <c r="CJ42" s="2391">
        <f>'Estados Financieros'!F195</f>
        <v>10</v>
      </c>
      <c r="CK42" s="2391">
        <f>'Estados Financieros'!G195</f>
        <v>10</v>
      </c>
      <c r="CL42" s="2391">
        <f>'Estados Financieros'!H195</f>
        <v>10</v>
      </c>
      <c r="CM42" s="2391">
        <f>'Estados Financieros'!I195</f>
        <v>10</v>
      </c>
    </row>
    <row r="43" spans="1:91" ht="27" thickBot="1" x14ac:dyDescent="0.3">
      <c r="B43" s="2408"/>
      <c r="C43" s="2396"/>
      <c r="D43" s="2396"/>
      <c r="E43" s="2396"/>
      <c r="F43" s="2396"/>
      <c r="G43" s="2396"/>
      <c r="H43" s="2409"/>
      <c r="I43" s="2409"/>
      <c r="J43" s="2409"/>
      <c r="N43" s="3384" t="s">
        <v>1678</v>
      </c>
      <c r="O43" s="3384"/>
      <c r="P43" s="3385"/>
      <c r="Q43" s="3385"/>
      <c r="R43" s="3385"/>
      <c r="S43" s="3385"/>
      <c r="T43" s="2255"/>
      <c r="AG43" s="2327"/>
      <c r="AH43" s="156"/>
      <c r="AI43" s="156"/>
      <c r="AJ43" s="156"/>
      <c r="AK43" s="156"/>
      <c r="AL43" s="156"/>
      <c r="AM43" s="2375"/>
      <c r="AN43" s="2410"/>
      <c r="AO43" s="2411"/>
      <c r="AP43" s="2412"/>
      <c r="AQ43" s="2412"/>
      <c r="AR43" s="2412"/>
      <c r="AS43" s="156"/>
      <c r="AT43" s="156"/>
      <c r="AU43" s="2331"/>
      <c r="AV43" s="156"/>
      <c r="BU43" s="2385" t="s">
        <v>1676</v>
      </c>
      <c r="BV43" s="2389">
        <v>4</v>
      </c>
      <c r="BW43" s="2390">
        <v>0.8</v>
      </c>
      <c r="BX43" s="2391">
        <f>+'Estados Financieros'!E24</f>
        <v>30</v>
      </c>
      <c r="BY43" s="2391">
        <f>+'Estados Financieros'!F24</f>
        <v>30</v>
      </c>
      <c r="BZ43" s="2391">
        <f>+'Estados Financieros'!G24</f>
        <v>30</v>
      </c>
      <c r="CA43" s="2391">
        <f>+'Estados Financieros'!H24</f>
        <v>30</v>
      </c>
      <c r="CB43" s="2391">
        <f>+'Estados Financieros'!I24</f>
        <v>30</v>
      </c>
      <c r="CC43" s="2392">
        <f t="shared" si="9"/>
        <v>24</v>
      </c>
      <c r="CD43" s="2393">
        <f t="shared" si="10"/>
        <v>24</v>
      </c>
      <c r="CE43" s="2393">
        <f t="shared" si="11"/>
        <v>24</v>
      </c>
      <c r="CF43" s="2393">
        <f t="shared" si="12"/>
        <v>24</v>
      </c>
      <c r="CG43" s="2394">
        <f t="shared" si="13"/>
        <v>24</v>
      </c>
      <c r="CH43" s="2385" t="s">
        <v>1677</v>
      </c>
      <c r="CI43" s="2391">
        <f>'Estados Financieros'!E212</f>
        <v>10</v>
      </c>
      <c r="CJ43" s="2391">
        <f>'Estados Financieros'!F212</f>
        <v>10</v>
      </c>
      <c r="CK43" s="2391">
        <f>'Estados Financieros'!G212</f>
        <v>10</v>
      </c>
      <c r="CL43" s="2391">
        <f>'Estados Financieros'!H212</f>
        <v>10</v>
      </c>
      <c r="CM43" s="2391">
        <f>'Estados Financieros'!I212</f>
        <v>10</v>
      </c>
    </row>
    <row r="44" spans="1:91" ht="27" thickBot="1" x14ac:dyDescent="0.4">
      <c r="B44" s="2255"/>
      <c r="C44" s="2255"/>
      <c r="D44" s="2255"/>
      <c r="E44" s="2255"/>
      <c r="F44" s="2255"/>
      <c r="G44" s="2396"/>
      <c r="H44" s="2409"/>
      <c r="I44" s="2409"/>
      <c r="J44" s="2409"/>
      <c r="N44" s="2414"/>
      <c r="O44" s="2414"/>
      <c r="P44" s="2415"/>
      <c r="Q44" s="2415"/>
      <c r="R44" s="2415"/>
      <c r="S44" s="2415"/>
      <c r="T44" s="2255"/>
      <c r="U44" s="2255"/>
      <c r="V44" s="2255"/>
      <c r="W44" s="2255"/>
      <c r="X44" s="2255"/>
      <c r="Y44" s="2255"/>
      <c r="Z44" s="2255"/>
      <c r="AA44" s="2255"/>
      <c r="AB44" s="2255"/>
      <c r="AC44" s="2255"/>
      <c r="AD44" s="2255"/>
      <c r="AG44" s="2338">
        <v>2</v>
      </c>
      <c r="AH44" s="2339" t="s">
        <v>1679</v>
      </c>
      <c r="AI44" s="2340" t="e">
        <f>IF(AND($AU$45&gt;=1,$AU$45&lt;=1.61),"R1",IF(AND($AU$45&gt;1.61,$AU$45&lt;=2.21),"R2",IF(AND($AU$45&gt;2.21,$AU$45&lt;=2.81),"R3",IF(AND($AU$45&gt;2.81,$AU$45&lt;=3.31),"R4",IF(AND($AU$45&gt;3.31,$AU$45&lt;=4.1),"R5",0)))))</f>
        <v>#VALUE!</v>
      </c>
      <c r="AJ44" s="156"/>
      <c r="AK44" s="156"/>
      <c r="AL44" s="156"/>
      <c r="AM44" s="156"/>
      <c r="AN44" s="156"/>
      <c r="AO44" s="156"/>
      <c r="AP44" s="2330" t="s">
        <v>1647</v>
      </c>
      <c r="AQ44" s="2330" t="s">
        <v>1648</v>
      </c>
      <c r="AR44" s="2330" t="s">
        <v>1649</v>
      </c>
      <c r="AS44" s="2330" t="s">
        <v>1650</v>
      </c>
      <c r="AT44" s="156"/>
      <c r="AU44" s="2331"/>
      <c r="AV44" s="156"/>
      <c r="BK44" s="2413"/>
      <c r="BU44" s="2385" t="s">
        <v>1598</v>
      </c>
      <c r="BV44" s="2389">
        <v>2</v>
      </c>
      <c r="BW44" s="2390">
        <v>0.4</v>
      </c>
      <c r="BX44" s="2391">
        <f>'Estados Financieros'!E62</f>
        <v>30</v>
      </c>
      <c r="BY44" s="2391">
        <f>'Estados Financieros'!F62</f>
        <v>30</v>
      </c>
      <c r="BZ44" s="2391">
        <f>'Estados Financieros'!G62</f>
        <v>30</v>
      </c>
      <c r="CA44" s="2391">
        <f>'Estados Financieros'!H62</f>
        <v>30</v>
      </c>
      <c r="CB44" s="2391">
        <f>'Estados Financieros'!I62</f>
        <v>30</v>
      </c>
      <c r="CC44" s="2392">
        <f t="shared" si="9"/>
        <v>12</v>
      </c>
      <c r="CD44" s="2393">
        <f t="shared" si="10"/>
        <v>12</v>
      </c>
      <c r="CE44" s="2393">
        <f t="shared" si="11"/>
        <v>12</v>
      </c>
      <c r="CF44" s="2393">
        <f t="shared" si="12"/>
        <v>12</v>
      </c>
      <c r="CG44" s="2394">
        <f t="shared" si="13"/>
        <v>12</v>
      </c>
      <c r="CH44" s="2385" t="s">
        <v>1680</v>
      </c>
      <c r="CI44" s="2391">
        <f>'Estados Financieros'!E224</f>
        <v>0</v>
      </c>
      <c r="CJ44" s="2391">
        <f>'Estados Financieros'!F224</f>
        <v>0</v>
      </c>
      <c r="CK44" s="2391">
        <f>'Estados Financieros'!G224</f>
        <v>0</v>
      </c>
      <c r="CL44" s="2391">
        <f>'Estados Financieros'!H224</f>
        <v>0</v>
      </c>
      <c r="CM44" s="2391">
        <f>'Estados Financieros'!I224</f>
        <v>0</v>
      </c>
    </row>
    <row r="45" spans="1:91" ht="28.5" thickBot="1" x14ac:dyDescent="0.4">
      <c r="B45" s="3366" t="str">
        <f>B6</f>
        <v>Prueba Da 27.08.23</v>
      </c>
      <c r="C45" s="3367"/>
      <c r="D45" s="3367"/>
      <c r="E45" s="3367"/>
      <c r="F45" s="3367"/>
      <c r="G45" s="3367"/>
      <c r="H45" s="3367"/>
      <c r="I45" s="3367"/>
      <c r="J45" s="3368"/>
      <c r="N45" s="2417" t="str">
        <f>N10</f>
        <v>Prueba Da 27.08.23  (Cifras en $ MM)</v>
      </c>
      <c r="O45" s="2418" t="str">
        <f>CONCATENATE("MARC: ",Presentación!G5)</f>
        <v xml:space="preserve">MARC: </v>
      </c>
      <c r="P45" s="3393" t="s">
        <v>2167</v>
      </c>
      <c r="Q45" s="3393"/>
      <c r="R45" s="3393"/>
      <c r="S45" s="3393"/>
      <c r="T45" s="2255"/>
      <c r="U45" s="2255"/>
      <c r="V45" s="2255"/>
      <c r="W45" s="2255"/>
      <c r="X45" s="2255"/>
      <c r="Y45" s="2255"/>
      <c r="Z45" s="2255"/>
      <c r="AA45" s="2255"/>
      <c r="AB45" s="2255"/>
      <c r="AC45" s="2255"/>
      <c r="AD45" s="2255"/>
      <c r="AG45" s="2416"/>
      <c r="AH45" s="3386"/>
      <c r="AI45" s="3387"/>
      <c r="AJ45" s="3387"/>
      <c r="AK45" s="3387"/>
      <c r="AL45" s="3387"/>
      <c r="AM45" s="3387"/>
      <c r="AN45" s="3387"/>
      <c r="AO45" s="3387"/>
      <c r="AP45" s="3387"/>
      <c r="AQ45" s="3387"/>
      <c r="AR45" s="3387"/>
      <c r="AS45" s="3388"/>
      <c r="AT45" s="2346" t="s">
        <v>1654</v>
      </c>
      <c r="AU45" s="2347" t="e">
        <f>SUM(AU47:AU49)+AU51</f>
        <v>#VALUE!</v>
      </c>
      <c r="AV45" s="156"/>
      <c r="BU45" s="2385" t="s">
        <v>1681</v>
      </c>
      <c r="BV45" s="2389">
        <v>3</v>
      </c>
      <c r="BW45" s="2390">
        <v>0.6</v>
      </c>
      <c r="BX45" s="2391">
        <f>'Estados Financieros'!E31</f>
        <v>30</v>
      </c>
      <c r="BY45" s="2391">
        <f>'Estados Financieros'!F31</f>
        <v>30</v>
      </c>
      <c r="BZ45" s="2391">
        <f>'Estados Financieros'!G31</f>
        <v>30</v>
      </c>
      <c r="CA45" s="2391">
        <f>'Estados Financieros'!H31</f>
        <v>30</v>
      </c>
      <c r="CB45" s="2391">
        <f>'Estados Financieros'!I31</f>
        <v>30</v>
      </c>
      <c r="CC45" s="2392">
        <f t="shared" si="9"/>
        <v>18</v>
      </c>
      <c r="CD45" s="2393">
        <f t="shared" si="10"/>
        <v>18</v>
      </c>
      <c r="CE45" s="2393">
        <f t="shared" si="11"/>
        <v>18</v>
      </c>
      <c r="CF45" s="2393">
        <f t="shared" si="12"/>
        <v>18</v>
      </c>
      <c r="CG45" s="2394">
        <f t="shared" si="13"/>
        <v>18</v>
      </c>
      <c r="CH45" s="2385" t="s">
        <v>1682</v>
      </c>
      <c r="CI45" s="2391">
        <f>'Estados Financieros'!E232</f>
        <v>10</v>
      </c>
      <c r="CJ45" s="2391">
        <f>'Estados Financieros'!F232</f>
        <v>10</v>
      </c>
      <c r="CK45" s="2391">
        <f>'Estados Financieros'!G232</f>
        <v>10</v>
      </c>
      <c r="CL45" s="2391">
        <f>'Estados Financieros'!H232</f>
        <v>10</v>
      </c>
      <c r="CM45" s="2391">
        <f>'Estados Financieros'!I232</f>
        <v>10</v>
      </c>
    </row>
    <row r="46" spans="1:91" s="2255" customFormat="1" thickBot="1" x14ac:dyDescent="0.4">
      <c r="B46" s="2264"/>
      <c r="C46" s="2264"/>
      <c r="D46" s="2264"/>
      <c r="E46" s="2264"/>
      <c r="F46" s="2264"/>
      <c r="G46" s="2264"/>
      <c r="H46" s="2264"/>
      <c r="I46" s="2264"/>
      <c r="J46" s="2264"/>
      <c r="AG46" s="2416"/>
      <c r="AH46" s="2419" t="s">
        <v>1683</v>
      </c>
      <c r="AI46" s="3400">
        <f>$O$11</f>
        <v>2022</v>
      </c>
      <c r="AJ46" s="3401"/>
      <c r="AK46" s="3402"/>
      <c r="AL46" s="2420">
        <f>$P$11</f>
        <v>2023</v>
      </c>
      <c r="AM46" s="2420">
        <f>$Q$11</f>
        <v>2024</v>
      </c>
      <c r="AN46" s="3403">
        <v>0.35</v>
      </c>
      <c r="AO46" s="3404"/>
      <c r="AP46" s="2343">
        <v>1</v>
      </c>
      <c r="AQ46" s="2344">
        <v>2</v>
      </c>
      <c r="AR46" s="2344">
        <v>3</v>
      </c>
      <c r="AS46" s="2345">
        <v>4</v>
      </c>
      <c r="AT46" s="2346"/>
      <c r="AU46" s="2421" t="e">
        <f>+SUM(AU47:AU49)</f>
        <v>#VALUE!</v>
      </c>
      <c r="AV46" s="156"/>
      <c r="AW46" s="3394" t="s">
        <v>1684</v>
      </c>
      <c r="AX46" s="3394"/>
      <c r="AY46" s="3394"/>
      <c r="BA46" s="3394" t="s">
        <v>1685</v>
      </c>
      <c r="BB46" s="3394"/>
      <c r="BC46" s="3394"/>
      <c r="BE46" s="3394" t="s">
        <v>1686</v>
      </c>
      <c r="BF46" s="3394"/>
      <c r="BG46" s="3394"/>
      <c r="BI46" s="3394" t="s">
        <v>1687</v>
      </c>
      <c r="BJ46" s="3394"/>
      <c r="BK46" s="3394"/>
      <c r="BU46" s="2385" t="s">
        <v>1688</v>
      </c>
      <c r="BV46" s="2389">
        <v>2</v>
      </c>
      <c r="BW46" s="2390">
        <v>0.4</v>
      </c>
      <c r="BX46" s="2391">
        <f>'Estados Financieros'!E47-'Estados Financieros'!E35+'Estados Financieros'!E74+'Estados Financieros'!E82</f>
        <v>60</v>
      </c>
      <c r="BY46" s="2391">
        <f>'Estados Financieros'!F47-'Estados Financieros'!F35+'Estados Financieros'!F74+'Estados Financieros'!F82</f>
        <v>60</v>
      </c>
      <c r="BZ46" s="2391">
        <f>'Estados Financieros'!G47-'Estados Financieros'!G35+'Estados Financieros'!G74+'Estados Financieros'!G82</f>
        <v>60</v>
      </c>
      <c r="CA46" s="2391">
        <f>'Estados Financieros'!H47-'Estados Financieros'!H35+'Estados Financieros'!H74+'Estados Financieros'!H82</f>
        <v>60</v>
      </c>
      <c r="CB46" s="2391">
        <f>'Estados Financieros'!I47-'Estados Financieros'!I35+'Estados Financieros'!I74+'Estados Financieros'!I82</f>
        <v>60</v>
      </c>
      <c r="CC46" s="2392">
        <f t="shared" si="9"/>
        <v>24</v>
      </c>
      <c r="CD46" s="2393">
        <f t="shared" si="10"/>
        <v>24</v>
      </c>
      <c r="CE46" s="2393">
        <f t="shared" si="11"/>
        <v>24</v>
      </c>
      <c r="CF46" s="2393">
        <f t="shared" si="12"/>
        <v>24</v>
      </c>
      <c r="CG46" s="2394">
        <f t="shared" si="13"/>
        <v>24</v>
      </c>
      <c r="CH46" s="2385" t="s">
        <v>1689</v>
      </c>
      <c r="CI46" s="2391">
        <f>'Estados Financieros'!E245</f>
        <v>90</v>
      </c>
      <c r="CJ46" s="2391">
        <f>'Estados Financieros'!F245</f>
        <v>90</v>
      </c>
      <c r="CK46" s="2391">
        <f>'Estados Financieros'!G245</f>
        <v>90</v>
      </c>
      <c r="CL46" s="2391">
        <f>'Estados Financieros'!H245</f>
        <v>90</v>
      </c>
      <c r="CM46" s="2391">
        <f>'Estados Financieros'!I245</f>
        <v>90</v>
      </c>
    </row>
    <row r="47" spans="1:91" s="2255" customFormat="1" ht="28.5" thickBot="1" x14ac:dyDescent="0.35">
      <c r="B47" s="2266" t="s">
        <v>899</v>
      </c>
      <c r="C47" s="2267"/>
      <c r="D47" s="2267"/>
      <c r="E47" s="2268"/>
      <c r="F47" s="2264"/>
      <c r="G47" s="2266" t="s">
        <v>1592</v>
      </c>
      <c r="H47" s="2267"/>
      <c r="I47" s="2267"/>
      <c r="J47" s="2268"/>
      <c r="N47" s="3389" t="s">
        <v>1691</v>
      </c>
      <c r="O47" s="3390"/>
      <c r="P47" s="2431" t="s">
        <v>1692</v>
      </c>
      <c r="Q47" s="2431" t="s">
        <v>1693</v>
      </c>
      <c r="R47" s="2431" t="s">
        <v>1694</v>
      </c>
      <c r="S47" s="2432" t="s">
        <v>1695</v>
      </c>
      <c r="AG47" s="2327"/>
      <c r="AH47" s="2422" t="s">
        <v>1690</v>
      </c>
      <c r="AI47" s="3395">
        <f>$O$37</f>
        <v>152.55681818181816</v>
      </c>
      <c r="AJ47" s="3396"/>
      <c r="AK47" s="3396"/>
      <c r="AL47" s="2423">
        <f>P37</f>
        <v>374.74999999999994</v>
      </c>
      <c r="AM47" s="2424">
        <f>Q37</f>
        <v>847.31249999999977</v>
      </c>
      <c r="AN47" s="2425">
        <v>0.1</v>
      </c>
      <c r="AO47" s="2426">
        <v>0.6</v>
      </c>
      <c r="AP47" s="2427">
        <f>IF($AW$47="1",1," ")</f>
        <v>1</v>
      </c>
      <c r="AQ47" s="2427" t="str">
        <f>IF($BA$47="2",2," ")</f>
        <v xml:space="preserve"> </v>
      </c>
      <c r="AR47" s="2427" t="str">
        <f>IF($BE$47="3",3," ")</f>
        <v xml:space="preserve"> </v>
      </c>
      <c r="AS47" s="2428" t="str">
        <f>IF($BI$47="4",4," ")</f>
        <v xml:space="preserve"> </v>
      </c>
      <c r="AT47" s="2361">
        <f>IF(AP47&lt;&gt;"",$AP$46,IF(AQ47&lt;&gt;"",$AQ$46,IF(AR47&lt;&gt;"",$AR$46,IF(AS47&lt;&gt;"",$AS$46,"P"))))</f>
        <v>1</v>
      </c>
      <c r="AU47" s="2429">
        <f>AT47*AN47</f>
        <v>0.1</v>
      </c>
      <c r="AV47" s="156"/>
      <c r="AW47" s="3397" t="str">
        <f>IF(AND($AH$35="Sector Comercio",($AI$47&gt;=2)),"1",IF(AND($AH$35="Sector industrial",$AI$47&gt;2.5),"1",IF(AND($AH$35="Sector servicios",$AI$47&gt;2.3),"1",0)))</f>
        <v>1</v>
      </c>
      <c r="AX47" s="3398"/>
      <c r="AY47" s="3399"/>
      <c r="BA47" s="3397">
        <f>IF(AND($AH$35="Sector Comercio",($AI$47&gt;=1.2),($AI$47&lt;=1.9)),"2",IF(AND($AH$35="Sector industrial",($AI$47&gt;=1.4),($AI$47&lt;=2.4)),"2",IF(AND($AH$35="Sector servicios",($AI$47&gt;=1.4),($AI$47&lt;=2.2)),"2",0)))</f>
        <v>0</v>
      </c>
      <c r="BB47" s="3398"/>
      <c r="BC47" s="3399"/>
      <c r="BE47" s="3397">
        <f>IF(AND($AH$35="Sector Comercio",($AI$47&gt;=1),($AI$47&lt;=1.1)),"3",IF(AND($AH$35="Sector industrial",($AI$47&gt;=1),($AI$47&lt;=1.3)),"3",IF(AND($AH$35="Sector servicios",($AI$47&gt;=1.1),($AI$47&lt;=1.3)),"3",0)))</f>
        <v>0</v>
      </c>
      <c r="BF47" s="3398"/>
      <c r="BG47" s="3399"/>
      <c r="BI47" s="3397">
        <f>IF(AND($AH$35="Sector Comercio",($AI$47&lt;=1)),"4",IF(AND($AH$35="Sector industrial",($AI$47&lt;=1)),"4",IF(AND($AH$35="Sector servicios",($AI$47&lt;=1)),"4",0)))</f>
        <v>0</v>
      </c>
      <c r="BJ47" s="3398"/>
      <c r="BK47" s="3399"/>
      <c r="BU47" s="2385" t="s">
        <v>1689</v>
      </c>
      <c r="BV47" s="2389">
        <v>2</v>
      </c>
      <c r="BW47" s="2390">
        <v>0.4</v>
      </c>
      <c r="BX47" s="2391">
        <f>'Estados Financieros'!E35</f>
        <v>30</v>
      </c>
      <c r="BY47" s="2391">
        <f>'Estados Financieros'!F35</f>
        <v>30</v>
      </c>
      <c r="BZ47" s="2391">
        <f>'Estados Financieros'!G35</f>
        <v>30</v>
      </c>
      <c r="CA47" s="2391">
        <f>'Estados Financieros'!H35</f>
        <v>30</v>
      </c>
      <c r="CB47" s="2391">
        <f>'Estados Financieros'!I35</f>
        <v>30</v>
      </c>
      <c r="CC47" s="2392">
        <f t="shared" si="9"/>
        <v>12</v>
      </c>
      <c r="CD47" s="2393">
        <f t="shared" si="10"/>
        <v>12</v>
      </c>
      <c r="CE47" s="2393">
        <f t="shared" si="11"/>
        <v>12</v>
      </c>
      <c r="CF47" s="2393">
        <f t="shared" si="12"/>
        <v>12</v>
      </c>
      <c r="CG47" s="2394">
        <f t="shared" si="13"/>
        <v>12</v>
      </c>
      <c r="CH47" s="2385" t="s">
        <v>453</v>
      </c>
      <c r="CI47" s="2391">
        <f>'Estados Financieros'!E258</f>
        <v>10</v>
      </c>
      <c r="CJ47" s="2391">
        <f>'Estados Financieros'!F258</f>
        <v>10</v>
      </c>
      <c r="CK47" s="2391">
        <f>'Estados Financieros'!G258</f>
        <v>10</v>
      </c>
      <c r="CL47" s="2391">
        <f>'Estados Financieros'!H258</f>
        <v>10</v>
      </c>
      <c r="CM47" s="2391">
        <f>'Estados Financieros'!I258</f>
        <v>10</v>
      </c>
    </row>
    <row r="48" spans="1:91" s="2255" customFormat="1" ht="28.5" thickBot="1" x14ac:dyDescent="0.35">
      <c r="B48" s="2269"/>
      <c r="C48" s="2304" t="str">
        <f>IF('Balances y Proyecciones'!$K$16="Diciembre","N.A",CONCATENATE(LEFT('Balances y Proyecciones'!$K$16,3)," ",CONCATENATE(RIGHT('Balances y Proyecciones'!$K$15,2))))</f>
        <v>Jun 20</v>
      </c>
      <c r="D48" s="2430"/>
      <c r="E48" s="2268" t="str">
        <f>IF('Balances y Proyecciones'!$K$16="Diciembre","N.A",CONCATENATE(LEFT('Balances y Proyecciones'!$K$16,3)," ",CONCATENATE(RIGHT('Balances y Proyecciones'!$Q$15,2))))</f>
        <v>Jun 21</v>
      </c>
      <c r="F48" s="2264"/>
      <c r="G48" s="2269"/>
      <c r="H48" s="2270" t="str">
        <f>$C$48</f>
        <v>Jun 20</v>
      </c>
      <c r="I48" s="2430"/>
      <c r="J48" s="2268" t="str">
        <f>$E$48</f>
        <v>Jun 21</v>
      </c>
      <c r="N48" s="3405" t="s">
        <v>1698</v>
      </c>
      <c r="O48" s="3406"/>
      <c r="P48" s="2446" t="s">
        <v>1699</v>
      </c>
      <c r="Q48" s="2447"/>
      <c r="R48" s="2447"/>
      <c r="S48" s="2447"/>
      <c r="AG48" s="2327"/>
      <c r="AH48" s="2433" t="s">
        <v>1696</v>
      </c>
      <c r="AI48" s="3391">
        <f>CI79</f>
        <v>152.55681818181816</v>
      </c>
      <c r="AJ48" s="3392"/>
      <c r="AK48" s="3392"/>
      <c r="AL48" s="2434">
        <f>CJ79</f>
        <v>374.74999999999994</v>
      </c>
      <c r="AM48" s="2435">
        <f>CK79</f>
        <v>847.31249999999977</v>
      </c>
      <c r="AN48" s="2436">
        <v>0.1</v>
      </c>
      <c r="AO48" s="2437"/>
      <c r="AP48" s="2427">
        <f>IF($AW$49="1",1," ")</f>
        <v>1</v>
      </c>
      <c r="AQ48" s="2427" t="str">
        <f>IF($BA$49="2",2," ")</f>
        <v xml:space="preserve"> </v>
      </c>
      <c r="AR48" s="2427" t="str">
        <f>IF($BE$49="3",3," ")</f>
        <v xml:space="preserve"> </v>
      </c>
      <c r="AS48" s="2428" t="str">
        <f>IF($BI$49="4",4," ")</f>
        <v xml:space="preserve"> </v>
      </c>
      <c r="AT48" s="2378">
        <f>IF(AP48&lt;&gt;"",$AP$46,IF(AQ48&lt;&gt;"",$AQ$46,IF(AR48&lt;&gt;"",$AR$46,IF(AS48&lt;&gt;"",$AS$46,"P"))))</f>
        <v>1</v>
      </c>
      <c r="AU48" s="2438">
        <f>AT48*AN48</f>
        <v>0.1</v>
      </c>
      <c r="AV48" s="156"/>
      <c r="AW48" s="3394" t="s">
        <v>1684</v>
      </c>
      <c r="AX48" s="3394"/>
      <c r="AY48" s="3394"/>
      <c r="BA48" s="3394" t="s">
        <v>1685</v>
      </c>
      <c r="BB48" s="3394"/>
      <c r="BC48" s="3394"/>
      <c r="BE48" s="3394" t="s">
        <v>1686</v>
      </c>
      <c r="BF48" s="3394"/>
      <c r="BG48" s="3394"/>
      <c r="BI48" s="3394" t="s">
        <v>1687</v>
      </c>
      <c r="BJ48" s="3394"/>
      <c r="BK48" s="3394"/>
      <c r="BU48" s="2439" t="s">
        <v>1603</v>
      </c>
      <c r="BV48" s="2440"/>
      <c r="BW48" s="2441"/>
      <c r="BX48" s="2442">
        <f>'Estados Financieros'!E89</f>
        <v>0</v>
      </c>
      <c r="BY48" s="2442">
        <f>'Estados Financieros'!F89</f>
        <v>0</v>
      </c>
      <c r="BZ48" s="2442">
        <f>'Estados Financieros'!G89</f>
        <v>0</v>
      </c>
      <c r="CA48" s="2442">
        <f>'Estados Financieros'!H89</f>
        <v>0</v>
      </c>
      <c r="CB48" s="2442">
        <f>'Estados Financieros'!I89</f>
        <v>0</v>
      </c>
      <c r="CC48" s="2392"/>
      <c r="CD48" s="2393"/>
      <c r="CE48" s="2393"/>
      <c r="CF48" s="2393"/>
      <c r="CG48" s="2394"/>
      <c r="CH48" s="2385"/>
      <c r="CI48" s="2380"/>
    </row>
    <row r="49" spans="2:91" s="2255" customFormat="1" ht="28.5" thickBot="1" x14ac:dyDescent="0.35">
      <c r="B49" s="2271" t="s">
        <v>1697</v>
      </c>
      <c r="C49" s="2443" t="str">
        <f>IF(Resumen!$C$48=0,"N.D",Resumen!$C$48)</f>
        <v>N.D</v>
      </c>
      <c r="D49" s="2444"/>
      <c r="E49" s="2445" t="str">
        <f>IF(Resumen!$E$48=0,"N.D",Resumen!$E$48)</f>
        <v>N.D</v>
      </c>
      <c r="F49" s="2264"/>
      <c r="G49" s="2272" t="s">
        <v>1593</v>
      </c>
      <c r="H49" s="2273">
        <f>IF(('Balances y Proyecciones'!Q17)&lt;&gt;360,'Balances y Proyecciones'!K71,'Balances y Proyecciones'!K71)</f>
        <v>3610</v>
      </c>
      <c r="I49" s="2273"/>
      <c r="J49" s="2274">
        <f>IF(('Balances y Proyecciones'!Q17)&lt;&gt;360,'Balances y Proyecciones'!Q71,'Balances y Proyecciones'!Q71)</f>
        <v>3610</v>
      </c>
      <c r="N49" s="3405" t="s">
        <v>1702</v>
      </c>
      <c r="O49" s="3406"/>
      <c r="P49" s="2447"/>
      <c r="Q49" s="2447"/>
      <c r="R49" s="2447"/>
      <c r="S49" s="2447"/>
      <c r="AG49" s="2327"/>
      <c r="AH49" s="2448" t="s">
        <v>1700</v>
      </c>
      <c r="AI49" s="3407"/>
      <c r="AJ49" s="3408"/>
      <c r="AK49" s="3408"/>
      <c r="AL49" s="2448"/>
      <c r="AM49" s="2449"/>
      <c r="AN49" s="2450">
        <v>0.15</v>
      </c>
      <c r="AO49" s="2451">
        <v>0.4</v>
      </c>
      <c r="AP49" s="2452"/>
      <c r="AQ49" s="2453"/>
      <c r="AR49" s="2453"/>
      <c r="AS49" s="2454"/>
      <c r="AT49" s="2405" t="str">
        <f>IF(AP49&lt;&gt;"",$AP$46,IF(AQ49&lt;&gt;"",$AQ$46,IF(AR49&lt;&gt;"",$AR$46,IF(AS49&lt;&gt;"",$AS$46,"P"))))</f>
        <v>P</v>
      </c>
      <c r="AU49" s="2455" t="e">
        <f>AT49*AN49</f>
        <v>#VALUE!</v>
      </c>
      <c r="AV49" s="156"/>
      <c r="AW49" s="3397" t="str">
        <f>IF(AND($AH$35="Sector Comercio",($AI$48&gt;=2)),"1",IF(AND($AH$35="Sector industrial",$AI$48&gt;2.5),"1",IF(AND($AH$35="Sector servicios",$AI$48&gt;2.3),"1",0)))</f>
        <v>1</v>
      </c>
      <c r="AX49" s="3398"/>
      <c r="AY49" s="3399"/>
      <c r="BA49" s="3397">
        <f>IF(AND($AH$35="Sector Comercio",($AI$48&gt;=1.2),($AI$48&lt;=1.9)),"2",IF(AND($AH$35="Sector industrial",($AI$48&gt;=1.4),($AI$48&lt;=2.4)),"2",IF(AND($AH$35="Sector servicios",($AI$48&gt;=1.4),($AI$48&lt;=2.2)),"2",0)))</f>
        <v>0</v>
      </c>
      <c r="BB49" s="3398"/>
      <c r="BC49" s="3399"/>
      <c r="BE49" s="3397">
        <f>IF(AND($AH$35="Sector Comercio",($AI$48&gt;=1),($AI$48&lt;=1.1)),"3",IF(AND($AH$35="Sector industrial",($AI$48&gt;=1),($AI$48&lt;=1.3)),"3",IF(AND($AH$35="Sector servicios",($AI$48&gt;=1.1),($AI$48&lt;=1.3)),"3",0)))</f>
        <v>0</v>
      </c>
      <c r="BF49" s="3398"/>
      <c r="BG49" s="3399"/>
      <c r="BI49" s="3397">
        <f>IF(AND($AH$35="Sector Comercio",($AI$48&lt;=1)),"4",IF(AND($AH$35="Sector industrial",($AI$48&lt;=1)),"4",IF(AND($AH$35="Sector servicios",($AI$48&lt;=1)),"4",0)))</f>
        <v>0</v>
      </c>
      <c r="BJ49" s="3398"/>
      <c r="BK49" s="3399"/>
      <c r="BU49" s="2439" t="s">
        <v>1701</v>
      </c>
      <c r="BV49" s="2440"/>
      <c r="BW49" s="2441"/>
      <c r="BX49" s="2442">
        <f>SUM(BX41:BX47)</f>
        <v>240</v>
      </c>
      <c r="BY49" s="2442">
        <f>SUM(BY41:BY47)</f>
        <v>240</v>
      </c>
      <c r="BZ49" s="2442">
        <f>SUM(BZ41:BZ47)</f>
        <v>240</v>
      </c>
      <c r="CA49" s="2442">
        <f>SUM(CA41:CA47)</f>
        <v>240</v>
      </c>
      <c r="CB49" s="2442">
        <f>SUM(CB41:CB47)</f>
        <v>240</v>
      </c>
      <c r="CC49" s="2392"/>
      <c r="CD49" s="2393"/>
      <c r="CE49" s="2393"/>
      <c r="CF49" s="2393"/>
      <c r="CG49" s="2394"/>
      <c r="CH49" s="2385"/>
      <c r="CI49" s="2380"/>
    </row>
    <row r="50" spans="2:91" ht="28.5" thickBot="1" x14ac:dyDescent="0.3">
      <c r="B50" s="2276" t="s">
        <v>541</v>
      </c>
      <c r="C50" s="2277"/>
      <c r="D50" s="2277"/>
      <c r="E50" s="2278"/>
      <c r="F50" s="2264"/>
      <c r="G50" s="2272" t="s">
        <v>1594</v>
      </c>
      <c r="H50" s="2273">
        <f>IF(('Balances y Proyecciones'!Q17)&lt;&gt;360,-'Balances y Proyecciones'!K72-'Balances y Proyecciones'!K74,-'Balances y Proyecciones'!K72-'Balances y Proyecciones'!K74)</f>
        <v>-800</v>
      </c>
      <c r="I50" s="2273"/>
      <c r="J50" s="2274">
        <f>IF(('Balances y Proyecciones'!Q17)&lt;&gt;360,-'Balances y Proyecciones'!Q72-'Balances y Proyecciones'!Q74,-'Balances y Proyecciones'!Q72-'Balances y Proyecciones'!Q74)</f>
        <v>-800</v>
      </c>
      <c r="N50" s="3405" t="s">
        <v>1704</v>
      </c>
      <c r="O50" s="3406"/>
      <c r="P50" s="2447"/>
      <c r="Q50" s="2447"/>
      <c r="R50" s="2447"/>
      <c r="S50" s="2447"/>
      <c r="T50" s="2255"/>
      <c r="U50" s="2255"/>
      <c r="V50" s="2255"/>
      <c r="W50" s="2255"/>
      <c r="X50" s="2255"/>
      <c r="Y50" s="2255"/>
      <c r="Z50" s="2255"/>
      <c r="AA50" s="2255"/>
      <c r="AB50" s="2255"/>
      <c r="AC50" s="2255"/>
      <c r="AD50" s="2255"/>
      <c r="AG50" s="2327"/>
      <c r="AH50" s="2456"/>
      <c r="AI50" s="2456"/>
      <c r="AJ50" s="2457"/>
      <c r="AK50" s="2457"/>
      <c r="AL50" s="2457"/>
      <c r="AM50" s="2458"/>
      <c r="AN50" s="2459"/>
      <c r="AO50" s="2460"/>
      <c r="AP50" s="2457"/>
      <c r="AQ50" s="2457"/>
      <c r="AR50" s="2457"/>
      <c r="AS50" s="2457"/>
      <c r="AT50" s="156"/>
      <c r="AU50" s="2461"/>
      <c r="AV50" s="156"/>
      <c r="BU50" s="2439" t="s">
        <v>1703</v>
      </c>
      <c r="BV50" s="2440"/>
      <c r="BW50" s="2462"/>
      <c r="BX50" s="2442">
        <f>+BX48-BX49</f>
        <v>-240</v>
      </c>
      <c r="BY50" s="2442">
        <f>+BY48-BY49</f>
        <v>-240</v>
      </c>
      <c r="BZ50" s="2442">
        <f>+BZ48-BZ49</f>
        <v>-240</v>
      </c>
      <c r="CA50" s="2442">
        <f>+CA48-CA49</f>
        <v>-240</v>
      </c>
      <c r="CB50" s="2442">
        <f>+CB48-CB49</f>
        <v>-240</v>
      </c>
      <c r="CC50" s="2392"/>
      <c r="CD50" s="2393"/>
      <c r="CE50" s="2393"/>
      <c r="CF50" s="2393"/>
      <c r="CG50" s="2394"/>
      <c r="CH50" s="2385"/>
      <c r="CI50" s="2380"/>
      <c r="CJ50" s="2255"/>
      <c r="CK50" s="2255"/>
      <c r="CL50" s="2255"/>
      <c r="CM50" s="2255"/>
    </row>
    <row r="51" spans="2:91" ht="28.5" thickBot="1" x14ac:dyDescent="0.4">
      <c r="B51" s="2272" t="s">
        <v>543</v>
      </c>
      <c r="C51" s="2282">
        <f>IF(('Balances y Proyecciones'!Q17)&lt;&gt;360,'Balances y Proyecciones'!K18,'Balances y Proyecciones'!K18)</f>
        <v>390</v>
      </c>
      <c r="D51" s="2282"/>
      <c r="E51" s="2283">
        <f>IF(('Balances y Proyecciones'!Q17)&lt;&gt;360,'Balances y Proyecciones'!Q18,'Balances y Proyecciones'!Q18)</f>
        <v>390</v>
      </c>
      <c r="F51" s="2264"/>
      <c r="G51" s="2284" t="s">
        <v>1480</v>
      </c>
      <c r="H51" s="2285">
        <f>H49+H50</f>
        <v>2810</v>
      </c>
      <c r="I51" s="2285"/>
      <c r="J51" s="2286">
        <f>J49+J50</f>
        <v>2810</v>
      </c>
      <c r="N51" s="3405" t="s">
        <v>1707</v>
      </c>
      <c r="O51" s="3406"/>
      <c r="P51" s="2447"/>
      <c r="Q51" s="2447"/>
      <c r="R51" s="2447"/>
      <c r="S51" s="2447"/>
      <c r="T51" s="2255"/>
      <c r="U51" s="2255"/>
      <c r="V51" s="2255"/>
      <c r="W51" s="2255"/>
      <c r="X51" s="2255"/>
      <c r="Y51" s="2255"/>
      <c r="Z51" s="2255"/>
      <c r="AA51" s="2255"/>
      <c r="AB51" s="2255"/>
      <c r="AC51" s="2255"/>
      <c r="AD51" s="2255"/>
      <c r="AG51" s="2327"/>
      <c r="AH51" s="2419" t="s">
        <v>1683</v>
      </c>
      <c r="AI51" s="2463" t="str">
        <f>'Estados Financieros'!$E$3</f>
        <v>Información Anual</v>
      </c>
      <c r="AJ51" s="2463" t="str">
        <f>+'Estados Financieros'!$F$3</f>
        <v>Información Anual</v>
      </c>
      <c r="AK51" s="2463" t="str">
        <f>+'Estados Financieros'!$G$3</f>
        <v>Información Anual</v>
      </c>
      <c r="AL51" s="2464" t="str">
        <f>CONCATENATE('Estados Financieros'!$H$4," ",'Estados Financieros'!$H$3)</f>
        <v>2021 Ultima Inf. Mensual Nueva</v>
      </c>
      <c r="AM51" s="2465" t="str">
        <f>CONCATENATE('Estados Financieros'!$I$4," ",'Estados Financieros'!$I$3)</f>
        <v>2020 Información Mensual Histórica</v>
      </c>
      <c r="AN51" s="2466">
        <v>0.65</v>
      </c>
      <c r="AO51" s="2467"/>
      <c r="AP51" s="2343">
        <v>1</v>
      </c>
      <c r="AQ51" s="2344">
        <v>2</v>
      </c>
      <c r="AR51" s="2344">
        <v>3</v>
      </c>
      <c r="AS51" s="2345">
        <v>4</v>
      </c>
      <c r="AT51" s="2346" t="s">
        <v>1654</v>
      </c>
      <c r="AU51" s="2468" t="e">
        <f>SUM(AU52:AU63)</f>
        <v>#VALUE!</v>
      </c>
      <c r="AV51" s="156"/>
      <c r="AW51" s="3394" t="s">
        <v>1684</v>
      </c>
      <c r="AX51" s="3394"/>
      <c r="AY51" s="3394"/>
      <c r="BA51" s="3394" t="s">
        <v>1685</v>
      </c>
      <c r="BB51" s="3394"/>
      <c r="BC51" s="3394"/>
      <c r="BE51" s="3394" t="s">
        <v>1686</v>
      </c>
      <c r="BF51" s="3394"/>
      <c r="BG51" s="3394"/>
      <c r="BI51" s="3394" t="s">
        <v>1687</v>
      </c>
      <c r="BJ51" s="3394"/>
      <c r="BK51" s="3394"/>
      <c r="BM51" s="3394" t="s">
        <v>1265</v>
      </c>
      <c r="BN51" s="3394"/>
      <c r="BO51" s="3394"/>
      <c r="BU51" s="2379" t="s">
        <v>1705</v>
      </c>
      <c r="BV51" s="2389"/>
      <c r="BW51" s="2389"/>
      <c r="CC51" s="2392"/>
      <c r="CD51" s="2393"/>
      <c r="CE51" s="2393"/>
      <c r="CF51" s="2393"/>
      <c r="CG51" s="2394"/>
      <c r="CH51" s="2469" t="s">
        <v>1706</v>
      </c>
      <c r="CI51" s="2470">
        <f>+SUM(CI41:CI47)</f>
        <v>150</v>
      </c>
      <c r="CJ51" s="2470">
        <f>+SUM(CJ41:CJ47)</f>
        <v>150</v>
      </c>
      <c r="CK51" s="2470">
        <f>+SUM(CK41:CK47)</f>
        <v>150</v>
      </c>
      <c r="CL51" s="2470">
        <f>+SUM(CL41:CL47)</f>
        <v>150</v>
      </c>
      <c r="CM51" s="2470">
        <f>+SUM(CM41:CM47)</f>
        <v>150</v>
      </c>
    </row>
    <row r="52" spans="2:91" ht="28.5" thickBot="1" x14ac:dyDescent="0.4">
      <c r="B52" s="2272" t="s">
        <v>107</v>
      </c>
      <c r="C52" s="2282">
        <f>IF(('Balances y Proyecciones'!Q17)&lt;&gt;360,'Balances y Proyecciones'!K19+'Balances y Proyecciones'!K20,'Balances y Proyecciones'!K19+'Balances y Proyecciones'!K20)</f>
        <v>90</v>
      </c>
      <c r="D52" s="2282"/>
      <c r="E52" s="2283">
        <f>IF(('Balances y Proyecciones'!Q17)&lt;&gt;360,'Balances y Proyecciones'!Q19+'Balances y Proyecciones'!Q20,'Balances y Proyecciones'!Q19+'Balances y Proyecciones'!Q20)</f>
        <v>90</v>
      </c>
      <c r="F52" s="2264"/>
      <c r="G52" s="2284" t="s">
        <v>881</v>
      </c>
      <c r="H52" s="2285">
        <f>IF(('Balances y Proyecciones'!Q17)&lt;&gt;360,'Balances y Proyecciones'!K93,'Balances y Proyecciones'!K93)</f>
        <v>2850</v>
      </c>
      <c r="I52" s="2285"/>
      <c r="J52" s="2286">
        <f>IF(('Balances y Proyecciones'!Q17)&lt;&gt;360,'Balances y Proyecciones'!Q93,'Balances y Proyecciones'!Q93)</f>
        <v>2850</v>
      </c>
      <c r="N52" s="3405" t="s">
        <v>1709</v>
      </c>
      <c r="O52" s="3406"/>
      <c r="P52" s="2447"/>
      <c r="Q52" s="2447"/>
      <c r="R52" s="2447"/>
      <c r="S52" s="2447"/>
      <c r="AG52" s="2327"/>
      <c r="AH52" s="2422" t="s">
        <v>1708</v>
      </c>
      <c r="AI52" s="3409">
        <f>IF('Estados Financieros'!$E$382&gt;0,(('Estados Financieros'!$E$190+'Estados Financieros'!$F$264)/'Balances y Proyecciones'!$E$93)," ")</f>
        <v>7.0175438596491229E-3</v>
      </c>
      <c r="AJ52" s="3411">
        <f>IF('Estados Financieros'!$F$382&gt;1,('Estados Financieros'!$F$190+'Estados Financieros'!$F$264)/'Balances y Proyecciones'!$H$93," ")</f>
        <v>7.0175438596491229E-3</v>
      </c>
      <c r="AK52" s="3411">
        <f>IF('Estados Financieros'!$G$382&gt;1,('Estados Financieros'!$G$190+'Estados Financieros'!$G$264)/'Balances y Proyecciones'!$N$93," ")</f>
        <v>7.0175438596491229E-3</v>
      </c>
      <c r="AL52" s="3413">
        <f>IF('Estados Financieros'!$H$382&gt;1,('Estados Financieros'!$H$190+'Estados Financieros'!$H$264)/'Balances y Proyecciones'!$Q$93," ")</f>
        <v>7.0175438596491229E-3</v>
      </c>
      <c r="AM52" s="3413">
        <f>IF('Estados Financieros'!$I$382&gt;1,('Estados Financieros'!$I$190+'Estados Financieros'!$I$264)/'Balances y Proyecciones'!$K$93," ")</f>
        <v>7.0175438596491229E-3</v>
      </c>
      <c r="AN52" s="2471">
        <v>0.08</v>
      </c>
      <c r="AO52" s="2472">
        <v>0.2</v>
      </c>
      <c r="AP52" s="2473">
        <f>IF($AW$52="1",1," ")</f>
        <v>1</v>
      </c>
      <c r="AQ52" s="2427" t="str">
        <f>IF($BA$52="2",2," ")</f>
        <v xml:space="preserve"> </v>
      </c>
      <c r="AR52" s="2427" t="str">
        <f>IF($BE$52="3",3," ")</f>
        <v xml:space="preserve"> </v>
      </c>
      <c r="AS52" s="2428" t="str">
        <f>IF($BI$52="4",4," ")</f>
        <v xml:space="preserve"> </v>
      </c>
      <c r="AT52" s="2474">
        <f>IF(AP52&lt;&gt;" ",$AP$51,IF(AQ52&lt;&gt;" ",$AQ$51,IF(AR52&lt;&gt;" ",$AR$51,IF(AS52&lt;&gt;" ",$AS$51,"P"))))</f>
        <v>1</v>
      </c>
      <c r="AU52" s="2429">
        <f t="shared" ref="AU52:AU63" si="14">AT52*AN52</f>
        <v>0.08</v>
      </c>
      <c r="AV52" s="156"/>
      <c r="AW52" s="3415" t="str">
        <f>IF(AND($AH$35="Sector Comercio",($BM$52&gt;=0),($BM$52&lt;=2)),"1",IF(AND($AH$35="Sector industrial",($BM$52&gt;=0),($BM$52&lt;=1.9)),"1",IF(AND($AH$35="Sector servicios",($BM$52&gt;=0),($BM$52&lt;=1.9)),"1",0)))</f>
        <v>1</v>
      </c>
      <c r="AX52" s="3416"/>
      <c r="AY52" s="3417"/>
      <c r="BA52" s="3418">
        <f>IF(AND($AH$35="Sector Comercio",($BM$52&gt;=2),($BM$52&lt;=3.5)),"2",IF(AND($AH$35="Sector industrial",($BM$52&gt;=2),($BM$52&lt;=3)),"2",IF(AND($AH$35="Sector servicios",($BM$52&gt;=2),($BM$52&lt;=3)),"2",0)))</f>
        <v>0</v>
      </c>
      <c r="BB52" s="3419"/>
      <c r="BC52" s="3420"/>
      <c r="BE52" s="3418">
        <f>IF(AND($AH$35="Sector Comercio",($BM$52&gt;=3.5),($BM$52&lt;=5)),"3",IF(AND($AH$35="Sector industrial",($BM$52&gt;=3),($BM$52&lt;=4.5)),"3",IF(AND($AH$35="Sector servicios",($BM$52&gt;=3),($BM$52&lt;=4.5)),"3",0)))</f>
        <v>0</v>
      </c>
      <c r="BF52" s="3419"/>
      <c r="BG52" s="3420"/>
      <c r="BI52" s="3418">
        <f>IF(AND($AH$35="Sector Comercio",($BM$52&gt;=5)),"4",IF(AND($AH$35="Sector industrial",($BM$52&gt;=4.5)),"4",IF(AND($AH$35="Sector servicios",($BM$52&gt;=4.5)),"4",0)))</f>
        <v>0</v>
      </c>
      <c r="BJ52" s="3419"/>
      <c r="BK52" s="3420"/>
      <c r="BM52" s="3418">
        <f>AK52*50%+AL52*50%</f>
        <v>7.0175438596491229E-3</v>
      </c>
      <c r="BN52" s="3419"/>
      <c r="BO52" s="3420"/>
      <c r="BU52" s="2385" t="s">
        <v>617</v>
      </c>
      <c r="BV52" s="2389">
        <v>4</v>
      </c>
      <c r="BW52" s="2390">
        <v>0.8</v>
      </c>
      <c r="BX52" s="2391">
        <f>'Estados Financieros'!E91</f>
        <v>1860</v>
      </c>
      <c r="BY52" s="2391">
        <f>'Estados Financieros'!F91</f>
        <v>1860</v>
      </c>
      <c r="BZ52" s="2391">
        <f>'Estados Financieros'!G91</f>
        <v>1860</v>
      </c>
      <c r="CA52" s="2391">
        <f>'Estados Financieros'!H91</f>
        <v>1860</v>
      </c>
      <c r="CB52" s="2391">
        <f>'Estados Financieros'!I91</f>
        <v>1860</v>
      </c>
      <c r="CC52" s="2392">
        <f t="shared" ref="CC52:CC63" si="15">+BW52*BX52</f>
        <v>1488</v>
      </c>
      <c r="CD52" s="2393">
        <f t="shared" ref="CD52:CD63" si="16">+BW52*BY52</f>
        <v>1488</v>
      </c>
      <c r="CE52" s="2393">
        <f t="shared" ref="CE52:CE63" si="17">+BW52*BZ52</f>
        <v>1488</v>
      </c>
      <c r="CF52" s="2393">
        <f t="shared" ref="CF52:CF63" si="18">+CA52*BW52</f>
        <v>1488</v>
      </c>
      <c r="CG52" s="2394">
        <f t="shared" ref="CG52:CG63" si="19">+CB52*BW52</f>
        <v>1488</v>
      </c>
    </row>
    <row r="53" spans="2:91" thickBot="1" x14ac:dyDescent="0.35">
      <c r="B53" s="2272" t="s">
        <v>1598</v>
      </c>
      <c r="C53" s="2282">
        <f>IF(('Balances y Proyecciones'!Q17)&lt;&gt;360,'Balances y Proyecciones'!K21+'Balances y Proyecciones'!K22,'Balances y Proyecciones'!K21+'Balances y Proyecciones'!K22)</f>
        <v>390</v>
      </c>
      <c r="D53" s="2282"/>
      <c r="E53" s="2283">
        <f>IF(('Balances y Proyecciones'!Q17)&lt;&gt;360,'Balances y Proyecciones'!Q21+'Balances y Proyecciones'!Q22,'Balances y Proyecciones'!Q21+'Balances y Proyecciones'!Q22)</f>
        <v>390</v>
      </c>
      <c r="F53" s="2264"/>
      <c r="G53" s="2272" t="s">
        <v>1497</v>
      </c>
      <c r="H53" s="2273">
        <f>IF(('Balances y Proyecciones'!Q17)&lt;&gt;360,-'Balances y Proyecciones'!K76,-'Balances y Proyecciones'!K76)</f>
        <v>-10</v>
      </c>
      <c r="I53" s="2273"/>
      <c r="J53" s="2274">
        <f>IF(('Balances y Proyecciones'!Q17)&lt;&gt;360,-'Balances y Proyecciones'!Q76,-'Balances y Proyecciones'!Q76)</f>
        <v>-10</v>
      </c>
      <c r="N53" s="3429" t="s">
        <v>1712</v>
      </c>
      <c r="O53" s="3430"/>
      <c r="P53" s="2447"/>
      <c r="Q53" s="2447"/>
      <c r="R53" s="2447"/>
      <c r="S53" s="2447"/>
      <c r="T53" s="2255"/>
      <c r="U53" s="2255"/>
      <c r="V53" s="2255"/>
      <c r="W53" s="2255"/>
      <c r="X53" s="2255"/>
      <c r="Y53" s="2255"/>
      <c r="Z53" s="2255"/>
      <c r="AA53" s="2255"/>
      <c r="AB53" s="2255"/>
      <c r="AC53" s="2255"/>
      <c r="AD53" s="2255"/>
      <c r="AG53" s="2327"/>
      <c r="AH53" s="2448" t="s">
        <v>1710</v>
      </c>
      <c r="AI53" s="3410"/>
      <c r="AJ53" s="3412"/>
      <c r="AK53" s="3412"/>
      <c r="AL53" s="3414"/>
      <c r="AM53" s="3414"/>
      <c r="AN53" s="2475">
        <v>0.05</v>
      </c>
      <c r="AO53" s="2476">
        <v>0.05</v>
      </c>
      <c r="AP53" s="2477"/>
      <c r="AQ53" s="2478"/>
      <c r="AR53" s="2478"/>
      <c r="AS53" s="2479"/>
      <c r="AT53" s="2480" t="str">
        <f>IF(AP53&lt;&gt;"",$AP$51,IF(AQ53&lt;&gt;"",$AQ$51,IF(AR53&lt;&gt;"",$AR$51,IF(AS53&lt;&gt;"",$AS$51,"P"))))</f>
        <v>P</v>
      </c>
      <c r="AU53" s="2406" t="e">
        <f t="shared" si="14"/>
        <v>#VALUE!</v>
      </c>
      <c r="AV53" s="156"/>
      <c r="BU53" s="2385" t="s">
        <v>1711</v>
      </c>
      <c r="BV53" s="2389">
        <v>4</v>
      </c>
      <c r="BW53" s="2390">
        <v>0.8</v>
      </c>
      <c r="BX53" s="2391">
        <f>'Estados Financieros'!E94</f>
        <v>30</v>
      </c>
      <c r="BY53" s="2391">
        <f>'Estados Financieros'!F94</f>
        <v>30</v>
      </c>
      <c r="BZ53" s="2391">
        <f>'Estados Financieros'!G94</f>
        <v>30</v>
      </c>
      <c r="CA53" s="2391">
        <f>'Estados Financieros'!H94</f>
        <v>30</v>
      </c>
      <c r="CB53" s="2391">
        <f>'Estados Financieros'!I94</f>
        <v>30</v>
      </c>
      <c r="CC53" s="2392">
        <f t="shared" si="15"/>
        <v>24</v>
      </c>
      <c r="CD53" s="2393">
        <f t="shared" si="16"/>
        <v>24</v>
      </c>
      <c r="CE53" s="2393">
        <f t="shared" si="17"/>
        <v>24</v>
      </c>
      <c r="CF53" s="2393">
        <f t="shared" si="18"/>
        <v>24</v>
      </c>
      <c r="CG53" s="2394">
        <f t="shared" si="19"/>
        <v>24</v>
      </c>
    </row>
    <row r="54" spans="2:91" thickBot="1" x14ac:dyDescent="0.4">
      <c r="B54" s="2272" t="s">
        <v>1599</v>
      </c>
      <c r="C54" s="2282">
        <f>IF(('Balances y Proyecciones'!Q17)&lt;&gt;360,'Balances y Proyecciones'!K24,'Balances y Proyecciones'!K24)</f>
        <v>360</v>
      </c>
      <c r="D54" s="2282"/>
      <c r="E54" s="2283">
        <f>IF(('Balances y Proyecciones'!Q17)&lt;&gt;360,'Balances y Proyecciones'!Q24,'Balances y Proyecciones'!Q24)</f>
        <v>360</v>
      </c>
      <c r="F54" s="2264"/>
      <c r="G54" s="2272" t="s">
        <v>1600</v>
      </c>
      <c r="H54" s="2295">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10</v>
      </c>
      <c r="I54" s="2295"/>
      <c r="J54" s="2296">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10</v>
      </c>
      <c r="N54" s="3421" t="s">
        <v>1714</v>
      </c>
      <c r="O54" s="3422"/>
      <c r="P54" s="3423"/>
      <c r="Q54" s="3424"/>
      <c r="R54" s="3424"/>
      <c r="S54" s="3425"/>
      <c r="T54" s="2255"/>
      <c r="U54" s="2255"/>
      <c r="V54" s="2255"/>
      <c r="W54" s="2255"/>
      <c r="X54" s="2255"/>
      <c r="Y54" s="2255"/>
      <c r="Z54" s="2255"/>
      <c r="AA54" s="2255"/>
      <c r="AB54" s="2255"/>
      <c r="AC54" s="2255"/>
      <c r="AD54" s="2255"/>
      <c r="AG54" s="2327"/>
      <c r="AH54" s="2422" t="s">
        <v>882</v>
      </c>
      <c r="AI54" s="3431">
        <f>IF('Estados Financieros'!$E$382&gt;0,('Balances y Proyecciones'!$F$93)," ")</f>
        <v>0.78947368421052633</v>
      </c>
      <c r="AJ54" s="3431">
        <f>IF('Estados Financieros'!$F$382&gt;1,'Balances y Proyecciones'!$I$93," ")</f>
        <v>0.78947368421052633</v>
      </c>
      <c r="AK54" s="3431">
        <f>IF('Estados Financieros'!$G$382&gt;1,'Balances y Proyecciones'!$O$93," ")</f>
        <v>0.78947368421052633</v>
      </c>
      <c r="AL54" s="3433">
        <f>IF('Estados Financieros'!$H$382&gt;1,'Balances y Proyecciones'!$R$93," ")</f>
        <v>0.78947368421052633</v>
      </c>
      <c r="AM54" s="3435">
        <f>IF('Estados Financieros'!$I$382&gt;1,'Balances y Proyecciones'!$L$93," ")</f>
        <v>0.78947368421052633</v>
      </c>
      <c r="AN54" s="2481">
        <v>0.08</v>
      </c>
      <c r="AO54" s="2472">
        <v>0.2</v>
      </c>
      <c r="AP54" s="2473">
        <f>IF($AW$55="1",1," ")</f>
        <v>1</v>
      </c>
      <c r="AQ54" s="2427" t="str">
        <f>IF($BA$55="2",2," ")</f>
        <v xml:space="preserve"> </v>
      </c>
      <c r="AR54" s="2427" t="str">
        <f>IF($BE$55="3",3," ")</f>
        <v xml:space="preserve"> </v>
      </c>
      <c r="AS54" s="2428" t="str">
        <f>IF($BI$55="4",4," ")</f>
        <v xml:space="preserve"> </v>
      </c>
      <c r="AT54" s="2474">
        <f>IF(AP54&lt;&gt;" ",$AP$51,IF(AQ54&lt;&gt;" ",$AQ$51,IF(AR54&lt;&gt;" ",$AR$51,IF(AS54&lt;&gt;" ",$AS$51,"P"))))</f>
        <v>1</v>
      </c>
      <c r="AU54" s="2429">
        <f t="shared" si="14"/>
        <v>0.08</v>
      </c>
      <c r="AV54" s="156"/>
      <c r="AW54" s="3394" t="s">
        <v>1684</v>
      </c>
      <c r="AX54" s="3394"/>
      <c r="AY54" s="3394"/>
      <c r="BA54" s="3394" t="s">
        <v>1685</v>
      </c>
      <c r="BB54" s="3394"/>
      <c r="BC54" s="3394"/>
      <c r="BE54" s="3394" t="s">
        <v>1686</v>
      </c>
      <c r="BF54" s="3394"/>
      <c r="BG54" s="3394"/>
      <c r="BI54" s="3394" t="s">
        <v>1687</v>
      </c>
      <c r="BJ54" s="3394"/>
      <c r="BK54" s="3394"/>
      <c r="BM54" s="3394" t="s">
        <v>1265</v>
      </c>
      <c r="BN54" s="3394"/>
      <c r="BO54" s="3394"/>
      <c r="BU54" s="2385" t="s">
        <v>620</v>
      </c>
      <c r="BV54" s="2389">
        <v>3</v>
      </c>
      <c r="BW54" s="2390">
        <v>0.6</v>
      </c>
      <c r="BX54" s="2391">
        <f>'Estados Financieros'!E95</f>
        <v>30</v>
      </c>
      <c r="BY54" s="2391">
        <f>'Estados Financieros'!F95</f>
        <v>30</v>
      </c>
      <c r="BZ54" s="2391">
        <f>'Estados Financieros'!G95</f>
        <v>30</v>
      </c>
      <c r="CA54" s="2391">
        <f>'Estados Financieros'!H95</f>
        <v>30</v>
      </c>
      <c r="CB54" s="2391">
        <f>'Estados Financieros'!I95</f>
        <v>30</v>
      </c>
      <c r="CC54" s="2392">
        <f t="shared" si="15"/>
        <v>18</v>
      </c>
      <c r="CD54" s="2393">
        <f t="shared" si="16"/>
        <v>18</v>
      </c>
      <c r="CE54" s="2393">
        <f t="shared" si="17"/>
        <v>18</v>
      </c>
      <c r="CF54" s="2393">
        <f t="shared" si="18"/>
        <v>18</v>
      </c>
      <c r="CG54" s="2394">
        <f t="shared" si="19"/>
        <v>18</v>
      </c>
      <c r="CH54" s="2482" t="s">
        <v>1713</v>
      </c>
      <c r="CI54" s="2349">
        <f>CI51</f>
        <v>150</v>
      </c>
      <c r="CJ54" s="2349">
        <f>CJ51</f>
        <v>150</v>
      </c>
      <c r="CK54" s="2349">
        <f>CK51</f>
        <v>150</v>
      </c>
      <c r="CL54" s="2349">
        <f>CL51</f>
        <v>150</v>
      </c>
      <c r="CM54" s="2483">
        <f>CM51</f>
        <v>150</v>
      </c>
    </row>
    <row r="55" spans="2:91" thickBot="1" x14ac:dyDescent="0.4">
      <c r="B55" s="2272" t="s">
        <v>663</v>
      </c>
      <c r="C55" s="2282">
        <f>IF(('Balances y Proyecciones'!Q17)&lt;&gt;360,'Balances y Proyecciones'!K23+'Balances y Proyecciones'!K25,'Balances y Proyecciones'!K23+'Balances y Proyecciones'!K25)</f>
        <v>630</v>
      </c>
      <c r="D55" s="2282"/>
      <c r="E55" s="2283">
        <f>IF(('Balances y Proyecciones'!Q17)&lt;&gt;360,'Balances y Proyecciones'!Q23+'Balances y Proyecciones'!Q25,'Balances y Proyecciones'!Q23+'Balances y Proyecciones'!Q25)</f>
        <v>630</v>
      </c>
      <c r="F55" s="2264"/>
      <c r="G55" s="2272" t="s">
        <v>1601</v>
      </c>
      <c r="H55" s="2295">
        <f>IF(('Balances y Proyecciones'!Q17)&lt;&gt;360,'Balances y Proyecciones'!K78,'Balances y Proyecciones'!K78)</f>
        <v>0</v>
      </c>
      <c r="I55" s="2295"/>
      <c r="J55" s="2296">
        <f>IF(('Balances y Proyecciones'!Q17)&lt;&gt;360,'Balances y Proyecciones'!Q78,'Balances y Proyecciones'!Q78)</f>
        <v>0</v>
      </c>
      <c r="N55" s="2255"/>
      <c r="O55" s="2255"/>
      <c r="P55" s="2255"/>
      <c r="Q55" s="2255"/>
      <c r="R55" s="2255"/>
      <c r="S55" s="2255"/>
      <c r="T55" s="2255"/>
      <c r="U55" s="2255"/>
      <c r="V55" s="2255"/>
      <c r="W55" s="2255"/>
      <c r="X55" s="2255"/>
      <c r="Y55" s="2255"/>
      <c r="Z55" s="2255"/>
      <c r="AA55" s="2255"/>
      <c r="AB55" s="2255"/>
      <c r="AC55" s="2255"/>
      <c r="AD55" s="2255"/>
      <c r="AG55" s="2327"/>
      <c r="AH55" s="2448" t="s">
        <v>1715</v>
      </c>
      <c r="AI55" s="3432"/>
      <c r="AJ55" s="3432"/>
      <c r="AK55" s="3432"/>
      <c r="AL55" s="3434"/>
      <c r="AM55" s="3436"/>
      <c r="AN55" s="2475">
        <v>0.05</v>
      </c>
      <c r="AO55" s="2476">
        <v>0.05</v>
      </c>
      <c r="AP55" s="2477"/>
      <c r="AQ55" s="2478"/>
      <c r="AR55" s="2478"/>
      <c r="AS55" s="2479"/>
      <c r="AT55" s="2480" t="str">
        <f>IF(AP55&lt;&gt;"",$AP$51,IF(AQ55&lt;&gt;"",$AQ$51,IF(AR55&lt;&gt;"",$AR$51,IF(AS55&lt;&gt;"",$AS$51,"P"))))</f>
        <v>P</v>
      </c>
      <c r="AU55" s="2406" t="e">
        <f t="shared" si="14"/>
        <v>#VALUE!</v>
      </c>
      <c r="AV55" s="156"/>
      <c r="AW55" s="3415" t="str">
        <f>IF(AND($AH$35="Sector Comercio",($BM$55&gt;=7%)),"1",IF(AND($AH$35="Sector industrial",($BM$55&gt;=15%)),"1",IF(AND($AH$35="Sector servicios",($BM$55&gt;=15%)),"1",0)))</f>
        <v>1</v>
      </c>
      <c r="AX55" s="3416"/>
      <c r="AY55" s="3417"/>
      <c r="BA55" s="3418">
        <f>IF(AND($AH$35="Sector Comercio",($BM$55&gt;=4%),($BM$55&lt;=6.9%)),"2",IF(AND($AH$35="Sector industrial",($BM$55&gt;=10%),($BM$55&lt;=14.9%)),"2",IF(AND($AH$35="Sector servicios",($BM$55&gt;=7%),($BM$55&lt;=9.9%)),"2",0)))</f>
        <v>0</v>
      </c>
      <c r="BB55" s="3419"/>
      <c r="BC55" s="3420"/>
      <c r="BE55" s="3418">
        <f>IF(AND($AH$35="Sector Comercio",($BM$55&gt;=2%),($BM$55&lt;=3.9%)),"3",IF(AND($AH$35="Sector industrial",($BM$55&gt;=6%),($BM$55&lt;=9.9%)),"3",IF(AND($AH$35="Sector servicios",($BM$55&gt;=4%),($BM$55&lt;=6.9%)),"3",0)))</f>
        <v>0</v>
      </c>
      <c r="BF55" s="3419"/>
      <c r="BG55" s="3420"/>
      <c r="BI55" s="3418">
        <f>IF(AND($AH$35="Sector Comercio",($BM$55&lt;=3.8%)),"4",IF(AND($AH$35="Sector industrial",($BM$55&lt;=6%)),"4",IF(AND($AH$35="Sector servicios",($BM$55&lt;=4%)),"4",0)))</f>
        <v>0</v>
      </c>
      <c r="BJ55" s="3419"/>
      <c r="BK55" s="3420"/>
      <c r="BM55" s="3426">
        <f>AK54*50%+AL54*50%</f>
        <v>0.78947368421052633</v>
      </c>
      <c r="BN55" s="3427"/>
      <c r="BO55" s="3428"/>
      <c r="BU55" s="2385" t="s">
        <v>1716</v>
      </c>
      <c r="BV55" s="2389">
        <v>2</v>
      </c>
      <c r="BW55" s="2390">
        <v>0.4</v>
      </c>
      <c r="BX55" s="2391">
        <f>'Estados Financieros'!E96</f>
        <v>30</v>
      </c>
      <c r="BY55" s="2391">
        <f>'Estados Financieros'!F96</f>
        <v>30</v>
      </c>
      <c r="BZ55" s="2391">
        <f>'Estados Financieros'!G96</f>
        <v>30</v>
      </c>
      <c r="CA55" s="2391">
        <f>'Estados Financieros'!H96</f>
        <v>30</v>
      </c>
      <c r="CB55" s="2391">
        <f>'Estados Financieros'!I96</f>
        <v>30</v>
      </c>
      <c r="CC55" s="2392">
        <f t="shared" si="15"/>
        <v>12</v>
      </c>
      <c r="CD55" s="2393">
        <f t="shared" si="16"/>
        <v>12</v>
      </c>
      <c r="CE55" s="2393">
        <f t="shared" si="17"/>
        <v>12</v>
      </c>
      <c r="CF55" s="2393">
        <f t="shared" si="18"/>
        <v>12</v>
      </c>
      <c r="CG55" s="2394">
        <f t="shared" si="19"/>
        <v>12</v>
      </c>
      <c r="CH55" s="2484" t="s">
        <v>1717</v>
      </c>
      <c r="CI55" s="659" t="e">
        <f>CC64</f>
        <v>#VALUE!</v>
      </c>
      <c r="CJ55" s="659">
        <f>CD64</f>
        <v>972</v>
      </c>
      <c r="CK55" s="659">
        <f>CE64</f>
        <v>972</v>
      </c>
      <c r="CL55" s="659" t="e">
        <f>CF64</f>
        <v>#VALUE!</v>
      </c>
      <c r="CM55" s="2485" t="e">
        <f>CG64</f>
        <v>#VALUE!</v>
      </c>
    </row>
    <row r="56" spans="2:91" ht="28.5" thickBot="1" x14ac:dyDescent="0.45">
      <c r="B56" s="2284" t="s">
        <v>1603</v>
      </c>
      <c r="C56" s="2298">
        <f>SUM(C51:C55)</f>
        <v>1860</v>
      </c>
      <c r="D56" s="2298"/>
      <c r="E56" s="2299">
        <f>SUM(E51:E55)</f>
        <v>1860</v>
      </c>
      <c r="F56" s="2264"/>
      <c r="G56" s="2272" t="s">
        <v>811</v>
      </c>
      <c r="H56" s="2295">
        <f>IF(('Balances y Proyecciones'!Q17)&lt;&gt;360,-'Balances y Proyecciones'!K88,-'Balances y Proyecciones'!K88)</f>
        <v>0</v>
      </c>
      <c r="I56" s="2295"/>
      <c r="J56" s="2296">
        <f>IF(('Balances y Proyecciones'!Q17)&lt;&gt;360,-'Balances y Proyecciones'!Q88,-'Balances y Proyecciones'!Q88)</f>
        <v>0</v>
      </c>
      <c r="N56" s="2255"/>
      <c r="O56" s="2255"/>
      <c r="P56" s="2255"/>
      <c r="Q56" s="2255"/>
      <c r="R56" s="2255"/>
      <c r="S56" s="2255"/>
      <c r="T56" s="2255"/>
      <c r="U56" s="2255"/>
      <c r="V56" s="2255"/>
      <c r="W56" s="2255"/>
      <c r="X56" s="2255"/>
      <c r="Y56" s="2255"/>
      <c r="Z56" s="2255"/>
      <c r="AA56" s="2255"/>
      <c r="AB56" s="2255"/>
      <c r="AC56" s="2255"/>
      <c r="AD56" s="2255"/>
      <c r="AG56" s="2327"/>
      <c r="AH56" s="2422" t="s">
        <v>1718</v>
      </c>
      <c r="AI56" s="3431">
        <f>IF('Estados Financieros'!$E$382&gt;0,('Balances y Proyecciones'!$G$71)," ")</f>
        <v>0</v>
      </c>
      <c r="AJ56" s="3431">
        <f>IF('Estados Financieros'!$F$382&gt;1,'Balances y Proyecciones'!$J$71," ")</f>
        <v>0</v>
      </c>
      <c r="AK56" s="3431">
        <f>IF('Estados Financieros'!$G$382&gt;1,'Balances y Proyecciones'!$P$71," ")</f>
        <v>0</v>
      </c>
      <c r="AL56" s="3433">
        <f>IF('Estados Financieros'!$H$382&gt;1,'Balances y Proyecciones'!$S$71," ")</f>
        <v>1</v>
      </c>
      <c r="AM56" s="3435">
        <f>IF('Estados Financieros'!$I$382&gt;1,'Balances y Proyecciones'!$M$71," ")</f>
        <v>1</v>
      </c>
      <c r="AN56" s="2481">
        <v>0.06</v>
      </c>
      <c r="AO56" s="2472">
        <v>0.1</v>
      </c>
      <c r="AP56" s="2473">
        <f>IF($AW$57="1",1," ")</f>
        <v>1</v>
      </c>
      <c r="AQ56" s="2427" t="str">
        <f>IF($BA$57="2",2," ")</f>
        <v xml:space="preserve"> </v>
      </c>
      <c r="AR56" s="2427" t="str">
        <f>IF($BE$57="3",3," ")</f>
        <v xml:space="preserve"> </v>
      </c>
      <c r="AS56" s="2428" t="str">
        <f>IF($BI$57="4",4," ")</f>
        <v xml:space="preserve"> </v>
      </c>
      <c r="AT56" s="2486">
        <f>IF(AP56&lt;&gt;" ",$AP$51,IF(AQ56&lt;&gt;" ",$AQ$51,IF(AR56&lt;&gt;" ",$AR$51,IF(AS56&lt;&gt;" ",$AS$51,"P"))))</f>
        <v>1</v>
      </c>
      <c r="AU56" s="2429">
        <f t="shared" si="14"/>
        <v>0.06</v>
      </c>
      <c r="AV56" s="156"/>
      <c r="AW56" s="3394" t="s">
        <v>1684</v>
      </c>
      <c r="AX56" s="3394"/>
      <c r="AY56" s="3394"/>
      <c r="BA56" s="3394" t="s">
        <v>1685</v>
      </c>
      <c r="BB56" s="3394"/>
      <c r="BC56" s="3394"/>
      <c r="BE56" s="3394" t="s">
        <v>1686</v>
      </c>
      <c r="BF56" s="3394"/>
      <c r="BG56" s="3394"/>
      <c r="BI56" s="3394" t="s">
        <v>1687</v>
      </c>
      <c r="BJ56" s="3394"/>
      <c r="BK56" s="3394"/>
      <c r="BM56" s="3394" t="s">
        <v>1265</v>
      </c>
      <c r="BN56" s="3394"/>
      <c r="BO56" s="3394"/>
      <c r="BU56" s="2385" t="s">
        <v>1719</v>
      </c>
      <c r="BV56" s="2389">
        <v>2</v>
      </c>
      <c r="BW56" s="2390">
        <v>0.4</v>
      </c>
      <c r="BX56" s="2391">
        <f>'Estados Financieros'!E111-'Estados Financieros'!E91-'Estados Financieros'!E94-'Estados Financieros'!E95-'Estados Financieros'!E96</f>
        <v>-1920</v>
      </c>
      <c r="BY56" s="2391">
        <f>'Estados Financieros'!F111-'Estados Financieros'!F91-'Estados Financieros'!F94-'Estados Financieros'!F95-'Estados Financieros'!F96</f>
        <v>-1920</v>
      </c>
      <c r="BZ56" s="2391">
        <f>'Estados Financieros'!G111-'Estados Financieros'!G91-'Estados Financieros'!G94-'Estados Financieros'!G95-'Estados Financieros'!G96</f>
        <v>-1920</v>
      </c>
      <c r="CA56" s="2391">
        <f>'Estados Financieros'!H111-'Estados Financieros'!H91-'Estados Financieros'!H94-'Estados Financieros'!H95-'Estados Financieros'!H96</f>
        <v>-1920</v>
      </c>
      <c r="CB56" s="2391">
        <f>'Estados Financieros'!I111-'Estados Financieros'!I91-'Estados Financieros'!I94-'Estados Financieros'!I95-'Estados Financieros'!I96</f>
        <v>-1920</v>
      </c>
      <c r="CC56" s="2392">
        <f t="shared" si="15"/>
        <v>-768</v>
      </c>
      <c r="CD56" s="2393">
        <f t="shared" si="16"/>
        <v>-768</v>
      </c>
      <c r="CE56" s="2393">
        <f t="shared" si="17"/>
        <v>-768</v>
      </c>
      <c r="CF56" s="2393">
        <f t="shared" si="18"/>
        <v>-768</v>
      </c>
      <c r="CG56" s="2394">
        <f t="shared" si="19"/>
        <v>-768</v>
      </c>
      <c r="CH56" s="2487" t="s">
        <v>1720</v>
      </c>
      <c r="CI56" s="2488" t="e">
        <f>CI54/CI55</f>
        <v>#VALUE!</v>
      </c>
      <c r="CJ56" s="2488">
        <f>CJ54/CJ55</f>
        <v>0.15432098765432098</v>
      </c>
      <c r="CK56" s="2488">
        <f>CK54/CK55</f>
        <v>0.15432098765432098</v>
      </c>
      <c r="CL56" s="2488" t="e">
        <f>CL54/CL55</f>
        <v>#VALUE!</v>
      </c>
      <c r="CM56" s="2489" t="e">
        <f>CM54/CM55</f>
        <v>#VALUE!</v>
      </c>
    </row>
    <row r="57" spans="2:91" ht="28.5" thickBot="1" x14ac:dyDescent="0.4">
      <c r="B57" s="2272" t="s">
        <v>1604</v>
      </c>
      <c r="C57" s="2282">
        <f>IF(('Balances y Proyecciones'!Q17)&lt;&gt;360,'Balances y Proyecciones'!K28+'Balances y Proyecciones'!K29,'Balances y Proyecciones'!K28+'Balances y Proyecciones'!K29)</f>
        <v>600</v>
      </c>
      <c r="D57" s="2282"/>
      <c r="E57" s="2283">
        <f>IF(('Balances y Proyecciones'!Q17)&lt;&gt;360,'Balances y Proyecciones'!Q28+'Balances y Proyecciones'!Q29,'Balances y Proyecciones'!Q28+'Balances y Proyecciones'!Q29)</f>
        <v>600</v>
      </c>
      <c r="F57" s="2264"/>
      <c r="G57" s="2300" t="s">
        <v>1487</v>
      </c>
      <c r="H57" s="2301">
        <f>H51+H53+H54+H55+H56</f>
        <v>2810</v>
      </c>
      <c r="I57" s="2301"/>
      <c r="J57" s="2302">
        <f>J51+J53+J54+J55+J56</f>
        <v>2810</v>
      </c>
      <c r="N57" s="3437" t="s">
        <v>932</v>
      </c>
      <c r="O57" s="3438"/>
      <c r="P57" s="3438"/>
      <c r="Q57" s="3438"/>
      <c r="R57" s="3439"/>
      <c r="S57" s="2255"/>
      <c r="T57" s="2255"/>
      <c r="U57" s="2255"/>
      <c r="V57" s="2255"/>
      <c r="W57" s="2255"/>
      <c r="X57" s="2255"/>
      <c r="Y57" s="2255"/>
      <c r="Z57" s="2255"/>
      <c r="AA57" s="2255"/>
      <c r="AB57" s="2255"/>
      <c r="AC57" s="2255"/>
      <c r="AD57" s="2255"/>
      <c r="AG57" s="2327"/>
      <c r="AH57" s="2448" t="s">
        <v>1721</v>
      </c>
      <c r="AI57" s="3432"/>
      <c r="AJ57" s="3432"/>
      <c r="AK57" s="3432"/>
      <c r="AL57" s="3434"/>
      <c r="AM57" s="3436"/>
      <c r="AN57" s="2475">
        <v>0.04</v>
      </c>
      <c r="AO57" s="2476">
        <v>0.05</v>
      </c>
      <c r="AP57" s="2477"/>
      <c r="AQ57" s="2478"/>
      <c r="AR57" s="2478"/>
      <c r="AS57" s="2479"/>
      <c r="AT57" s="2480" t="str">
        <f>IF(AP57&lt;&gt;"",$AP$51,IF(AQ57&lt;&gt;"",$AQ$51,IF(AR57&lt;&gt;"",$AR$51,IF(AS57&lt;&gt;"",$AS$51,"P"))))</f>
        <v>P</v>
      </c>
      <c r="AU57" s="2406" t="e">
        <f t="shared" si="14"/>
        <v>#VALUE!</v>
      </c>
      <c r="AV57" s="156"/>
      <c r="AW57" s="3415" t="str">
        <f>IF(AND($AH$35="Sector Comercio",($BM$57&gt;=15%)),"1",IF(AND($AH$35="Sector industrial",($BM$57&gt;=15%)),"1",IF(AND($AH$35="Sector servicios",($BM$57&gt;=15%)),"1",0)))</f>
        <v>1</v>
      </c>
      <c r="AX57" s="3416"/>
      <c r="AY57" s="3417"/>
      <c r="BA57" s="3418">
        <f>IF(AND($AH$35="Sector Comercio",($BM$57&gt;=5%),($BM$57&lt;=14.9%)),"2",IF(AND($AH$35="Sector industrial",($BM$57&gt;=5%),($BM$57&lt;=14.9%)),"2",IF(AND($AH$35="Sector servicios",($BM$57&gt;=5%),($BM$57&lt;=14.9%)),"2",0)))</f>
        <v>0</v>
      </c>
      <c r="BB57" s="3419"/>
      <c r="BC57" s="3420"/>
      <c r="BE57" s="3418">
        <f>IF(AND($AH$35="Sector Comercio",($BM$57&gt;=3%),($BM$57&lt;=5%)),"3",IF(AND($AH$35="Sector industrial",($BM$57&gt;=3%),($BM$57&lt;=5%)),"3",IF(AND($AH$35="Sector servicios",($BM$57&gt;=3%),($BM$57&lt;=5%)),"3",0)))</f>
        <v>0</v>
      </c>
      <c r="BF57" s="3419"/>
      <c r="BG57" s="3420"/>
      <c r="BI57" s="3418">
        <f>IF(AND($AH$35="Sector Comercio",($BM$57&lt;=3%)),"4",IF(AND($AH$35="Sector industrial",($BM$57&lt;=3%)),"4",IF(AND($AH$35="Sector servicios",($BM$57&lt;=3%)),"4",0)))</f>
        <v>0</v>
      </c>
      <c r="BJ57" s="3419"/>
      <c r="BK57" s="3420"/>
      <c r="BM57" s="3426">
        <f>AK56*50%+AL56*50%</f>
        <v>0.5</v>
      </c>
      <c r="BN57" s="3427"/>
      <c r="BO57" s="3428"/>
      <c r="BU57" s="2385" t="s">
        <v>1722</v>
      </c>
      <c r="BV57" s="2389">
        <v>4</v>
      </c>
      <c r="BW57" s="2390">
        <v>0.8</v>
      </c>
      <c r="BX57" s="2391">
        <f>'Estados Financieros'!E161-'Estados Financieros'!E155</f>
        <v>30</v>
      </c>
      <c r="BY57" s="2391">
        <f>'Estados Financieros'!F161-'Estados Financieros'!F155</f>
        <v>30</v>
      </c>
      <c r="BZ57" s="2391">
        <f>'Estados Financieros'!G161-'Estados Financieros'!G155</f>
        <v>30</v>
      </c>
      <c r="CA57" s="2391">
        <f>'Estados Financieros'!H161-'Estados Financieros'!H155</f>
        <v>30</v>
      </c>
      <c r="CB57" s="2391">
        <f>'Estados Financieros'!I161-'Estados Financieros'!I155</f>
        <v>30</v>
      </c>
      <c r="CC57" s="2392">
        <f t="shared" si="15"/>
        <v>24</v>
      </c>
      <c r="CD57" s="2393">
        <f t="shared" si="16"/>
        <v>24</v>
      </c>
      <c r="CE57" s="2393">
        <f t="shared" si="17"/>
        <v>24</v>
      </c>
      <c r="CF57" s="2393">
        <f t="shared" si="18"/>
        <v>24</v>
      </c>
      <c r="CG57" s="2394">
        <f t="shared" si="19"/>
        <v>24</v>
      </c>
    </row>
    <row r="58" spans="2:91" thickBot="1" x14ac:dyDescent="0.35">
      <c r="B58" s="2272" t="s">
        <v>1491</v>
      </c>
      <c r="C58" s="2282">
        <f>IF(('Balances y Proyecciones'!Q17)&lt;&gt;360,'Balances y Proyecciones'!K27,'Balances y Proyecciones'!K27)</f>
        <v>270</v>
      </c>
      <c r="D58" s="2282"/>
      <c r="E58" s="2283">
        <f>IF(('Balances y Proyecciones'!Q17)&lt;&gt;360,'Balances y Proyecciones'!Q27,'Balances y Proyecciones'!Q27)</f>
        <v>270</v>
      </c>
      <c r="F58" s="2264"/>
      <c r="N58" s="2496"/>
      <c r="O58" s="2496"/>
      <c r="P58" s="2496"/>
      <c r="Q58" s="2496"/>
      <c r="R58" s="2496"/>
      <c r="S58" s="2255"/>
      <c r="T58" s="2255"/>
      <c r="U58" s="2255"/>
      <c r="V58" s="2255"/>
      <c r="W58" s="2255"/>
      <c r="X58" s="2255"/>
      <c r="Y58" s="2255"/>
      <c r="Z58" s="2255"/>
      <c r="AA58" s="2255"/>
      <c r="AB58" s="2255"/>
      <c r="AC58" s="2255"/>
      <c r="AD58" s="2255"/>
      <c r="AG58" s="2327"/>
      <c r="AH58" s="2490" t="s">
        <v>1723</v>
      </c>
      <c r="AI58" s="3411" t="e">
        <f>IF('Estados Financieros'!$E$382&gt;0,$CI$56," ")</f>
        <v>#VALUE!</v>
      </c>
      <c r="AJ58" s="3411">
        <f>IF('Estados Financieros'!$F$382&gt;1,$CJ$56," ")</f>
        <v>0.15432098765432098</v>
      </c>
      <c r="AK58" s="3411">
        <f>IF('Estados Financieros'!$G$382&gt;1,$CK$56," ")</f>
        <v>0.15432098765432098</v>
      </c>
      <c r="AL58" s="3413" t="e">
        <f>IF('Estados Financieros'!$H$382&gt;1,$CL$56," ")</f>
        <v>#VALUE!</v>
      </c>
      <c r="AM58" s="3441" t="e">
        <f>IF('Estados Financieros'!$I$382&gt;1,$CM$56," ")</f>
        <v>#VALUE!</v>
      </c>
      <c r="AN58" s="2481">
        <v>0.1</v>
      </c>
      <c r="AO58" s="2472">
        <v>0.15</v>
      </c>
      <c r="AP58" s="2491" t="e">
        <f>IF($AW$59="1",1," ")</f>
        <v>#VALUE!</v>
      </c>
      <c r="AQ58" s="2492" t="e">
        <f>IF($BA$59="2",2," ")</f>
        <v>#VALUE!</v>
      </c>
      <c r="AR58" s="2492" t="e">
        <f>IF($BE$59="3",3," ")</f>
        <v>#VALUE!</v>
      </c>
      <c r="AS58" s="2493" t="e">
        <f>IF($BI$59="4",4," ")</f>
        <v>#VALUE!</v>
      </c>
      <c r="AT58" s="2486" t="e">
        <f>IF(AP58&lt;&gt;" ",$AP$51,IF(AQ58&lt;&gt;" ",$AQ$51,IF(AR58&lt;&gt;" ",$AR$51,IF(AS58&lt;&gt;" ",$AS$51,"P"))))</f>
        <v>#VALUE!</v>
      </c>
      <c r="AU58" s="2429" t="e">
        <f t="shared" si="14"/>
        <v>#VALUE!</v>
      </c>
      <c r="AV58" s="156"/>
      <c r="AW58" s="3394" t="s">
        <v>1684</v>
      </c>
      <c r="AX58" s="3394"/>
      <c r="AY58" s="3394"/>
      <c r="BA58" s="3394" t="s">
        <v>1685</v>
      </c>
      <c r="BB58" s="3394"/>
      <c r="BC58" s="3394"/>
      <c r="BE58" s="3394" t="s">
        <v>1686</v>
      </c>
      <c r="BF58" s="3394"/>
      <c r="BG58" s="3394"/>
      <c r="BI58" s="3394" t="s">
        <v>1687</v>
      </c>
      <c r="BJ58" s="3394"/>
      <c r="BK58" s="3394"/>
      <c r="BM58" s="3394" t="s">
        <v>1265</v>
      </c>
      <c r="BN58" s="3394"/>
      <c r="BO58" s="3394"/>
      <c r="BU58" s="2385" t="s">
        <v>1724</v>
      </c>
      <c r="BV58" s="2389">
        <v>1</v>
      </c>
      <c r="BW58" s="2390">
        <v>0.2</v>
      </c>
      <c r="BX58" s="2391">
        <f>'Estados Financieros'!E155</f>
        <v>0</v>
      </c>
      <c r="BY58" s="2391">
        <f>'Estados Financieros'!F155</f>
        <v>0</v>
      </c>
      <c r="BZ58" s="2391">
        <f>'Estados Financieros'!G155</f>
        <v>0</v>
      </c>
      <c r="CA58" s="2391">
        <f>'Estados Financieros'!H155</f>
        <v>0</v>
      </c>
      <c r="CB58" s="2391">
        <f>'Estados Financieros'!I155</f>
        <v>0</v>
      </c>
      <c r="CC58" s="2392">
        <f t="shared" si="15"/>
        <v>0</v>
      </c>
      <c r="CD58" s="2393">
        <f t="shared" si="16"/>
        <v>0</v>
      </c>
      <c r="CE58" s="2393">
        <f t="shared" si="17"/>
        <v>0</v>
      </c>
      <c r="CF58" s="2393">
        <f t="shared" si="18"/>
        <v>0</v>
      </c>
      <c r="CG58" s="2394">
        <f t="shared" si="19"/>
        <v>0</v>
      </c>
    </row>
    <row r="59" spans="2:91" ht="29.25" thickBot="1" x14ac:dyDescent="0.45">
      <c r="B59" s="2272" t="s">
        <v>1606</v>
      </c>
      <c r="C59" s="2282">
        <f>IF(('Balances y Proyecciones'!Q17)&lt;&gt;360,'Balances y Proyecciones'!K31+'Balances y Proyecciones'!K30,'Balances y Proyecciones'!K31+'Balances y Proyecciones'!K30)</f>
        <v>390</v>
      </c>
      <c r="D59" s="2494"/>
      <c r="E59" s="2283">
        <f>IF(('Balances y Proyecciones'!Q17)&lt;&gt;360,'Balances y Proyecciones'!Q31+'Balances y Proyecciones'!Q30,'Balances y Proyecciones'!Q31+'Balances y Proyecciones'!Q30)</f>
        <v>390</v>
      </c>
      <c r="F59" s="2264"/>
      <c r="G59" s="2279" t="s">
        <v>1607</v>
      </c>
      <c r="H59" s="2304"/>
      <c r="I59" s="2304"/>
      <c r="J59" s="2495"/>
      <c r="N59" s="3445" t="s">
        <v>933</v>
      </c>
      <c r="O59" s="3446" t="s">
        <v>1728</v>
      </c>
      <c r="P59" s="3447"/>
      <c r="Q59" s="3445" t="s">
        <v>935</v>
      </c>
      <c r="R59" s="3445" t="s">
        <v>1729</v>
      </c>
      <c r="S59" s="2255"/>
      <c r="T59" s="2255"/>
      <c r="U59" s="2255"/>
      <c r="V59" s="2255"/>
      <c r="W59" s="2255"/>
      <c r="X59" s="2255"/>
      <c r="Y59" s="2255"/>
      <c r="Z59" s="2255"/>
      <c r="AA59" s="2255"/>
      <c r="AB59" s="2255"/>
      <c r="AC59" s="2255"/>
      <c r="AD59" s="2255"/>
      <c r="AG59" s="2327"/>
      <c r="AH59" s="2497" t="s">
        <v>1725</v>
      </c>
      <c r="AI59" s="3410"/>
      <c r="AJ59" s="3410"/>
      <c r="AK59" s="3410"/>
      <c r="AL59" s="3440"/>
      <c r="AM59" s="3442"/>
      <c r="AN59" s="2475">
        <v>0.06</v>
      </c>
      <c r="AO59" s="2472"/>
      <c r="AP59" s="2498"/>
      <c r="AQ59" s="2478"/>
      <c r="AR59" s="2478"/>
      <c r="AS59" s="2479"/>
      <c r="AT59" s="2499" t="str">
        <f>IF(AP59&lt;&gt;"",$AP$51,IF(AQ59&lt;&gt;"",$AQ$51,IF(AR59&lt;&gt;"",$AR$51,IF(AS59&lt;&gt;"",$AS$51,"P"))))</f>
        <v>P</v>
      </c>
      <c r="AU59" s="2406" t="e">
        <f t="shared" si="14"/>
        <v>#VALUE!</v>
      </c>
      <c r="AV59" s="156"/>
      <c r="AW59" s="3415" t="e">
        <f>IF(AND($AH$35="Sector Comercio",($BM$59&lt;=0.4)),"1",IF(AND($AH$35="Sector industrial",($BM$59&lt;=0.4)),"1",IF(AND($AH$35="Sector servicios",($BM$59&lt;=0.4)),"1",0)))</f>
        <v>#VALUE!</v>
      </c>
      <c r="AX59" s="3416"/>
      <c r="AY59" s="3417"/>
      <c r="BA59" s="3418" t="e">
        <f>IF(AND($AH$35="Sector Comercio",($BM$59&gt;=0.5),($BM$59&lt;=0.8)),"2",IF(AND($AH$35="Sector industrial",($BM$59&gt;=0.5),($BM$59&lt;=0.8)),"2",IF(AND($AH$35="Sector servicios",($BM$59&gt;=0.5),($BM$59&lt;=0.8)),"2",0)))</f>
        <v>#VALUE!</v>
      </c>
      <c r="BB59" s="3419"/>
      <c r="BC59" s="3420"/>
      <c r="BE59" s="3418" t="e">
        <f>IF(AND($AH$35="Sector Comercio",($BM$59&gt;=0.8),($BM$59&lt;=1)),"3",IF(AND($AH$35="Sector industrial",($BM$59&gt;=0.5),($BM$59&lt;=0.8)),"3",IF(AND($AH$35="Sector servicios",($BM$59&gt;=0.5),($BM$59&lt;=0.8)),"3",0)))</f>
        <v>#VALUE!</v>
      </c>
      <c r="BF59" s="3419"/>
      <c r="BG59" s="3420"/>
      <c r="BI59" s="3418" t="e">
        <f>IF(AND($AH$35="Sector Comercio",($BM$59&gt;=1)),"4",IF(AND($AH$35="Sector industrial",($BM$59&gt;=1)),"4",IF(AND($AH$35="Sector servicios",($BM$59&gt;=1)),"4",0)))</f>
        <v>#VALUE!</v>
      </c>
      <c r="BJ59" s="3419"/>
      <c r="BK59" s="3420"/>
      <c r="BM59" s="3418" t="e">
        <f>AK58*50%+AL58*50%</f>
        <v>#VALUE!</v>
      </c>
      <c r="BN59" s="3419"/>
      <c r="BO59" s="3420"/>
      <c r="BU59" s="2385" t="s">
        <v>1726</v>
      </c>
      <c r="BV59" s="2389">
        <v>3</v>
      </c>
      <c r="BW59" s="2390">
        <v>0.6</v>
      </c>
      <c r="BX59" s="2391">
        <f>'Estados Financieros'!E144</f>
        <v>30</v>
      </c>
      <c r="BY59" s="2391">
        <f>'Estados Financieros'!F144</f>
        <v>30</v>
      </c>
      <c r="BZ59" s="2391">
        <f>'Estados Financieros'!G144</f>
        <v>30</v>
      </c>
      <c r="CA59" s="2391">
        <f>'Estados Financieros'!H144</f>
        <v>30</v>
      </c>
      <c r="CB59" s="2391">
        <f>'Estados Financieros'!I144</f>
        <v>30</v>
      </c>
      <c r="CC59" s="2392">
        <f t="shared" si="15"/>
        <v>18</v>
      </c>
      <c r="CD59" s="2393">
        <f t="shared" si="16"/>
        <v>18</v>
      </c>
      <c r="CE59" s="2393">
        <f t="shared" si="17"/>
        <v>18</v>
      </c>
      <c r="CF59" s="2393">
        <f t="shared" si="18"/>
        <v>18</v>
      </c>
      <c r="CG59" s="2394">
        <f t="shared" si="19"/>
        <v>18</v>
      </c>
      <c r="CH59" s="3443" t="s">
        <v>1727</v>
      </c>
      <c r="CI59" s="3444"/>
      <c r="CJ59" s="3444"/>
      <c r="CK59" s="3444"/>
      <c r="CL59" s="3444"/>
      <c r="CM59" s="3444"/>
    </row>
    <row r="60" spans="2:91" ht="28.5" thickBot="1" x14ac:dyDescent="0.35">
      <c r="B60" s="2272" t="s">
        <v>1609</v>
      </c>
      <c r="C60" s="2282">
        <f>IF(('Balances y Proyecciones'!Q17)&lt;&gt;360,'Balances y Proyecciones'!K32,'Balances y Proyecciones'!K32)</f>
        <v>750</v>
      </c>
      <c r="D60" s="2282"/>
      <c r="E60" s="2283">
        <f>IF(('Balances y Proyecciones'!Q17)&lt;&gt;360,'Balances y Proyecciones'!Q32,'Balances y Proyecciones'!Q32)</f>
        <v>750</v>
      </c>
      <c r="F60" s="2264"/>
      <c r="G60" s="2269"/>
      <c r="H60" s="2270" t="str">
        <f>$C$48</f>
        <v>Jun 20</v>
      </c>
      <c r="I60" s="2270"/>
      <c r="J60" s="2268" t="str">
        <f>$E$48</f>
        <v>Jun 21</v>
      </c>
      <c r="N60" s="3445"/>
      <c r="O60" s="2500" t="s">
        <v>1731</v>
      </c>
      <c r="P60" s="2500" t="s">
        <v>1732</v>
      </c>
      <c r="Q60" s="3445"/>
      <c r="R60" s="3445"/>
      <c r="S60" s="2255"/>
      <c r="T60" s="2255"/>
      <c r="U60" s="2255"/>
      <c r="V60" s="2255"/>
      <c r="W60" s="2255"/>
      <c r="X60" s="2255"/>
      <c r="Y60" s="2255"/>
      <c r="Z60" s="2255"/>
      <c r="AA60" s="2255"/>
      <c r="AB60" s="2255"/>
      <c r="AC60" s="2255"/>
      <c r="AD60" s="2255"/>
      <c r="AG60" s="2327"/>
      <c r="AH60" s="2422" t="s">
        <v>883</v>
      </c>
      <c r="AI60" s="3431">
        <f>IF('Estados Financieros'!$E$382&gt;0,'Balances y Proyecciones'!$F$89," ")</f>
        <v>0.77839335180055402</v>
      </c>
      <c r="AJ60" s="3431">
        <f>IF('Estados Financieros'!$F$382&gt;1,'Balances y Proyecciones'!$I$89," ")</f>
        <v>0.77839335180055402</v>
      </c>
      <c r="AK60" s="3431">
        <f>IF('Estados Financieros'!$G$382&gt;1,'Balances y Proyecciones'!$O$89," ")</f>
        <v>0.77839335180055402</v>
      </c>
      <c r="AL60" s="3433">
        <f>IF('Estados Financieros'!$H$382&gt;1,'Balances y Proyecciones'!$R$89," ")</f>
        <v>0.77839335180055402</v>
      </c>
      <c r="AM60" s="3448">
        <f>IF('Estados Financieros'!$I$382&gt;1,'Balances y Proyecciones'!$L$89," ")</f>
        <v>0.77839335180055402</v>
      </c>
      <c r="AN60" s="2471">
        <f>AO60*$AN$51</f>
        <v>4.5500000000000006E-2</v>
      </c>
      <c r="AO60" s="2472">
        <v>7.0000000000000007E-2</v>
      </c>
      <c r="AP60" s="2473">
        <f>IF($AW$61="1",1," ")</f>
        <v>1</v>
      </c>
      <c r="AQ60" s="2427" t="str">
        <f>IF($BA$61="2",2," ")</f>
        <v xml:space="preserve"> </v>
      </c>
      <c r="AR60" s="2427" t="str">
        <f>IF($BE$61="3",3," ")</f>
        <v xml:space="preserve"> </v>
      </c>
      <c r="AS60" s="2428" t="str">
        <f>IF($BI$61="4",4," ")</f>
        <v xml:space="preserve"> </v>
      </c>
      <c r="AT60" s="2486">
        <f>IF(AP60&lt;&gt;" ",$AP$51,IF(AQ60&lt;&gt;" ",$AQ$51,IF(AR60&lt;&gt;" ",$AR$51,IF(AS60&lt;&gt;" ",$AS$51,"P"))))</f>
        <v>1</v>
      </c>
      <c r="AU60" s="2429">
        <f t="shared" si="14"/>
        <v>4.5500000000000006E-2</v>
      </c>
      <c r="AV60" s="156"/>
      <c r="AW60" s="3394" t="s">
        <v>1684</v>
      </c>
      <c r="AX60" s="3394"/>
      <c r="AY60" s="3394"/>
      <c r="BA60" s="3394" t="s">
        <v>1685</v>
      </c>
      <c r="BB60" s="3394"/>
      <c r="BC60" s="3394"/>
      <c r="BE60" s="3394" t="s">
        <v>1686</v>
      </c>
      <c r="BF60" s="3394"/>
      <c r="BG60" s="3394"/>
      <c r="BI60" s="3394" t="s">
        <v>1687</v>
      </c>
      <c r="BJ60" s="3394"/>
      <c r="BK60" s="3394"/>
      <c r="BM60" s="3394" t="s">
        <v>1265</v>
      </c>
      <c r="BN60" s="3394"/>
      <c r="BO60" s="3394"/>
      <c r="BU60" s="2385" t="s">
        <v>1730</v>
      </c>
      <c r="BV60" s="2389">
        <v>1</v>
      </c>
      <c r="BW60" s="2390">
        <v>0.2</v>
      </c>
      <c r="BX60" s="2391">
        <f>'Estados Financieros'!E152</f>
        <v>30</v>
      </c>
      <c r="BY60" s="2391">
        <f>'Estados Financieros'!F152</f>
        <v>30</v>
      </c>
      <c r="BZ60" s="2391">
        <f>'Estados Financieros'!G152</f>
        <v>30</v>
      </c>
      <c r="CA60" s="2391">
        <f>'Estados Financieros'!H152</f>
        <v>30</v>
      </c>
      <c r="CB60" s="2391">
        <f>'Estados Financieros'!I152</f>
        <v>30</v>
      </c>
      <c r="CC60" s="2392">
        <f t="shared" si="15"/>
        <v>6</v>
      </c>
      <c r="CD60" s="2393">
        <f t="shared" si="16"/>
        <v>6</v>
      </c>
      <c r="CE60" s="2393">
        <f t="shared" si="17"/>
        <v>6</v>
      </c>
      <c r="CF60" s="2393">
        <f t="shared" si="18"/>
        <v>6</v>
      </c>
      <c r="CG60" s="2394">
        <f t="shared" si="19"/>
        <v>6</v>
      </c>
    </row>
    <row r="61" spans="2:91" ht="28.5" thickBot="1" x14ac:dyDescent="0.4">
      <c r="B61" s="2272" t="s">
        <v>1611</v>
      </c>
      <c r="C61" s="2282">
        <f>IF(('Balances y Proyecciones'!Q17)&lt;&gt;360,'Balances y Proyecciones'!K33,'Balances y Proyecciones'!K33)</f>
        <v>90</v>
      </c>
      <c r="D61" s="2282"/>
      <c r="E61" s="2283">
        <f>IF(('Balances y Proyecciones'!Q17)&lt;&gt;360,'Balances y Proyecciones'!Q33,'Balances y Proyecciones'!Q33)</f>
        <v>90</v>
      </c>
      <c r="F61" s="2264"/>
      <c r="G61" s="2307" t="s">
        <v>1612</v>
      </c>
      <c r="H61" s="2264"/>
      <c r="I61" s="2264"/>
      <c r="J61" s="2308"/>
      <c r="N61" s="2506" t="s">
        <v>1728</v>
      </c>
      <c r="O61" s="2506" t="s">
        <v>1728</v>
      </c>
      <c r="P61" s="2506" t="s">
        <v>1728</v>
      </c>
      <c r="Q61" s="2506" t="s">
        <v>1728</v>
      </c>
      <c r="R61" s="2506" t="s">
        <v>1728</v>
      </c>
      <c r="S61" s="2255"/>
      <c r="T61" s="2255"/>
      <c r="U61" s="2255"/>
      <c r="V61" s="2255"/>
      <c r="W61" s="2255"/>
      <c r="X61" s="2255"/>
      <c r="Y61" s="2255"/>
      <c r="Z61" s="2255"/>
      <c r="AA61" s="2255"/>
      <c r="AB61" s="2255"/>
      <c r="AC61" s="2255"/>
      <c r="AD61" s="2255"/>
      <c r="AG61" s="2327"/>
      <c r="AH61" s="2448" t="s">
        <v>1733</v>
      </c>
      <c r="AI61" s="3432"/>
      <c r="AJ61" s="3432"/>
      <c r="AK61" s="3432"/>
      <c r="AL61" s="3434"/>
      <c r="AM61" s="3449"/>
      <c r="AN61" s="2501">
        <f>AO61*$AN$51</f>
        <v>1.95E-2</v>
      </c>
      <c r="AO61" s="2476">
        <v>0.03</v>
      </c>
      <c r="AP61" s="2477"/>
      <c r="AQ61" s="2478"/>
      <c r="AR61" s="2478"/>
      <c r="AS61" s="2479"/>
      <c r="AT61" s="2499" t="str">
        <f>IF(AP61&lt;&gt;"",$AP$51,IF(AQ61&lt;&gt;"",$AQ$51,IF(AR61&lt;&gt;"",$AR$51,IF(AS61&lt;&gt;"",$AS$51,"P"))))</f>
        <v>P</v>
      </c>
      <c r="AU61" s="2406" t="e">
        <f t="shared" si="14"/>
        <v>#VALUE!</v>
      </c>
      <c r="AV61" s="156"/>
      <c r="AW61" s="3415" t="str">
        <f>IF(AND($AH$35="Sector Comercio",($BM$61&gt;=5%)),"1",IF(AND($AH$35="Sector industrial",($BM$61&gt;=10%)),"1",IF(AND($AH$35="Sector servicios",($BM$61&gt;=7%)),"1",0)))</f>
        <v>1</v>
      </c>
      <c r="AX61" s="3416"/>
      <c r="AY61" s="3417"/>
      <c r="BA61" s="3418">
        <f>IF(AND($AH$35="Sector Comercio",($BM$61&gt;=3.5%),($BM$61&lt;=4.9%)),"2",IF(AND($AH$35="Sector industrial",($BM$61&gt;=5%),($BM$61&lt;=10%)),"2",IF(AND($AH$35="Sector servicios",($BM$61&gt;=5%),($BM$61&lt;=7%)),"2",0)))</f>
        <v>0</v>
      </c>
      <c r="BB61" s="3419"/>
      <c r="BC61" s="3420"/>
      <c r="BE61" s="3418">
        <f>IF(AND($AH$35="Sector Comercio",($BM$61&gt;=2%),($BM$61&lt;=3.4%)),"3",IF(AND($AH$35="Sector industrial",($BM$61&gt;=2%),($BM$61&lt;=5%)),"3",IF(AND($AH$35="Sector servicios",($BM$61&gt;=2%),($BM$61&lt;=5%)),"3",0)))</f>
        <v>0</v>
      </c>
      <c r="BF61" s="3419"/>
      <c r="BG61" s="3420"/>
      <c r="BI61" s="3418">
        <f>IF(AND($AH$35="Sector Comercio",($BM$61&lt;=2%)),"4",IF(AND($AH$35="Sector industrial",($BM$61&lt;=2%)),"4",IF(AND($AH$35="Sector servicios",($BM$61&lt;=2%)),"4",0)))</f>
        <v>0</v>
      </c>
      <c r="BJ61" s="3419"/>
      <c r="BK61" s="3420"/>
      <c r="BM61" s="3426">
        <f>AK60*50%+AL60*50%</f>
        <v>0.77839335180055402</v>
      </c>
      <c r="BN61" s="3427"/>
      <c r="BO61" s="3428"/>
      <c r="BU61" s="2385" t="s">
        <v>1681</v>
      </c>
      <c r="BV61" s="2389">
        <v>2</v>
      </c>
      <c r="BW61" s="2390">
        <v>0.4</v>
      </c>
      <c r="BX61" s="2391">
        <f>'Estados Financieros'!E113+'Estados Financieros'!E114</f>
        <v>600</v>
      </c>
      <c r="BY61" s="2391">
        <f>'Estados Financieros'!F113+'Estados Financieros'!F114</f>
        <v>600</v>
      </c>
      <c r="BZ61" s="2391">
        <f>'Estados Financieros'!G113+'Estados Financieros'!G114</f>
        <v>600</v>
      </c>
      <c r="CA61" s="2391">
        <f>'Estados Financieros'!H113+'Estados Financieros'!H114</f>
        <v>600</v>
      </c>
      <c r="CB61" s="2391">
        <f>'Estados Financieros'!I113+'Estados Financieros'!I114</f>
        <v>600</v>
      </c>
      <c r="CC61" s="2392">
        <f t="shared" si="15"/>
        <v>240</v>
      </c>
      <c r="CD61" s="2393">
        <f t="shared" si="16"/>
        <v>240</v>
      </c>
      <c r="CE61" s="2393">
        <f t="shared" si="17"/>
        <v>240</v>
      </c>
      <c r="CF61" s="2393">
        <f t="shared" si="18"/>
        <v>240</v>
      </c>
      <c r="CG61" s="2393">
        <f t="shared" si="19"/>
        <v>240</v>
      </c>
      <c r="CH61" s="2502" t="s">
        <v>1734</v>
      </c>
      <c r="CI61" s="2503">
        <f>$O$11</f>
        <v>2022</v>
      </c>
      <c r="CJ61" s="2504">
        <f>$P$11</f>
        <v>2023</v>
      </c>
      <c r="CK61" s="2505">
        <f>$Q$11</f>
        <v>2024</v>
      </c>
    </row>
    <row r="62" spans="2:91" ht="28.5" thickBot="1" x14ac:dyDescent="0.4">
      <c r="B62" s="2284" t="s">
        <v>1614</v>
      </c>
      <c r="C62" s="2298">
        <f>SUM(C57:C61)</f>
        <v>2100</v>
      </c>
      <c r="D62" s="2298"/>
      <c r="E62" s="2299">
        <f>SUM(E57:E61)</f>
        <v>2100</v>
      </c>
      <c r="F62" s="2264"/>
      <c r="G62" s="2272" t="s">
        <v>880</v>
      </c>
      <c r="H62" s="2309">
        <f>IF(('Balances y Proyecciones'!Q17)&lt;&gt;360,'Balances y Proyecciones'!AV718,'Balances y Proyecciones'!AV718)</f>
        <v>0.77839335180055402</v>
      </c>
      <c r="I62" s="2309"/>
      <c r="J62" s="2310">
        <f>IF(('Balances y Proyecciones'!Q17)&lt;&gt;360,'Balances y Proyecciones'!BB718,'Balances y Proyecciones'!BB718)</f>
        <v>0.77839335180055402</v>
      </c>
      <c r="N62" s="2506"/>
      <c r="O62" s="2513"/>
      <c r="P62" s="2513"/>
      <c r="Q62" s="2514"/>
      <c r="R62" s="2515"/>
      <c r="S62" s="2255"/>
      <c r="T62" s="2255"/>
      <c r="U62" s="2255"/>
      <c r="V62" s="2255"/>
      <c r="W62" s="2255"/>
      <c r="X62" s="2255"/>
      <c r="Y62" s="2255"/>
      <c r="Z62" s="2255"/>
      <c r="AA62" s="2255"/>
      <c r="AB62" s="2255"/>
      <c r="AC62" s="2255"/>
      <c r="AD62" s="2255"/>
      <c r="AG62" s="2327"/>
      <c r="AH62" s="2507" t="s">
        <v>1512</v>
      </c>
      <c r="AI62" s="3456">
        <f>IF('Estados Financieros'!$E$382&gt;0,'Balances y Proyecciones'!$E$19/'Balances y Proyecciones'!$E$71*360," ")</f>
        <v>11.966759002770084</v>
      </c>
      <c r="AJ62" s="3456">
        <f>IF('Estados Financieros'!$F$382&gt;1,'Balances y Proyecciones'!$H$19/'Balances y Proyecciones'!$H$71*360," ")</f>
        <v>11.966759002770084</v>
      </c>
      <c r="AK62" s="3456">
        <f>IF('Estados Financieros'!$G$382&gt;1,'Balances y Proyecciones'!$N$19/'Balances y Proyecciones'!$N$71*360," ")</f>
        <v>11.966759002770084</v>
      </c>
      <c r="AL62" s="3458">
        <f>IF('Estados Financieros'!$H$382&gt;1,'Balances y Proyecciones'!$Q$19/'Balances y Proyecciones'!$Q$71*360," ")</f>
        <v>11.966759002770084</v>
      </c>
      <c r="AM62" s="3460">
        <f>IF('Estados Financieros'!$I$382&gt;1,'Balances y Proyecciones'!K19/'Balances y Proyecciones'!K71*360," ")</f>
        <v>11.966759002770084</v>
      </c>
      <c r="AN62" s="2508">
        <f>AO62*$AN$51</f>
        <v>4.5500000000000006E-2</v>
      </c>
      <c r="AO62" s="2509">
        <v>7.0000000000000007E-2</v>
      </c>
      <c r="AP62" s="2473">
        <f>IF($AW$63="1",1," ")</f>
        <v>1</v>
      </c>
      <c r="AQ62" s="2427" t="str">
        <f>IF($BA$63="2",2," ")</f>
        <v xml:space="preserve"> </v>
      </c>
      <c r="AR62" s="2427" t="str">
        <f>IF($BE$63="3",3," ")</f>
        <v xml:space="preserve"> </v>
      </c>
      <c r="AS62" s="2428" t="str">
        <f>IF($BI$63="4",4," ")</f>
        <v xml:space="preserve"> </v>
      </c>
      <c r="AT62" s="2486">
        <f>IF(AP62&lt;&gt;" ",$AP$51,IF(AQ62&lt;&gt;" ",$AQ$51,IF(AR62&lt;&gt;" ",$AR$51,IF(AS62&lt;&gt;" ",$AS$51,"P"))))</f>
        <v>1</v>
      </c>
      <c r="AU62" s="2362">
        <f t="shared" si="14"/>
        <v>4.5500000000000006E-2</v>
      </c>
      <c r="AV62" s="156"/>
      <c r="AW62" s="3394" t="s">
        <v>1684</v>
      </c>
      <c r="AX62" s="3394"/>
      <c r="AY62" s="3394"/>
      <c r="BA62" s="3394" t="s">
        <v>1685</v>
      </c>
      <c r="BB62" s="3394"/>
      <c r="BC62" s="3394"/>
      <c r="BE62" s="3394" t="s">
        <v>1686</v>
      </c>
      <c r="BF62" s="3394"/>
      <c r="BG62" s="3394"/>
      <c r="BI62" s="3394" t="s">
        <v>1687</v>
      </c>
      <c r="BJ62" s="3394"/>
      <c r="BK62" s="3394"/>
      <c r="BM62" s="3394" t="s">
        <v>1265</v>
      </c>
      <c r="BN62" s="3394"/>
      <c r="BO62" s="3394"/>
      <c r="BU62" s="2385" t="s">
        <v>1735</v>
      </c>
      <c r="BV62" s="2389">
        <v>1</v>
      </c>
      <c r="BW62" s="2390">
        <v>0.2</v>
      </c>
      <c r="BX62" s="2391">
        <f>'Estados Financieros'!E117+'Estados Financieros'!E118</f>
        <v>60</v>
      </c>
      <c r="BY62" s="2391">
        <f>'Estados Financieros'!F117+'Estados Financieros'!F118</f>
        <v>60</v>
      </c>
      <c r="BZ62" s="2391">
        <f>'Estados Financieros'!G117+'Estados Financieros'!G118</f>
        <v>60</v>
      </c>
      <c r="CA62" s="2391">
        <f>'Estados Financieros'!H117+'Estados Financieros'!H118</f>
        <v>60</v>
      </c>
      <c r="CB62" s="2391">
        <f>'Estados Financieros'!I117+'Estados Financieros'!I118</f>
        <v>60</v>
      </c>
      <c r="CC62" s="2392">
        <f t="shared" si="15"/>
        <v>12</v>
      </c>
      <c r="CD62" s="2393">
        <f t="shared" si="16"/>
        <v>12</v>
      </c>
      <c r="CE62" s="2393">
        <f t="shared" si="17"/>
        <v>12</v>
      </c>
      <c r="CF62" s="2393">
        <f t="shared" si="18"/>
        <v>12</v>
      </c>
      <c r="CG62" s="2393">
        <f t="shared" si="19"/>
        <v>12</v>
      </c>
      <c r="CH62" s="2510" t="s">
        <v>852</v>
      </c>
      <c r="CI62" s="2511">
        <f>+$O$14</f>
        <v>2863.2</v>
      </c>
      <c r="CJ62" s="2511">
        <f>+$P$14</f>
        <v>2876.4</v>
      </c>
      <c r="CK62" s="2512">
        <f>$Q$14</f>
        <v>2889.6</v>
      </c>
    </row>
    <row r="63" spans="2:91" ht="28.5" thickBot="1" x14ac:dyDescent="0.4">
      <c r="B63" s="2311" t="s">
        <v>671</v>
      </c>
      <c r="C63" s="2312">
        <f>C56+C62</f>
        <v>3960</v>
      </c>
      <c r="D63" s="2312"/>
      <c r="E63" s="2313">
        <f>E56+E62</f>
        <v>3960</v>
      </c>
      <c r="F63" s="2264"/>
      <c r="G63" s="2272" t="s">
        <v>1616</v>
      </c>
      <c r="H63" s="2309">
        <f>IF(('Balances y Proyecciones'!Q17)&lt;&gt;360,'Balances y Proyecciones'!AV719,'Balances y Proyecciones'!AV719)</f>
        <v>0.78947368421052633</v>
      </c>
      <c r="I63" s="2309"/>
      <c r="J63" s="2310">
        <f>IF(('Balances y Proyecciones'!Q17)&lt;&gt;360,'Balances y Proyecciones'!BB719,'Balances y Proyecciones'!BB719)</f>
        <v>0.78947368421052633</v>
      </c>
      <c r="N63" s="2506"/>
      <c r="O63" s="2513"/>
      <c r="P63" s="2513"/>
      <c r="Q63" s="2514"/>
      <c r="R63" s="2515"/>
      <c r="S63" s="2255"/>
      <c r="T63" s="2255"/>
      <c r="U63" s="2255"/>
      <c r="V63" s="2255"/>
      <c r="W63" s="2255"/>
      <c r="X63" s="2255"/>
      <c r="Y63" s="2255"/>
      <c r="Z63" s="2255"/>
      <c r="AA63" s="2255"/>
      <c r="AB63" s="2255"/>
      <c r="AC63" s="2255"/>
      <c r="AD63" s="2255"/>
      <c r="AG63" s="2327"/>
      <c r="AH63" s="2448" t="s">
        <v>1736</v>
      </c>
      <c r="AI63" s="3457"/>
      <c r="AJ63" s="3457"/>
      <c r="AK63" s="3457"/>
      <c r="AL63" s="3459"/>
      <c r="AM63" s="3461"/>
      <c r="AN63" s="2501">
        <f>AO63*$AN$51</f>
        <v>1.95E-2</v>
      </c>
      <c r="AO63" s="2476">
        <v>0.03</v>
      </c>
      <c r="AP63" s="2477"/>
      <c r="AQ63" s="2478"/>
      <c r="AR63" s="2478"/>
      <c r="AS63" s="2479"/>
      <c r="AT63" s="2499" t="str">
        <f>IF(AP63&lt;&gt;"",$AP$51,IF(AQ63&lt;&gt;"",$AQ$51,IF(AR63&lt;&gt;"",$AR$51,IF(AS63&lt;&gt;"",$AS$51,"P"))))</f>
        <v>P</v>
      </c>
      <c r="AU63" s="2406" t="e">
        <f t="shared" si="14"/>
        <v>#VALUE!</v>
      </c>
      <c r="AV63" s="156"/>
      <c r="AW63" s="3415" t="str">
        <f>IF(AND($AH$35="Sector Comercio",($BM$63&lt;=20)),"1",IF(AND($AH$35="Sector industrial",($BM$63&lt;=20)),"1",IF(AND($AH$35="Sector servicios",($BM$63&lt;=45)),"1",0)))</f>
        <v>1</v>
      </c>
      <c r="AX63" s="3416"/>
      <c r="AY63" s="3417"/>
      <c r="BA63" s="3418">
        <f>IF(AND($AH$35="Sector Comercio",($BM$63&gt;=21),($BM$63&lt;=45)),"2",IF(AND($AH$35="Sector industrial",($BM$63&gt;=21),($BM$63&lt;=45)),"2",IF(AND($AH$35="Sector servicios",($BM$63&gt;=45),($BM$63&lt;=60)),"2",0)))</f>
        <v>0</v>
      </c>
      <c r="BB63" s="3419"/>
      <c r="BC63" s="3420"/>
      <c r="BE63" s="3418">
        <f>IF(AND($AH$35="Sector Comercio",($BM$63&gt;=45),($BM$63&lt;=60)),"3",IF(AND($AH$35="Sector industrial",($BM$63&gt;=45),($BM$63&lt;=60)),"3",IF(AND($AH$35="Sector servicios",($BM$63&gt;=60),($BM$63&lt;=90)),"3",0)))</f>
        <v>0</v>
      </c>
      <c r="BF63" s="3419"/>
      <c r="BG63" s="3420"/>
      <c r="BI63" s="3418">
        <f>IF(AND($AH$35="Sector Comercio",($BM$63&gt;=60)),"4",IF(AND($AH$35="Sector industrial",($BM$63&gt;=60)),"4",IF(AND($AH$35="Sector servicios",($BM$63&gt;=90)),"4",0)))</f>
        <v>0</v>
      </c>
      <c r="BJ63" s="3419"/>
      <c r="BK63" s="3420"/>
      <c r="BM63" s="3418">
        <f>AK62*50%+AL62*50%</f>
        <v>11.966759002770084</v>
      </c>
      <c r="BN63" s="3419"/>
      <c r="BO63" s="3420"/>
      <c r="BU63" s="2385" t="s">
        <v>453</v>
      </c>
      <c r="BV63" s="2389">
        <v>2</v>
      </c>
      <c r="BW63" s="2390">
        <v>0.4</v>
      </c>
      <c r="BX63" s="2391">
        <f>+'Estados Financieros'!E133-'Estados Financieros'!E113-'Estados Financieros'!E114-'Estados Financieros'!E116-'Estados Financieros'!E117-'Estados Financieros'!E118+'Estados Financieros'!E168</f>
        <v>-630</v>
      </c>
      <c r="BY63" s="2391">
        <f>+'Estados Financieros'!F133-'Estados Financieros'!F113-'Estados Financieros'!F114-'Estados Financieros'!F116-'Estados Financieros'!F117-'Estados Financieros'!F118+'Estados Financieros'!F168</f>
        <v>-630</v>
      </c>
      <c r="BZ63" s="2391">
        <f>+'Estados Financieros'!G133-'Estados Financieros'!G113-'Estados Financieros'!G114-'Estados Financieros'!G116-'Estados Financieros'!G117-'Estados Financieros'!G118+'Estados Financieros'!G168</f>
        <v>-630</v>
      </c>
      <c r="CA63" s="2391">
        <f>+'Estados Financieros'!H133-'Estados Financieros'!H113-'Estados Financieros'!H114-'Estados Financieros'!H116-'Estados Financieros'!H117-'Estados Financieros'!H118+'Estados Financieros'!H168</f>
        <v>-630</v>
      </c>
      <c r="CB63" s="2391">
        <f>+'Estados Financieros'!I133-'Estados Financieros'!I113-'Estados Financieros'!I114-'Estados Financieros'!I116-'Estados Financieros'!I117-'Estados Financieros'!I118+'Estados Financieros'!I168</f>
        <v>-630</v>
      </c>
      <c r="CC63" s="2392">
        <f t="shared" si="15"/>
        <v>-252</v>
      </c>
      <c r="CD63" s="2393">
        <f t="shared" si="16"/>
        <v>-252</v>
      </c>
      <c r="CE63" s="2393">
        <f t="shared" si="17"/>
        <v>-252</v>
      </c>
      <c r="CF63" s="2393">
        <f t="shared" si="18"/>
        <v>-252</v>
      </c>
      <c r="CG63" s="2393">
        <f t="shared" si="19"/>
        <v>-252</v>
      </c>
      <c r="CH63" s="2510" t="s">
        <v>1737</v>
      </c>
      <c r="CI63" s="2511">
        <f>ABS($O$18)</f>
        <v>178.20000000000005</v>
      </c>
      <c r="CJ63" s="2511">
        <f>ABS($P$18)</f>
        <v>178.20000000000005</v>
      </c>
      <c r="CK63" s="2511">
        <f>ABS($Q$18)</f>
        <v>178.20000000000005</v>
      </c>
    </row>
    <row r="64" spans="2:91" ht="28.5" thickBot="1" x14ac:dyDescent="0.4">
      <c r="B64" s="2307" t="s">
        <v>678</v>
      </c>
      <c r="C64" s="2314"/>
      <c r="D64" s="2314"/>
      <c r="E64" s="2315"/>
      <c r="F64" s="2264"/>
      <c r="G64" s="2272" t="s">
        <v>883</v>
      </c>
      <c r="H64" s="2309">
        <f>IF(('Balances y Proyecciones'!Q17)&lt;&gt;360,'Balances y Proyecciones'!AV721,'Balances y Proyecciones'!AV721)</f>
        <v>0.77839335180055402</v>
      </c>
      <c r="I64" s="2309"/>
      <c r="J64" s="2310">
        <f>IF(('Balances y Proyecciones'!Q17)&lt;&gt;360,'Balances y Proyecciones'!BB721,'Balances y Proyecciones'!BB721)</f>
        <v>0.77839335180055402</v>
      </c>
      <c r="N64" s="2506"/>
      <c r="O64" s="2513"/>
      <c r="P64" s="2513"/>
      <c r="Q64" s="2514"/>
      <c r="R64" s="2515"/>
      <c r="S64" s="2255"/>
      <c r="T64" s="2255"/>
      <c r="U64" s="2255"/>
      <c r="V64" s="2255"/>
      <c r="W64" s="2255"/>
      <c r="X64" s="2255"/>
      <c r="Y64" s="2255"/>
      <c r="Z64" s="2255"/>
      <c r="AA64" s="2255"/>
      <c r="AB64" s="2255"/>
      <c r="AC64" s="2255"/>
      <c r="AD64" s="2255"/>
      <c r="AG64" s="2327"/>
      <c r="AH64" s="156"/>
      <c r="AI64" s="156"/>
      <c r="AJ64" s="156"/>
      <c r="AK64" s="156"/>
      <c r="AL64" s="156"/>
      <c r="AM64" s="156"/>
      <c r="AN64" s="156"/>
      <c r="AO64" s="2516">
        <f>SUM(AO52:AO63)</f>
        <v>1.0000000000000002</v>
      </c>
      <c r="AP64" s="2457"/>
      <c r="AQ64" s="2457"/>
      <c r="AR64" s="2457"/>
      <c r="AS64" s="2457"/>
      <c r="AT64" s="156"/>
      <c r="AU64" s="2331"/>
      <c r="AV64" s="156"/>
      <c r="BV64" s="2517"/>
      <c r="BW64" s="2518" t="s">
        <v>1706</v>
      </c>
      <c r="BX64" s="2519">
        <f>SUM(BX41:BX47)+SUM(BX52:BX63)</f>
        <v>390</v>
      </c>
      <c r="BY64" s="2519">
        <f>SUM(BY41:BY47)+SUM(BY52:BY63)</f>
        <v>390</v>
      </c>
      <c r="BZ64" s="2519">
        <f>SUM(BZ41:BZ47)+SUM(BZ52:BZ63)</f>
        <v>390</v>
      </c>
      <c r="CA64" s="2519">
        <f>SUM(CA41:CA47)+SUM(CA52:CA63)</f>
        <v>390</v>
      </c>
      <c r="CB64" s="2519">
        <f>SUM(CB41:CB47)+SUM(CB52:CB63)</f>
        <v>390</v>
      </c>
      <c r="CC64" s="2520" t="e">
        <f>SUM(CC41:CC63)</f>
        <v>#VALUE!</v>
      </c>
      <c r="CD64" s="2521">
        <f>SUM(CD41:CD63)</f>
        <v>972</v>
      </c>
      <c r="CE64" s="2521">
        <f>SUM(CE41:CE63)</f>
        <v>972</v>
      </c>
      <c r="CF64" s="2521" t="e">
        <f>SUM(CF41:CF63)</f>
        <v>#VALUE!</v>
      </c>
      <c r="CG64" s="2521" t="e">
        <f>SUM(CG41:CG63)</f>
        <v>#VALUE!</v>
      </c>
      <c r="CH64" s="2510" t="s">
        <v>1602</v>
      </c>
      <c r="CI64" s="2511">
        <f>ABS($O$16)</f>
        <v>7.1054273576010019E-14</v>
      </c>
      <c r="CJ64" s="2511">
        <f>ABS($P$16)</f>
        <v>0</v>
      </c>
      <c r="CK64" s="2512">
        <f>ABS($Q$16)</f>
        <v>0</v>
      </c>
    </row>
    <row r="65" spans="1:89" ht="27.75" customHeight="1" thickBot="1" x14ac:dyDescent="0.4">
      <c r="B65" s="2272" t="s">
        <v>1618</v>
      </c>
      <c r="C65" s="2282">
        <f>IF(('Balances y Proyecciones'!Q17)&lt;&gt;360,'Balances y Proyecciones'!K36+'Balances y Proyecciones'!K37+'Balances y Proyecciones'!K38+'Balances y Proyecciones'!K39,'Balances y Proyecciones'!K36+'Balances y Proyecciones'!K37+'Balances y Proyecciones'!K38+'Balances y Proyecciones'!K39)</f>
        <v>30</v>
      </c>
      <c r="D65" s="2282"/>
      <c r="E65" s="2283">
        <f>IF(('Balances y Proyecciones'!Q17)&lt;&gt;360,'Balances y Proyecciones'!Q36+'Balances y Proyecciones'!Q37+'Balances y Proyecciones'!Q38+'Balances y Proyecciones'!Q39,'Balances y Proyecciones'!Q36+'Balances y Proyecciones'!Q37+'Balances y Proyecciones'!Q38+'Balances y Proyecciones'!Q39)</f>
        <v>30</v>
      </c>
      <c r="F65" s="2264"/>
      <c r="G65" s="2272" t="s">
        <v>1619</v>
      </c>
      <c r="H65" s="2309">
        <f>IF('Balances y Proyecciones'!$Q$17=360,'Balances y Proyecciones'!$AV$757,'Balances y Proyecciones'!$AV$757)</f>
        <v>1.8012820512820513</v>
      </c>
      <c r="I65" s="2522"/>
      <c r="J65" s="2310">
        <f>IF('Balances y Proyecciones'!$Q$17=360,'Balances y Proyecciones'!$BB$757,'Balances y Proyecciones'!$BB$757)</f>
        <v>1.8012820512820513</v>
      </c>
      <c r="N65" s="2506"/>
      <c r="O65" s="2513"/>
      <c r="P65" s="2513"/>
      <c r="Q65" s="2514"/>
      <c r="R65" s="2515"/>
      <c r="S65" s="2255"/>
      <c r="T65" s="2255"/>
      <c r="U65" s="2255"/>
      <c r="V65" s="2255"/>
      <c r="W65" s="2255"/>
      <c r="X65" s="2255"/>
      <c r="Y65" s="2255"/>
      <c r="Z65" s="2255"/>
      <c r="AA65" s="2255"/>
      <c r="AB65" s="2255"/>
      <c r="AC65" s="2255"/>
      <c r="AD65" s="2255"/>
      <c r="AG65" s="2338">
        <v>3</v>
      </c>
      <c r="AH65" s="2339" t="s">
        <v>1738</v>
      </c>
      <c r="AI65" s="2340">
        <f>IF(AND($P$35&gt;=1,$P$35&lt;=1.6),"R1",IF(AND($P$35&gt;1.61,$P$35&lt;=2.2),"R2",IF(AND($P$35&gt;2.31,$P$35&lt;=2.8),"R3",IF(AND($P$35&gt;2.91,$P$35&lt;=3.3),"R4",IF(AND($P$35&gt;3.41,$P$35&lt;=4.1),"R5",0)))))</f>
        <v>0</v>
      </c>
      <c r="AJ65" s="156"/>
      <c r="AK65" s="156"/>
      <c r="AL65" s="156"/>
      <c r="AM65" s="156"/>
      <c r="AN65" s="156"/>
      <c r="AO65" s="156"/>
      <c r="AP65" s="2457"/>
      <c r="AQ65" s="2457"/>
      <c r="AR65" s="2457"/>
      <c r="AS65" s="2457"/>
      <c r="AT65" s="156"/>
      <c r="AU65" s="2331"/>
      <c r="AV65" s="156"/>
      <c r="BU65" s="2381"/>
      <c r="BV65" s="2381"/>
      <c r="BW65" s="2381"/>
      <c r="BX65" s="2381"/>
      <c r="BY65" s="2381"/>
      <c r="BZ65" s="2381"/>
      <c r="CA65" s="2381"/>
      <c r="CB65" s="2381"/>
      <c r="CC65" s="2381"/>
      <c r="CD65" s="2381"/>
      <c r="CE65" s="2381"/>
      <c r="CF65" s="2381"/>
      <c r="CG65" s="2381"/>
      <c r="CH65" s="2523" t="s">
        <v>811</v>
      </c>
      <c r="CI65" s="2511">
        <f>ABS($O$17)</f>
        <v>0</v>
      </c>
      <c r="CJ65" s="2511">
        <f>ABS($P$17)</f>
        <v>0</v>
      </c>
      <c r="CK65" s="2512">
        <f>ABS($Q$17)</f>
        <v>0</v>
      </c>
    </row>
    <row r="66" spans="1:89" ht="27.75" customHeight="1" thickBot="1" x14ac:dyDescent="0.4">
      <c r="B66" s="2272" t="s">
        <v>108</v>
      </c>
      <c r="C66" s="2282">
        <f>IF(('Balances y Proyecciones'!Q17)&lt;&gt;360,'Balances y Proyecciones'!K40,'Balances y Proyecciones'!K40)</f>
        <v>30</v>
      </c>
      <c r="D66" s="2282"/>
      <c r="E66" s="2283">
        <f>IF(('Balances y Proyecciones'!Q17)&lt;&gt;360,'Balances y Proyecciones'!Q40,'Balances y Proyecciones'!Q40)</f>
        <v>30</v>
      </c>
      <c r="F66" s="2264"/>
      <c r="G66" s="2307" t="s">
        <v>1621</v>
      </c>
      <c r="H66" s="2264"/>
      <c r="I66" s="2264"/>
      <c r="J66" s="2308"/>
      <c r="N66" s="2506"/>
      <c r="O66" s="2513"/>
      <c r="P66" s="2513"/>
      <c r="Q66" s="2514"/>
      <c r="R66" s="2515"/>
      <c r="S66" s="2255"/>
      <c r="T66" s="2255"/>
      <c r="U66" s="2255"/>
      <c r="V66" s="2255"/>
      <c r="W66" s="2255"/>
      <c r="X66" s="2255"/>
      <c r="Y66" s="2255"/>
      <c r="Z66" s="2255"/>
      <c r="AA66" s="2255"/>
      <c r="AB66" s="2255"/>
      <c r="AC66" s="2255"/>
      <c r="AD66" s="2255"/>
      <c r="AG66" s="2416"/>
      <c r="AH66" s="2524"/>
      <c r="AI66" s="2525"/>
      <c r="AJ66" s="2526"/>
      <c r="AK66" s="2526"/>
      <c r="AL66" s="2526"/>
      <c r="AM66" s="2526"/>
      <c r="AN66" s="2527">
        <f>SUM(AN67:AN69)</f>
        <v>1</v>
      </c>
      <c r="AO66" s="2528"/>
      <c r="AP66" s="2529">
        <v>1</v>
      </c>
      <c r="AQ66" s="2530">
        <v>2</v>
      </c>
      <c r="AR66" s="2530">
        <v>3</v>
      </c>
      <c r="AS66" s="2531">
        <v>4</v>
      </c>
      <c r="AT66" s="2532" t="s">
        <v>1654</v>
      </c>
      <c r="AU66" s="2347" t="e">
        <f>SUM(AU67:AU69)</f>
        <v>#VALUE!</v>
      </c>
      <c r="AV66" s="156"/>
      <c r="BU66" s="2439" t="s">
        <v>1614</v>
      </c>
      <c r="BX66" s="2442">
        <f>'Estados Financieros'!E175</f>
        <v>0</v>
      </c>
      <c r="BY66" s="2442">
        <f>'Estados Financieros'!F175</f>
        <v>0</v>
      </c>
      <c r="BZ66" s="2442">
        <f>'Estados Financieros'!G175</f>
        <v>0</v>
      </c>
      <c r="CA66" s="2442">
        <f>'Estados Financieros'!H175</f>
        <v>0</v>
      </c>
      <c r="CB66" s="2442">
        <f>'Estados Financieros'!I175</f>
        <v>0</v>
      </c>
      <c r="CH66" s="2533" t="s">
        <v>1739</v>
      </c>
      <c r="CI66" s="2534">
        <f>CI62-CI63-CI64-CI65</f>
        <v>2685</v>
      </c>
      <c r="CJ66" s="2534">
        <f>CJ62-CJ63-CJ64-CJ65</f>
        <v>2698.2</v>
      </c>
      <c r="CK66" s="2535">
        <f>CK62-CK63-CK64-CK65</f>
        <v>2711.3999999999996</v>
      </c>
    </row>
    <row r="67" spans="1:89" ht="27" x14ac:dyDescent="0.3">
      <c r="B67" s="2272" t="s">
        <v>1623</v>
      </c>
      <c r="C67" s="2282">
        <f>IF(('Balances y Proyecciones'!Q17)&lt;&gt;360,'Balances y Proyecciones'!K44,'Balances y Proyecciones'!K44)</f>
        <v>120</v>
      </c>
      <c r="D67" s="2282"/>
      <c r="E67" s="2283">
        <f>IF(('Balances y Proyecciones'!Q17)&lt;&gt;360,'Balances y Proyecciones'!Q44,'Balances y Proyecciones'!Q44)</f>
        <v>120</v>
      </c>
      <c r="F67" s="2264"/>
      <c r="G67" s="2294" t="s">
        <v>1624</v>
      </c>
      <c r="H67" s="2309" t="s">
        <v>1740</v>
      </c>
      <c r="I67" s="2309"/>
      <c r="J67" s="2310">
        <f>J49/H49-1</f>
        <v>0</v>
      </c>
      <c r="N67" s="2506"/>
      <c r="O67" s="2513"/>
      <c r="P67" s="2513"/>
      <c r="Q67" s="2514"/>
      <c r="R67" s="2515"/>
      <c r="S67" s="2255"/>
      <c r="T67" s="2255"/>
      <c r="U67" s="2255"/>
      <c r="V67" s="2255"/>
      <c r="W67" s="2255"/>
      <c r="X67" s="2255"/>
      <c r="Y67" s="2255"/>
      <c r="Z67" s="2255"/>
      <c r="AA67" s="2255"/>
      <c r="AB67" s="2255"/>
      <c r="AC67" s="2255"/>
      <c r="AD67" s="2255"/>
      <c r="AG67" s="2327"/>
      <c r="AH67" s="2536" t="s">
        <v>1741</v>
      </c>
      <c r="AI67" s="2537"/>
      <c r="AJ67" s="3470"/>
      <c r="AK67" s="3470"/>
      <c r="AL67" s="3470"/>
      <c r="AM67" s="3470"/>
      <c r="AN67" s="2538">
        <v>0.4</v>
      </c>
      <c r="AO67" s="2437"/>
      <c r="AP67" s="2539"/>
      <c r="AQ67" s="2540"/>
      <c r="AR67" s="2540"/>
      <c r="AS67" s="2541"/>
      <c r="AT67" s="2542" t="str">
        <f>IF(AP67&lt;&gt;"",$AP$66,IF(AQ67&lt;&gt;"",$AQ$66,IF(AR67&lt;&gt;"",$AR$66,IF(AS67&lt;&gt;"",$AS$66,"P"))))</f>
        <v>P</v>
      </c>
      <c r="AU67" s="2543" t="e">
        <f>AT67*AN67</f>
        <v>#VALUE!</v>
      </c>
      <c r="AV67" s="156"/>
      <c r="BU67" s="2439" t="s">
        <v>1701</v>
      </c>
      <c r="BX67" s="2442">
        <f>SUM(BX52:BX63)</f>
        <v>150</v>
      </c>
      <c r="BY67" s="2442">
        <f>SUM(BY52:BY63)</f>
        <v>150</v>
      </c>
      <c r="BZ67" s="2442">
        <f>SUM(BZ52:BZ63)</f>
        <v>150</v>
      </c>
      <c r="CA67" s="2442">
        <f>SUM(CA52:CA63)</f>
        <v>150</v>
      </c>
      <c r="CB67" s="2442">
        <f>SUM(CB52:CB63)</f>
        <v>150</v>
      </c>
      <c r="CH67" s="2544" t="s">
        <v>1742</v>
      </c>
      <c r="CI67" s="2545">
        <f>O20</f>
        <v>2685</v>
      </c>
      <c r="CJ67" s="2545">
        <f>P20</f>
        <v>2698.2</v>
      </c>
      <c r="CK67" s="2545">
        <f>Q20</f>
        <v>2711.3999999999996</v>
      </c>
    </row>
    <row r="68" spans="1:89" ht="27" x14ac:dyDescent="0.3">
      <c r="B68" s="2272" t="s">
        <v>1626</v>
      </c>
      <c r="C68" s="2282">
        <f>IF(('Balances y Proyecciones'!Q17)&lt;&gt;360,'Balances y Proyecciones'!K41+'Balances y Proyecciones'!K42+'Balances y Proyecciones'!K43+'Balances y Proyecciones'!K45+'Balances y Proyecciones'!K46+'Balances y Proyecciones'!K47,'Balances y Proyecciones'!K41+'Balances y Proyecciones'!K42+'Balances y Proyecciones'!K43+'Balances y Proyecciones'!K45+'Balances y Proyecciones'!K46+'Balances y Proyecciones'!K47)</f>
        <v>300</v>
      </c>
      <c r="D68" s="2282"/>
      <c r="E68" s="2283">
        <f>IF(('Balances y Proyecciones'!Q17)&lt;&gt;360,'Balances y Proyecciones'!Q41+'Balances y Proyecciones'!Q42+'Balances y Proyecciones'!Q43+'Balances y Proyecciones'!Q45+'Balances y Proyecciones'!Q46+'Balances y Proyecciones'!Q47,'Balances y Proyecciones'!Q41+'Balances y Proyecciones'!Q42+'Balances y Proyecciones'!Q43+'Balances y Proyecciones'!Q45+'Balances y Proyecciones'!Q46+'Balances y Proyecciones'!Q47)</f>
        <v>300</v>
      </c>
      <c r="F68" s="2264"/>
      <c r="G68" s="2272" t="s">
        <v>1627</v>
      </c>
      <c r="H68" s="2316">
        <f>IF(('Balances y Proyecciones'!Q17)&lt;&gt;360,'Balances y Proyecciones'!AV725,'Balances y Proyecciones'!AV725)</f>
        <v>4.4875346260387809</v>
      </c>
      <c r="I68" s="2316"/>
      <c r="J68" s="2317">
        <f>IF(('Balances y Proyecciones'!Q17)&lt;&gt;360,'Balances y Proyecciones'!BB725,'Balances y Proyecciones'!BB725)</f>
        <v>4.4875346260387809</v>
      </c>
      <c r="N68" s="2506"/>
      <c r="O68" s="2513"/>
      <c r="P68" s="2513"/>
      <c r="Q68" s="2514"/>
      <c r="R68" s="2515"/>
      <c r="S68" s="2255"/>
      <c r="T68" s="2255"/>
      <c r="U68" s="2255"/>
      <c r="V68" s="2255"/>
      <c r="W68" s="2255"/>
      <c r="X68" s="2255"/>
      <c r="Y68" s="2255"/>
      <c r="Z68" s="2255"/>
      <c r="AA68" s="2255"/>
      <c r="AB68" s="2255"/>
      <c r="AC68" s="2255"/>
      <c r="AD68" s="2255"/>
      <c r="AG68" s="2327"/>
      <c r="AH68" s="2546" t="s">
        <v>1743</v>
      </c>
      <c r="AI68" s="2537"/>
      <c r="AJ68" s="3470"/>
      <c r="AK68" s="3470"/>
      <c r="AL68" s="3470"/>
      <c r="AM68" s="3470"/>
      <c r="AN68" s="2547">
        <v>0.2</v>
      </c>
      <c r="AO68" s="2437"/>
      <c r="AP68" s="2548"/>
      <c r="AQ68" s="2549"/>
      <c r="AR68" s="2549"/>
      <c r="AS68" s="2550"/>
      <c r="AT68" s="2542" t="str">
        <f>IF(AP68&lt;&gt;"",$AP$66,IF(AQ68&lt;&gt;"",$AQ$66,IF(AR68&lt;&gt;"",$AR$66,IF(AS68&lt;&gt;"",$AS$66,"P"))))</f>
        <v>P</v>
      </c>
      <c r="AU68" s="2438" t="e">
        <f>AT68*AN68</f>
        <v>#VALUE!</v>
      </c>
      <c r="AV68" s="156"/>
      <c r="BU68" s="2439" t="s">
        <v>1703</v>
      </c>
      <c r="BX68" s="2442">
        <f>+BX66-BX67</f>
        <v>-150</v>
      </c>
      <c r="BY68" s="2442">
        <f>+BY66-BY67</f>
        <v>-150</v>
      </c>
      <c r="BZ68" s="2442">
        <f>+BZ66-BZ67</f>
        <v>-150</v>
      </c>
      <c r="CA68" s="2442">
        <f>+CA66-CA67</f>
        <v>-150</v>
      </c>
      <c r="CB68" s="2442">
        <f>+CB66-CB67</f>
        <v>-150</v>
      </c>
    </row>
    <row r="69" spans="1:89" ht="28.5" thickBot="1" x14ac:dyDescent="0.35">
      <c r="B69" s="2284" t="s">
        <v>1630</v>
      </c>
      <c r="C69" s="2298">
        <f>SUM(C65:C68)</f>
        <v>480</v>
      </c>
      <c r="D69" s="2298"/>
      <c r="E69" s="2299">
        <f>SUM(E65:E68)</f>
        <v>480</v>
      </c>
      <c r="F69" s="2264"/>
      <c r="G69" s="2272" t="s">
        <v>1631</v>
      </c>
      <c r="H69" s="2316">
        <f>IF(('Balances y Proyecciones'!Q17)&lt;&gt;360,'Balances y Proyecciones'!AV727,'Balances y Proyecciones'!AV727)</f>
        <v>140.4</v>
      </c>
      <c r="I69" s="2316"/>
      <c r="J69" s="2317">
        <f>IF(('Balances y Proyecciones'!Q17)&lt;&gt;360,'Balances y Proyecciones'!BB727,'Balances y Proyecciones'!BB727)</f>
        <v>140.4</v>
      </c>
      <c r="N69" s="2506"/>
      <c r="O69" s="2513"/>
      <c r="P69" s="2513"/>
      <c r="Q69" s="2514"/>
      <c r="R69" s="2515"/>
      <c r="S69" s="2255"/>
      <c r="T69" s="2255"/>
      <c r="U69" s="2255"/>
      <c r="V69" s="2255"/>
      <c r="W69" s="2255"/>
      <c r="X69" s="2255"/>
      <c r="Y69" s="2255"/>
      <c r="Z69" s="2255"/>
      <c r="AA69" s="2255"/>
      <c r="AB69" s="2255"/>
      <c r="AC69" s="2255"/>
      <c r="AD69" s="2255"/>
      <c r="AG69" s="2327"/>
      <c r="AH69" s="2551" t="s">
        <v>1744</v>
      </c>
      <c r="AI69" s="2552"/>
      <c r="AJ69" s="3471" t="s">
        <v>2158</v>
      </c>
      <c r="AK69" s="3471"/>
      <c r="AL69" s="3471"/>
      <c r="AM69" s="3471"/>
      <c r="AN69" s="2553">
        <v>0.4</v>
      </c>
      <c r="AO69" s="2451"/>
      <c r="AP69" s="2554"/>
      <c r="AQ69" s="2555"/>
      <c r="AR69" s="2555"/>
      <c r="AS69" s="2454"/>
      <c r="AT69" s="2542" t="str">
        <f>IF(AP69&lt;&gt;"",$AP$66,IF(AQ69&lt;&gt;"",$AQ$66,IF(AR69&lt;&gt;"",$AR$66,IF(AS69&lt;&gt;"",$AS$66,"P"))))</f>
        <v>P</v>
      </c>
      <c r="AU69" s="2455" t="e">
        <f>AT69*AN69</f>
        <v>#VALUE!</v>
      </c>
      <c r="AV69" s="156"/>
      <c r="AW69" s="2556"/>
      <c r="AX69" s="2556"/>
      <c r="AY69" s="2556"/>
      <c r="AZ69" s="2556"/>
      <c r="BA69" s="2556"/>
      <c r="BB69" s="2556"/>
      <c r="BC69" s="2556"/>
      <c r="BD69" s="2556"/>
      <c r="BE69" s="2556"/>
      <c r="BF69" s="2556"/>
      <c r="BG69" s="2556"/>
      <c r="BH69" s="2556"/>
      <c r="BI69" s="2556"/>
      <c r="BJ69" s="2556"/>
      <c r="BK69" s="2556"/>
      <c r="BL69" s="2556"/>
      <c r="BM69" s="2556"/>
      <c r="BN69" s="2556"/>
      <c r="BO69" s="2556"/>
      <c r="CH69" s="2502" t="s">
        <v>1745</v>
      </c>
      <c r="CI69" s="2557"/>
      <c r="CJ69" s="2557"/>
      <c r="CK69" s="2558"/>
    </row>
    <row r="70" spans="1:89" ht="27.75" customHeight="1" thickBot="1" x14ac:dyDescent="0.4">
      <c r="B70" s="2272" t="s">
        <v>1632</v>
      </c>
      <c r="C70" s="2282">
        <f>IF(('Balances y Proyecciones'!Q17)&lt;&gt;360,'Balances y Proyecciones'!K49+'Balances y Proyecciones'!K50+'Balances y Proyecciones'!K51,'Balances y Proyecciones'!K49+'Balances y Proyecciones'!K50+'Balances y Proyecciones'!K51)</f>
        <v>20</v>
      </c>
      <c r="D70" s="2282"/>
      <c r="E70" s="2283">
        <f>IF(('Balances y Proyecciones'!Q17)&lt;&gt;360,'Balances y Proyecciones'!Q49+'Balances y Proyecciones'!Q50+'Balances y Proyecciones'!Q51,'Balances y Proyecciones'!Q49+'Balances y Proyecciones'!Q50+'Balances y Proyecciones'!Q51)</f>
        <v>20</v>
      </c>
      <c r="F70" s="2264"/>
      <c r="G70" s="2272" t="s">
        <v>1633</v>
      </c>
      <c r="H70" s="2316">
        <f>H68+H69</f>
        <v>144.88753462603879</v>
      </c>
      <c r="I70" s="2316"/>
      <c r="J70" s="2317">
        <f>J68+J69</f>
        <v>144.88753462603879</v>
      </c>
      <c r="N70" s="2506"/>
      <c r="O70" s="2513"/>
      <c r="P70" s="2513"/>
      <c r="Q70" s="2514"/>
      <c r="R70" s="2515"/>
      <c r="S70" s="2255"/>
      <c r="Z70" s="2255"/>
      <c r="AA70" s="2255"/>
      <c r="AB70" s="2255"/>
      <c r="AC70" s="2255"/>
      <c r="AD70" s="2255"/>
      <c r="AG70" s="2327"/>
      <c r="AH70" s="156"/>
      <c r="AI70" s="156"/>
      <c r="AJ70" s="156"/>
      <c r="AK70" s="156"/>
      <c r="AL70" s="156"/>
      <c r="AM70" s="2559"/>
      <c r="AN70" s="156"/>
      <c r="AO70" s="156"/>
      <c r="AP70" s="2457"/>
      <c r="AQ70" s="2457"/>
      <c r="AR70" s="2457"/>
      <c r="AS70" s="2457"/>
      <c r="AT70" s="156"/>
      <c r="AU70" s="2331"/>
      <c r="AV70" s="156"/>
      <c r="AW70" s="2556"/>
      <c r="AX70" s="2556"/>
      <c r="AY70" s="2556"/>
      <c r="AZ70" s="2556"/>
      <c r="BA70" s="2556"/>
      <c r="BB70" s="2556"/>
      <c r="BC70" s="2556"/>
      <c r="BD70" s="2556"/>
      <c r="BE70" s="2556"/>
      <c r="BF70" s="2556"/>
      <c r="BG70" s="2556"/>
      <c r="BH70" s="2556"/>
      <c r="BI70" s="2556"/>
      <c r="BJ70" s="2556"/>
      <c r="BK70" s="2556"/>
      <c r="BL70" s="2556"/>
      <c r="BM70" s="2556"/>
      <c r="BN70" s="2556"/>
      <c r="BO70" s="2556"/>
      <c r="CH70" s="2560" t="s">
        <v>1746</v>
      </c>
      <c r="CI70" s="2511">
        <f>ABS($O$24+$O$25)</f>
        <v>17.600000000000001</v>
      </c>
      <c r="CJ70" s="2511">
        <f>ABS($P$24+$P$25)</f>
        <v>7.2000000000000011</v>
      </c>
      <c r="CK70" s="2512">
        <f>ABS($Q$24+$Q$25)</f>
        <v>3.2000000000000006</v>
      </c>
    </row>
    <row r="71" spans="1:89" ht="27.75" customHeight="1" thickBot="1" x14ac:dyDescent="0.4">
      <c r="B71" s="2272" t="s">
        <v>1634</v>
      </c>
      <c r="C71" s="2282">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f>
        <v>430</v>
      </c>
      <c r="D71" s="2282"/>
      <c r="E71" s="2283">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f>
        <v>430</v>
      </c>
      <c r="F71" s="2264"/>
      <c r="G71" s="2272" t="s">
        <v>1635</v>
      </c>
      <c r="H71" s="2316">
        <f>IF(('Balances y Proyecciones'!Q17)&lt;&gt;360,'Balances y Proyecciones'!AV730,'Balances y Proyecciones'!AV730)</f>
        <v>10.8</v>
      </c>
      <c r="I71" s="2316"/>
      <c r="J71" s="2317">
        <f>IF(('Balances y Proyecciones'!Q17)&lt;&gt;360,'Balances y Proyecciones'!BB730,'Balances y Proyecciones'!BB730)</f>
        <v>10.8</v>
      </c>
      <c r="N71" s="2506"/>
      <c r="O71" s="2513"/>
      <c r="P71" s="2513"/>
      <c r="Q71" s="2514"/>
      <c r="R71" s="2515"/>
      <c r="S71" s="2255"/>
      <c r="T71" s="2255"/>
      <c r="U71" s="2255"/>
      <c r="V71" s="2255"/>
      <c r="W71" s="2255"/>
      <c r="X71" s="2255"/>
      <c r="Y71" s="2255"/>
      <c r="Z71" s="2255"/>
      <c r="AA71" s="2255"/>
      <c r="AB71" s="2255"/>
      <c r="AC71" s="2255"/>
      <c r="AD71" s="2255"/>
      <c r="AG71" s="2561"/>
      <c r="AH71" s="2562" t="s">
        <v>2159</v>
      </c>
      <c r="AI71" s="2562"/>
      <c r="AJ71" s="2562"/>
      <c r="AK71" s="2562"/>
      <c r="AL71" s="2562"/>
      <c r="AM71" s="2562"/>
      <c r="AN71" s="2562"/>
      <c r="AO71" s="2562"/>
      <c r="AP71" s="2563"/>
      <c r="AQ71" s="2563"/>
      <c r="AR71" s="3450" t="s">
        <v>229</v>
      </c>
      <c r="AS71" s="3451"/>
      <c r="AT71" s="3452"/>
      <c r="AU71" s="2564" t="e">
        <f>(AU37*45%)+(AU45*45%)+(AU66*10%)</f>
        <v>#VALUE!</v>
      </c>
      <c r="AV71" s="156"/>
      <c r="AW71" s="2556"/>
      <c r="AX71" s="2556"/>
      <c r="AY71" s="2556"/>
      <c r="AZ71" s="2556"/>
      <c r="BA71" s="2556"/>
      <c r="BB71" s="2556"/>
      <c r="BC71" s="2556"/>
      <c r="BD71" s="2556"/>
      <c r="BE71" s="2556"/>
      <c r="BF71" s="2556"/>
      <c r="BG71" s="2556"/>
      <c r="BH71" s="2556"/>
      <c r="BI71" s="2556"/>
      <c r="BJ71" s="2556"/>
      <c r="BK71" s="2556"/>
      <c r="BL71" s="2556"/>
      <c r="BM71" s="2556"/>
      <c r="BN71" s="2556"/>
      <c r="BO71" s="2556"/>
      <c r="CH71" s="2560" t="s">
        <v>1747</v>
      </c>
      <c r="CI71" s="2511">
        <f>'Balances y Proyecciones'!$CC$889</f>
        <v>0</v>
      </c>
      <c r="CJ71" s="2511">
        <f>'Balances y Proyecciones'!$CF$889</f>
        <v>0</v>
      </c>
      <c r="CK71" s="2512">
        <f>'Balances y Proyecciones'!$CI$889</f>
        <v>0</v>
      </c>
    </row>
    <row r="72" spans="1:89" ht="27.75" customHeight="1" x14ac:dyDescent="0.35">
      <c r="B72" s="2284" t="s">
        <v>1638</v>
      </c>
      <c r="C72" s="2298">
        <f>SUM(C70:C71)</f>
        <v>450</v>
      </c>
      <c r="D72" s="2298"/>
      <c r="E72" s="2299">
        <f>SUM(E70:E71)</f>
        <v>450</v>
      </c>
      <c r="F72" s="2264"/>
      <c r="G72" s="2272" t="s">
        <v>1639</v>
      </c>
      <c r="H72" s="2316">
        <f>H70-H71</f>
        <v>134.08753462603877</v>
      </c>
      <c r="I72" s="2316"/>
      <c r="J72" s="2317">
        <f>J70-J71</f>
        <v>134.08753462603877</v>
      </c>
      <c r="N72" s="2506"/>
      <c r="O72" s="2513"/>
      <c r="P72" s="2513"/>
      <c r="Q72" s="2514"/>
      <c r="R72" s="2515"/>
      <c r="S72" s="2255"/>
      <c r="T72" s="2255"/>
      <c r="U72" s="2255"/>
      <c r="V72" s="2255"/>
      <c r="W72" s="2255"/>
      <c r="X72" s="2255"/>
      <c r="Y72" s="2255"/>
      <c r="Z72" s="2255"/>
      <c r="AA72" s="2255"/>
      <c r="AB72" s="2255"/>
      <c r="AC72" s="2255"/>
      <c r="AD72" s="2255"/>
      <c r="AG72" s="156"/>
      <c r="AH72" s="156" t="s">
        <v>2160</v>
      </c>
      <c r="AI72" s="156"/>
      <c r="AJ72" s="156"/>
      <c r="AK72" s="156"/>
      <c r="AL72" s="156"/>
      <c r="AM72" s="156"/>
      <c r="AN72" s="156"/>
      <c r="AO72" s="156"/>
      <c r="AP72" s="2457"/>
      <c r="AQ72" s="2457"/>
      <c r="AR72" s="2457"/>
      <c r="AS72" s="2457"/>
      <c r="AT72" s="156"/>
      <c r="AU72" s="156"/>
      <c r="AV72" s="156"/>
      <c r="AW72" s="2556"/>
      <c r="AX72" s="2556"/>
      <c r="AY72" s="2556"/>
      <c r="AZ72" s="2556"/>
      <c r="BA72" s="2556"/>
      <c r="BB72" s="2556"/>
      <c r="BC72" s="2556"/>
      <c r="BD72" s="2556"/>
      <c r="BE72" s="2556"/>
      <c r="BF72" s="2556"/>
      <c r="BG72" s="2556"/>
      <c r="BH72" s="2556"/>
      <c r="BI72" s="2556"/>
      <c r="BJ72" s="2556"/>
      <c r="BK72" s="2556"/>
      <c r="BL72" s="2556"/>
      <c r="BM72" s="2556"/>
      <c r="BN72" s="2556"/>
      <c r="BO72" s="2556"/>
      <c r="CH72" s="2560" t="s">
        <v>1748</v>
      </c>
      <c r="CI72" s="2511">
        <f>'Balances y Proyecciones'!$CC$890</f>
        <v>40</v>
      </c>
      <c r="CJ72" s="2511">
        <f>'Balances y Proyecciones'!$CF$890</f>
        <v>40</v>
      </c>
      <c r="CK72" s="2512">
        <f>'Balances y Proyecciones'!$CI$890</f>
        <v>40</v>
      </c>
    </row>
    <row r="73" spans="1:89" s="2556" customFormat="1" ht="27.75" customHeight="1" x14ac:dyDescent="0.25">
      <c r="A73" s="2255"/>
      <c r="B73" s="2311" t="s">
        <v>763</v>
      </c>
      <c r="C73" s="2312">
        <f>C69+C72</f>
        <v>930</v>
      </c>
      <c r="D73" s="2312"/>
      <c r="E73" s="2313">
        <f>E69+E72</f>
        <v>930</v>
      </c>
      <c r="F73" s="2264"/>
      <c r="G73" s="2307" t="s">
        <v>1641</v>
      </c>
      <c r="H73" s="2264"/>
      <c r="I73" s="2264"/>
      <c r="J73" s="2308"/>
      <c r="K73" s="2255"/>
      <c r="L73" s="2255"/>
      <c r="M73" s="2255"/>
      <c r="N73" s="2506"/>
      <c r="O73" s="2513"/>
      <c r="P73" s="2513"/>
      <c r="Q73" s="2514"/>
      <c r="R73" s="2515"/>
      <c r="S73" s="2255"/>
      <c r="T73" s="2255"/>
      <c r="U73" s="2255"/>
      <c r="V73" s="2255"/>
      <c r="W73" s="2255"/>
      <c r="X73" s="2255"/>
      <c r="Y73" s="2255"/>
      <c r="Z73" s="2255"/>
      <c r="AA73" s="2255"/>
      <c r="AB73" s="2255"/>
      <c r="AC73" s="2255"/>
      <c r="AD73" s="2255"/>
      <c r="AE73" s="2255"/>
      <c r="AF73" s="2322"/>
      <c r="AG73" s="2322">
        <v>4</v>
      </c>
      <c r="AH73" s="2556" t="s">
        <v>935</v>
      </c>
      <c r="AN73" s="2556">
        <f>SUM(AN74:AN75)</f>
        <v>1</v>
      </c>
      <c r="AP73" s="2556">
        <v>1</v>
      </c>
      <c r="AQ73" s="2556">
        <v>2</v>
      </c>
      <c r="AR73" s="2556">
        <v>3</v>
      </c>
      <c r="AS73" s="2556">
        <v>4</v>
      </c>
      <c r="AT73" s="2556" t="s">
        <v>1654</v>
      </c>
      <c r="AU73" s="2556">
        <f>SUM(AU74:AU75)+1</f>
        <v>1</v>
      </c>
      <c r="CH73" s="2556" t="s">
        <v>1681</v>
      </c>
      <c r="CI73" s="2556">
        <f>'Balances y Proyecciones'!$T$19</f>
        <v>120</v>
      </c>
      <c r="CJ73" s="2556">
        <f>'Balances y Proyecciones'!$U$19</f>
        <v>120</v>
      </c>
      <c r="CK73" s="2556">
        <f>'Balances y Proyecciones'!$V$19</f>
        <v>120</v>
      </c>
    </row>
    <row r="74" spans="1:89" s="2556" customFormat="1" ht="27.75" customHeight="1" x14ac:dyDescent="0.25">
      <c r="A74" s="2255"/>
      <c r="B74" s="2307" t="s">
        <v>764</v>
      </c>
      <c r="C74" s="2282"/>
      <c r="D74" s="2282"/>
      <c r="E74" s="2283"/>
      <c r="F74" s="2264"/>
      <c r="G74" s="2272" t="s">
        <v>1642</v>
      </c>
      <c r="H74" s="2309">
        <f>IF(('Balances y Proyecciones'!Q17)&lt;&gt;360,'Balances y Proyecciones'!AV751,'Balances y Proyecciones'!AV751)</f>
        <v>0.24031007751937986</v>
      </c>
      <c r="I74" s="2309"/>
      <c r="J74" s="2310">
        <f>IF(('Balances y Proyecciones'!Q17)&lt;&gt;360,'Balances y Proyecciones'!BB751,'Balances y Proyecciones'!BB751)</f>
        <v>0.24031007751937986</v>
      </c>
      <c r="K74" s="2255"/>
      <c r="L74" s="2255"/>
      <c r="M74" s="2255"/>
      <c r="N74" s="2506"/>
      <c r="O74" s="2513"/>
      <c r="P74" s="2513"/>
      <c r="Q74" s="2514"/>
      <c r="R74" s="2515"/>
      <c r="S74" s="2255"/>
      <c r="T74" s="2255"/>
      <c r="U74" s="2255"/>
      <c r="V74" s="2255"/>
      <c r="W74" s="2255"/>
      <c r="X74" s="2255"/>
      <c r="Y74" s="2255"/>
      <c r="Z74" s="2255"/>
      <c r="AA74" s="2255"/>
      <c r="AB74" s="2255"/>
      <c r="AC74" s="2255"/>
      <c r="AD74" s="2255"/>
      <c r="AE74" s="2255"/>
      <c r="AF74" s="2322"/>
      <c r="AG74" s="2322"/>
      <c r="AN74" s="2556">
        <v>0.5</v>
      </c>
      <c r="AP74" s="2556" t="s">
        <v>1749</v>
      </c>
      <c r="AT74" s="2556">
        <f>IF(AP74&lt;&gt;"",$K$6,IF(AQ74&lt;&gt;"",$L$6,IF(AR74&lt;&gt;"",$M$6,IF(AS74&lt;&gt;"",$N$6,"P"))))</f>
        <v>0</v>
      </c>
      <c r="AU74" s="2556">
        <f>AT74*AN74</f>
        <v>0</v>
      </c>
      <c r="CH74" s="2556" t="s">
        <v>528</v>
      </c>
      <c r="CI74" s="2556">
        <f>'Balances y Proyecciones'!$T$21</f>
        <v>360.00000000000006</v>
      </c>
      <c r="CJ74" s="2556">
        <f>'Balances y Proyecciones'!$U$21</f>
        <v>360.00000000000006</v>
      </c>
      <c r="CK74" s="2556">
        <f>'Balances y Proyecciones'!$V$21</f>
        <v>360.00000000000006</v>
      </c>
    </row>
    <row r="75" spans="1:89" s="2556" customFormat="1" ht="27.75" customHeight="1" x14ac:dyDescent="0.25">
      <c r="A75" s="2255"/>
      <c r="B75" s="2272" t="s">
        <v>1645</v>
      </c>
      <c r="C75" s="2282">
        <f>IF(('Balances y Proyecciones'!Q17)&lt;&gt;360,'Balances y Proyecciones'!K60,'Balances y Proyecciones'!K60)</f>
        <v>70</v>
      </c>
      <c r="D75" s="2282"/>
      <c r="E75" s="2283">
        <f>IF(('Balances y Proyecciones'!Q17)&lt;&gt;360,'Balances y Proyecciones'!Q60,'Balances y Proyecciones'!Q60)</f>
        <v>70</v>
      </c>
      <c r="F75" s="2264"/>
      <c r="G75" s="2272" t="s">
        <v>1646</v>
      </c>
      <c r="H75" s="2309">
        <f>IF(('Balances y Proyecciones'!Q17)&lt;&gt;360,(('Balances y Proyecciones'!AV704+'Balances y Proyecciones'!AV657)/'Balances y Proyecciones'!AV703),(('Balances y Proyecciones'!AV704+'Balances y Proyecciones'!AV657)/'Balances y Proyecciones'!AV703))</f>
        <v>1.2919896640826873E-2</v>
      </c>
      <c r="I75" s="2309"/>
      <c r="J75" s="2310">
        <f>IF(('Balances y Proyecciones'!Q17)&lt;&gt;360,(('Balances y Proyecciones'!BB704+'Balances y Proyecciones'!BB657)/'Balances y Proyecciones'!BB703),(('Balances y Proyecciones'!BB704+'Balances y Proyecciones'!BB657)/'Balances y Proyecciones'!BB703))</f>
        <v>1.2919896640826873E-2</v>
      </c>
      <c r="K75" s="2255"/>
      <c r="L75" s="2255"/>
      <c r="M75" s="2255"/>
      <c r="N75" s="2506"/>
      <c r="O75" s="2513"/>
      <c r="P75" s="2513"/>
      <c r="Q75" s="2514"/>
      <c r="R75" s="2515"/>
      <c r="S75" s="2255"/>
      <c r="T75" s="2255"/>
      <c r="U75" s="2255"/>
      <c r="V75" s="2255"/>
      <c r="W75" s="2255"/>
      <c r="X75" s="2255"/>
      <c r="Y75" s="2255"/>
      <c r="Z75" s="2255"/>
      <c r="AA75" s="2255"/>
      <c r="AB75" s="2255"/>
      <c r="AC75" s="2255"/>
      <c r="AD75" s="2255"/>
      <c r="AE75" s="2255"/>
      <c r="AF75" s="2322"/>
      <c r="AG75" s="2322"/>
      <c r="AN75" s="2556">
        <v>0.5</v>
      </c>
      <c r="AP75" s="2556" t="s">
        <v>1749</v>
      </c>
      <c r="AT75" s="2556">
        <f>IF(AP75&lt;&gt;"",$K$6,IF(AQ75&lt;&gt;"",$L$6,IF(AR75&lt;&gt;"",$M$6,IF(AS75&lt;&gt;"",$N$6,"P"))))</f>
        <v>0</v>
      </c>
      <c r="AU75" s="2556">
        <f>AT75*AN75</f>
        <v>0</v>
      </c>
      <c r="CH75" s="2556" t="s">
        <v>1750</v>
      </c>
      <c r="CI75" s="2556">
        <f>+CI73+CI74</f>
        <v>480.00000000000006</v>
      </c>
      <c r="CJ75" s="2556">
        <f>+CJ73+CJ74</f>
        <v>480.00000000000006</v>
      </c>
      <c r="CK75" s="2556">
        <f>+CK73+CK74</f>
        <v>480.00000000000006</v>
      </c>
    </row>
    <row r="76" spans="1:89" s="2556" customFormat="1" ht="27.75" customHeight="1" x14ac:dyDescent="0.25">
      <c r="A76" s="2255"/>
      <c r="B76" s="2272" t="s">
        <v>1651</v>
      </c>
      <c r="C76" s="2282">
        <f>IF(('Balances y Proyecciones'!Q17)&lt;&gt;360,'Balances y Proyecciones'!K61,'Balances y Proyecciones'!K61)</f>
        <v>50</v>
      </c>
      <c r="D76" s="2282"/>
      <c r="E76" s="2283">
        <f>IF(('Balances y Proyecciones'!Q17)&lt;&gt;360,'Balances y Proyecciones'!Q61,'Balances y Proyecciones'!Q61)</f>
        <v>50</v>
      </c>
      <c r="F76" s="2264"/>
      <c r="G76" s="2272" t="s">
        <v>915</v>
      </c>
      <c r="H76" s="2309">
        <f>IF(('Balances y Proyecciones'!Q17)&lt;&gt;360,'Balances y Proyecciones'!AV743,'Balances y Proyecciones'!AV743)</f>
        <v>6.9252077562326868E-3</v>
      </c>
      <c r="I76" s="2309"/>
      <c r="J76" s="2310">
        <f>IF(('Balances y Proyecciones'!Q17)&lt;&gt;360,'Balances y Proyecciones'!BB743,'Balances y Proyecciones'!BB743)</f>
        <v>6.9252077562326868E-3</v>
      </c>
      <c r="K76" s="2255"/>
      <c r="L76" s="2255"/>
      <c r="M76" s="2255"/>
      <c r="N76" s="2506"/>
      <c r="O76" s="2513"/>
      <c r="P76" s="2513"/>
      <c r="Q76" s="2514"/>
      <c r="R76" s="2515"/>
      <c r="S76" s="2255"/>
      <c r="T76" s="2255"/>
      <c r="U76" s="2255"/>
      <c r="V76" s="2255"/>
      <c r="W76" s="2255"/>
      <c r="X76" s="2255"/>
      <c r="Y76" s="2255"/>
      <c r="Z76" s="2255"/>
      <c r="AA76" s="2255"/>
      <c r="AB76" s="2255"/>
      <c r="AC76" s="2255"/>
      <c r="AD76" s="2255"/>
      <c r="AE76" s="2255"/>
      <c r="AF76" s="2322"/>
      <c r="AG76" s="2322"/>
      <c r="AW76" s="2322"/>
      <c r="AX76" s="2322"/>
      <c r="AY76" s="2322"/>
      <c r="AZ76" s="2322"/>
      <c r="BA76" s="2322"/>
      <c r="BB76" s="2322"/>
      <c r="BC76" s="2322"/>
      <c r="BD76" s="2322"/>
      <c r="BE76" s="2322"/>
      <c r="BF76" s="2322"/>
      <c r="BG76" s="2322"/>
      <c r="BH76" s="2322"/>
      <c r="BI76" s="2322"/>
      <c r="BJ76" s="2322"/>
      <c r="BK76" s="2322"/>
      <c r="BL76" s="2322"/>
      <c r="BM76" s="2322"/>
      <c r="BN76" s="2322"/>
      <c r="BO76" s="2322"/>
      <c r="CH76" s="2556" t="s">
        <v>1751</v>
      </c>
      <c r="CI76" s="2556">
        <f>IF(CI71&gt;CI75,CI71-CI75,0)</f>
        <v>0</v>
      </c>
      <c r="CJ76" s="2556">
        <f>IF(CJ71&gt;CJ75,CJ71-CJ75,0)</f>
        <v>0</v>
      </c>
      <c r="CK76" s="2556">
        <f>IF(CK71&gt;CK75,CK71-CK75,0)</f>
        <v>0</v>
      </c>
    </row>
    <row r="77" spans="1:89" s="2556" customFormat="1" ht="27.75" customHeight="1" x14ac:dyDescent="0.25">
      <c r="A77" s="2255"/>
      <c r="B77" s="2272" t="s">
        <v>1656</v>
      </c>
      <c r="C77" s="2282">
        <f>IF(('Balances y Proyecciones'!Q17)&lt;&gt;360,'Balances y Proyecciones'!K62+'Balances y Proyecciones'!K66,'Balances y Proyecciones'!K62+'Balances y Proyecciones'!K66)</f>
        <v>50</v>
      </c>
      <c r="D77" s="2282"/>
      <c r="E77" s="2283">
        <f>IF(('Balances y Proyecciones'!Q17)&lt;&gt;360,'Balances y Proyecciones'!Q62+'Balances y Proyecciones'!Q66,'Balances y Proyecciones'!Q62+'Balances y Proyecciones'!Q66)</f>
        <v>50</v>
      </c>
      <c r="F77" s="2264"/>
      <c r="G77" s="2272" t="s">
        <v>910</v>
      </c>
      <c r="H77" s="2352">
        <f>IF(('Balances y Proyecciones'!Q17)&lt;&gt;360,'Balances y Proyecciones'!AV745,'Balances y Proyecciones'!AV745)</f>
        <v>8.771929824561403E-3</v>
      </c>
      <c r="I77" s="2352"/>
      <c r="J77" s="2353">
        <f>IF(('Balances y Proyecciones'!Q17)&lt;&gt;360,'Balances y Proyecciones'!BB745,'Balances y Proyecciones'!BB745)</f>
        <v>8.771929824561403E-3</v>
      </c>
      <c r="K77" s="2255"/>
      <c r="L77" s="2255"/>
      <c r="M77" s="2255"/>
      <c r="N77" s="2565" t="s">
        <v>229</v>
      </c>
      <c r="O77" s="2566">
        <f>SUM(O61:O76)</f>
        <v>0</v>
      </c>
      <c r="P77" s="2567">
        <f>SUM(P61:P76)</f>
        <v>0</v>
      </c>
      <c r="Q77" s="2568"/>
      <c r="R77" s="2568"/>
      <c r="S77" s="2255"/>
      <c r="T77" s="2255"/>
      <c r="U77" s="2255"/>
      <c r="V77" s="2255"/>
      <c r="W77" s="2255"/>
      <c r="X77" s="2255"/>
      <c r="Y77" s="2255"/>
      <c r="Z77" s="2255"/>
      <c r="AA77" s="2255"/>
      <c r="AB77" s="2255"/>
      <c r="AC77" s="2255"/>
      <c r="AD77" s="2255"/>
      <c r="AE77" s="2255"/>
      <c r="AF77" s="2322"/>
      <c r="AG77" s="2322"/>
      <c r="AH77" s="2556" t="s">
        <v>1752</v>
      </c>
      <c r="AW77" s="2322"/>
      <c r="AX77" s="2322"/>
      <c r="AY77" s="2322"/>
      <c r="AZ77" s="2322"/>
      <c r="BA77" s="2322"/>
      <c r="BB77" s="2322"/>
      <c r="BC77" s="2322"/>
      <c r="BD77" s="2322"/>
      <c r="BE77" s="2322"/>
      <c r="BF77" s="2322"/>
      <c r="BG77" s="2322"/>
      <c r="BH77" s="2322"/>
      <c r="BI77" s="2322"/>
      <c r="BJ77" s="2322"/>
      <c r="BK77" s="2322"/>
      <c r="BL77" s="2322"/>
      <c r="BM77" s="2322"/>
      <c r="BN77" s="2322"/>
      <c r="BO77" s="2322"/>
      <c r="CH77" s="2556" t="s">
        <v>1753</v>
      </c>
      <c r="CI77" s="2556">
        <f>+CI70+CI76</f>
        <v>17.600000000000001</v>
      </c>
      <c r="CJ77" s="2556">
        <f>+CJ70+CJ76</f>
        <v>7.2000000000000011</v>
      </c>
      <c r="CK77" s="2556">
        <f>+CK70+CK76</f>
        <v>3.2000000000000006</v>
      </c>
    </row>
    <row r="78" spans="1:89" s="2556" customFormat="1" ht="56.25" customHeight="1" x14ac:dyDescent="0.25">
      <c r="A78" s="2255"/>
      <c r="B78" s="2272" t="s">
        <v>1662</v>
      </c>
      <c r="C78" s="2282">
        <f>IF(('Balances y Proyecciones'!Q17)&lt;&gt;360,'Balances y Proyecciones'!K63+'Balances y Proyecciones'!K64+'Balances y Proyecciones'!K65,'Balances y Proyecciones'!K63+'Balances y Proyecciones'!K64+'Balances y Proyecciones'!K65)</f>
        <v>2860</v>
      </c>
      <c r="D78" s="2282"/>
      <c r="E78" s="2283">
        <f>IF(('Balances y Proyecciones'!Q17)&lt;&gt;360,'Balances y Proyecciones'!Q63+'Balances y Proyecciones'!Q64+'Balances y Proyecciones'!Q65,'Balances y Proyecciones'!Q63+'Balances y Proyecciones'!Q64+'Balances y Proyecciones'!Q65)</f>
        <v>2860</v>
      </c>
      <c r="F78" s="2264"/>
      <c r="G78" s="2272" t="s">
        <v>1754</v>
      </c>
      <c r="H78" s="2352">
        <f>IF(('Balances y Proyecciones'!Q17)&lt;&gt;360,'Balances y Proyecciones'!AV746,'Balances y Proyecciones'!AV746)</f>
        <v>-5.9649122807017542E-2</v>
      </c>
      <c r="I78" s="2352"/>
      <c r="J78" s="2353">
        <f>IF(('Balances y Proyecciones'!Q17)&lt;&gt;360,'Balances y Proyecciones'!BB746,'Balances y Proyecciones'!BB746)</f>
        <v>-5.9649122807017542E-2</v>
      </c>
      <c r="K78" s="2255"/>
      <c r="L78" s="2255"/>
      <c r="M78" s="2255"/>
      <c r="N78" s="2255"/>
      <c r="O78" s="2255"/>
      <c r="P78" s="2255"/>
      <c r="Q78" s="2255"/>
      <c r="R78" s="2255"/>
      <c r="S78" s="2255"/>
      <c r="T78" s="2255"/>
      <c r="U78" s="2255"/>
      <c r="V78" s="2255"/>
      <c r="W78" s="2255"/>
      <c r="X78" s="2255"/>
      <c r="Y78" s="2255"/>
      <c r="Z78" s="2255"/>
      <c r="AA78" s="2255"/>
      <c r="AB78" s="2255"/>
      <c r="AC78" s="2255"/>
      <c r="AD78" s="2255"/>
      <c r="AE78" s="2255"/>
      <c r="AF78" s="2322"/>
      <c r="AG78" s="2322"/>
      <c r="AH78" s="2556" t="s">
        <v>1755</v>
      </c>
      <c r="AW78" s="2322"/>
      <c r="AX78" s="2322"/>
      <c r="AY78" s="2322"/>
      <c r="AZ78" s="2322"/>
      <c r="BA78" s="2322"/>
      <c r="BB78" s="2322"/>
      <c r="BC78" s="2322"/>
      <c r="BD78" s="2322"/>
      <c r="BE78" s="2322"/>
      <c r="BF78" s="2322"/>
      <c r="BG78" s="2322"/>
      <c r="BH78" s="2322"/>
      <c r="BI78" s="2322"/>
      <c r="BJ78" s="2322"/>
      <c r="BK78" s="2322"/>
      <c r="BL78" s="2322"/>
      <c r="BM78" s="2322"/>
      <c r="BN78" s="2322"/>
      <c r="BO78" s="2322"/>
    </row>
    <row r="79" spans="1:89" s="2556" customFormat="1" ht="51" customHeight="1" x14ac:dyDescent="0.25">
      <c r="A79" s="2255"/>
      <c r="B79" s="2272" t="s">
        <v>1611</v>
      </c>
      <c r="C79" s="2282">
        <f>IF(('Balances y Proyecciones'!Q17)&lt;&gt;360,'Balances y Proyecciones'!K33,'Balances y Proyecciones'!K33)</f>
        <v>90</v>
      </c>
      <c r="D79" s="2282"/>
      <c r="E79" s="2283">
        <f>IF(('Balances y Proyecciones'!Q17)&lt;&gt;360,'Balances y Proyecciones'!Q33,'Balances y Proyecciones'!Q33)</f>
        <v>90</v>
      </c>
      <c r="F79" s="2264"/>
      <c r="G79" s="2307" t="s">
        <v>1666</v>
      </c>
      <c r="H79" s="2352"/>
      <c r="I79" s="2352"/>
      <c r="J79" s="2353"/>
      <c r="K79" s="2255"/>
      <c r="L79" s="2255"/>
      <c r="M79" s="2255"/>
      <c r="N79" s="2255"/>
      <c r="O79" s="2255"/>
      <c r="P79" s="2255"/>
      <c r="Q79" s="2255"/>
      <c r="R79" s="2255"/>
      <c r="S79" s="2255"/>
      <c r="T79" s="2255"/>
      <c r="U79" s="2255"/>
      <c r="V79" s="2255"/>
      <c r="W79" s="2255"/>
      <c r="X79" s="2255"/>
      <c r="Y79" s="2255"/>
      <c r="Z79" s="2255"/>
      <c r="AA79" s="2255"/>
      <c r="AB79" s="2255"/>
      <c r="AC79" s="2255"/>
      <c r="AD79" s="2255"/>
      <c r="AE79" s="2255"/>
      <c r="AF79" s="2322"/>
      <c r="AG79" s="2322"/>
      <c r="AW79" s="2322"/>
      <c r="AX79" s="2322"/>
      <c r="AY79" s="2322"/>
      <c r="AZ79" s="2322"/>
      <c r="BA79" s="2322"/>
      <c r="BB79" s="2322"/>
      <c r="BC79" s="2322"/>
      <c r="BD79" s="2322"/>
      <c r="BE79" s="2322"/>
      <c r="BF79" s="2322"/>
      <c r="BG79" s="2322"/>
      <c r="BH79" s="2322"/>
      <c r="BI79" s="2322"/>
      <c r="BJ79" s="2322"/>
      <c r="BK79" s="2322"/>
      <c r="BL79" s="2322"/>
      <c r="BM79" s="2322"/>
      <c r="BN79" s="2322"/>
      <c r="BO79" s="2322"/>
      <c r="CH79" s="2556" t="s">
        <v>1756</v>
      </c>
      <c r="CI79" s="2556">
        <f>+CI66/CI77</f>
        <v>152.55681818181816</v>
      </c>
      <c r="CJ79" s="2556">
        <f>+CJ66/CJ77</f>
        <v>374.74999999999994</v>
      </c>
      <c r="CK79" s="2556">
        <f>+CK66/CK77</f>
        <v>847.31249999999977</v>
      </c>
    </row>
    <row r="80" spans="1:89" s="2322" customFormat="1" ht="27.75" customHeight="1" x14ac:dyDescent="0.25">
      <c r="A80" s="2255"/>
      <c r="B80" s="2386"/>
      <c r="C80" s="2569"/>
      <c r="D80" s="2569"/>
      <c r="E80" s="2570"/>
      <c r="F80" s="659"/>
      <c r="G80" s="2272" t="s">
        <v>1669</v>
      </c>
      <c r="H80" s="2352">
        <f>IF(('Balances y Proyecciones'!Q17)&lt;&gt;360,'Balances y Proyecciones'!AV737,'Balances y Proyecciones'!AV737)</f>
        <v>285</v>
      </c>
      <c r="I80" s="2352"/>
      <c r="J80" s="2352">
        <f>IF(('Balances y Proyecciones'!Q17)&lt;&gt;360,'Balances y Proyecciones'!BB737,'Balances y Proyecciones'!BB737)</f>
        <v>285</v>
      </c>
      <c r="K80" s="2255"/>
      <c r="L80" s="2255"/>
      <c r="M80" s="2255"/>
      <c r="N80" s="3453" t="s">
        <v>219</v>
      </c>
      <c r="O80" s="3454"/>
      <c r="P80" s="2255"/>
      <c r="Q80" s="3453" t="s">
        <v>230</v>
      </c>
      <c r="R80" s="3455"/>
      <c r="S80" s="3455"/>
      <c r="T80" s="3454"/>
      <c r="U80" s="2255"/>
      <c r="V80" s="2255"/>
      <c r="W80" s="2255"/>
      <c r="X80" s="2255"/>
      <c r="Y80" s="2255"/>
      <c r="Z80" s="2255"/>
      <c r="AA80" s="2255"/>
      <c r="AB80" s="2255"/>
      <c r="AC80" s="2255"/>
      <c r="AD80" s="2255"/>
      <c r="AE80" s="2255"/>
    </row>
    <row r="81" spans="1:69" s="2322" customFormat="1" ht="27.75" customHeight="1" x14ac:dyDescent="0.25">
      <c r="A81" s="2255"/>
      <c r="B81" s="2395" t="s">
        <v>793</v>
      </c>
      <c r="C81" s="2571">
        <f>SUM(C75:C79)</f>
        <v>3120</v>
      </c>
      <c r="D81" s="2571"/>
      <c r="E81" s="2572">
        <f>SUM(E75:E79)</f>
        <v>3120</v>
      </c>
      <c r="F81" s="659"/>
      <c r="G81" s="2397" t="str">
        <f>G42</f>
        <v>Ebitda / Servicio de la Deuda</v>
      </c>
      <c r="H81" s="2398">
        <f>IF(('Balances y Proyecciones'!Q17)&lt;&gt;360,'Balances y Proyecciones'!AV741,'Balances y Proyecciones'!AV741)</f>
        <v>142.5</v>
      </c>
      <c r="I81" s="2398"/>
      <c r="J81" s="2399">
        <f>IF(('Balances y Proyecciones'!Q17)&lt;&gt;360,'Balances y Proyecciones'!BB741,'Balances y Proyecciones'!BB741)</f>
        <v>142.5</v>
      </c>
      <c r="K81" s="2255"/>
      <c r="L81" s="2255"/>
      <c r="M81" s="2255"/>
      <c r="N81" s="2573" t="s">
        <v>138</v>
      </c>
      <c r="O81" s="2574" t="s">
        <v>1757</v>
      </c>
      <c r="P81" s="2255"/>
      <c r="Q81" s="3462" t="s">
        <v>1758</v>
      </c>
      <c r="R81" s="3463"/>
      <c r="S81" s="3463" t="s">
        <v>1759</v>
      </c>
      <c r="T81" s="3464"/>
      <c r="U81" s="2255"/>
      <c r="V81" s="2255"/>
      <c r="W81" s="2255"/>
      <c r="X81" s="2255"/>
      <c r="Y81" s="2255"/>
      <c r="Z81" s="2255"/>
      <c r="AA81" s="2255"/>
      <c r="AB81" s="2255"/>
      <c r="AC81" s="2255"/>
      <c r="AD81" s="2255"/>
      <c r="AE81" s="2255"/>
      <c r="AW81" s="2255"/>
      <c r="AX81" s="2255"/>
      <c r="AY81" s="2255"/>
      <c r="AZ81" s="2255"/>
      <c r="BA81" s="2255"/>
      <c r="BB81" s="2255"/>
      <c r="BC81" s="2255"/>
      <c r="BD81" s="2255"/>
      <c r="BE81" s="2255"/>
      <c r="BF81" s="2255"/>
      <c r="BG81" s="2255"/>
      <c r="BH81" s="2255"/>
      <c r="BI81" s="2255"/>
      <c r="BJ81" s="2255"/>
      <c r="BK81" s="2255"/>
      <c r="BL81" s="2255"/>
      <c r="BM81" s="2255"/>
      <c r="BN81" s="2255"/>
      <c r="BO81" s="2255"/>
    </row>
    <row r="82" spans="1:69" s="2322" customFormat="1" ht="27.75" customHeight="1" x14ac:dyDescent="0.25">
      <c r="A82" s="2255"/>
      <c r="B82" s="2396"/>
      <c r="C82" s="2396"/>
      <c r="D82" s="2396"/>
      <c r="E82" s="2396"/>
      <c r="F82" s="2396"/>
      <c r="G82" s="2396"/>
      <c r="H82" s="2396"/>
      <c r="I82" s="2396"/>
      <c r="J82" s="2396"/>
      <c r="K82" s="2255"/>
      <c r="L82" s="2255"/>
      <c r="M82" s="2255"/>
      <c r="N82" s="2575" t="str">
        <f>IF(Presentación!M8="","",Presentación!M8)</f>
        <v/>
      </c>
      <c r="O82" s="2576" t="str">
        <f>IF(Presentación!N8="","",Presentación!N8)</f>
        <v/>
      </c>
      <c r="P82" s="2255"/>
      <c r="Q82" s="3465" t="str">
        <f>IF(Presentación!M21="","",Presentación!N21)</f>
        <v/>
      </c>
      <c r="R82" s="3466"/>
      <c r="S82" s="3467" t="str">
        <f>IF(Presentación!O21="","",Presentación!P21)</f>
        <v/>
      </c>
      <c r="T82" s="3468"/>
      <c r="U82" s="2255"/>
      <c r="V82" s="2255"/>
      <c r="W82" s="2255"/>
      <c r="X82" s="2255"/>
      <c r="Y82" s="2255"/>
      <c r="Z82" s="2255"/>
      <c r="AA82" s="2255"/>
      <c r="AB82" s="2255"/>
      <c r="AC82" s="2255"/>
      <c r="AD82" s="2255"/>
      <c r="AE82" s="2255"/>
      <c r="AW82" s="2255"/>
      <c r="AX82" s="2255"/>
      <c r="AY82" s="2255"/>
      <c r="AZ82" s="2255"/>
      <c r="BA82" s="2255"/>
      <c r="BB82" s="2255"/>
      <c r="BC82" s="2255"/>
      <c r="BD82" s="2255"/>
      <c r="BE82" s="2255"/>
      <c r="BF82" s="2255"/>
      <c r="BG82" s="2255"/>
      <c r="BH82" s="2255"/>
      <c r="BI82" s="2255"/>
      <c r="BJ82" s="2255"/>
      <c r="BK82" s="2255"/>
      <c r="BL82" s="2255"/>
      <c r="BM82" s="2255"/>
      <c r="BN82" s="2255"/>
      <c r="BO82" s="2255"/>
    </row>
    <row r="83" spans="1:69" s="2322" customFormat="1" ht="26.25" x14ac:dyDescent="0.25">
      <c r="A83" s="2255"/>
      <c r="B83" s="2408"/>
      <c r="C83" s="2396"/>
      <c r="D83" s="2396"/>
      <c r="E83" s="2396"/>
      <c r="F83" s="2396"/>
      <c r="G83" s="2396"/>
      <c r="H83" s="2396"/>
      <c r="I83" s="2396"/>
      <c r="J83" s="2396"/>
      <c r="K83" s="2255"/>
      <c r="L83" s="2255"/>
      <c r="M83" s="2255"/>
      <c r="N83" s="2575" t="str">
        <f>IF(Presentación!M9="","",Presentación!M9)</f>
        <v/>
      </c>
      <c r="O83" s="2576" t="str">
        <f>IF(Presentación!N9="","",Presentación!N9)</f>
        <v/>
      </c>
      <c r="P83" s="2255"/>
      <c r="Q83" s="3469" t="str">
        <f>IF(Presentación!M22="","",Presentación!N22)</f>
        <v/>
      </c>
      <c r="R83" s="3467"/>
      <c r="S83" s="3467" t="str">
        <f>IF(Presentación!O22="","",Presentación!P22)</f>
        <v/>
      </c>
      <c r="T83" s="3468"/>
      <c r="U83" s="2255"/>
      <c r="V83" s="2255"/>
      <c r="W83" s="2255"/>
      <c r="X83" s="2255"/>
      <c r="Y83" s="2255"/>
      <c r="Z83" s="2255"/>
      <c r="AA83" s="2255"/>
      <c r="AB83" s="2255"/>
      <c r="AC83" s="2255"/>
      <c r="AD83" s="2255"/>
      <c r="AE83" s="2255"/>
      <c r="AW83" s="2255"/>
      <c r="AX83" s="2255"/>
      <c r="AY83" s="2255"/>
      <c r="AZ83" s="2255"/>
      <c r="BA83" s="2255"/>
      <c r="BB83" s="2255"/>
      <c r="BC83" s="2255"/>
      <c r="BD83" s="2255"/>
      <c r="BE83" s="2255"/>
      <c r="BF83" s="2255"/>
      <c r="BG83" s="2255"/>
      <c r="BH83" s="2255"/>
      <c r="BI83" s="2255"/>
      <c r="BJ83" s="2255"/>
      <c r="BK83" s="2255"/>
      <c r="BL83" s="2255"/>
      <c r="BM83" s="2255"/>
      <c r="BN83" s="2255"/>
      <c r="BO83" s="2255"/>
    </row>
    <row r="84" spans="1:69" s="2322" customFormat="1" ht="26.25" thickBot="1" x14ac:dyDescent="0.3">
      <c r="A84" s="2255"/>
      <c r="B84" s="2255"/>
      <c r="C84" s="2255"/>
      <c r="D84" s="2255"/>
      <c r="E84" s="2255"/>
      <c r="F84" s="2255"/>
      <c r="G84" s="2255"/>
      <c r="H84" s="2255"/>
      <c r="I84" s="2255"/>
      <c r="J84" s="2255"/>
      <c r="K84" s="2255"/>
      <c r="L84" s="2255"/>
      <c r="M84" s="2255"/>
      <c r="N84" s="2575" t="str">
        <f>IF(Presentación!M10="","",Presentación!M10)</f>
        <v/>
      </c>
      <c r="O84" s="2576" t="str">
        <f>IF(Presentación!N10="","",Presentación!N10)</f>
        <v/>
      </c>
      <c r="P84" s="2255"/>
      <c r="Q84" s="3469" t="str">
        <f>IF(Presentación!M23="","",Presentación!N23)</f>
        <v/>
      </c>
      <c r="R84" s="3467"/>
      <c r="S84" s="3467" t="str">
        <f>IF(Presentación!O23="","",Presentación!P23)</f>
        <v/>
      </c>
      <c r="T84" s="3468"/>
      <c r="U84" s="2255"/>
      <c r="V84" s="2255"/>
      <c r="W84" s="2255"/>
      <c r="X84" s="2255"/>
      <c r="Y84" s="2255"/>
      <c r="Z84" s="2255"/>
      <c r="AA84" s="2255"/>
      <c r="AB84" s="2255"/>
      <c r="AC84" s="2255"/>
      <c r="AD84" s="2255"/>
      <c r="AE84" s="2255"/>
      <c r="AW84" s="2255"/>
      <c r="AX84" s="2255"/>
      <c r="AY84" s="2255"/>
      <c r="AZ84" s="2255"/>
      <c r="BA84" s="2255"/>
      <c r="BB84" s="2255"/>
      <c r="BC84" s="2255"/>
      <c r="BD84" s="2255"/>
      <c r="BE84" s="2255"/>
      <c r="BF84" s="2255"/>
      <c r="BG84" s="2255"/>
      <c r="BH84" s="2255"/>
      <c r="BI84" s="2255"/>
      <c r="BJ84" s="2255"/>
      <c r="BK84" s="2255"/>
      <c r="BL84" s="2255"/>
      <c r="BM84" s="2255"/>
      <c r="BN84" s="2255"/>
      <c r="BO84" s="2255"/>
    </row>
    <row r="85" spans="1:69" ht="26.25" thickBot="1" x14ac:dyDescent="0.3">
      <c r="B85" s="2577" t="s">
        <v>1760</v>
      </c>
      <c r="C85" s="2577" t="str">
        <f>Presentación!A5</f>
        <v>Prueba Da 27.08.23</v>
      </c>
      <c r="D85" s="2255"/>
      <c r="E85" s="2255"/>
      <c r="F85" s="2255"/>
      <c r="G85" s="2255"/>
      <c r="H85" s="2255"/>
      <c r="I85" s="2255"/>
      <c r="J85" s="2255"/>
      <c r="N85" s="2575" t="str">
        <f>IF(Presentación!M11="","",Presentación!M11)</f>
        <v/>
      </c>
      <c r="O85" s="2576" t="str">
        <f>IF(Presentación!N11="","",Presentación!N11)</f>
        <v/>
      </c>
      <c r="P85" s="2255"/>
      <c r="Q85" s="3469" t="str">
        <f>IF(Presentación!M24="","",Presentación!N24)</f>
        <v/>
      </c>
      <c r="R85" s="3467"/>
      <c r="S85" s="3467" t="str">
        <f>IF(Presentación!O24="","",Presentación!P24)</f>
        <v/>
      </c>
      <c r="T85" s="3468"/>
      <c r="U85" s="2255"/>
      <c r="V85" s="2255"/>
      <c r="W85" s="2255"/>
      <c r="X85" s="2255"/>
      <c r="Y85" s="2255"/>
      <c r="Z85" s="2255"/>
      <c r="AA85" s="2255"/>
      <c r="AB85" s="2255"/>
      <c r="AC85" s="2255"/>
      <c r="AD85" s="2255"/>
      <c r="BQ85" s="659"/>
    </row>
    <row r="86" spans="1:69" ht="26.25" thickBot="1" x14ac:dyDescent="0.3">
      <c r="B86" s="2578" t="s">
        <v>1761</v>
      </c>
      <c r="C86" s="2579" t="str">
        <f>Presentación!A6</f>
        <v>Documento No. 900142011</v>
      </c>
      <c r="D86" s="2255"/>
      <c r="E86" s="2255"/>
      <c r="F86" s="2255"/>
      <c r="G86" s="2255"/>
      <c r="H86" s="2255"/>
      <c r="I86" s="2255"/>
      <c r="J86" s="2255"/>
      <c r="N86" s="2575" t="str">
        <f>IF(Presentación!M12="","",Presentación!M12)</f>
        <v/>
      </c>
      <c r="O86" s="2576" t="str">
        <f>IF(Presentación!N12="","",Presentación!N12)</f>
        <v/>
      </c>
      <c r="P86" s="2255"/>
      <c r="Q86" s="3469" t="str">
        <f>IF(Presentación!M25="","",Presentación!N25)</f>
        <v/>
      </c>
      <c r="R86" s="3467"/>
      <c r="S86" s="3467" t="str">
        <f>IF(Presentación!O25="","",Presentación!P25)</f>
        <v/>
      </c>
      <c r="T86" s="3468"/>
      <c r="U86" s="2255"/>
      <c r="V86" s="2255"/>
      <c r="W86" s="2255"/>
      <c r="X86" s="2255"/>
      <c r="Y86" s="2255"/>
      <c r="Z86" s="2255"/>
      <c r="AA86" s="2255"/>
      <c r="AB86" s="2255"/>
      <c r="AC86" s="2255"/>
      <c r="AD86" s="2255"/>
      <c r="BQ86" s="659"/>
    </row>
    <row r="87" spans="1:69" ht="36.75" thickBot="1" x14ac:dyDescent="0.3">
      <c r="B87" s="2578" t="s">
        <v>1762</v>
      </c>
      <c r="C87" s="2578" t="s">
        <v>1763</v>
      </c>
      <c r="D87" s="2255"/>
      <c r="E87" s="2255"/>
      <c r="F87" s="2255"/>
      <c r="G87" s="2255"/>
      <c r="H87" s="2255"/>
      <c r="I87" s="2255"/>
      <c r="J87" s="2255"/>
      <c r="N87" s="2575" t="str">
        <f>IF(Presentación!M13="","",Presentación!M13)</f>
        <v/>
      </c>
      <c r="O87" s="2576" t="str">
        <f>IF(Presentación!N13="","",Presentación!N13)</f>
        <v/>
      </c>
      <c r="P87" s="2255"/>
      <c r="Q87" s="3469" t="str">
        <f>IF(Presentación!M26="","",Presentación!N26)</f>
        <v/>
      </c>
      <c r="R87" s="3467"/>
      <c r="S87" s="3467" t="str">
        <f>IF(Presentación!O26="","",Presentación!P26)</f>
        <v/>
      </c>
      <c r="T87" s="3468"/>
      <c r="U87" s="2255"/>
      <c r="V87" s="2255"/>
      <c r="W87" s="2255"/>
      <c r="X87" s="2255"/>
      <c r="Y87" s="2255"/>
      <c r="Z87" s="2255"/>
      <c r="AA87" s="2255"/>
      <c r="AB87" s="2255"/>
      <c r="AC87" s="2255"/>
      <c r="AD87" s="2255"/>
      <c r="BQ87" s="659"/>
    </row>
    <row r="88" spans="1:69" ht="26.25" thickBot="1" x14ac:dyDescent="0.3">
      <c r="B88" s="2578" t="s">
        <v>23</v>
      </c>
      <c r="C88" s="2578"/>
      <c r="D88" s="2255"/>
      <c r="E88" s="2255"/>
      <c r="F88" s="2255"/>
      <c r="G88" s="2255"/>
      <c r="H88" s="2255"/>
      <c r="I88" s="2255"/>
      <c r="J88" s="2255"/>
      <c r="N88" s="2575" t="str">
        <f>IF(Presentación!M14="","",Presentación!M14)</f>
        <v/>
      </c>
      <c r="O88" s="2576" t="str">
        <f>IF(Presentación!N14="","",Presentación!N14)</f>
        <v/>
      </c>
      <c r="P88" s="2255"/>
      <c r="Q88" s="3469" t="str">
        <f>IF(Presentación!M27="","",Presentación!N27)</f>
        <v/>
      </c>
      <c r="R88" s="3467"/>
      <c r="S88" s="3467" t="str">
        <f>IF(Presentación!O27="","",Presentación!P27)</f>
        <v/>
      </c>
      <c r="T88" s="3468"/>
      <c r="U88" s="2255"/>
      <c r="V88" s="2255"/>
      <c r="W88" s="2255"/>
      <c r="X88" s="2255"/>
      <c r="Y88" s="2255"/>
      <c r="Z88" s="2255"/>
      <c r="AA88" s="2255"/>
      <c r="AB88" s="2255"/>
      <c r="AC88" s="2255"/>
      <c r="AD88" s="2255"/>
      <c r="BQ88" s="659"/>
    </row>
    <row r="89" spans="1:69" ht="26.25" thickBot="1" x14ac:dyDescent="0.3">
      <c r="B89" s="2578" t="s">
        <v>1621</v>
      </c>
      <c r="C89" s="2578"/>
      <c r="D89" s="2255"/>
      <c r="E89" s="2255"/>
      <c r="F89" s="2255"/>
      <c r="G89" s="2255"/>
      <c r="H89" s="2255"/>
      <c r="I89" s="2255"/>
      <c r="J89" s="2255"/>
      <c r="N89" s="2575" t="str">
        <f>IF(Presentación!M15="","",Presentación!M15)</f>
        <v/>
      </c>
      <c r="O89" s="2576" t="str">
        <f>IF(Presentación!N15="","",Presentación!N15)</f>
        <v/>
      </c>
      <c r="P89" s="2255"/>
      <c r="Q89" s="3469" t="str">
        <f>IF(Presentación!M28="","",Presentación!N28)</f>
        <v/>
      </c>
      <c r="R89" s="3467"/>
      <c r="S89" s="3467" t="str">
        <f>IF(Presentación!O28="","",Presentación!P28)</f>
        <v/>
      </c>
      <c r="T89" s="3468"/>
      <c r="U89" s="2255"/>
      <c r="V89" s="2255"/>
      <c r="W89" s="2255"/>
      <c r="X89" s="2255"/>
      <c r="Y89" s="2255"/>
      <c r="Z89" s="2255"/>
      <c r="AA89" s="2255"/>
      <c r="AB89" s="2255"/>
      <c r="AC89" s="2255"/>
      <c r="AD89" s="2255"/>
    </row>
    <row r="90" spans="1:69" ht="27.75" customHeight="1" thickBot="1" x14ac:dyDescent="0.3">
      <c r="B90" s="2578" t="s">
        <v>1764</v>
      </c>
      <c r="C90" s="2578"/>
      <c r="D90" s="2255"/>
      <c r="E90" s="2255"/>
      <c r="F90" s="2255"/>
      <c r="G90" s="2255"/>
      <c r="H90" s="2255"/>
      <c r="I90" s="2255"/>
      <c r="J90" s="2255"/>
      <c r="N90" s="2575" t="str">
        <f>IF(Presentación!M16="","",Presentación!M16)</f>
        <v/>
      </c>
      <c r="O90" s="2576" t="str">
        <f>IF(Presentación!N16="","",Presentación!N16)</f>
        <v/>
      </c>
      <c r="P90" s="2255"/>
      <c r="Q90" s="3469" t="str">
        <f>IF(Presentación!M29="","",Presentación!N29)</f>
        <v/>
      </c>
      <c r="R90" s="3467"/>
      <c r="S90" s="3467" t="str">
        <f>IF(Presentación!O29="","",Presentación!P29)</f>
        <v/>
      </c>
      <c r="T90" s="3468"/>
      <c r="U90" s="2255"/>
      <c r="V90" s="2255"/>
      <c r="W90" s="2255"/>
      <c r="X90" s="2255"/>
      <c r="Y90" s="2255"/>
      <c r="Z90" s="2255"/>
      <c r="AA90" s="2255"/>
      <c r="AB90" s="2255"/>
      <c r="AC90" s="2255"/>
      <c r="AD90" s="2255"/>
    </row>
    <row r="91" spans="1:69" ht="27.75" customHeight="1" thickBot="1" x14ac:dyDescent="0.3">
      <c r="B91" s="2578" t="s">
        <v>1765</v>
      </c>
      <c r="C91" s="2580"/>
      <c r="D91" s="2255"/>
      <c r="E91" s="2255"/>
      <c r="F91" s="2255"/>
      <c r="G91" s="2255"/>
      <c r="H91" s="2255"/>
      <c r="I91" s="2255"/>
      <c r="J91" s="2255"/>
      <c r="N91" s="2581" t="s">
        <v>228</v>
      </c>
      <c r="O91" s="2582">
        <v>1</v>
      </c>
      <c r="P91" s="2255"/>
      <c r="Q91" s="3481" t="str">
        <f>IF(Presentación!M30="","",Presentación!N30)</f>
        <v/>
      </c>
      <c r="R91" s="3482"/>
      <c r="S91" s="3482" t="str">
        <f>IF(Presentación!O30="","",Presentación!P30)</f>
        <v/>
      </c>
      <c r="T91" s="3483"/>
      <c r="U91" s="2255"/>
      <c r="V91" s="2255"/>
      <c r="W91" s="2255"/>
      <c r="X91" s="2255"/>
      <c r="Y91" s="2255"/>
      <c r="Z91" s="2255"/>
      <c r="AA91" s="2255"/>
      <c r="AB91" s="2255"/>
      <c r="AC91" s="2255"/>
      <c r="AD91" s="2255"/>
    </row>
    <row r="92" spans="1:69" ht="27.75" customHeight="1" x14ac:dyDescent="0.25">
      <c r="B92" s="2255"/>
      <c r="C92" s="2255"/>
      <c r="D92" s="2255"/>
      <c r="E92" s="2255"/>
      <c r="F92" s="2255"/>
      <c r="G92" s="2255"/>
      <c r="H92" s="2255"/>
      <c r="I92" s="2255"/>
      <c r="J92" s="2255"/>
      <c r="N92" s="2255"/>
      <c r="O92" s="2255"/>
      <c r="P92" s="2255"/>
      <c r="Q92" s="2255"/>
      <c r="R92" s="2255"/>
      <c r="S92" s="2255"/>
      <c r="T92" s="2255"/>
      <c r="U92" s="2255"/>
      <c r="V92" s="2255"/>
      <c r="W92" s="2255"/>
      <c r="X92" s="2255"/>
      <c r="Y92" s="2255"/>
      <c r="Z92" s="2255"/>
      <c r="AA92" s="2255"/>
      <c r="AB92" s="2255"/>
      <c r="AC92" s="2255"/>
      <c r="AD92" s="2255"/>
    </row>
    <row r="93" spans="1:69" ht="27.75" customHeight="1" x14ac:dyDescent="0.25">
      <c r="B93" s="2583" t="s">
        <v>1766</v>
      </c>
      <c r="C93" s="2584"/>
      <c r="D93" s="2584"/>
      <c r="E93" s="2584"/>
      <c r="F93" s="2584"/>
      <c r="G93" s="2584"/>
      <c r="H93" s="2584"/>
      <c r="I93" s="2584"/>
      <c r="J93" s="2584"/>
      <c r="N93" s="2255"/>
      <c r="O93" s="2255"/>
      <c r="P93" s="2255"/>
      <c r="Q93" s="2255"/>
      <c r="R93" s="2255"/>
      <c r="S93" s="2255"/>
      <c r="T93" s="2255"/>
      <c r="U93" s="2255"/>
      <c r="V93" s="2255"/>
      <c r="W93" s="2255"/>
      <c r="X93" s="2255"/>
      <c r="Y93" s="2255"/>
      <c r="Z93" s="2255"/>
      <c r="AA93" s="2255"/>
      <c r="AB93" s="2255"/>
      <c r="AC93" s="2255"/>
      <c r="AD93" s="2255"/>
    </row>
    <row r="94" spans="1:69" ht="27.75" customHeight="1" x14ac:dyDescent="0.25">
      <c r="B94" s="3366" t="str">
        <f>B6</f>
        <v>Prueba Da 27.08.23</v>
      </c>
      <c r="C94" s="3367"/>
      <c r="D94" s="3367"/>
      <c r="E94" s="3367"/>
      <c r="F94" s="3367"/>
      <c r="G94" s="3367"/>
      <c r="H94" s="3367"/>
      <c r="I94" s="3367"/>
      <c r="J94" s="3368"/>
      <c r="N94" s="2585" t="s">
        <v>1767</v>
      </c>
      <c r="O94" s="2255"/>
      <c r="P94" s="2255"/>
      <c r="Q94" s="2255"/>
      <c r="R94" s="2255"/>
      <c r="S94" s="2255"/>
      <c r="T94" s="2255"/>
      <c r="U94" s="2255"/>
      <c r="V94" s="2255"/>
      <c r="W94" s="2255"/>
      <c r="X94" s="2255"/>
      <c r="Y94" s="2255"/>
      <c r="Z94" s="2255"/>
      <c r="AA94" s="2255"/>
      <c r="AB94" s="2255"/>
      <c r="AC94" s="2255"/>
      <c r="AD94" s="2255"/>
      <c r="BQ94" s="659"/>
    </row>
    <row r="95" spans="1:69" ht="27.75" customHeight="1" x14ac:dyDescent="0.25">
      <c r="B95" s="2264"/>
      <c r="C95" s="2264"/>
      <c r="D95" s="2264"/>
      <c r="E95" s="2264"/>
      <c r="F95" s="2264"/>
      <c r="G95" s="2264"/>
      <c r="H95" s="2264"/>
      <c r="I95" s="2264"/>
      <c r="J95" s="2264"/>
      <c r="N95" s="2586" t="str">
        <f>N10</f>
        <v>Prueba Da 27.08.23  (Cifras en $ MM)</v>
      </c>
      <c r="O95" s="2255"/>
      <c r="P95" s="2255"/>
      <c r="Q95" s="2255"/>
      <c r="R95" s="2255"/>
      <c r="S95" s="2255"/>
      <c r="T95" s="2255"/>
      <c r="U95" s="2255"/>
      <c r="V95" s="2255"/>
      <c r="W95" s="2255"/>
      <c r="X95" s="2255"/>
      <c r="Y95" s="2255"/>
      <c r="Z95" s="2255"/>
      <c r="AA95" s="2255"/>
      <c r="AB95" s="2255"/>
      <c r="AC95" s="2255"/>
      <c r="AD95" s="2255"/>
      <c r="BQ95" s="659"/>
    </row>
    <row r="96" spans="1:69" ht="27.75" customHeight="1" x14ac:dyDescent="0.25">
      <c r="B96" s="3437" t="s">
        <v>899</v>
      </c>
      <c r="C96" s="3438"/>
      <c r="D96" s="3438"/>
      <c r="E96" s="3439"/>
      <c r="F96" s="2264"/>
      <c r="G96" s="3484" t="s">
        <v>1592</v>
      </c>
      <c r="H96" s="3485"/>
      <c r="I96" s="3485"/>
      <c r="J96" s="3486"/>
      <c r="N96" s="2279" t="s">
        <v>1595</v>
      </c>
      <c r="O96" s="2280">
        <f t="shared" ref="O96:AC96" si="20">P11</f>
        <v>2023</v>
      </c>
      <c r="P96" s="2280">
        <f t="shared" si="20"/>
        <v>2024</v>
      </c>
      <c r="Q96" s="2280">
        <f t="shared" si="20"/>
        <v>2025</v>
      </c>
      <c r="R96" s="2280">
        <f t="shared" si="20"/>
        <v>2026</v>
      </c>
      <c r="S96" s="2280">
        <f t="shared" si="20"/>
        <v>2027</v>
      </c>
      <c r="T96" s="2280">
        <f t="shared" si="20"/>
        <v>2028</v>
      </c>
      <c r="U96" s="2280">
        <f t="shared" si="20"/>
        <v>2029</v>
      </c>
      <c r="V96" s="2280">
        <f t="shared" si="20"/>
        <v>2030</v>
      </c>
      <c r="W96" s="2280">
        <f t="shared" si="20"/>
        <v>2031</v>
      </c>
      <c r="X96" s="2280">
        <f t="shared" si="20"/>
        <v>2032</v>
      </c>
      <c r="Y96" s="2280">
        <f t="shared" si="20"/>
        <v>2033</v>
      </c>
      <c r="Z96" s="2280">
        <f t="shared" si="20"/>
        <v>2034</v>
      </c>
      <c r="AA96" s="2280">
        <f t="shared" si="20"/>
        <v>2035</v>
      </c>
      <c r="AB96" s="2280">
        <f t="shared" si="20"/>
        <v>2036</v>
      </c>
      <c r="AC96" s="2280">
        <f t="shared" si="20"/>
        <v>2037</v>
      </c>
      <c r="AD96" s="2255"/>
      <c r="BQ96" s="659"/>
    </row>
    <row r="97" spans="2:69" x14ac:dyDescent="0.25">
      <c r="B97" s="2269"/>
      <c r="C97" s="2270" t="str">
        <f>IF(('Balances y Proyecciones'!Q17)&lt;&gt;360,CONCATENATE((LEFT('Balances y Proyecciones'!H16,3))," ",RIGHT('Balances y Proyecciones'!H15,2)),CONCATENATE((LEFT('Balances y Proyecciones'!E16,3))," ",RIGHT('Balances y Proyecciones'!E15,2)))</f>
        <v>Dic 20</v>
      </c>
      <c r="D97" s="2270" t="str">
        <f>IF(('Balances y Proyecciones'!Q17)&lt;&gt;360,CONCATENATE((LEFT('Balances y Proyecciones'!N16,3))," ",RIGHT('Balances y Proyecciones'!N15,2)),CONCATENATE((LEFT('Balances y Proyecciones'!H16,3))," ",RIGHT('Balances y Proyecciones'!H15,2)))</f>
        <v>Dic 21</v>
      </c>
      <c r="E97" s="2587" t="str">
        <f>IF(('Balances y Proyecciones'!Q17)&lt;&gt;360,CONCATENATE((LEFT('Balances y Proyecciones'!Q16,3))," ",RIGHT('Balances y Proyecciones'!Q15,2)),CONCATENATE((LEFT('Balances y Proyecciones'!N16,3))," ",RIGHT('Balances y Proyecciones'!N15,2)))</f>
        <v>Jun 21</v>
      </c>
      <c r="F97" s="2264"/>
      <c r="G97" s="2269"/>
      <c r="H97" s="2270" t="str">
        <f>IF(('Balances y Proyecciones'!Q17)&lt;&gt;360,CONCATENATE((LEFT('Balances y Proyecciones'!H16,3))," ",RIGHT('Balances y Proyecciones'!H15,2)),CONCATENATE((LEFT('Balances y Proyecciones'!E16,3))," ",RIGHT('Balances y Proyecciones'!E15,2)))</f>
        <v>Dic 20</v>
      </c>
      <c r="I97" s="2270" t="str">
        <f>IF(('Balances y Proyecciones'!Q17)&lt;&gt;360,CONCATENATE((LEFT('Balances y Proyecciones'!N16,3))," ",RIGHT('Balances y Proyecciones'!N15,2)),CONCATENATE((LEFT('Balances y Proyecciones'!H16,3))," ",RIGHT('Balances y Proyecciones'!H15,2)))</f>
        <v>Dic 21</v>
      </c>
      <c r="J97" s="2588" t="str">
        <f>IF(('Balances y Proyecciones'!Q17)&lt;&gt;360,CONCATENATE((LEFT('Balances y Proyecciones'!Q16,3))," ",RIGHT('Balances y Proyecciones'!Q15,2)),CONCATENATE((LEFT('Balances y Proyecciones'!N16,3))," ",RIGHT('Balances y Proyecciones'!N15,2)))</f>
        <v>Jun 21</v>
      </c>
      <c r="N97" s="2287" t="s">
        <v>1596</v>
      </c>
      <c r="O97" s="2288">
        <f>+'Flujo de Caja Proyecto'!B12</f>
        <v>0</v>
      </c>
      <c r="P97" s="2288">
        <f>+'Flujo de Caja Proyecto'!D12</f>
        <v>0</v>
      </c>
      <c r="Q97" s="2288">
        <f>+'Flujo de Caja Proyecto'!G12</f>
        <v>0</v>
      </c>
      <c r="R97" s="2288">
        <f>+'Flujo de Caja Proyecto'!J12</f>
        <v>0</v>
      </c>
      <c r="S97" s="2288">
        <f>+'Flujo de Caja Proyecto'!M12</f>
        <v>0</v>
      </c>
      <c r="T97" s="2288">
        <f>+'Flujo de Caja Proyecto'!P12</f>
        <v>0</v>
      </c>
      <c r="U97" s="2288">
        <f>+'Flujo de Caja Proyecto'!S12</f>
        <v>0</v>
      </c>
      <c r="V97" s="2288">
        <f>+'Flujo de Caja Proyecto'!V12</f>
        <v>0</v>
      </c>
      <c r="W97" s="2288">
        <f>+'Flujo de Caja Proyecto'!Y12</f>
        <v>0</v>
      </c>
      <c r="X97" s="2288">
        <f>+'Flujo de Caja Proyecto'!AB12</f>
        <v>0</v>
      </c>
      <c r="Y97" s="2288">
        <f>+'Flujo de Caja Proyecto'!AE12</f>
        <v>0</v>
      </c>
      <c r="Z97" s="2288">
        <f>+'Flujo de Caja Proyecto'!AH12</f>
        <v>0</v>
      </c>
      <c r="AA97" s="2288">
        <f>+'Flujo de Caja Proyecto'!AK12</f>
        <v>0</v>
      </c>
      <c r="AB97" s="2288">
        <f>+'Flujo de Caja Proyecto'!AN12</f>
        <v>0</v>
      </c>
      <c r="AC97" s="2589">
        <f>+'Flujo de Caja Proyecto'!AQ12</f>
        <v>0</v>
      </c>
      <c r="AD97" s="2255"/>
      <c r="BQ97" s="659"/>
    </row>
    <row r="98" spans="2:69" x14ac:dyDescent="0.25">
      <c r="B98" s="2271" t="s">
        <v>1697</v>
      </c>
      <c r="C98" s="2444" t="s">
        <v>1768</v>
      </c>
      <c r="D98" s="2444" t="s">
        <v>1768</v>
      </c>
      <c r="E98" s="2445" t="s">
        <v>1768</v>
      </c>
      <c r="F98" s="2264"/>
      <c r="G98" s="2272" t="s">
        <v>1593</v>
      </c>
      <c r="H98" s="2282">
        <f>IF(('Balances y Proyecciones'!Q17)&lt;&gt;360,'Balances y Proyecciones'!H71,'Balances y Proyecciones'!E71)</f>
        <v>3610</v>
      </c>
      <c r="I98" s="2282">
        <f>IF(('Balances y Proyecciones'!Q17)&lt;&gt;360,'Balances y Proyecciones'!N71,'Balances y Proyecciones'!H71)</f>
        <v>3610</v>
      </c>
      <c r="J98" s="2283">
        <f>IF(('Balances y Proyecciones'!Q17)&lt;&gt;360,'Balances y Proyecciones'!Q71,'Balances y Proyecciones'!N71)</f>
        <v>3610</v>
      </c>
      <c r="N98" s="2291" t="s">
        <v>1597</v>
      </c>
      <c r="O98" s="2292"/>
      <c r="P98" s="2590" t="e">
        <f t="shared" ref="P98:AC98" si="21">P97/O97-1</f>
        <v>#DIV/0!</v>
      </c>
      <c r="Q98" s="2590" t="e">
        <f t="shared" si="21"/>
        <v>#DIV/0!</v>
      </c>
      <c r="R98" s="2590" t="e">
        <f t="shared" si="21"/>
        <v>#DIV/0!</v>
      </c>
      <c r="S98" s="2590" t="e">
        <f t="shared" si="21"/>
        <v>#DIV/0!</v>
      </c>
      <c r="T98" s="2590" t="e">
        <f t="shared" si="21"/>
        <v>#DIV/0!</v>
      </c>
      <c r="U98" s="2590" t="e">
        <f t="shared" si="21"/>
        <v>#DIV/0!</v>
      </c>
      <c r="V98" s="2590" t="e">
        <f t="shared" si="21"/>
        <v>#DIV/0!</v>
      </c>
      <c r="W98" s="2590" t="e">
        <f t="shared" si="21"/>
        <v>#DIV/0!</v>
      </c>
      <c r="X98" s="2590" t="e">
        <f t="shared" si="21"/>
        <v>#DIV/0!</v>
      </c>
      <c r="Y98" s="2590" t="e">
        <f t="shared" si="21"/>
        <v>#DIV/0!</v>
      </c>
      <c r="Z98" s="2590" t="e">
        <f t="shared" si="21"/>
        <v>#DIV/0!</v>
      </c>
      <c r="AA98" s="2590" t="e">
        <f t="shared" si="21"/>
        <v>#DIV/0!</v>
      </c>
      <c r="AB98" s="2590" t="e">
        <f t="shared" si="21"/>
        <v>#DIV/0!</v>
      </c>
      <c r="AC98" s="2591" t="e">
        <f t="shared" si="21"/>
        <v>#DIV/0!</v>
      </c>
      <c r="AD98" s="2255"/>
      <c r="BQ98" s="659"/>
    </row>
    <row r="99" spans="2:69" x14ac:dyDescent="0.25">
      <c r="B99" s="2276" t="s">
        <v>541</v>
      </c>
      <c r="C99" s="2277"/>
      <c r="D99" s="2277"/>
      <c r="E99" s="2278"/>
      <c r="F99" s="2264"/>
      <c r="G99" s="2272" t="s">
        <v>1594</v>
      </c>
      <c r="H99" s="2282">
        <f>IF(('Balances y Proyecciones'!Q17)&lt;&gt;360,-'Balances y Proyecciones'!H72-'Balances y Proyecciones'!H74,-'Balances y Proyecciones'!E72-'Balances y Proyecciones'!E74)</f>
        <v>-800</v>
      </c>
      <c r="I99" s="2282">
        <f>IF(('Balances y Proyecciones'!Q17)&lt;&gt;360,-'Balances y Proyecciones'!N72-'Balances y Proyecciones'!N74,-'Balances y Proyecciones'!H72-'Balances y Proyecciones'!H74)</f>
        <v>-800</v>
      </c>
      <c r="J99" s="2283">
        <f>IF(('Balances y Proyecciones'!Q17)&lt;&gt;360,-'Balances y Proyecciones'!Q72-'Balances y Proyecciones'!Q74,-'Balances y Proyecciones'!N72-'Balances y Proyecciones'!N74)</f>
        <v>-800</v>
      </c>
      <c r="N99" s="2293" t="s">
        <v>881</v>
      </c>
      <c r="O99" s="2288">
        <f>+'Flujo de Caja Proyecto'!B16</f>
        <v>0</v>
      </c>
      <c r="P99" s="2288">
        <f>+'Flujo de Caja Proyecto'!D16</f>
        <v>0</v>
      </c>
      <c r="Q99" s="2288">
        <f>+'Flujo de Caja Proyecto'!G16</f>
        <v>0</v>
      </c>
      <c r="R99" s="2288">
        <f>+'Flujo de Caja Proyecto'!J16</f>
        <v>0</v>
      </c>
      <c r="S99" s="2288">
        <f>+'Flujo de Caja Proyecto'!M16</f>
        <v>0</v>
      </c>
      <c r="T99" s="2288">
        <f>+'Flujo de Caja Proyecto'!P16</f>
        <v>0</v>
      </c>
      <c r="U99" s="2288">
        <f>+'Flujo de Caja Proyecto'!S16</f>
        <v>0</v>
      </c>
      <c r="V99" s="2288">
        <f>+'Flujo de Caja Proyecto'!V16</f>
        <v>0</v>
      </c>
      <c r="W99" s="2288">
        <f>+'Flujo de Caja Proyecto'!Y16</f>
        <v>0</v>
      </c>
      <c r="X99" s="2288">
        <f>+'Flujo de Caja Proyecto'!AB16</f>
        <v>0</v>
      </c>
      <c r="Y99" s="2288">
        <f>+'Flujo de Caja Proyecto'!AE16</f>
        <v>0</v>
      </c>
      <c r="Z99" s="2288">
        <f>+'Flujo de Caja Proyecto'!AH16</f>
        <v>0</v>
      </c>
      <c r="AA99" s="2288">
        <f>+'Flujo de Caja Proyecto'!AK16</f>
        <v>0</v>
      </c>
      <c r="AB99" s="2288">
        <f>+'Flujo de Caja Proyecto'!AN16</f>
        <v>0</v>
      </c>
      <c r="AC99" s="2589">
        <f>+'Flujo de Caja Proyecto'!AQ16</f>
        <v>0</v>
      </c>
      <c r="AD99" s="2255"/>
      <c r="BQ99" s="659"/>
    </row>
    <row r="100" spans="2:69" x14ac:dyDescent="0.25">
      <c r="B100" s="2272" t="s">
        <v>543</v>
      </c>
      <c r="C100" s="2282">
        <f>IF(('Balances y Proyecciones'!Q17)&lt;&gt;360,'Balances y Proyecciones'!H18,'Balances y Proyecciones'!E18)</f>
        <v>390</v>
      </c>
      <c r="D100" s="2282">
        <f>IF(('Balances y Proyecciones'!Q17)&lt;&gt;360,'Balances y Proyecciones'!N18,'Balances y Proyecciones'!H18)</f>
        <v>390</v>
      </c>
      <c r="E100" s="2283">
        <f>IF(('Balances y Proyecciones'!Q17)&lt;&gt;360,'Balances y Proyecciones'!Q18,'Balances y Proyecciones'!N18)</f>
        <v>390</v>
      </c>
      <c r="F100" s="2264"/>
      <c r="G100" s="2284" t="s">
        <v>1480</v>
      </c>
      <c r="H100" s="2298">
        <f>+H98+H99</f>
        <v>2810</v>
      </c>
      <c r="I100" s="2298">
        <f>+I98+I99</f>
        <v>2810</v>
      </c>
      <c r="J100" s="2299">
        <f>+J98+J99</f>
        <v>2810</v>
      </c>
      <c r="N100" s="2291" t="s">
        <v>882</v>
      </c>
      <c r="O100" s="2590" t="e">
        <f t="shared" ref="O100:AC100" si="22">O99/O97</f>
        <v>#DIV/0!</v>
      </c>
      <c r="P100" s="2590" t="e">
        <f t="shared" si="22"/>
        <v>#DIV/0!</v>
      </c>
      <c r="Q100" s="2590" t="e">
        <f t="shared" si="22"/>
        <v>#DIV/0!</v>
      </c>
      <c r="R100" s="2590" t="e">
        <f t="shared" si="22"/>
        <v>#DIV/0!</v>
      </c>
      <c r="S100" s="2590" t="e">
        <f t="shared" si="22"/>
        <v>#DIV/0!</v>
      </c>
      <c r="T100" s="2590" t="e">
        <f t="shared" si="22"/>
        <v>#DIV/0!</v>
      </c>
      <c r="U100" s="2590" t="e">
        <f t="shared" si="22"/>
        <v>#DIV/0!</v>
      </c>
      <c r="V100" s="2590" t="e">
        <f t="shared" si="22"/>
        <v>#DIV/0!</v>
      </c>
      <c r="W100" s="2590" t="e">
        <f t="shared" si="22"/>
        <v>#DIV/0!</v>
      </c>
      <c r="X100" s="2590" t="e">
        <f t="shared" si="22"/>
        <v>#DIV/0!</v>
      </c>
      <c r="Y100" s="2590" t="e">
        <f t="shared" si="22"/>
        <v>#DIV/0!</v>
      </c>
      <c r="Z100" s="2590" t="e">
        <f t="shared" si="22"/>
        <v>#DIV/0!</v>
      </c>
      <c r="AA100" s="2590" t="e">
        <f t="shared" si="22"/>
        <v>#DIV/0!</v>
      </c>
      <c r="AB100" s="2590" t="e">
        <f t="shared" si="22"/>
        <v>#DIV/0!</v>
      </c>
      <c r="AC100" s="2591" t="e">
        <f t="shared" si="22"/>
        <v>#DIV/0!</v>
      </c>
      <c r="AD100" s="2255"/>
      <c r="BQ100" s="659"/>
    </row>
    <row r="101" spans="2:69" x14ac:dyDescent="0.25">
      <c r="B101" s="2272" t="s">
        <v>107</v>
      </c>
      <c r="C101" s="2282">
        <f>IF(('Balances y Proyecciones'!Q17)&lt;&gt;360,'Balances y Proyecciones'!H19+'Balances y Proyecciones'!H20,'Balances y Proyecciones'!E19+'Balances y Proyecciones'!E20)</f>
        <v>90</v>
      </c>
      <c r="D101" s="2282">
        <f>IF(('Balances y Proyecciones'!Q17)&lt;&gt;360,'Balances y Proyecciones'!N19+'Balances y Proyecciones'!N20,'Balances y Proyecciones'!H19+'Balances y Proyecciones'!H20)</f>
        <v>90</v>
      </c>
      <c r="E101" s="2283">
        <f>IF(('Balances y Proyecciones'!Q17)&lt;&gt;360,'Balances y Proyecciones'!Q19+'Balances y Proyecciones'!Q20,'Balances y Proyecciones'!N19+'Balances y Proyecciones'!N20)</f>
        <v>90</v>
      </c>
      <c r="F101" s="2264"/>
      <c r="G101" s="2284" t="s">
        <v>881</v>
      </c>
      <c r="H101" s="2298">
        <f>IF(('Balances y Proyecciones'!Q17)&lt;&gt;360,'Balances y Proyecciones'!H93,'Balances y Proyecciones'!E93)</f>
        <v>2850</v>
      </c>
      <c r="I101" s="2298">
        <f>IF(('Balances y Proyecciones'!Q17)&lt;&gt;360,'Balances y Proyecciones'!N93,'Balances y Proyecciones'!H93)</f>
        <v>2850</v>
      </c>
      <c r="J101" s="2299">
        <f>IF(('Balances y Proyecciones'!Q17)&lt;&gt;360,'Balances y Proyecciones'!Q93,'Balances y Proyecciones'!N93)</f>
        <v>2850</v>
      </c>
      <c r="N101" s="2293" t="s">
        <v>1602</v>
      </c>
      <c r="O101" s="2288">
        <f>+'Flujo de Caja Proyecto'!B18</f>
        <v>0</v>
      </c>
      <c r="P101" s="2288">
        <f>+'Flujo de Caja Proyecto'!D18</f>
        <v>0</v>
      </c>
      <c r="Q101" s="2288">
        <f>+'Flujo de Caja Proyecto'!G18</f>
        <v>0</v>
      </c>
      <c r="R101" s="2288">
        <f>+'Flujo de Caja Proyecto'!J18</f>
        <v>0</v>
      </c>
      <c r="S101" s="2288">
        <f>+'Flujo de Caja Proyecto'!M18</f>
        <v>0</v>
      </c>
      <c r="T101" s="2288">
        <f>+'Flujo de Caja Proyecto'!P18</f>
        <v>0</v>
      </c>
      <c r="U101" s="2288">
        <f>+'Flujo de Caja Proyecto'!S18</f>
        <v>0</v>
      </c>
      <c r="V101" s="2288">
        <f>+'Flujo de Caja Proyecto'!V18</f>
        <v>0</v>
      </c>
      <c r="W101" s="2288">
        <f>+'Flujo de Caja Proyecto'!Y18</f>
        <v>0</v>
      </c>
      <c r="X101" s="2288">
        <f>+'Flujo de Caja Proyecto'!AB18</f>
        <v>0</v>
      </c>
      <c r="Y101" s="2288">
        <f>+'Flujo de Caja Proyecto'!AE18</f>
        <v>0</v>
      </c>
      <c r="Z101" s="2288">
        <f>+'Flujo de Caja Proyecto'!AH18</f>
        <v>0</v>
      </c>
      <c r="AA101" s="2288">
        <f>+'Flujo de Caja Proyecto'!AK18</f>
        <v>0</v>
      </c>
      <c r="AB101" s="2288">
        <f>+'Flujo de Caja Proyecto'!AN18</f>
        <v>0</v>
      </c>
      <c r="AC101" s="2589">
        <f>+'Flujo de Caja Proyecto'!AQ18</f>
        <v>0</v>
      </c>
      <c r="AD101" s="2255"/>
      <c r="BQ101" s="659"/>
    </row>
    <row r="102" spans="2:69" ht="27" x14ac:dyDescent="0.25">
      <c r="B102" s="2272" t="s">
        <v>1598</v>
      </c>
      <c r="C102" s="2282">
        <f>IF(('Balances y Proyecciones'!Q17)&lt;&gt;360,'Balances y Proyecciones'!H21+'Balances y Proyecciones'!H22,'Balances y Proyecciones'!E21+'Balances y Proyecciones'!E22)</f>
        <v>390</v>
      </c>
      <c r="D102" s="2282">
        <f>IF(('Balances y Proyecciones'!Q17)&lt;&gt;360,'Balances y Proyecciones'!N21+'Balances y Proyecciones'!N22,'Balances y Proyecciones'!H21+'Balances y Proyecciones'!H22)</f>
        <v>390</v>
      </c>
      <c r="E102" s="2283">
        <f>IF(('Balances y Proyecciones'!Q17)&lt;&gt;360,'Balances y Proyecciones'!Q21+'Balances y Proyecciones'!Q22,'Balances y Proyecciones'!N21+'Balances y Proyecciones'!N22)</f>
        <v>390</v>
      </c>
      <c r="F102" s="2264"/>
      <c r="G102" s="2272" t="s">
        <v>1497</v>
      </c>
      <c r="H102" s="2282">
        <f>IF(('Balances y Proyecciones'!Q17)&lt;&gt;360,-'Balances y Proyecciones'!H76,-'Balances y Proyecciones'!E76)</f>
        <v>-10</v>
      </c>
      <c r="I102" s="2282">
        <f>IF(('Balances y Proyecciones'!Q17)&lt;&gt;360,-'Balances y Proyecciones'!N76,-'Balances y Proyecciones'!H76)</f>
        <v>-10</v>
      </c>
      <c r="J102" s="2283">
        <f>IF(('Balances y Proyecciones'!Q17)&lt;&gt;360,-'Balances y Proyecciones'!Q76,-'Balances y Proyecciones'!N76)</f>
        <v>-10</v>
      </c>
      <c r="N102" s="2293" t="s">
        <v>811</v>
      </c>
      <c r="O102" s="2288">
        <f>+'Flujo de Caja Proyecto'!B19</f>
        <v>0</v>
      </c>
      <c r="P102" s="2288">
        <f>+'Flujo de Caja Proyecto'!D19</f>
        <v>0</v>
      </c>
      <c r="Q102" s="2288">
        <f>+'Flujo de Caja Proyecto'!G19</f>
        <v>0</v>
      </c>
      <c r="R102" s="2288">
        <f>+'Flujo de Caja Proyecto'!J19</f>
        <v>0</v>
      </c>
      <c r="S102" s="2288">
        <f>+'Flujo de Caja Proyecto'!M19</f>
        <v>0</v>
      </c>
      <c r="T102" s="2288">
        <f>+'Flujo de Caja Proyecto'!P19</f>
        <v>0</v>
      </c>
      <c r="U102" s="2288">
        <f>+'Flujo de Caja Proyecto'!S19</f>
        <v>0</v>
      </c>
      <c r="V102" s="2288">
        <f>+'Flujo de Caja Proyecto'!V19</f>
        <v>0</v>
      </c>
      <c r="W102" s="2288">
        <f>+'Flujo de Caja Proyecto'!Y19</f>
        <v>0</v>
      </c>
      <c r="X102" s="2288">
        <f>+'Flujo de Caja Proyecto'!AB19</f>
        <v>0</v>
      </c>
      <c r="Y102" s="2288">
        <f>+'Flujo de Caja Proyecto'!AE19</f>
        <v>0</v>
      </c>
      <c r="Z102" s="2288">
        <f>+'Flujo de Caja Proyecto'!AH19</f>
        <v>0</v>
      </c>
      <c r="AA102" s="2288">
        <f>+'Flujo de Caja Proyecto'!AK19</f>
        <v>0</v>
      </c>
      <c r="AB102" s="2288">
        <f>+'Flujo de Caja Proyecto'!AN19</f>
        <v>0</v>
      </c>
      <c r="AC102" s="2589">
        <f>+'Flujo de Caja Proyecto'!AQ19</f>
        <v>0</v>
      </c>
      <c r="AD102" s="2255"/>
      <c r="BQ102" s="659"/>
    </row>
    <row r="103" spans="2:69" ht="27" x14ac:dyDescent="0.25">
      <c r="B103" s="2272" t="s">
        <v>1769</v>
      </c>
      <c r="C103" s="2282">
        <f>IF(('Balances y Proyecciones'!Q17)&lt;&gt;360,'Estados Financieros'!F33,'Estados Financieros'!E33)</f>
        <v>90</v>
      </c>
      <c r="D103" s="2282">
        <f>IF(('Balances y Proyecciones'!Q17)&lt;&gt;360,'Estados Financieros'!G33,'Estados Financieros'!F33)</f>
        <v>90</v>
      </c>
      <c r="E103" s="2283">
        <f>IF(('Balances y Proyecciones'!Q17)&lt;&gt;360,'Estados Financieros'!H33,'Estados Financieros'!G33)</f>
        <v>90</v>
      </c>
      <c r="F103" s="2264"/>
      <c r="G103" s="2272" t="s">
        <v>1600</v>
      </c>
      <c r="H103" s="2592">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10</v>
      </c>
      <c r="I103" s="2592">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10</v>
      </c>
      <c r="J103" s="2593">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10</v>
      </c>
      <c r="N103" s="2293" t="s">
        <v>1771</v>
      </c>
      <c r="O103" s="2288">
        <f>+'Flujo de Caja Proyecto'!B23</f>
        <v>0</v>
      </c>
      <c r="P103" s="2288">
        <f>+'Flujo de Caja Proyecto'!D23</f>
        <v>0</v>
      </c>
      <c r="Q103" s="2288">
        <f>+'Flujo de Caja Proyecto'!G23</f>
        <v>0</v>
      </c>
      <c r="R103" s="2288">
        <f>+'Flujo de Caja Proyecto'!J23</f>
        <v>0</v>
      </c>
      <c r="S103" s="2288">
        <f>+'Flujo de Caja Proyecto'!M23</f>
        <v>0</v>
      </c>
      <c r="T103" s="2288">
        <f>+'Flujo de Caja Proyecto'!P23</f>
        <v>0</v>
      </c>
      <c r="U103" s="2288">
        <f>+'Flujo de Caja Proyecto'!S23</f>
        <v>0</v>
      </c>
      <c r="V103" s="2288">
        <f>+'Flujo de Caja Proyecto'!V23</f>
        <v>0</v>
      </c>
      <c r="W103" s="2288">
        <f>+'Flujo de Caja Proyecto'!Y23</f>
        <v>0</v>
      </c>
      <c r="X103" s="2288">
        <f>+'Flujo de Caja Proyecto'!AB23</f>
        <v>0</v>
      </c>
      <c r="Y103" s="2288">
        <f>+'Flujo de Caja Proyecto'!AE23</f>
        <v>0</v>
      </c>
      <c r="Z103" s="2288">
        <f>+'Flujo de Caja Proyecto'!AH23</f>
        <v>0</v>
      </c>
      <c r="AA103" s="2288">
        <f>+'Flujo de Caja Proyecto'!AK23</f>
        <v>0</v>
      </c>
      <c r="AB103" s="2288">
        <f>+'Flujo de Caja Proyecto'!AN23</f>
        <v>0</v>
      </c>
      <c r="AC103" s="2589">
        <f>+'Flujo de Caja Proyecto'!AQ23</f>
        <v>0</v>
      </c>
      <c r="AD103" s="2255"/>
      <c r="BQ103" s="659"/>
    </row>
    <row r="104" spans="2:69" x14ac:dyDescent="0.25">
      <c r="B104" s="2272" t="s">
        <v>1770</v>
      </c>
      <c r="C104" s="2282">
        <f>IF(('Balances y Proyecciones'!Q17)&lt;&gt;360,'Estados Financieros'!F39,'Estados Financieros'!E39)</f>
        <v>30</v>
      </c>
      <c r="D104" s="2282">
        <f>IF(('Balances y Proyecciones'!Q17)&lt;&gt;360,'Estados Financieros'!G39,'Estados Financieros'!F39)</f>
        <v>30</v>
      </c>
      <c r="E104" s="2283">
        <f>IF(('Balances y Proyecciones'!Q17)&lt;&gt;360,'Estados Financieros'!H39,'Estados Financieros'!G39)</f>
        <v>30</v>
      </c>
      <c r="F104" s="2264"/>
      <c r="G104" s="2272" t="s">
        <v>1601</v>
      </c>
      <c r="H104" s="2592">
        <f>IF(('Balances y Proyecciones'!Q17)&lt;&gt;360,'Balances y Proyecciones'!H78,'Balances y Proyecciones'!E78)</f>
        <v>0</v>
      </c>
      <c r="I104" s="2592">
        <f>IF(('Balances y Proyecciones'!Q17)&lt;&gt;360,'Balances y Proyecciones'!N78,'Balances y Proyecciones'!H78)</f>
        <v>0</v>
      </c>
      <c r="J104" s="2593">
        <f>IF(('Balances y Proyecciones'!Q17)&lt;&gt;360,'Balances y Proyecciones'!Q78,'Balances y Proyecciones'!N78)</f>
        <v>0</v>
      </c>
      <c r="N104" s="2305" t="s">
        <v>1610</v>
      </c>
      <c r="O104" s="2306">
        <f t="shared" ref="O104:AC104" si="23">+O99+O101+O102+O103</f>
        <v>0</v>
      </c>
      <c r="P104" s="2306">
        <f t="shared" si="23"/>
        <v>0</v>
      </c>
      <c r="Q104" s="2306">
        <f t="shared" si="23"/>
        <v>0</v>
      </c>
      <c r="R104" s="2306">
        <f t="shared" si="23"/>
        <v>0</v>
      </c>
      <c r="S104" s="2306">
        <f t="shared" si="23"/>
        <v>0</v>
      </c>
      <c r="T104" s="2306">
        <f t="shared" si="23"/>
        <v>0</v>
      </c>
      <c r="U104" s="2306">
        <f t="shared" si="23"/>
        <v>0</v>
      </c>
      <c r="V104" s="2306">
        <f t="shared" si="23"/>
        <v>0</v>
      </c>
      <c r="W104" s="2306">
        <f t="shared" si="23"/>
        <v>0</v>
      </c>
      <c r="X104" s="2306">
        <f t="shared" si="23"/>
        <v>0</v>
      </c>
      <c r="Y104" s="2306">
        <f t="shared" si="23"/>
        <v>0</v>
      </c>
      <c r="Z104" s="2306">
        <f t="shared" si="23"/>
        <v>0</v>
      </c>
      <c r="AA104" s="2306">
        <f t="shared" si="23"/>
        <v>0</v>
      </c>
      <c r="AB104" s="2306">
        <f t="shared" si="23"/>
        <v>0</v>
      </c>
      <c r="AC104" s="2594">
        <f t="shared" si="23"/>
        <v>0</v>
      </c>
      <c r="AD104" s="2255"/>
      <c r="BQ104" s="659"/>
    </row>
    <row r="105" spans="2:69" ht="27" x14ac:dyDescent="0.25">
      <c r="B105" s="2272" t="s">
        <v>1772</v>
      </c>
      <c r="C105" s="2282">
        <f>IF(('Balances y Proyecciones'!Q17)&lt;&gt;360,'Estados Financieros'!F47-'Estados Financieros'!F33-'Estados Financieros'!F35-'Estados Financieros'!F39-'Estados Financieros'!F40,'Estados Financieros'!E47-'Estados Financieros'!E33-'Estados Financieros'!E35-'Estados Financieros'!E39-'Estados Financieros'!E40)</f>
        <v>-150</v>
      </c>
      <c r="D105" s="2282">
        <f>IF(('Balances y Proyecciones'!Q17)&lt;&gt;360,'Estados Financieros'!G47-'Estados Financieros'!G33-'Estados Financieros'!G35-'Estados Financieros'!G39-'Estados Financieros'!G40,'Estados Financieros'!F47-'Estados Financieros'!F33-'Estados Financieros'!F35-'Estados Financieros'!F39-'Estados Financieros'!F40)</f>
        <v>-150</v>
      </c>
      <c r="E105" s="2283">
        <f>IF(('Balances y Proyecciones'!Q17)&lt;&gt;360,'Estados Financieros'!H47-'Estados Financieros'!H33-'Estados Financieros'!H35-'Estados Financieros'!H39-'Estados Financieros'!H40,'Estados Financieros'!G47-'Estados Financieros'!G33-'Estados Financieros'!G35-'Estados Financieros'!G39-'Estados Financieros'!G40)</f>
        <v>-150</v>
      </c>
      <c r="F105" s="2264"/>
      <c r="G105" s="2272" t="s">
        <v>811</v>
      </c>
      <c r="H105" s="2592">
        <f>IF(('Balances y Proyecciones'!Q17)&lt;&gt;360,-'Balances y Proyecciones'!H88,-'Balances y Proyecciones'!E88)</f>
        <v>0</v>
      </c>
      <c r="I105" s="2592">
        <f>IF(('Balances y Proyecciones'!Q17)&lt;&gt;360,-'Balances y Proyecciones'!N88,-'Balances y Proyecciones'!H88)</f>
        <v>0</v>
      </c>
      <c r="J105" s="2593">
        <f>IF(('Balances y Proyecciones'!Q17)&lt;&gt;360,-'Balances y Proyecciones'!Q88,-'Balances y Proyecciones'!N88)</f>
        <v>0</v>
      </c>
      <c r="N105" s="2293" t="s">
        <v>1774</v>
      </c>
      <c r="O105" s="2288">
        <f>+'Flujo de Caja Proyecto'!B25</f>
        <v>0</v>
      </c>
      <c r="P105" s="2288">
        <f>+'Flujo de Caja Proyecto'!D25</f>
        <v>0</v>
      </c>
      <c r="Q105" s="2288">
        <f>+'Flujo de Caja Proyecto'!G25</f>
        <v>0</v>
      </c>
      <c r="R105" s="2288">
        <f>+'Flujo de Caja Proyecto'!J25</f>
        <v>0</v>
      </c>
      <c r="S105" s="2288">
        <f>+'Flujo de Caja Proyecto'!M25</f>
        <v>0</v>
      </c>
      <c r="T105" s="2288">
        <f>+'Flujo de Caja Proyecto'!P25</f>
        <v>0</v>
      </c>
      <c r="U105" s="2288">
        <f>+'Flujo de Caja Proyecto'!S25</f>
        <v>0</v>
      </c>
      <c r="V105" s="2288">
        <f>+'Flujo de Caja Proyecto'!V25</f>
        <v>0</v>
      </c>
      <c r="W105" s="2288">
        <f>+'Flujo de Caja Proyecto'!Y25</f>
        <v>0</v>
      </c>
      <c r="X105" s="2288">
        <f>+'Flujo de Caja Proyecto'!AB25</f>
        <v>0</v>
      </c>
      <c r="Y105" s="2288">
        <f>+'Flujo de Caja Proyecto'!AE25</f>
        <v>0</v>
      </c>
      <c r="Z105" s="2288">
        <f>+'Flujo de Caja Proyecto'!AH25</f>
        <v>0</v>
      </c>
      <c r="AA105" s="2288">
        <f>+'Flujo de Caja Proyecto'!AK25</f>
        <v>0</v>
      </c>
      <c r="AB105" s="2288">
        <f>+'Flujo de Caja Proyecto'!AN25</f>
        <v>0</v>
      </c>
      <c r="AC105" s="2589">
        <f>+'Flujo de Caja Proyecto'!AQ25</f>
        <v>0</v>
      </c>
      <c r="AD105" s="2255"/>
      <c r="BQ105" s="659"/>
    </row>
    <row r="106" spans="2:69" x14ac:dyDescent="0.25">
      <c r="B106" s="2272" t="s">
        <v>1773</v>
      </c>
      <c r="C106" s="2282">
        <f>IF(('Balances y Proyecciones'!Q17)&lt;&gt;360,'Estados Financieros'!F35+'Estados Financieros'!F40,'Estados Financieros'!E35+'Estados Financieros'!E40)</f>
        <v>60</v>
      </c>
      <c r="D106" s="2282">
        <f>IF(('Balances y Proyecciones'!Q17)&lt;&gt;360,'Estados Financieros'!G35+'Estados Financieros'!G40,'Estados Financieros'!F35+'Estados Financieros'!F40)</f>
        <v>60</v>
      </c>
      <c r="E106" s="2283">
        <f>IF(('Balances y Proyecciones'!Q17)&lt;&gt;360,'Estados Financieros'!H35+'Estados Financieros'!H40,'Estados Financieros'!G35+'Estados Financieros'!G40)</f>
        <v>60</v>
      </c>
      <c r="F106" s="2264"/>
      <c r="G106" s="2300" t="s">
        <v>1487</v>
      </c>
      <c r="H106" s="2595">
        <f>+H100+H102+H103+H104+H105</f>
        <v>2810</v>
      </c>
      <c r="I106" s="2595">
        <f>+I100+I102+I103+I104+I105</f>
        <v>2810</v>
      </c>
      <c r="J106" s="2596">
        <f>+J100+J102+J103+J104+J105</f>
        <v>2810</v>
      </c>
      <c r="N106" s="2293" t="s">
        <v>1615</v>
      </c>
      <c r="O106" s="2288">
        <f>+'Flujo de Caja Proyecto'!B24</f>
        <v>0</v>
      </c>
      <c r="P106" s="2288">
        <f>+'Flujo de Caja Proyecto'!D24</f>
        <v>0</v>
      </c>
      <c r="Q106" s="2288">
        <f>+'Flujo de Caja Proyecto'!G24</f>
        <v>0</v>
      </c>
      <c r="R106" s="2288">
        <f>+'Flujo de Caja Proyecto'!J24</f>
        <v>0</v>
      </c>
      <c r="S106" s="2288">
        <f>+'Flujo de Caja Proyecto'!M24</f>
        <v>0</v>
      </c>
      <c r="T106" s="2288">
        <f>+'Flujo de Caja Proyecto'!P24</f>
        <v>0</v>
      </c>
      <c r="U106" s="2288">
        <f>+'Flujo de Caja Proyecto'!S24</f>
        <v>0</v>
      </c>
      <c r="V106" s="2288">
        <f>+'Flujo de Caja Proyecto'!V24</f>
        <v>0</v>
      </c>
      <c r="W106" s="2288">
        <f>+'Flujo de Caja Proyecto'!Y24</f>
        <v>0</v>
      </c>
      <c r="X106" s="2288">
        <f>+'Flujo de Caja Proyecto'!AB24</f>
        <v>0</v>
      </c>
      <c r="Y106" s="2288">
        <f>+'Flujo de Caja Proyecto'!AE24</f>
        <v>0</v>
      </c>
      <c r="Z106" s="2288">
        <f>+'Flujo de Caja Proyecto'!AH24</f>
        <v>0</v>
      </c>
      <c r="AA106" s="2288">
        <f>+'Flujo de Caja Proyecto'!AK24</f>
        <v>0</v>
      </c>
      <c r="AB106" s="2288">
        <f>+'Flujo de Caja Proyecto'!AN24</f>
        <v>0</v>
      </c>
      <c r="AC106" s="2589">
        <f>+'Flujo de Caja Proyecto'!AQ24</f>
        <v>0</v>
      </c>
      <c r="AD106" s="2255"/>
      <c r="BQ106" s="659"/>
    </row>
    <row r="107" spans="2:69" x14ac:dyDescent="0.25">
      <c r="B107" s="2272" t="s">
        <v>663</v>
      </c>
      <c r="C107" s="2282">
        <f>IF(('Balances y Proyecciones'!Q17)&lt;&gt;360,'Estados Financieros'!F74+'Estados Financieros'!F82+'Estados Financieros'!F88,'Estados Financieros'!E74+'Estados Financieros'!E82+'Estados Financieros'!E88)</f>
        <v>90</v>
      </c>
      <c r="D107" s="2282">
        <f>IF(('Balances y Proyecciones'!Q17)&lt;&gt;360,'Estados Financieros'!G74+'Estados Financieros'!G82+'Estados Financieros'!G88,'Estados Financieros'!F74+'Estados Financieros'!F82+'Estados Financieros'!F88)</f>
        <v>90</v>
      </c>
      <c r="E107" s="2283">
        <f>IF(('Balances y Proyecciones'!Q17)&lt;&gt;360,'Estados Financieros'!H74+'Estados Financieros'!H82+'Estados Financieros'!H88,'Estados Financieros'!G74+'Estados Financieros'!G82+'Estados Financieros'!G88)</f>
        <v>90</v>
      </c>
      <c r="F107" s="2264"/>
      <c r="N107" s="2305" t="s">
        <v>1617</v>
      </c>
      <c r="O107" s="2306">
        <f t="shared" ref="O107:AC107" si="24">+O104+O105+O106</f>
        <v>0</v>
      </c>
      <c r="P107" s="2306">
        <f t="shared" si="24"/>
        <v>0</v>
      </c>
      <c r="Q107" s="2306">
        <f t="shared" si="24"/>
        <v>0</v>
      </c>
      <c r="R107" s="2306">
        <f t="shared" si="24"/>
        <v>0</v>
      </c>
      <c r="S107" s="2306">
        <f t="shared" si="24"/>
        <v>0</v>
      </c>
      <c r="T107" s="2306">
        <f t="shared" si="24"/>
        <v>0</v>
      </c>
      <c r="U107" s="2306">
        <f t="shared" si="24"/>
        <v>0</v>
      </c>
      <c r="V107" s="2306">
        <f t="shared" si="24"/>
        <v>0</v>
      </c>
      <c r="W107" s="2306">
        <f t="shared" si="24"/>
        <v>0</v>
      </c>
      <c r="X107" s="2306">
        <f t="shared" si="24"/>
        <v>0</v>
      </c>
      <c r="Y107" s="2306">
        <f t="shared" si="24"/>
        <v>0</v>
      </c>
      <c r="Z107" s="2306">
        <f t="shared" si="24"/>
        <v>0</v>
      </c>
      <c r="AA107" s="2306">
        <f t="shared" si="24"/>
        <v>0</v>
      </c>
      <c r="AB107" s="2306">
        <f t="shared" si="24"/>
        <v>0</v>
      </c>
      <c r="AC107" s="2594">
        <f t="shared" si="24"/>
        <v>0</v>
      </c>
      <c r="AD107" s="2255"/>
      <c r="BQ107" s="659"/>
    </row>
    <row r="108" spans="2:69" x14ac:dyDescent="0.25">
      <c r="B108" s="2284" t="s">
        <v>1603</v>
      </c>
      <c r="C108" s="2298">
        <f>SUM(C100:C107)</f>
        <v>990</v>
      </c>
      <c r="D108" s="2298">
        <f>SUM(D100:D107)</f>
        <v>990</v>
      </c>
      <c r="E108" s="2299">
        <f>SUM(E100:E107)</f>
        <v>990</v>
      </c>
      <c r="F108" s="2264"/>
      <c r="G108" s="2279" t="s">
        <v>1607</v>
      </c>
      <c r="H108" s="2304"/>
      <c r="I108" s="2304"/>
      <c r="J108" s="2495"/>
      <c r="N108" s="2293" t="s">
        <v>1497</v>
      </c>
      <c r="O108" s="2288">
        <f ca="1">+'Flujo de Caja Proyecto'!B35</f>
        <v>0</v>
      </c>
      <c r="P108" s="2288">
        <f ca="1">+'Flujo de Caja Proyecto'!D35</f>
        <v>0</v>
      </c>
      <c r="Q108" s="2288">
        <f ca="1">+'Flujo de Caja Proyecto'!G35</f>
        <v>0</v>
      </c>
      <c r="R108" s="2288">
        <f ca="1">+'Flujo de Caja Proyecto'!J35</f>
        <v>0</v>
      </c>
      <c r="S108" s="2288">
        <f ca="1">+'Flujo de Caja Proyecto'!M35</f>
        <v>0</v>
      </c>
      <c r="T108" s="2288">
        <f ca="1">+'Flujo de Caja Proyecto'!P35</f>
        <v>0</v>
      </c>
      <c r="U108" s="2288">
        <f ca="1">+'Flujo de Caja Proyecto'!S35</f>
        <v>0</v>
      </c>
      <c r="V108" s="2288">
        <f ca="1">+'Flujo de Caja Proyecto'!V35</f>
        <v>0</v>
      </c>
      <c r="W108" s="2288">
        <f ca="1">+'Flujo de Caja Proyecto'!Y35</f>
        <v>0</v>
      </c>
      <c r="X108" s="2288">
        <f ca="1">+'Flujo de Caja Proyecto'!AB35</f>
        <v>0</v>
      </c>
      <c r="Y108" s="2288">
        <f ca="1">+'Flujo de Caja Proyecto'!AE35</f>
        <v>0</v>
      </c>
      <c r="Z108" s="2288">
        <f ca="1">+'Flujo de Caja Proyecto'!AH35</f>
        <v>0</v>
      </c>
      <c r="AA108" s="2288">
        <f ca="1">+'Flujo de Caja Proyecto'!AK35</f>
        <v>0</v>
      </c>
      <c r="AB108" s="2288">
        <f ca="1">+'Flujo de Caja Proyecto'!AN35</f>
        <v>0</v>
      </c>
      <c r="AC108" s="2589">
        <f ca="1">+'Flujo de Caja Proyecto'!AQ35</f>
        <v>0</v>
      </c>
      <c r="AD108" s="2255"/>
      <c r="BQ108" s="659"/>
    </row>
    <row r="109" spans="2:69" x14ac:dyDescent="0.25">
      <c r="B109" s="2272" t="s">
        <v>1604</v>
      </c>
      <c r="C109" s="2282">
        <f>IF(('Balances y Proyecciones'!Q17)&lt;&gt;360,'Balances y Proyecciones'!H28+'Balances y Proyecciones'!H29,'Balances y Proyecciones'!E28+'Balances y Proyecciones'!E29)</f>
        <v>600</v>
      </c>
      <c r="D109" s="2282">
        <f>IF(('Balances y Proyecciones'!Q17)&lt;&gt;360,'Balances y Proyecciones'!N28+'Balances y Proyecciones'!N29,'Balances y Proyecciones'!H28+'Balances y Proyecciones'!H29)</f>
        <v>600</v>
      </c>
      <c r="E109" s="2283">
        <f>IF(('Balances y Proyecciones'!Q17)&lt;&gt;360,'Balances y Proyecciones'!Q28+'Balances y Proyecciones'!Q29,'Balances y Proyecciones'!N28+'Balances y Proyecciones'!N29)</f>
        <v>600</v>
      </c>
      <c r="F109" s="2264"/>
      <c r="G109" s="2269"/>
      <c r="H109" s="2270" t="str">
        <f>IF(('Balances y Proyecciones'!Q17)&lt;&gt;360,CONCATENATE((LEFT('Balances y Proyecciones'!H16,3))," ",RIGHT('Balances y Proyecciones'!H15,2)),CONCATENATE((LEFT('Balances y Proyecciones'!E16,3))," ",RIGHT('Balances y Proyecciones'!E15,2)))</f>
        <v>Dic 20</v>
      </c>
      <c r="I109" s="2270" t="str">
        <f>IF(('Balances y Proyecciones'!Q17)&lt;&gt;360,CONCATENATE((LEFT('Balances y Proyecciones'!N16,3))," ",RIGHT('Balances y Proyecciones'!N15,2)),CONCATENATE((LEFT('Balances y Proyecciones'!H16,3))," ",RIGHT('Balances y Proyecciones'!H15,2)))</f>
        <v>Dic 21</v>
      </c>
      <c r="J109" s="2268" t="str">
        <f>IF(('Balances y Proyecciones'!Q17)&lt;&gt;360,CONCATENATE((LEFT('Balances y Proyecciones'!Q16,3))," ",RIGHT('Balances y Proyecciones'!Q15,2)),CONCATENATE((LEFT('Balances y Proyecciones'!N16,3))," ",RIGHT('Balances y Proyecciones'!N15,2)))</f>
        <v>Jun 21</v>
      </c>
      <c r="N109" s="2293" t="s">
        <v>1620</v>
      </c>
      <c r="O109" s="2288">
        <f>+'Flujo de Caja Proyecto'!B36+'Flujo de Caja Proyecto'!B37+'Flujo de Caja Proyecto'!B38</f>
        <v>0</v>
      </c>
      <c r="P109" s="2288">
        <f ca="1">+'Flujo de Caja Proyecto'!D36+'Flujo de Caja Proyecto'!D37+'Flujo de Caja Proyecto'!D38</f>
        <v>0</v>
      </c>
      <c r="Q109" s="2288">
        <f ca="1">+'Flujo de Caja Proyecto'!G36+'Flujo de Caja Proyecto'!G37+'Flujo de Caja Proyecto'!G38</f>
        <v>0</v>
      </c>
      <c r="R109" s="2288">
        <f ca="1">+'Flujo de Caja Proyecto'!J36+'Flujo de Caja Proyecto'!J37+'Flujo de Caja Proyecto'!J38</f>
        <v>0</v>
      </c>
      <c r="S109" s="2288">
        <f ca="1">+'Flujo de Caja Proyecto'!M36+'Flujo de Caja Proyecto'!M37+'Flujo de Caja Proyecto'!M38</f>
        <v>0</v>
      </c>
      <c r="T109" s="2288">
        <f ca="1">+'Flujo de Caja Proyecto'!P36+'Flujo de Caja Proyecto'!P37+'Flujo de Caja Proyecto'!P38</f>
        <v>0</v>
      </c>
      <c r="U109" s="2288">
        <f ca="1">+'Flujo de Caja Proyecto'!S36+'Flujo de Caja Proyecto'!S37+'Flujo de Caja Proyecto'!S38</f>
        <v>0</v>
      </c>
      <c r="V109" s="2288">
        <f ca="1">+'Flujo de Caja Proyecto'!V36+'Flujo de Caja Proyecto'!V37+'Flujo de Caja Proyecto'!V38</f>
        <v>0</v>
      </c>
      <c r="W109" s="2288">
        <f ca="1">+'Flujo de Caja Proyecto'!Y36+'Flujo de Caja Proyecto'!Y37+'Flujo de Caja Proyecto'!Y38</f>
        <v>0</v>
      </c>
      <c r="X109" s="2288">
        <f ca="1">+'Flujo de Caja Proyecto'!AB36+'Flujo de Caja Proyecto'!AB37+'Flujo de Caja Proyecto'!AB38</f>
        <v>0</v>
      </c>
      <c r="Y109" s="2288">
        <f ca="1">+'Flujo de Caja Proyecto'!AE36+'Flujo de Caja Proyecto'!AE37+'Flujo de Caja Proyecto'!AE38</f>
        <v>0</v>
      </c>
      <c r="Z109" s="2288">
        <f ca="1">+'Flujo de Caja Proyecto'!AH36+'Flujo de Caja Proyecto'!AH37+'Flujo de Caja Proyecto'!AH38</f>
        <v>0</v>
      </c>
      <c r="AA109" s="2288">
        <f ca="1">+'Flujo de Caja Proyecto'!AK36+'Flujo de Caja Proyecto'!AK37+'Flujo de Caja Proyecto'!AK38</f>
        <v>0</v>
      </c>
      <c r="AB109" s="2288">
        <f ca="1">+'Flujo de Caja Proyecto'!AN36+'Flujo de Caja Proyecto'!AN37+'Flujo de Caja Proyecto'!AN38</f>
        <v>0</v>
      </c>
      <c r="AC109" s="2589">
        <f ca="1">+'Flujo de Caja Proyecto'!AQ36+'Flujo de Caja Proyecto'!AQ37+'Flujo de Caja Proyecto'!AQ38</f>
        <v>0</v>
      </c>
      <c r="AD109" s="2255"/>
      <c r="BQ109" s="659"/>
    </row>
    <row r="110" spans="2:69" x14ac:dyDescent="0.25">
      <c r="B110" s="2272" t="s">
        <v>1491</v>
      </c>
      <c r="C110" s="2282">
        <f>IF(('Balances y Proyecciones'!Q17)&lt;&gt;360,'Balances y Proyecciones'!H27,'Balances y Proyecciones'!E27)</f>
        <v>270</v>
      </c>
      <c r="D110" s="2282">
        <f>IF(('Balances y Proyecciones'!Q17)&lt;&gt;360,'Balances y Proyecciones'!N27,'Balances y Proyecciones'!H27)</f>
        <v>270</v>
      </c>
      <c r="E110" s="2283">
        <f>IF(('Balances y Proyecciones'!Q17)&lt;&gt;360,'Balances y Proyecciones'!Q27,'Balances y Proyecciones'!N27)</f>
        <v>270</v>
      </c>
      <c r="F110" s="2264"/>
      <c r="G110" s="2307" t="s">
        <v>1612</v>
      </c>
      <c r="H110" s="2264"/>
      <c r="I110" s="2264"/>
      <c r="J110" s="2308"/>
      <c r="N110" s="2293" t="s">
        <v>1622</v>
      </c>
      <c r="O110" s="2288">
        <f ca="1">+'Flujo de Caja Proyecto'!B29</f>
        <v>0</v>
      </c>
      <c r="P110" s="2288">
        <f ca="1">+'Flujo de Caja Proyecto'!D29</f>
        <v>0</v>
      </c>
      <c r="Q110" s="2288">
        <f ca="1">+'Flujo de Caja Proyecto'!G29</f>
        <v>0</v>
      </c>
      <c r="R110" s="2288">
        <f ca="1">+'Flujo de Caja Proyecto'!J29</f>
        <v>0</v>
      </c>
      <c r="S110" s="2288">
        <f ca="1">+'Flujo de Caja Proyecto'!M29</f>
        <v>0</v>
      </c>
      <c r="T110" s="2288">
        <f ca="1">+'Flujo de Caja Proyecto'!P29</f>
        <v>0</v>
      </c>
      <c r="U110" s="2288">
        <f ca="1">+'Flujo de Caja Proyecto'!S29</f>
        <v>0</v>
      </c>
      <c r="V110" s="2288">
        <f ca="1">+'Flujo de Caja Proyecto'!V29</f>
        <v>0</v>
      </c>
      <c r="W110" s="2288">
        <f ca="1">+'Flujo de Caja Proyecto'!Y29</f>
        <v>0</v>
      </c>
      <c r="X110" s="2288">
        <f ca="1">+'Flujo de Caja Proyecto'!AB29</f>
        <v>0</v>
      </c>
      <c r="Y110" s="2288">
        <f ca="1">+'Flujo de Caja Proyecto'!AE29</f>
        <v>0</v>
      </c>
      <c r="Z110" s="2288">
        <f ca="1">+'Flujo de Caja Proyecto'!AH29</f>
        <v>0</v>
      </c>
      <c r="AA110" s="2288">
        <f ca="1">+'Flujo de Caja Proyecto'!AK29</f>
        <v>0</v>
      </c>
      <c r="AB110" s="2288">
        <f ca="1">+'Flujo de Caja Proyecto'!AN29</f>
        <v>0</v>
      </c>
      <c r="AC110" s="2589">
        <f ca="1">+'Flujo de Caja Proyecto'!AQ29</f>
        <v>0</v>
      </c>
      <c r="AD110" s="2255"/>
      <c r="BQ110" s="659"/>
    </row>
    <row r="111" spans="2:69" ht="27" x14ac:dyDescent="0.25">
      <c r="B111" s="2272" t="s">
        <v>1606</v>
      </c>
      <c r="C111" s="2282">
        <f>IF(('Balances y Proyecciones'!Q17)&lt;&gt;360,'Balances y Proyecciones'!H31+'Balances y Proyecciones'!H30,'Balances y Proyecciones'!E31+'Balances y Proyecciones'!E30)</f>
        <v>390</v>
      </c>
      <c r="D111" s="2282">
        <f>IF(('Balances y Proyecciones'!Q17)&lt;&gt;360,'Balances y Proyecciones'!N31+'Balances y Proyecciones'!N30,'Balances y Proyecciones'!H31+'Balances y Proyecciones'!H30)</f>
        <v>390</v>
      </c>
      <c r="E111" s="2283">
        <f>IF(('Balances y Proyecciones'!Q17)&lt;&gt;360,'Balances y Proyecciones'!Q31+'Balances y Proyecciones'!Q30,'Balances y Proyecciones'!N31+'Balances y Proyecciones'!N30)</f>
        <v>390</v>
      </c>
      <c r="F111" s="2264"/>
      <c r="G111" s="2272" t="s">
        <v>880</v>
      </c>
      <c r="H111" s="2309">
        <f>IF(('Balances y Proyecciones'!Q17)&lt;&gt;360,'Balances y Proyecciones'!AS718,'Balances y Proyecciones'!AP718)</f>
        <v>0.77839335180055402</v>
      </c>
      <c r="I111" s="2309">
        <f>IF(('Balances y Proyecciones'!Q17)&lt;&gt;360,'Balances y Proyecciones'!AY718,'Balances y Proyecciones'!AS718)</f>
        <v>0.77839335180055402</v>
      </c>
      <c r="J111" s="2310">
        <f>IF(('Balances y Proyecciones'!Q17)&lt;&gt;360,'Balances y Proyecciones'!BB718,'Balances y Proyecciones'!AY718)</f>
        <v>0.77839335180055402</v>
      </c>
      <c r="N111" s="2293" t="s">
        <v>1625</v>
      </c>
      <c r="O111" s="2288">
        <f ca="1">+'Flujo de Caja Proyecto'!B30+'Flujo de Caja Proyecto'!B31</f>
        <v>0</v>
      </c>
      <c r="P111" s="2288">
        <f ca="1">+'Flujo de Caja Proyecto'!D30+'Flujo de Caja Proyecto'!D31</f>
        <v>0</v>
      </c>
      <c r="Q111" s="2288">
        <f ca="1">+'Flujo de Caja Proyecto'!G30+'Flujo de Caja Proyecto'!G31</f>
        <v>0</v>
      </c>
      <c r="R111" s="2288">
        <f ca="1">+'Flujo de Caja Proyecto'!J30+'Flujo de Caja Proyecto'!J31</f>
        <v>0</v>
      </c>
      <c r="S111" s="2288">
        <f ca="1">+'Flujo de Caja Proyecto'!M30+'Flujo de Caja Proyecto'!M31</f>
        <v>0</v>
      </c>
      <c r="T111" s="2288">
        <f ca="1">+'Flujo de Caja Proyecto'!P30+'Flujo de Caja Proyecto'!P31</f>
        <v>0</v>
      </c>
      <c r="U111" s="2288">
        <f ca="1">+'Flujo de Caja Proyecto'!S30+'Flujo de Caja Proyecto'!S31</f>
        <v>0</v>
      </c>
      <c r="V111" s="2288">
        <f ca="1">+'Flujo de Caja Proyecto'!V30+'Flujo de Caja Proyecto'!V31</f>
        <v>0</v>
      </c>
      <c r="W111" s="2288">
        <f ca="1">+'Flujo de Caja Proyecto'!Y30+'Flujo de Caja Proyecto'!Y31</f>
        <v>0</v>
      </c>
      <c r="X111" s="2288">
        <f ca="1">+'Flujo de Caja Proyecto'!AB30+'Flujo de Caja Proyecto'!AB31</f>
        <v>0</v>
      </c>
      <c r="Y111" s="2288">
        <f>+'Flujo de Caja Proyecto'!BE30+'Flujo de Caja Proyecto'!BE31</f>
        <v>0</v>
      </c>
      <c r="Z111" s="2288">
        <f ca="1">+'Flujo de Caja Proyecto'!AH30+'Flujo de Caja Proyecto'!AH31</f>
        <v>0</v>
      </c>
      <c r="AA111" s="2288">
        <f ca="1">+'Flujo de Caja Proyecto'!AK30+'Flujo de Caja Proyecto'!AK31</f>
        <v>0</v>
      </c>
      <c r="AB111" s="2288">
        <f ca="1">+'Flujo de Caja Proyecto'!AN30+'Flujo de Caja Proyecto'!AN31</f>
        <v>0</v>
      </c>
      <c r="AC111" s="2589">
        <f ca="1">+'Flujo de Caja Proyecto'!AQ30+'Flujo de Caja Proyecto'!AQ31</f>
        <v>0</v>
      </c>
      <c r="AD111" s="2255"/>
      <c r="BQ111" s="659"/>
    </row>
    <row r="112" spans="2:69" x14ac:dyDescent="0.25">
      <c r="B112" s="2272" t="s">
        <v>1609</v>
      </c>
      <c r="C112" s="2282">
        <f>IF(('Balances y Proyecciones'!Q17)&lt;&gt;360,'Balances y Proyecciones'!H32,'Balances y Proyecciones'!E32)</f>
        <v>750</v>
      </c>
      <c r="D112" s="2282">
        <f>IF(('Balances y Proyecciones'!Q17)&lt;&gt;360,'Balances y Proyecciones'!N32,'Balances y Proyecciones'!H32)</f>
        <v>750</v>
      </c>
      <c r="E112" s="2283">
        <f>IF(('Balances y Proyecciones'!Q17)&lt;&gt;360,'Balances y Proyecciones'!Q32,'Balances y Proyecciones'!N32)</f>
        <v>750</v>
      </c>
      <c r="F112" s="2264"/>
      <c r="G112" s="2272" t="s">
        <v>1616</v>
      </c>
      <c r="H112" s="2309">
        <f>IF(('Balances y Proyecciones'!Q17)&lt;&gt;360,'Balances y Proyecciones'!AS719,'Balances y Proyecciones'!AP719)</f>
        <v>0.78947368421052633</v>
      </c>
      <c r="I112" s="2309">
        <f>IF(('Balances y Proyecciones'!Q17)&lt;&gt;360,'Balances y Proyecciones'!AY719,'Balances y Proyecciones'!AS719)</f>
        <v>0.78947368421052633</v>
      </c>
      <c r="J112" s="2310">
        <f>IF(('Balances y Proyecciones'!Q17)&lt;&gt;360,'Balances y Proyecciones'!BB719,'Balances y Proyecciones'!AY719)</f>
        <v>0.78947368421052633</v>
      </c>
      <c r="N112" s="2305" t="s">
        <v>1628</v>
      </c>
      <c r="O112" s="2306">
        <f t="shared" ref="O112:AC112" ca="1" si="25">+O107+O108+O109+O110+O111</f>
        <v>0</v>
      </c>
      <c r="P112" s="2306">
        <f t="shared" ca="1" si="25"/>
        <v>0</v>
      </c>
      <c r="Q112" s="2306">
        <f t="shared" ca="1" si="25"/>
        <v>0</v>
      </c>
      <c r="R112" s="2306">
        <f t="shared" ca="1" si="25"/>
        <v>0</v>
      </c>
      <c r="S112" s="2306">
        <f t="shared" ca="1" si="25"/>
        <v>0</v>
      </c>
      <c r="T112" s="2306">
        <f t="shared" ca="1" si="25"/>
        <v>0</v>
      </c>
      <c r="U112" s="2306">
        <f t="shared" ca="1" si="25"/>
        <v>0</v>
      </c>
      <c r="V112" s="2306">
        <f t="shared" ca="1" si="25"/>
        <v>0</v>
      </c>
      <c r="W112" s="2306">
        <f t="shared" ca="1" si="25"/>
        <v>0</v>
      </c>
      <c r="X112" s="2306">
        <f t="shared" ca="1" si="25"/>
        <v>0</v>
      </c>
      <c r="Y112" s="2306">
        <f t="shared" ca="1" si="25"/>
        <v>0</v>
      </c>
      <c r="Z112" s="2306">
        <f t="shared" ca="1" si="25"/>
        <v>0</v>
      </c>
      <c r="AA112" s="2306">
        <f t="shared" ca="1" si="25"/>
        <v>0</v>
      </c>
      <c r="AB112" s="2306">
        <f t="shared" ca="1" si="25"/>
        <v>0</v>
      </c>
      <c r="AC112" s="2594">
        <f t="shared" ca="1" si="25"/>
        <v>0</v>
      </c>
      <c r="AD112" s="2255"/>
      <c r="BQ112" s="659"/>
    </row>
    <row r="113" spans="2:69" ht="27" x14ac:dyDescent="0.25">
      <c r="B113" s="2272" t="s">
        <v>1611</v>
      </c>
      <c r="C113" s="2282">
        <f>IF(('Balances y Proyecciones'!Q17)&lt;&gt;360,'Balances y Proyecciones'!H33,'Balances y Proyecciones'!E33)</f>
        <v>90</v>
      </c>
      <c r="D113" s="2282">
        <f>IF(('Balances y Proyecciones'!Q17)&lt;&gt;360,'Balances y Proyecciones'!N33,'Balances y Proyecciones'!H33)</f>
        <v>90</v>
      </c>
      <c r="E113" s="2283">
        <f>IF(('Balances y Proyecciones'!Q17)&lt;&gt;360,'Balances y Proyecciones'!Q33,'Balances y Proyecciones'!N33)</f>
        <v>90</v>
      </c>
      <c r="F113" s="2264"/>
      <c r="G113" s="2272" t="s">
        <v>883</v>
      </c>
      <c r="H113" s="2309">
        <f>IF(('Balances y Proyecciones'!Q17)&lt;&gt;360,'Balances y Proyecciones'!AS721,'Balances y Proyecciones'!AP721)</f>
        <v>0.77839335180055402</v>
      </c>
      <c r="I113" s="2309">
        <f>IF(('Balances y Proyecciones'!Q17)&lt;&gt;360,'Balances y Proyecciones'!AY721,'Balances y Proyecciones'!AS721)</f>
        <v>0.77839335180055402</v>
      </c>
      <c r="J113" s="2310">
        <f>IF(('Balances y Proyecciones'!$Q$17)&lt;&gt;360,'Balances y Proyecciones'!$BB$721,'Balances y Proyecciones'!$AY$721)</f>
        <v>0.77839335180055402</v>
      </c>
      <c r="N113" s="2293" t="s">
        <v>529</v>
      </c>
      <c r="O113" s="2288">
        <f>+'Flujo de Caja Proyecto'!B43</f>
        <v>0</v>
      </c>
      <c r="P113" s="2288">
        <f>+'Flujo de Caja Proyecto'!D43</f>
        <v>0</v>
      </c>
      <c r="Q113" s="2288">
        <f>+'Flujo de Caja Proyecto'!G43</f>
        <v>0</v>
      </c>
      <c r="R113" s="2288">
        <f>+'Flujo de Caja Proyecto'!J43</f>
        <v>0</v>
      </c>
      <c r="S113" s="2288">
        <f>+'Flujo de Caja Proyecto'!M43</f>
        <v>0</v>
      </c>
      <c r="T113" s="2288">
        <f>+'Flujo de Caja Proyecto'!P43</f>
        <v>0</v>
      </c>
      <c r="U113" s="2288">
        <f>+'Flujo de Caja Proyecto'!S43</f>
        <v>0</v>
      </c>
      <c r="V113" s="2288">
        <f>+'Flujo de Caja Proyecto'!V43</f>
        <v>0</v>
      </c>
      <c r="W113" s="2288">
        <f>+'Flujo de Caja Proyecto'!Y43</f>
        <v>0</v>
      </c>
      <c r="X113" s="2288">
        <f>+'Flujo de Caja Proyecto'!AB43</f>
        <v>0</v>
      </c>
      <c r="Y113" s="2288">
        <f>+'Flujo de Caja Proyecto'!AE43</f>
        <v>0</v>
      </c>
      <c r="Z113" s="2288">
        <f>+'Flujo de Caja Proyecto'!AH43</f>
        <v>0</v>
      </c>
      <c r="AA113" s="2288">
        <f>+'Flujo de Caja Proyecto'!AK43</f>
        <v>0</v>
      </c>
      <c r="AB113" s="2288">
        <f>+'Flujo de Caja Proyecto'!AN43</f>
        <v>0</v>
      </c>
      <c r="AC113" s="2589">
        <f>+'Flujo de Caja Proyecto'!AQ43</f>
        <v>0</v>
      </c>
      <c r="AD113" s="2255"/>
      <c r="BQ113" s="659"/>
    </row>
    <row r="114" spans="2:69" x14ac:dyDescent="0.25">
      <c r="B114" s="2284" t="s">
        <v>1614</v>
      </c>
      <c r="C114" s="2298">
        <f>SUM(C109:C113)</f>
        <v>2100</v>
      </c>
      <c r="D114" s="2298">
        <f>SUM(D109:D113)</f>
        <v>2100</v>
      </c>
      <c r="E114" s="2299">
        <f>SUM(E109:E113)</f>
        <v>2100</v>
      </c>
      <c r="F114" s="2264"/>
      <c r="G114" s="2272" t="s">
        <v>1619</v>
      </c>
      <c r="H114" s="2309">
        <f>IF('Balances y Proyecciones'!$Q$17=360,'Balances y Proyecciones'!$AP$757,'Balances y Proyecciones'!$AS$757)</f>
        <v>0.90064102564102566</v>
      </c>
      <c r="I114" s="2309">
        <f>IF('Balances y Proyecciones'!Q17=360,'Balances y Proyecciones'!AS757,'Balances y Proyecciones'!AY757)</f>
        <v>0.90064102564102566</v>
      </c>
      <c r="J114" s="2310">
        <f>IF('Balances y Proyecciones'!$Q$17=360,'Balances y Proyecciones'!$AY$757,'Balances y Proyecciones'!$BB$757)</f>
        <v>1.8012820512820513</v>
      </c>
      <c r="N114" s="2305" t="s">
        <v>1636</v>
      </c>
      <c r="O114" s="2306">
        <f t="shared" ref="O114:AC114" ca="1" si="26">+O112+O113</f>
        <v>0</v>
      </c>
      <c r="P114" s="2306">
        <f t="shared" ca="1" si="26"/>
        <v>0</v>
      </c>
      <c r="Q114" s="2306">
        <f t="shared" ca="1" si="26"/>
        <v>0</v>
      </c>
      <c r="R114" s="2306">
        <f t="shared" ca="1" si="26"/>
        <v>0</v>
      </c>
      <c r="S114" s="2306">
        <f t="shared" ca="1" si="26"/>
        <v>0</v>
      </c>
      <c r="T114" s="2306">
        <f t="shared" ca="1" si="26"/>
        <v>0</v>
      </c>
      <c r="U114" s="2306">
        <f t="shared" ca="1" si="26"/>
        <v>0</v>
      </c>
      <c r="V114" s="2306">
        <f t="shared" ca="1" si="26"/>
        <v>0</v>
      </c>
      <c r="W114" s="2306">
        <f t="shared" ca="1" si="26"/>
        <v>0</v>
      </c>
      <c r="X114" s="2306">
        <f t="shared" ca="1" si="26"/>
        <v>0</v>
      </c>
      <c r="Y114" s="2306">
        <f t="shared" ca="1" si="26"/>
        <v>0</v>
      </c>
      <c r="Z114" s="2306">
        <f t="shared" ca="1" si="26"/>
        <v>0</v>
      </c>
      <c r="AA114" s="2306">
        <f t="shared" ca="1" si="26"/>
        <v>0</v>
      </c>
      <c r="AB114" s="2306">
        <f t="shared" ca="1" si="26"/>
        <v>0</v>
      </c>
      <c r="AC114" s="2306">
        <f t="shared" ca="1" si="26"/>
        <v>0</v>
      </c>
      <c r="AD114" s="2255"/>
      <c r="BQ114" s="659"/>
    </row>
    <row r="115" spans="2:69" x14ac:dyDescent="0.25">
      <c r="B115" s="2311" t="s">
        <v>671</v>
      </c>
      <c r="C115" s="2312">
        <f>+C108+C114</f>
        <v>3090</v>
      </c>
      <c r="D115" s="2312">
        <f>+D108+D114</f>
        <v>3090</v>
      </c>
      <c r="E115" s="2313">
        <f>+E108+E114</f>
        <v>3090</v>
      </c>
      <c r="F115" s="2264"/>
      <c r="G115" s="2307" t="s">
        <v>1621</v>
      </c>
      <c r="H115" s="2264"/>
      <c r="I115" s="2264"/>
      <c r="J115" s="2308"/>
      <c r="N115" s="2293" t="s">
        <v>1503</v>
      </c>
      <c r="O115" s="2288">
        <f>+'Flujo de Caja Proyecto'!B44</f>
        <v>0</v>
      </c>
      <c r="P115" s="2288">
        <f t="shared" ref="P115:AC115" ca="1" si="27">+O116</f>
        <v>0</v>
      </c>
      <c r="Q115" s="2288">
        <f t="shared" ca="1" si="27"/>
        <v>0</v>
      </c>
      <c r="R115" s="2288">
        <f t="shared" ca="1" si="27"/>
        <v>0</v>
      </c>
      <c r="S115" s="2288">
        <f t="shared" ca="1" si="27"/>
        <v>0</v>
      </c>
      <c r="T115" s="2288">
        <f t="shared" ca="1" si="27"/>
        <v>0</v>
      </c>
      <c r="U115" s="2288">
        <f t="shared" ca="1" si="27"/>
        <v>0</v>
      </c>
      <c r="V115" s="2288">
        <f t="shared" ca="1" si="27"/>
        <v>0</v>
      </c>
      <c r="W115" s="2288">
        <f t="shared" ca="1" si="27"/>
        <v>0</v>
      </c>
      <c r="X115" s="2288">
        <f t="shared" ca="1" si="27"/>
        <v>0</v>
      </c>
      <c r="Y115" s="2288">
        <f t="shared" ca="1" si="27"/>
        <v>0</v>
      </c>
      <c r="Z115" s="2288">
        <f t="shared" ca="1" si="27"/>
        <v>0</v>
      </c>
      <c r="AA115" s="2288">
        <f t="shared" ca="1" si="27"/>
        <v>0</v>
      </c>
      <c r="AB115" s="2288">
        <f t="shared" ca="1" si="27"/>
        <v>0</v>
      </c>
      <c r="AC115" s="2288">
        <f t="shared" ca="1" si="27"/>
        <v>0</v>
      </c>
      <c r="AD115" s="2255"/>
      <c r="BQ115" s="659"/>
    </row>
    <row r="116" spans="2:69" x14ac:dyDescent="0.25">
      <c r="B116" s="2307" t="s">
        <v>678</v>
      </c>
      <c r="C116" s="2282"/>
      <c r="D116" s="2282"/>
      <c r="E116" s="2283"/>
      <c r="F116" s="2264"/>
      <c r="G116" s="2294" t="s">
        <v>1624</v>
      </c>
      <c r="H116" s="2309">
        <f>IF(('Balances y Proyecciones'!Q17)&lt;&gt;360,'Balances y Proyecciones'!AS714,'Balances y Proyecciones'!AP714)</f>
        <v>0</v>
      </c>
      <c r="I116" s="2309">
        <f>IF(('Balances y Proyecciones'!Q17)&lt;&gt;360,'Balances y Proyecciones'!AY714,'Balances y Proyecciones'!AS714)</f>
        <v>0</v>
      </c>
      <c r="J116" s="2310">
        <f>IF(('Balances y Proyecciones'!Q17)&lt;&gt;360,'Balances y Proyecciones'!BB714,'Balances y Proyecciones'!AY714)</f>
        <v>1</v>
      </c>
      <c r="N116" s="2305" t="s">
        <v>1504</v>
      </c>
      <c r="O116" s="2306">
        <f t="shared" ref="O116:AC116" ca="1" si="28">+O114+O115</f>
        <v>0</v>
      </c>
      <c r="P116" s="2306">
        <f t="shared" ca="1" si="28"/>
        <v>0</v>
      </c>
      <c r="Q116" s="2306">
        <f t="shared" ca="1" si="28"/>
        <v>0</v>
      </c>
      <c r="R116" s="2306">
        <f t="shared" ca="1" si="28"/>
        <v>0</v>
      </c>
      <c r="S116" s="2306">
        <f t="shared" ca="1" si="28"/>
        <v>0</v>
      </c>
      <c r="T116" s="2306">
        <f t="shared" ca="1" si="28"/>
        <v>0</v>
      </c>
      <c r="U116" s="2306">
        <f t="shared" ca="1" si="28"/>
        <v>0</v>
      </c>
      <c r="V116" s="2306">
        <f t="shared" ca="1" si="28"/>
        <v>0</v>
      </c>
      <c r="W116" s="2306">
        <f t="shared" ca="1" si="28"/>
        <v>0</v>
      </c>
      <c r="X116" s="2306">
        <f t="shared" ca="1" si="28"/>
        <v>0</v>
      </c>
      <c r="Y116" s="2306">
        <f t="shared" ca="1" si="28"/>
        <v>0</v>
      </c>
      <c r="Z116" s="2306">
        <f t="shared" ca="1" si="28"/>
        <v>0</v>
      </c>
      <c r="AA116" s="2306">
        <f t="shared" ca="1" si="28"/>
        <v>0</v>
      </c>
      <c r="AB116" s="2306">
        <f t="shared" ca="1" si="28"/>
        <v>0</v>
      </c>
      <c r="AC116" s="2306">
        <f t="shared" ca="1" si="28"/>
        <v>0</v>
      </c>
      <c r="AD116" s="2255"/>
      <c r="BQ116" s="659"/>
    </row>
    <row r="117" spans="2:69" ht="27" x14ac:dyDescent="0.25">
      <c r="B117" s="2272" t="s">
        <v>1618</v>
      </c>
      <c r="C117" s="2282">
        <f>IF(('Balances y Proyecciones'!Q17)&lt;&gt;360,'Balances y Proyecciones'!H36+'Balances y Proyecciones'!H37+'Balances y Proyecciones'!H38+'Balances y Proyecciones'!H39,'Balances y Proyecciones'!E36+'Balances y Proyecciones'!E37+'Balances y Proyecciones'!E38+'Balances y Proyecciones'!E39)</f>
        <v>30</v>
      </c>
      <c r="D117" s="2282">
        <f>IF(('Balances y Proyecciones'!Q17)&lt;&gt;360,'Balances y Proyecciones'!N36+'Balances y Proyecciones'!N37+'Balances y Proyecciones'!N38+'Balances y Proyecciones'!N39,'Balances y Proyecciones'!H36+'Balances y Proyecciones'!H37+'Balances y Proyecciones'!H38+'Balances y Proyecciones'!H39)</f>
        <v>30</v>
      </c>
      <c r="E117" s="2283">
        <f>IF(('Balances y Proyecciones'!Q17)&lt;&gt;360,'Balances y Proyecciones'!Q36+'Balances y Proyecciones'!Q37+'Balances y Proyecciones'!Q38+'Balances y Proyecciones'!Q39,'Balances y Proyecciones'!N36+'Balances y Proyecciones'!N37+'Balances y Proyecciones'!N38+'Balances y Proyecciones'!N39)</f>
        <v>30</v>
      </c>
      <c r="F117" s="2264"/>
      <c r="G117" s="2272" t="s">
        <v>1627</v>
      </c>
      <c r="H117" s="2316">
        <f>IF(('Balances y Proyecciones'!Q17)&lt;&gt;360,'Balances y Proyecciones'!AS725,'Balances y Proyecciones'!AP725)</f>
        <v>8.9750692520775619</v>
      </c>
      <c r="I117" s="2316">
        <f>IF(('Balances y Proyecciones'!Q17)&lt;&gt;360,'Balances y Proyecciones'!AY725,'Balances y Proyecciones'!AS725)</f>
        <v>8.9750692520775619</v>
      </c>
      <c r="J117" s="2317">
        <f>IF(('Balances y Proyecciones'!Q17)&lt;&gt;360,'Balances y Proyecciones'!BB725,'Balances y Proyecciones'!AY725)</f>
        <v>4.4875346260387809</v>
      </c>
      <c r="N117" s="2293" t="s">
        <v>1643</v>
      </c>
      <c r="O117" s="2288">
        <f ca="1">+'Flujo de Caja Proyecto'!B50</f>
        <v>0</v>
      </c>
      <c r="P117" s="2288">
        <f ca="1">+'Flujo de Caja Proyecto'!D50</f>
        <v>0</v>
      </c>
      <c r="Q117" s="2288">
        <f ca="1">+'Flujo de Caja Proyecto'!G50</f>
        <v>0</v>
      </c>
      <c r="R117" s="2288">
        <f ca="1">+'Flujo de Caja Proyecto'!J50</f>
        <v>0</v>
      </c>
      <c r="S117" s="2288">
        <f ca="1">+'Flujo de Caja Proyecto'!M50</f>
        <v>0</v>
      </c>
      <c r="T117" s="2288">
        <f ca="1">+'Flujo de Caja Proyecto'!P50</f>
        <v>0</v>
      </c>
      <c r="U117" s="2288">
        <f ca="1">+'Flujo de Caja Proyecto'!S50</f>
        <v>0</v>
      </c>
      <c r="V117" s="2288">
        <f ca="1">+'Flujo de Caja Proyecto'!V50</f>
        <v>0</v>
      </c>
      <c r="W117" s="2288">
        <f ca="1">+'Flujo de Caja Proyecto'!Y50</f>
        <v>0</v>
      </c>
      <c r="X117" s="2288">
        <f ca="1">+'Flujo de Caja Proyecto'!AB50</f>
        <v>0</v>
      </c>
      <c r="Y117" s="2288">
        <f ca="1">+'Flujo de Caja Proyecto'!AE50</f>
        <v>0</v>
      </c>
      <c r="Z117" s="2288">
        <f ca="1">+'Flujo de Caja Proyecto'!AH50</f>
        <v>0</v>
      </c>
      <c r="AA117" s="2288">
        <f ca="1">+'Flujo de Caja Proyecto'!AK50</f>
        <v>0</v>
      </c>
      <c r="AB117" s="2288">
        <f ca="1">+'Flujo de Caja Proyecto'!AN50</f>
        <v>0</v>
      </c>
      <c r="AC117" s="2589">
        <f ca="1">+'Flujo de Caja Proyecto'!AQ50</f>
        <v>0</v>
      </c>
      <c r="AD117" s="2255"/>
      <c r="BQ117" s="659"/>
    </row>
    <row r="118" spans="2:69" ht="27" x14ac:dyDescent="0.25">
      <c r="B118" s="2272" t="s">
        <v>108</v>
      </c>
      <c r="C118" s="2282">
        <f>IF(('Balances y Proyecciones'!Q17)&lt;&gt;360,'Balances y Proyecciones'!H40,'Balances y Proyecciones'!E40)</f>
        <v>30</v>
      </c>
      <c r="D118" s="2282">
        <f>IF(('Balances y Proyecciones'!Q17)&lt;&gt;360,'Balances y Proyecciones'!N40,'Balances y Proyecciones'!H40)</f>
        <v>30</v>
      </c>
      <c r="E118" s="2283">
        <f>IF(('Balances y Proyecciones'!Q17)&lt;&gt;360,'Balances y Proyecciones'!Q40,'Balances y Proyecciones'!N40)</f>
        <v>30</v>
      </c>
      <c r="F118" s="2264"/>
      <c r="G118" s="2272" t="s">
        <v>1775</v>
      </c>
      <c r="H118" s="2316">
        <f>IF(('Balances y Proyecciones'!Q17)&lt;&gt;360,'Balances y Proyecciones'!AS727,'Balances y Proyecciones'!AP727)</f>
        <v>280.8</v>
      </c>
      <c r="I118" s="2316">
        <f>IF(('Balances y Proyecciones'!Q17)&lt;&gt;360,'Balances y Proyecciones'!AY727,'Balances y Proyecciones'!AS727)</f>
        <v>280.8</v>
      </c>
      <c r="J118" s="2317">
        <f>IF(('Balances y Proyecciones'!Q17)&lt;&gt;360,'Balances y Proyecciones'!BB727,'Balances y Proyecciones'!AY727)</f>
        <v>140.4</v>
      </c>
      <c r="N118" s="2293" t="s">
        <v>1776</v>
      </c>
      <c r="O118" s="2597" t="str">
        <f ca="1">+'Flujo de Caja Proyecto'!B59</f>
        <v/>
      </c>
      <c r="P118" s="2597" t="str">
        <f ca="1">+'Flujo de Caja Proyecto'!D59</f>
        <v/>
      </c>
      <c r="Q118" s="2597" t="str">
        <f ca="1">+'Flujo de Caja Proyecto'!G59</f>
        <v/>
      </c>
      <c r="R118" s="2597" t="str">
        <f ca="1">+'Flujo de Caja Proyecto'!J59</f>
        <v/>
      </c>
      <c r="S118" s="2597" t="str">
        <f ca="1">+'Flujo de Caja Proyecto'!M59</f>
        <v/>
      </c>
      <c r="T118" s="2597" t="str">
        <f ca="1">+'Flujo de Caja Proyecto'!P59</f>
        <v/>
      </c>
      <c r="U118" s="2597" t="str">
        <f ca="1">+'Flujo de Caja Proyecto'!S59</f>
        <v/>
      </c>
      <c r="V118" s="2597" t="str">
        <f ca="1">+'Flujo de Caja Proyecto'!V59</f>
        <v/>
      </c>
      <c r="W118" s="2597" t="str">
        <f ca="1">+'Flujo de Caja Proyecto'!Y59</f>
        <v/>
      </c>
      <c r="X118" s="2597" t="str">
        <f ca="1">+'Flujo de Caja Proyecto'!AB59</f>
        <v/>
      </c>
      <c r="Y118" s="2597" t="str">
        <f ca="1">+'Flujo de Caja Proyecto'!AE59</f>
        <v/>
      </c>
      <c r="Z118" s="2597" t="str">
        <f ca="1">+'Flujo de Caja Proyecto'!AH59</f>
        <v/>
      </c>
      <c r="AA118" s="2597" t="str">
        <f ca="1">+'Flujo de Caja Proyecto'!AK59</f>
        <v/>
      </c>
      <c r="AB118" s="2597" t="str">
        <f ca="1">+'Flujo de Caja Proyecto'!AN59</f>
        <v/>
      </c>
      <c r="AC118" s="2598" t="str">
        <f ca="1">+'Flujo de Caja Proyecto'!AQ59</f>
        <v/>
      </c>
      <c r="AD118" s="2255"/>
      <c r="BQ118" s="659"/>
    </row>
    <row r="119" spans="2:69" ht="27" x14ac:dyDescent="0.25">
      <c r="B119" s="2272" t="s">
        <v>1623</v>
      </c>
      <c r="C119" s="2282">
        <f>IF(('Balances y Proyecciones'!Q17)&lt;&gt;360,'Balances y Proyecciones'!H44,'Balances y Proyecciones'!E44)</f>
        <v>120</v>
      </c>
      <c r="D119" s="2282">
        <f>IF(('Balances y Proyecciones'!Q17)&lt;&gt;360,'Balances y Proyecciones'!N44,'Balances y Proyecciones'!H44)</f>
        <v>120</v>
      </c>
      <c r="E119" s="2283">
        <f>IF(('Balances y Proyecciones'!Q17)&lt;&gt;360,'Balances y Proyecciones'!Q44,'Balances y Proyecciones'!N44)</f>
        <v>120</v>
      </c>
      <c r="F119" s="2264"/>
      <c r="G119" s="2272" t="s">
        <v>1633</v>
      </c>
      <c r="H119" s="2316">
        <f>+H117+H118</f>
        <v>289.77506925207757</v>
      </c>
      <c r="I119" s="2316">
        <f>+I117+I118</f>
        <v>289.77506925207757</v>
      </c>
      <c r="J119" s="2317">
        <f>+J117+J118</f>
        <v>144.88753462603879</v>
      </c>
      <c r="N119" s="2293" t="s">
        <v>1778</v>
      </c>
      <c r="O119" s="2597" t="str">
        <f ca="1">+'Flujo de Caja Proyecto'!B58</f>
        <v/>
      </c>
      <c r="P119" s="2597" t="str">
        <f ca="1">+'Flujo de Caja Proyecto'!D58</f>
        <v/>
      </c>
      <c r="Q119" s="2597" t="str">
        <f ca="1">+'Flujo de Caja Proyecto'!G58</f>
        <v/>
      </c>
      <c r="R119" s="2597" t="str">
        <f ca="1">+'Flujo de Caja Proyecto'!J58</f>
        <v/>
      </c>
      <c r="S119" s="2597" t="str">
        <f ca="1">+'Flujo de Caja Proyecto'!M58</f>
        <v/>
      </c>
      <c r="T119" s="2597" t="str">
        <f ca="1">+'Flujo de Caja Proyecto'!P58</f>
        <v/>
      </c>
      <c r="U119" s="2597" t="str">
        <f ca="1">+'Flujo de Caja Proyecto'!S58</f>
        <v/>
      </c>
      <c r="V119" s="2597" t="str">
        <f ca="1">+'Flujo de Caja Proyecto'!V58</f>
        <v/>
      </c>
      <c r="W119" s="2597" t="str">
        <f ca="1">+'Flujo de Caja Proyecto'!Y58</f>
        <v/>
      </c>
      <c r="X119" s="2597" t="str">
        <f ca="1">+'Flujo de Caja Proyecto'!AB58</f>
        <v/>
      </c>
      <c r="Y119" s="2597" t="str">
        <f ca="1">+'Flujo de Caja Proyecto'!AE58</f>
        <v/>
      </c>
      <c r="Z119" s="2597" t="str">
        <f ca="1">+'Flujo de Caja Proyecto'!AH58</f>
        <v/>
      </c>
      <c r="AA119" s="2597" t="str">
        <f ca="1">+'Flujo de Caja Proyecto'!AK58</f>
        <v/>
      </c>
      <c r="AB119" s="2597" t="str">
        <f ca="1">+'Flujo de Caja Proyecto'!AN58</f>
        <v/>
      </c>
      <c r="AC119" s="2598" t="str">
        <f ca="1">+'Flujo de Caja Proyecto'!AQ58</f>
        <v/>
      </c>
      <c r="AD119" s="2255"/>
      <c r="BQ119" s="659"/>
    </row>
    <row r="120" spans="2:69" ht="27" x14ac:dyDescent="0.25">
      <c r="B120" s="2272" t="s">
        <v>1777</v>
      </c>
      <c r="C120" s="2282">
        <f>IF(('Balances y Proyecciones'!Q17)&lt;&gt;360,'Estados Financieros'!F245,'Estados Financieros'!E245)</f>
        <v>90</v>
      </c>
      <c r="D120" s="2282">
        <f>IF(('Balances y Proyecciones'!Q17)&lt;&gt;360,'Estados Financieros'!G245,'Estados Financieros'!F245)</f>
        <v>90</v>
      </c>
      <c r="E120" s="2283">
        <f>IF(('Balances y Proyecciones'!Q17)&lt;&gt;360,'Estados Financieros'!H245,'Estados Financieros'!G245)</f>
        <v>90</v>
      </c>
      <c r="F120" s="2264"/>
      <c r="G120" s="2272" t="s">
        <v>1635</v>
      </c>
      <c r="H120" s="2316">
        <f>IF(('Balances y Proyecciones'!Q17)&lt;&gt;360,'Balances y Proyecciones'!AS730,'Balances y Proyecciones'!AP730)</f>
        <v>21.6</v>
      </c>
      <c r="I120" s="2316">
        <f>IF(('Balances y Proyecciones'!Q17)&lt;&gt;360,'Balances y Proyecciones'!AY730,'Balances y Proyecciones'!AS730)</f>
        <v>21.6</v>
      </c>
      <c r="J120" s="2317">
        <f>IF(('Balances y Proyecciones'!Q17)&lt;&gt;360,'Balances y Proyecciones'!BB730,'Balances y Proyecciones'!AY730)</f>
        <v>10.8</v>
      </c>
      <c r="N120" s="2599" t="s">
        <v>1779</v>
      </c>
      <c r="O120" s="2600" t="str">
        <f ca="1">+'Flujo de Caja Proyecto'!B56</f>
        <v/>
      </c>
      <c r="P120" s="2600" t="str">
        <f ca="1">+'Flujo de Caja Proyecto'!D56</f>
        <v/>
      </c>
      <c r="Q120" s="2600" t="str">
        <f ca="1">+'Flujo de Caja Proyecto'!G56</f>
        <v/>
      </c>
      <c r="R120" s="2600" t="str">
        <f ca="1">+'Flujo de Caja Proyecto'!J56</f>
        <v/>
      </c>
      <c r="S120" s="2600" t="str">
        <f ca="1">+'Flujo de Caja Proyecto'!M56</f>
        <v/>
      </c>
      <c r="T120" s="2600" t="str">
        <f ca="1">+'Flujo de Caja Proyecto'!P56</f>
        <v/>
      </c>
      <c r="U120" s="2600" t="str">
        <f ca="1">+'Flujo de Caja Proyecto'!S56</f>
        <v/>
      </c>
      <c r="V120" s="2601" t="str">
        <f ca="1">+'Flujo de Caja Proyecto'!V56</f>
        <v/>
      </c>
      <c r="W120" s="2600" t="str">
        <f ca="1">+'Flujo de Caja Proyecto'!Y56</f>
        <v/>
      </c>
      <c r="X120" s="2600" t="str">
        <f ca="1">+'Flujo de Caja Proyecto'!AB56</f>
        <v/>
      </c>
      <c r="Y120" s="2602">
        <f ca="1">+'Flujo de Caja Proyecto'!AE37</f>
        <v>0</v>
      </c>
      <c r="Z120" s="2602">
        <f ca="1">+'Flujo de Caja Proyecto'!AH37</f>
        <v>0</v>
      </c>
      <c r="AA120" s="2602">
        <f ca="1">+'Flujo de Caja Proyecto'!AK37</f>
        <v>0</v>
      </c>
      <c r="AB120" s="2602">
        <f ca="1">+'Flujo de Caja Proyecto'!AN37</f>
        <v>0</v>
      </c>
      <c r="AC120" s="2603">
        <f ca="1">+'Flujo de Caja Proyecto'!AQ37</f>
        <v>0</v>
      </c>
      <c r="AD120" s="2255"/>
      <c r="BQ120" s="659"/>
    </row>
    <row r="121" spans="2:69" ht="27" x14ac:dyDescent="0.25">
      <c r="B121" s="2272" t="s">
        <v>1626</v>
      </c>
      <c r="C121" s="2282">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Proyecciones'!E47)-C120</f>
        <v>210</v>
      </c>
      <c r="D121" s="2282">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Proyecciones'!H47)-D120</f>
        <v>210</v>
      </c>
      <c r="E121" s="2283">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Proyecciones'!N47)-E120</f>
        <v>210</v>
      </c>
      <c r="F121" s="2264"/>
      <c r="G121" s="2272" t="s">
        <v>1639</v>
      </c>
      <c r="H121" s="2316">
        <f>+H119-H120</f>
        <v>268.17506925207755</v>
      </c>
      <c r="I121" s="2316">
        <f>+I119-I120</f>
        <v>268.17506925207755</v>
      </c>
      <c r="J121" s="2317">
        <f>+J119-J120</f>
        <v>134.08753462603877</v>
      </c>
      <c r="N121"/>
      <c r="O121"/>
      <c r="P121"/>
      <c r="Q121"/>
      <c r="R121"/>
      <c r="S121"/>
      <c r="T121"/>
      <c r="U121"/>
      <c r="V121"/>
      <c r="W121"/>
      <c r="X121"/>
      <c r="Y121"/>
      <c r="Z121"/>
      <c r="AA121"/>
      <c r="AB121"/>
      <c r="AC121"/>
      <c r="AD121"/>
      <c r="BQ121" s="659"/>
    </row>
    <row r="122" spans="2:69" x14ac:dyDescent="0.25">
      <c r="B122" s="2284" t="s">
        <v>1630</v>
      </c>
      <c r="C122" s="2298">
        <f>SUM(C117:C121)</f>
        <v>480</v>
      </c>
      <c r="D122" s="2298">
        <f>SUM(D117:D121)</f>
        <v>480</v>
      </c>
      <c r="E122" s="2299">
        <f>SUM(E117:E121)</f>
        <v>480</v>
      </c>
      <c r="F122" s="2264"/>
      <c r="G122" s="2307" t="s">
        <v>1641</v>
      </c>
      <c r="H122" s="2264"/>
      <c r="I122" s="2264"/>
      <c r="J122" s="2308"/>
      <c r="N122" s="2604" t="s">
        <v>1780</v>
      </c>
      <c r="O122" s="2605">
        <f ca="1">+'Flujo de Caja Proyecto'!B46</f>
        <v>0</v>
      </c>
      <c r="P122" s="2605">
        <f ca="1">+'Flujo de Caja Proyecto'!D46</f>
        <v>0</v>
      </c>
      <c r="Q122" s="2605">
        <f ca="1">+'Flujo de Caja Proyecto'!G46</f>
        <v>0</v>
      </c>
      <c r="R122" s="2605">
        <f ca="1">+'Flujo de Caja Proyecto'!J46</f>
        <v>0</v>
      </c>
      <c r="S122" s="2605">
        <f ca="1">+'Flujo de Caja Proyecto'!M46</f>
        <v>0</v>
      </c>
      <c r="T122" s="2605">
        <f ca="1">+'Flujo de Caja Proyecto'!P46</f>
        <v>0</v>
      </c>
      <c r="U122" s="2605">
        <f ca="1">+'Flujo de Caja Proyecto'!S46</f>
        <v>0</v>
      </c>
      <c r="V122" s="2605">
        <f ca="1">+'Flujo de Caja Proyecto'!V46</f>
        <v>0</v>
      </c>
      <c r="W122" s="2605">
        <f ca="1">+'Flujo de Caja Proyecto'!Y46</f>
        <v>0</v>
      </c>
      <c r="X122" s="2605">
        <f ca="1">+'Flujo de Caja Proyecto'!AB46</f>
        <v>0</v>
      </c>
      <c r="Y122" s="2605">
        <f ca="1">+'Flujo de Caja Proyecto'!AE33</f>
        <v>0</v>
      </c>
      <c r="Z122" s="2605">
        <f ca="1">+'Flujo de Caja Proyecto'!AH33</f>
        <v>0</v>
      </c>
      <c r="AA122" s="2605">
        <f ca="1">+'Flujo de Caja Proyecto'!AK33</f>
        <v>0</v>
      </c>
      <c r="AB122" s="2605">
        <f ca="1">+'Flujo de Caja Proyecto'!AN33</f>
        <v>0</v>
      </c>
      <c r="AC122" s="2606">
        <f ca="1">+'Flujo de Caja Proyecto'!AQ33</f>
        <v>0</v>
      </c>
      <c r="AD122" s="2255"/>
    </row>
    <row r="123" spans="2:69" ht="27" x14ac:dyDescent="0.25">
      <c r="B123" s="2272" t="s">
        <v>1632</v>
      </c>
      <c r="C123" s="2282">
        <f>IF(('Balances y Proyecciones'!Q17)&lt;&gt;360,'Balances y Proyecciones'!H49+'Balances y Proyecciones'!H50+'Balances y Proyecciones'!H51,'Balances y Proyecciones'!E49+'Balances y Proyecciones'!E50+'Balances y Proyecciones'!E51)</f>
        <v>20</v>
      </c>
      <c r="D123" s="2282">
        <f>IF(('Balances y Proyecciones'!Q17)&lt;&gt;360,'Balances y Proyecciones'!N49+'Balances y Proyecciones'!N50+'Balances y Proyecciones'!N51,'Balances y Proyecciones'!H49+'Balances y Proyecciones'!H50+'Balances y Proyecciones'!H51)</f>
        <v>20</v>
      </c>
      <c r="E123" s="2283">
        <f>IF(('Balances y Proyecciones'!Q17)&lt;&gt;360,'Balances y Proyecciones'!Q49+'Balances y Proyecciones'!Q50+'Balances y Proyecciones'!Q51,'Balances y Proyecciones'!N49+'Balances y Proyecciones'!N50+'Balances y Proyecciones'!N51)</f>
        <v>20</v>
      </c>
      <c r="F123" s="2264"/>
      <c r="G123" s="2272" t="s">
        <v>1642</v>
      </c>
      <c r="H123" s="2309">
        <f>IF(('Balances y Proyecciones'!Q17)&lt;&gt;360,'Balances y Proyecciones'!AS751,'Balances y Proyecciones'!AP751)</f>
        <v>0.24031007751937986</v>
      </c>
      <c r="I123" s="2309">
        <f>IF(('Balances y Proyecciones'!Q17)&lt;&gt;360,'Balances y Proyecciones'!AY751,'Balances y Proyecciones'!AS751)</f>
        <v>0.24031007751937986</v>
      </c>
      <c r="J123" s="2310">
        <f>IF(('Balances y Proyecciones'!Q17)&lt;&gt;360,'Balances y Proyecciones'!BB751,'Balances y Proyecciones'!AY751)</f>
        <v>0.24031007751937986</v>
      </c>
      <c r="N123" s="2255"/>
      <c r="O123" s="2255"/>
      <c r="P123" s="2255"/>
      <c r="Q123" s="2255"/>
      <c r="R123" s="2255"/>
      <c r="S123" s="2255"/>
      <c r="T123" s="2255"/>
      <c r="U123" s="2255"/>
      <c r="V123" s="2255"/>
      <c r="W123" s="2255"/>
      <c r="X123" s="2255"/>
      <c r="Y123" s="2255"/>
      <c r="Z123" s="2255"/>
      <c r="AA123" s="2255"/>
      <c r="AB123" s="2255"/>
      <c r="AC123" s="2255"/>
      <c r="AD123" s="2255"/>
    </row>
    <row r="124" spans="2:69" ht="27" x14ac:dyDescent="0.25">
      <c r="B124" s="2332" t="s">
        <v>1781</v>
      </c>
      <c r="C124" s="2282">
        <f>IF(('Balances y Proyecciones'!Q17)&lt;&gt;360,'Estados Financieros'!F270,'Estados Financieros'!E270)</f>
        <v>10</v>
      </c>
      <c r="D124" s="2282">
        <f>IF(('Balances y Proyecciones'!Q17)&lt;&gt;360,'Estados Financieros'!G270,'Estados Financieros'!F270)</f>
        <v>10</v>
      </c>
      <c r="E124" s="2283">
        <f>IF(('Balances y Proyecciones'!Q17)&lt;&gt;360,'Estados Financieros'!H270,'Estados Financieros'!G270)</f>
        <v>10</v>
      </c>
      <c r="F124" s="2264"/>
      <c r="G124" s="2272" t="s">
        <v>1646</v>
      </c>
      <c r="H124" s="2309">
        <f>IF(('Balances y Proyecciones'!Q17)&lt;&gt;360,(('Balances y Proyecciones'!AS704+'Balances y Proyecciones'!AS657)/'Balances y Proyecciones'!AS703),(('Balances y Proyecciones'!AP704+'Balances y Proyecciones'!AP657)/'Balances y Proyecciones'!AP703))</f>
        <v>1.2919896640826873E-2</v>
      </c>
      <c r="I124" s="2309">
        <f>IF(('Balances y Proyecciones'!Q17)&lt;&gt;360,(('Balances y Proyecciones'!AY704+'Balances y Proyecciones'!AY657)/'Balances y Proyecciones'!AY703),(('Balances y Proyecciones'!AS704+'Balances y Proyecciones'!AS657)/'Balances y Proyecciones'!AS703))</f>
        <v>1.2919896640826873E-2</v>
      </c>
      <c r="J124" s="2310">
        <f>IF(('Balances y Proyecciones'!Q17)&lt;&gt;360,(('Balances y Proyecciones'!BB704+'Balances y Proyecciones'!BB657)/'Balances y Proyecciones'!BB703),(('Balances y Proyecciones'!AY704+'Balances y Proyecciones'!AY657)/'Balances y Proyecciones'!AY703))</f>
        <v>1.2919896640826873E-2</v>
      </c>
      <c r="N124" s="2255"/>
      <c r="O124" s="2255"/>
      <c r="P124" s="2255"/>
      <c r="Q124" s="2255"/>
      <c r="R124" s="2255"/>
      <c r="S124" s="2255"/>
      <c r="T124" s="2255"/>
      <c r="U124" s="2255"/>
      <c r="V124" s="2255"/>
      <c r="W124" s="2255"/>
      <c r="X124" s="2255"/>
      <c r="Y124" s="2255"/>
      <c r="Z124" s="2255"/>
      <c r="AA124" s="2255"/>
      <c r="AB124" s="2255"/>
      <c r="AC124" s="2255"/>
      <c r="AD124" s="2255"/>
    </row>
    <row r="125" spans="2:69" ht="27" x14ac:dyDescent="0.25">
      <c r="B125" s="2272" t="s">
        <v>1782</v>
      </c>
      <c r="C125" s="2282">
        <f>IF(('Balances y Proyecciones'!Q17)&lt;&gt;360,'Estados Financieros'!F314,'Estados Financieros'!E314)</f>
        <v>90</v>
      </c>
      <c r="D125" s="2282">
        <f>IF(('Balances y Proyecciones'!Q17)&lt;&gt;360,'Estados Financieros'!G314,'Estados Financieros'!F314)</f>
        <v>90</v>
      </c>
      <c r="E125" s="2283">
        <f>IF(('Balances y Proyecciones'!Q17)&lt;&gt;360,'Estados Financieros'!H314,'Estados Financieros'!G314)</f>
        <v>90</v>
      </c>
      <c r="F125" s="2264"/>
      <c r="G125" s="2272" t="s">
        <v>915</v>
      </c>
      <c r="H125" s="2352">
        <f>IF(('Balances y Proyecciones'!Q17)&lt;&gt;360,'Balances y Proyecciones'!AS743,'Balances y Proyecciones'!AP743)</f>
        <v>1.3850415512465374E-2</v>
      </c>
      <c r="I125" s="2352">
        <f>IF(('Balances y Proyecciones'!Q17)&lt;&gt;360,'Balances y Proyecciones'!AY743,'Balances y Proyecciones'!AS743)</f>
        <v>1.3850415512465374E-2</v>
      </c>
      <c r="J125" s="2353">
        <f>IF(('Balances y Proyecciones'!Q17)&lt;&gt;360,'Balances y Proyecciones'!BB743,'Balances y Proyecciones'!AY743)</f>
        <v>6.9252077562326868E-3</v>
      </c>
      <c r="N125" s="2255"/>
      <c r="O125" s="2255"/>
      <c r="P125" s="2255"/>
      <c r="Q125" s="2255"/>
      <c r="R125" s="2255"/>
      <c r="S125" s="2255"/>
      <c r="T125" s="2255"/>
      <c r="U125" s="2255"/>
      <c r="V125" s="2255"/>
      <c r="W125" s="2255"/>
      <c r="X125" s="2255"/>
      <c r="Y125" s="2255"/>
      <c r="Z125" s="2255"/>
      <c r="AA125" s="2255"/>
      <c r="AB125" s="2255"/>
      <c r="AC125" s="2255"/>
      <c r="AD125" s="2255"/>
    </row>
    <row r="126" spans="2:69" ht="27" x14ac:dyDescent="0.25">
      <c r="B126" s="2272" t="s">
        <v>1783</v>
      </c>
      <c r="C126" s="2282">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Proyecciones'!E57)-C124-C125</f>
        <v>330</v>
      </c>
      <c r="D126" s="2282">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Proyecciones'!H57)-D124-D125</f>
        <v>330</v>
      </c>
      <c r="E126" s="2283">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Proyecciones'!N57)-E124-E125</f>
        <v>330</v>
      </c>
      <c r="F126" s="2264"/>
      <c r="G126" s="2272" t="s">
        <v>910</v>
      </c>
      <c r="H126" s="2352">
        <f>IF(('Balances y Proyecciones'!Q17)&lt;&gt;360,'Balances y Proyecciones'!AS745,'Balances y Proyecciones'!AP745)</f>
        <v>1.7543859649122806E-2</v>
      </c>
      <c r="I126" s="2352">
        <f>IF(('Balances y Proyecciones'!Q17)&lt;&gt;360,'Balances y Proyecciones'!AY745,'Balances y Proyecciones'!AS745)</f>
        <v>1.7543859649122806E-2</v>
      </c>
      <c r="J126" s="2353">
        <f>IF(('Balances y Proyecciones'!Q17)&lt;&gt;360,'Balances y Proyecciones'!BB745,'Balances y Proyecciones'!AY745)</f>
        <v>8.771929824561403E-3</v>
      </c>
      <c r="N126" s="2255"/>
      <c r="O126" s="2255"/>
      <c r="P126" s="2255"/>
      <c r="Q126" s="2255"/>
      <c r="R126" s="2255"/>
      <c r="S126" s="2255"/>
      <c r="T126" s="2255"/>
      <c r="U126" s="2255"/>
      <c r="V126" s="2255"/>
      <c r="W126" s="2255"/>
      <c r="X126" s="2255"/>
      <c r="Y126" s="2255"/>
      <c r="Z126" s="2255"/>
      <c r="AA126" s="2255"/>
      <c r="AB126" s="2255"/>
      <c r="AC126" s="2255"/>
      <c r="AD126" s="2255"/>
    </row>
    <row r="127" spans="2:69" x14ac:dyDescent="0.25">
      <c r="B127" s="2284" t="s">
        <v>1638</v>
      </c>
      <c r="C127" s="2298">
        <f>SUM(C123:C126)</f>
        <v>450</v>
      </c>
      <c r="D127" s="2298">
        <f>SUM(D123:D126)</f>
        <v>450</v>
      </c>
      <c r="E127" s="2299">
        <f>SUM(E123:E126)</f>
        <v>450</v>
      </c>
      <c r="F127" s="2264"/>
      <c r="G127" s="2272" t="s">
        <v>911</v>
      </c>
      <c r="H127" s="2352">
        <f>IF(('Balances y Proyecciones'!Q17)&lt;&gt;360,'Balances y Proyecciones'!AS746,'Balances y Proyecciones'!AP746)</f>
        <v>-0.11929824561403508</v>
      </c>
      <c r="I127" s="2352">
        <f>IF(('Balances y Proyecciones'!Q78)&lt;&gt;360,'Balances y Proyecciones'!AY746,'Balances y Proyecciones'!AS746)</f>
        <v>-0.11929824561403508</v>
      </c>
      <c r="J127" s="2353">
        <f>IF(('Balances y Proyecciones'!Q17)&lt;&gt;360,'Balances y Proyecciones'!BB746,'Balances y Proyecciones'!AY746)</f>
        <v>-5.9649122807017542E-2</v>
      </c>
      <c r="N127" s="2255"/>
      <c r="O127" s="2255"/>
      <c r="P127" s="2255"/>
      <c r="Q127" s="2255"/>
      <c r="R127" s="2255"/>
      <c r="S127" s="2255"/>
      <c r="T127" s="2255"/>
      <c r="U127" s="2255"/>
      <c r="V127" s="2255"/>
      <c r="W127" s="2255"/>
      <c r="X127" s="2255"/>
      <c r="Y127" s="2255"/>
      <c r="Z127" s="2255"/>
      <c r="AA127" s="2255"/>
      <c r="AB127" s="2255"/>
      <c r="AC127" s="2255"/>
      <c r="AD127" s="2255"/>
    </row>
    <row r="128" spans="2:69" x14ac:dyDescent="0.25">
      <c r="B128" s="2311" t="s">
        <v>763</v>
      </c>
      <c r="C128" s="2312">
        <f>+C122+C127</f>
        <v>930</v>
      </c>
      <c r="D128" s="2312">
        <f>+D122+D127</f>
        <v>930</v>
      </c>
      <c r="E128" s="2313">
        <f>+E122+E127</f>
        <v>930</v>
      </c>
      <c r="F128" s="2264"/>
      <c r="G128" s="2307" t="s">
        <v>1666</v>
      </c>
      <c r="H128" s="2352"/>
      <c r="I128" s="2352"/>
      <c r="J128" s="2353"/>
      <c r="N128" s="2255"/>
      <c r="O128" s="2255"/>
      <c r="P128" s="2255"/>
      <c r="Q128" s="2255"/>
      <c r="R128" s="2255"/>
      <c r="S128" s="2255"/>
      <c r="T128" s="2255"/>
      <c r="U128" s="2255"/>
      <c r="V128" s="2255"/>
      <c r="W128" s="2255"/>
      <c r="X128" s="2255"/>
      <c r="Y128" s="2255"/>
      <c r="Z128" s="2255"/>
      <c r="AA128" s="2255"/>
      <c r="AB128" s="2255"/>
      <c r="AC128" s="2255"/>
      <c r="AD128" s="2255"/>
    </row>
    <row r="129" spans="2:30" x14ac:dyDescent="0.25">
      <c r="B129" s="2307" t="s">
        <v>764</v>
      </c>
      <c r="C129" s="2282"/>
      <c r="D129" s="2282"/>
      <c r="E129" s="2283"/>
      <c r="F129" s="2264"/>
      <c r="G129" s="2272" t="s">
        <v>1669</v>
      </c>
      <c r="H129" s="2352">
        <f>IF(('Balances y Proyecciones'!Q17)&lt;&gt;360,'Balances y Proyecciones'!AS737,'Balances y Proyecciones'!AP737)</f>
        <v>285</v>
      </c>
      <c r="I129" s="2352">
        <f>IF(('Balances y Proyecciones'!Q17)&lt;&gt;360,'Balances y Proyecciones'!AY737,'Balances y Proyecciones'!AS737)</f>
        <v>285</v>
      </c>
      <c r="J129" s="2353">
        <f>IF(('Balances y Proyecciones'!Q17)&lt;&gt;360,'Balances y Proyecciones'!BB737,'Balances y Proyecciones'!AY737)</f>
        <v>285</v>
      </c>
      <c r="N129" s="2255"/>
      <c r="O129" s="2255"/>
      <c r="P129" s="2255"/>
      <c r="Q129" s="2255"/>
      <c r="R129" s="2255"/>
      <c r="S129" s="2255"/>
      <c r="T129" s="2255"/>
      <c r="U129" s="2255"/>
      <c r="V129" s="2255"/>
      <c r="W129" s="2255"/>
      <c r="X129" s="2255"/>
      <c r="Y129" s="2255"/>
      <c r="Z129" s="2255"/>
      <c r="AA129" s="2255"/>
      <c r="AB129" s="2255"/>
      <c r="AC129" s="2255"/>
      <c r="AD129" s="2255"/>
    </row>
    <row r="130" spans="2:30" ht="27" x14ac:dyDescent="0.25">
      <c r="B130" s="2272" t="s">
        <v>1645</v>
      </c>
      <c r="C130" s="2282">
        <f>IF(('Balances y Proyecciones'!Q17)&lt;&gt;360,'Balances y Proyecciones'!H60,'Balances y Proyecciones'!E60)</f>
        <v>70</v>
      </c>
      <c r="D130" s="2282">
        <f>IF(('Balances y Proyecciones'!Q17)&lt;&gt;360,'Balances y Proyecciones'!N60,'Balances y Proyecciones'!H60)</f>
        <v>70</v>
      </c>
      <c r="E130" s="2283">
        <f>IF(('Balances y Proyecciones'!Q17)&lt;&gt;360,'Balances y Proyecciones'!Q60,'Balances y Proyecciones'!N60)</f>
        <v>70</v>
      </c>
      <c r="F130" s="2264"/>
      <c r="G130" s="2397"/>
      <c r="H130" s="2607"/>
      <c r="I130" s="2607"/>
      <c r="J130" s="2608"/>
      <c r="N130" s="2255"/>
      <c r="O130" s="2255"/>
      <c r="P130" s="2255"/>
      <c r="Q130" s="2255"/>
      <c r="R130" s="2255"/>
      <c r="S130" s="2255"/>
      <c r="T130" s="2255"/>
      <c r="U130" s="2255"/>
      <c r="V130" s="2255"/>
      <c r="W130" s="2255"/>
      <c r="X130" s="2255"/>
      <c r="Y130" s="2255"/>
      <c r="Z130" s="2255"/>
      <c r="AA130" s="2255"/>
      <c r="AB130" s="2255"/>
      <c r="AC130" s="2255"/>
      <c r="AD130" s="2255"/>
    </row>
    <row r="131" spans="2:30" ht="27" x14ac:dyDescent="0.25">
      <c r="B131" s="2272" t="s">
        <v>1651</v>
      </c>
      <c r="C131" s="2282">
        <f>IF(('Balances y Proyecciones'!Q17)&lt;&gt;360,'Balances y Proyecciones'!H61,'Balances y Proyecciones'!E61)</f>
        <v>50</v>
      </c>
      <c r="D131" s="2282">
        <f>IF(('Balances y Proyecciones'!Q17)&lt;&gt;360,'Balances y Proyecciones'!N61,'Balances y Proyecciones'!H61)</f>
        <v>50</v>
      </c>
      <c r="E131" s="2283">
        <f>IF(('Balances y Proyecciones'!Q17)&lt;&gt;360,'Balances y Proyecciones'!Q61,'Balances y Proyecciones'!N61)</f>
        <v>50</v>
      </c>
      <c r="F131" s="2264"/>
      <c r="G131" s="2262"/>
      <c r="H131" s="2262"/>
      <c r="I131" s="2262"/>
      <c r="J131" s="2262"/>
      <c r="N131" s="2255"/>
      <c r="O131" s="2255"/>
      <c r="P131" s="2255"/>
      <c r="Q131" s="2255"/>
      <c r="R131" s="2255"/>
      <c r="S131" s="2255"/>
      <c r="T131" s="2255"/>
      <c r="U131" s="2255"/>
      <c r="V131" s="2255"/>
      <c r="W131" s="2255"/>
      <c r="X131" s="2255"/>
      <c r="Y131" s="2255"/>
      <c r="Z131" s="2255"/>
      <c r="AA131" s="2255"/>
      <c r="AB131" s="2255"/>
      <c r="AC131" s="2255"/>
      <c r="AD131" s="2255"/>
    </row>
    <row r="132" spans="2:30" ht="27" x14ac:dyDescent="0.25">
      <c r="B132" s="2272" t="s">
        <v>1656</v>
      </c>
      <c r="C132" s="2282">
        <f>IF(('Balances y Proyecciones'!Q17)&lt;&gt;360,'Balances y Proyecciones'!H62+'Balances y Proyecciones'!H66,'Balances y Proyecciones'!E62+'Balances y Proyecciones'!E66)</f>
        <v>50</v>
      </c>
      <c r="D132" s="2282">
        <f>IF(('Balances y Proyecciones'!Q17)&lt;&gt;360,'Balances y Proyecciones'!N62+'Balances y Proyecciones'!N66,'Balances y Proyecciones'!H62+'Balances y Proyecciones'!H66)</f>
        <v>50</v>
      </c>
      <c r="E132" s="2283">
        <f>IF(('Balances y Proyecciones'!Q17)&lt;&gt;360,'Balances y Proyecciones'!Q62+'Balances y Proyecciones'!Q66,'Balances y Proyecciones'!N62+'Balances y Proyecciones'!N66)</f>
        <v>50</v>
      </c>
      <c r="F132" s="2264"/>
      <c r="G132" s="2262"/>
      <c r="H132" s="2262"/>
      <c r="I132" s="2262"/>
      <c r="J132" s="2262"/>
      <c r="N132" s="2255"/>
      <c r="O132" s="2255"/>
      <c r="P132" s="2255"/>
      <c r="Q132" s="2255"/>
      <c r="R132" s="2255"/>
      <c r="S132" s="2255"/>
      <c r="T132" s="2255"/>
      <c r="U132" s="2255"/>
      <c r="V132" s="2255"/>
      <c r="W132" s="2255"/>
      <c r="X132" s="2255"/>
      <c r="Y132" s="2255"/>
      <c r="Z132" s="2255"/>
      <c r="AA132" s="2255"/>
      <c r="AB132" s="2255"/>
      <c r="AC132" s="2255"/>
      <c r="AD132" s="2255"/>
    </row>
    <row r="133" spans="2:30" ht="27" x14ac:dyDescent="0.25">
      <c r="B133" s="2272" t="s">
        <v>1662</v>
      </c>
      <c r="C133" s="2282">
        <f>IF(('Balances y Proyecciones'!Q17)&lt;&gt;360,'Balances y Proyecciones'!H63+'Balances y Proyecciones'!H64+'Balances y Proyecciones'!H65,'Balances y Proyecciones'!E63+'Balances y Proyecciones'!E64+'Balances y Proyecciones'!E65)</f>
        <v>2860</v>
      </c>
      <c r="D133" s="2282">
        <f>IF(('Balances y Proyecciones'!Q17)&lt;&gt;360,'Balances y Proyecciones'!N63+'Balances y Proyecciones'!N64+'Balances y Proyecciones'!N65,'Balances y Proyecciones'!H63+'Balances y Proyecciones'!H64+'Balances y Proyecciones'!H65)</f>
        <v>2860</v>
      </c>
      <c r="E133" s="2283">
        <f>IF(('Balances y Proyecciones'!Q17)&lt;&gt;360,'Balances y Proyecciones'!Q63+'Balances y Proyecciones'!Q64+'Balances y Proyecciones'!Q65,'Balances y Proyecciones'!N63+'Balances y Proyecciones'!N64+'Balances y Proyecciones'!N65)</f>
        <v>2860</v>
      </c>
      <c r="F133" s="2264"/>
      <c r="G133" s="2262"/>
      <c r="H133" s="2262"/>
      <c r="I133" s="2262"/>
      <c r="J133" s="2262"/>
      <c r="N133" s="2255"/>
      <c r="O133" s="2255"/>
      <c r="P133" s="2255"/>
      <c r="Q133" s="2255"/>
      <c r="R133" s="2255"/>
      <c r="S133" s="2255"/>
      <c r="T133" s="2255"/>
      <c r="U133" s="2255"/>
      <c r="V133" s="2255"/>
      <c r="W133" s="2255"/>
      <c r="X133" s="2255"/>
      <c r="Y133" s="2255"/>
      <c r="Z133" s="2255"/>
      <c r="AA133" s="2255"/>
      <c r="AB133" s="2255"/>
      <c r="AC133" s="2255"/>
      <c r="AD133" s="2255"/>
    </row>
    <row r="134" spans="2:30" ht="27" x14ac:dyDescent="0.25">
      <c r="B134" s="2272" t="s">
        <v>1611</v>
      </c>
      <c r="C134" s="2282">
        <f>IF(('Balances y Proyecciones'!Q17)&lt;&gt;360,'Balances y Proyecciones'!H33,'Balances y Proyecciones'!E33)</f>
        <v>90</v>
      </c>
      <c r="D134" s="2282">
        <f>IF(('Balances y Proyecciones'!Q17)&lt;&gt;360,'Balances y Proyecciones'!N33,'Balances y Proyecciones'!H33)</f>
        <v>90</v>
      </c>
      <c r="E134" s="2283">
        <f>IF(('Balances y Proyecciones'!Q17)&lt;&gt;360,'Balances y Proyecciones'!Q33,'Balances y Proyecciones'!N33)</f>
        <v>90</v>
      </c>
      <c r="F134" s="2264"/>
      <c r="G134" s="2262"/>
      <c r="H134" s="2262"/>
      <c r="I134" s="2262"/>
      <c r="J134" s="2262"/>
      <c r="N134" s="2255"/>
      <c r="O134" s="2255"/>
      <c r="P134" s="2255"/>
      <c r="Q134" s="2255"/>
      <c r="R134" s="2255"/>
      <c r="S134" s="2255"/>
      <c r="T134" s="2255"/>
      <c r="U134" s="2255"/>
      <c r="V134" s="2255"/>
      <c r="W134" s="2255"/>
      <c r="X134" s="2255"/>
      <c r="Y134" s="2255"/>
      <c r="Z134" s="2255"/>
      <c r="AA134" s="2255"/>
      <c r="AB134" s="2255"/>
      <c r="AC134" s="2255"/>
      <c r="AD134" s="2255"/>
    </row>
    <row r="135" spans="2:30" x14ac:dyDescent="0.25">
      <c r="B135" s="2395" t="s">
        <v>793</v>
      </c>
      <c r="C135" s="2571">
        <f>+SUM(C130:C134)</f>
        <v>3120</v>
      </c>
      <c r="D135" s="2571">
        <f>+SUM(D130:D134)</f>
        <v>3120</v>
      </c>
      <c r="E135" s="2571">
        <f>+SUM(E130:E134)</f>
        <v>3120</v>
      </c>
      <c r="F135" s="2264"/>
      <c r="G135" s="2262"/>
      <c r="H135" s="2262"/>
      <c r="I135" s="2262"/>
      <c r="J135" s="2262"/>
      <c r="N135" s="2255"/>
      <c r="O135" s="2255"/>
      <c r="P135" s="2255"/>
      <c r="Q135" s="2255"/>
      <c r="R135" s="2255"/>
      <c r="S135" s="2255"/>
      <c r="T135" s="2255"/>
      <c r="U135" s="2255"/>
      <c r="V135" s="2255"/>
      <c r="W135" s="2255"/>
      <c r="X135" s="2255"/>
      <c r="Y135" s="2255"/>
      <c r="Z135" s="2255"/>
      <c r="AA135" s="2255"/>
      <c r="AB135" s="2255"/>
      <c r="AC135" s="2255"/>
      <c r="AD135" s="2255"/>
    </row>
    <row r="136" spans="2:30" ht="12" x14ac:dyDescent="0.25">
      <c r="F136" s="2255"/>
      <c r="G136" s="2255"/>
      <c r="H136" s="2255"/>
      <c r="I136" s="2255"/>
      <c r="J136" s="2255"/>
      <c r="N136" s="2255"/>
      <c r="O136" s="2255"/>
      <c r="P136" s="2255"/>
      <c r="Q136" s="2255"/>
      <c r="R136" s="2255"/>
      <c r="S136" s="2255"/>
      <c r="T136" s="2255"/>
      <c r="U136" s="2255"/>
      <c r="V136" s="2255"/>
      <c r="W136" s="2255"/>
      <c r="X136" s="2255"/>
      <c r="Y136" s="2255"/>
      <c r="Z136" s="2255"/>
      <c r="AA136" s="2255"/>
      <c r="AB136" s="2255"/>
      <c r="AC136" s="2255"/>
      <c r="AD136" s="2255"/>
    </row>
    <row r="137" spans="2:30" ht="12" x14ac:dyDescent="0.25">
      <c r="B137" s="2255"/>
      <c r="C137" s="2255"/>
      <c r="D137" s="2255"/>
      <c r="E137" s="2255"/>
      <c r="F137" s="2255"/>
      <c r="G137" s="2255"/>
      <c r="H137" s="2255"/>
      <c r="I137" s="2255"/>
      <c r="J137" s="2255"/>
      <c r="N137" s="2255"/>
      <c r="O137" s="2255"/>
      <c r="P137" s="2255"/>
      <c r="Q137" s="2255"/>
      <c r="R137" s="2255"/>
      <c r="S137" s="2255"/>
      <c r="T137" s="2255"/>
      <c r="U137" s="2255"/>
      <c r="V137" s="2255"/>
      <c r="W137" s="2255"/>
      <c r="X137" s="2255"/>
      <c r="Y137" s="2255"/>
      <c r="Z137" s="2255"/>
      <c r="AA137" s="2255"/>
      <c r="AB137" s="2255"/>
      <c r="AC137" s="2255"/>
      <c r="AD137" s="2255"/>
    </row>
    <row r="138" spans="2:30" ht="12" x14ac:dyDescent="0.25">
      <c r="B138" s="2255"/>
      <c r="C138" s="2255"/>
      <c r="D138" s="2255"/>
      <c r="E138" s="2255"/>
      <c r="F138" s="2255"/>
      <c r="G138" s="2255"/>
      <c r="H138" s="2255"/>
      <c r="I138" s="2255"/>
      <c r="J138" s="2255"/>
      <c r="N138" s="2255"/>
      <c r="O138" s="2255"/>
      <c r="P138" s="2255"/>
      <c r="Q138" s="2255"/>
      <c r="R138" s="2255"/>
      <c r="S138" s="2255"/>
      <c r="T138" s="2255"/>
      <c r="U138" s="2255"/>
      <c r="V138" s="2255"/>
      <c r="W138" s="2255"/>
      <c r="X138" s="2255"/>
      <c r="Y138" s="2255"/>
      <c r="Z138" s="2255"/>
      <c r="AA138" s="2255"/>
      <c r="AB138" s="2255"/>
      <c r="AC138" s="2255"/>
      <c r="AD138" s="2255"/>
    </row>
    <row r="139" spans="2:30" x14ac:dyDescent="0.25">
      <c r="B139" s="3366" t="str">
        <f>B94</f>
        <v>Prueba Da 27.08.23</v>
      </c>
      <c r="C139" s="3367"/>
      <c r="D139" s="3367"/>
      <c r="E139" s="3367"/>
      <c r="F139" s="3367"/>
      <c r="G139" s="3367"/>
      <c r="H139" s="3367"/>
      <c r="I139" s="3367"/>
      <c r="J139" s="3368"/>
      <c r="N139" s="2255"/>
      <c r="O139" s="2255"/>
      <c r="P139" s="2255"/>
      <c r="Q139" s="2255"/>
      <c r="R139" s="2255"/>
      <c r="S139" s="2255"/>
      <c r="T139" s="2255"/>
      <c r="U139" s="2255"/>
      <c r="V139" s="2255"/>
      <c r="W139" s="2255"/>
      <c r="X139" s="2255"/>
      <c r="Y139" s="2255"/>
      <c r="Z139" s="2255"/>
      <c r="AA139" s="2255"/>
      <c r="AB139" s="2255"/>
      <c r="AC139" s="2255"/>
      <c r="AD139" s="2255"/>
    </row>
    <row r="140" spans="2:30" ht="27" x14ac:dyDescent="0.25">
      <c r="B140" s="2264"/>
      <c r="C140" s="2264"/>
      <c r="D140" s="2264"/>
      <c r="E140" s="2264"/>
      <c r="F140" s="2264"/>
      <c r="G140" s="2264"/>
      <c r="H140" s="2264"/>
      <c r="I140" s="2264"/>
      <c r="J140" s="2264"/>
      <c r="N140" s="2255"/>
      <c r="O140" s="2255"/>
      <c r="P140" s="2255"/>
      <c r="Q140" s="2255"/>
      <c r="R140" s="2255"/>
      <c r="S140" s="2255"/>
      <c r="T140" s="2255"/>
      <c r="U140" s="2255"/>
      <c r="V140" s="2255"/>
      <c r="W140" s="2255"/>
      <c r="X140" s="2255"/>
      <c r="Y140" s="2255"/>
      <c r="Z140" s="2255"/>
      <c r="AA140" s="2255"/>
      <c r="AB140" s="2255"/>
      <c r="AC140" s="2255"/>
      <c r="AD140" s="2255"/>
    </row>
    <row r="141" spans="2:30" x14ac:dyDescent="0.25">
      <c r="B141" s="2266" t="s">
        <v>899</v>
      </c>
      <c r="C141" s="2267"/>
      <c r="D141" s="2267"/>
      <c r="E141" s="2268"/>
      <c r="F141" s="2264"/>
      <c r="G141" s="2266" t="s">
        <v>1592</v>
      </c>
      <c r="H141" s="2267"/>
      <c r="I141" s="2267"/>
      <c r="J141" s="2268"/>
      <c r="N141" s="2255"/>
      <c r="O141" s="2255"/>
      <c r="P141" s="2255"/>
      <c r="Q141" s="2255"/>
      <c r="R141" s="2255"/>
      <c r="S141" s="2255"/>
      <c r="T141" s="2255"/>
      <c r="U141" s="2255"/>
      <c r="V141" s="2255"/>
      <c r="W141" s="2255"/>
      <c r="X141" s="2255"/>
      <c r="Y141" s="2255"/>
      <c r="Z141" s="2255"/>
      <c r="AA141" s="2255"/>
      <c r="AB141" s="2255"/>
      <c r="AC141" s="2255"/>
      <c r="AD141" s="2255"/>
    </row>
    <row r="142" spans="2:30" x14ac:dyDescent="0.25">
      <c r="B142" s="2269"/>
      <c r="C142" s="2304" t="str">
        <f>IF('Balances y Proyecciones'!$K$16="Diciembre","N.A",CONCATENATE(LEFT('Balances y Proyecciones'!$K$16,3)," ",CONCATENATE(RIGHT('Balances y Proyecciones'!$K$15,2))))</f>
        <v>Jun 20</v>
      </c>
      <c r="D142" s="2430"/>
      <c r="E142" s="2268" t="str">
        <f>IF('Balances y Proyecciones'!$K$16="Diciembre","N.A",CONCATENATE(LEFT('Balances y Proyecciones'!$K$16,3)," ",CONCATENATE(RIGHT('Balances y Proyecciones'!$Q$15,2))))</f>
        <v>Jun 21</v>
      </c>
      <c r="F142" s="2264"/>
      <c r="G142" s="2269"/>
      <c r="H142" s="2270" t="str">
        <f>$C$48</f>
        <v>Jun 20</v>
      </c>
      <c r="I142" s="2430"/>
      <c r="J142" s="2268" t="str">
        <f>$E$48</f>
        <v>Jun 21</v>
      </c>
      <c r="N142" s="2255"/>
      <c r="O142" s="2255"/>
      <c r="P142" s="2255"/>
      <c r="Q142" s="2255"/>
      <c r="R142" s="2255"/>
      <c r="S142" s="2255"/>
      <c r="T142" s="2255"/>
      <c r="U142" s="2255"/>
      <c r="V142" s="2255"/>
      <c r="W142" s="2255"/>
      <c r="X142" s="2255"/>
      <c r="Y142" s="2255"/>
      <c r="Z142" s="2255"/>
      <c r="AA142" s="2255"/>
      <c r="AB142" s="2255"/>
      <c r="AC142" s="2255"/>
      <c r="AD142" s="2255"/>
    </row>
    <row r="143" spans="2:30" x14ac:dyDescent="0.25">
      <c r="B143" s="2271" t="s">
        <v>1697</v>
      </c>
      <c r="C143" s="2443" t="str">
        <f>IF(Resumen!$C$48=0,"N.D",Resumen!$C$48)</f>
        <v>N.D</v>
      </c>
      <c r="D143" s="2444"/>
      <c r="E143" s="2445" t="str">
        <f>IF(Resumen!$E$48=0,"N.D",Resumen!$E$48)</f>
        <v>N.D</v>
      </c>
      <c r="F143" s="2264"/>
      <c r="G143" s="2272" t="s">
        <v>1593</v>
      </c>
      <c r="H143" s="2282">
        <f>IF(('Balances y Proyecciones'!Q17)&lt;&gt;360,'Balances y Proyecciones'!K71,'Balances y Proyecciones'!K71)</f>
        <v>3610</v>
      </c>
      <c r="I143" s="2282"/>
      <c r="J143" s="2593">
        <f>IF(('Balances y Proyecciones'!Q17)&lt;&gt;360,'Balances y Proyecciones'!Q71,'Balances y Proyecciones'!Q71)</f>
        <v>3610</v>
      </c>
      <c r="N143" s="2255"/>
      <c r="O143" s="2255"/>
      <c r="P143" s="2255"/>
      <c r="Q143" s="2255"/>
      <c r="R143" s="2255"/>
      <c r="S143" s="2255"/>
      <c r="T143" s="2255"/>
      <c r="U143" s="2255"/>
      <c r="V143" s="2255"/>
      <c r="W143" s="2255"/>
      <c r="X143" s="2255"/>
      <c r="Y143" s="2255"/>
      <c r="Z143" s="2255"/>
      <c r="AA143" s="2255"/>
      <c r="AB143" s="2255"/>
      <c r="AC143" s="2255"/>
      <c r="AD143" s="2255"/>
    </row>
    <row r="144" spans="2:30" x14ac:dyDescent="0.25">
      <c r="B144" s="2276" t="s">
        <v>541</v>
      </c>
      <c r="C144" s="2277"/>
      <c r="D144" s="2277"/>
      <c r="E144" s="2278"/>
      <c r="F144" s="2264"/>
      <c r="G144" s="2272" t="s">
        <v>1594</v>
      </c>
      <c r="H144" s="2282">
        <f>IF(('Balances y Proyecciones'!Q17)&lt;&gt;360,-'Balances y Proyecciones'!K72-'Balances y Proyecciones'!K74,-'Balances y Proyecciones'!K72-'Balances y Proyecciones'!K74)</f>
        <v>-800</v>
      </c>
      <c r="I144" s="2282"/>
      <c r="J144" s="2593">
        <f>IF(('Balances y Proyecciones'!Q17)&lt;&gt;360,-'Balances y Proyecciones'!Q72-'Balances y Proyecciones'!Q74,-'Balances y Proyecciones'!Q72-'Balances y Proyecciones'!Q74)</f>
        <v>-800</v>
      </c>
      <c r="N144" s="2255"/>
      <c r="O144" s="2255"/>
      <c r="P144" s="2255"/>
      <c r="Q144" s="2255"/>
      <c r="R144" s="2255"/>
      <c r="S144" s="2255"/>
      <c r="T144" s="2255"/>
      <c r="U144" s="2255"/>
      <c r="V144" s="2255"/>
      <c r="W144" s="2255"/>
      <c r="X144" s="2255"/>
      <c r="Y144" s="2255"/>
      <c r="Z144" s="2255"/>
      <c r="AA144" s="2255"/>
      <c r="AB144" s="2255"/>
      <c r="AC144" s="2255"/>
      <c r="AD144" s="2255"/>
    </row>
    <row r="145" spans="2:30" x14ac:dyDescent="0.25">
      <c r="B145" s="2272" t="s">
        <v>543</v>
      </c>
      <c r="C145" s="2282">
        <f>IF(('Balances y Proyecciones'!Q17)&lt;&gt;360,'Balances y Proyecciones'!K18,'Balances y Proyecciones'!K18)</f>
        <v>390</v>
      </c>
      <c r="D145" s="2282"/>
      <c r="E145" s="2283">
        <f>IF(('Balances y Proyecciones'!Q17)&lt;&gt;360,'Balances y Proyecciones'!Q18,'Balances y Proyecciones'!Q18)</f>
        <v>390</v>
      </c>
      <c r="F145" s="2264"/>
      <c r="G145" s="2284" t="s">
        <v>1480</v>
      </c>
      <c r="H145" s="2298">
        <f>H143+H144</f>
        <v>2810</v>
      </c>
      <c r="I145" s="2298"/>
      <c r="J145" s="2299">
        <f>J143+J144</f>
        <v>2810</v>
      </c>
      <c r="N145" s="2255"/>
      <c r="O145" s="2255"/>
      <c r="P145" s="2255"/>
      <c r="Q145" s="2255"/>
      <c r="R145" s="2255"/>
      <c r="S145" s="2255"/>
      <c r="T145" s="2255"/>
      <c r="U145" s="2255"/>
      <c r="V145" s="2255"/>
      <c r="W145" s="2255"/>
      <c r="X145" s="2255"/>
      <c r="Y145" s="2255"/>
      <c r="Z145" s="2255"/>
      <c r="AA145" s="2255"/>
      <c r="AB145" s="2255"/>
      <c r="AC145" s="2255"/>
      <c r="AD145" s="2255"/>
    </row>
    <row r="146" spans="2:30" x14ac:dyDescent="0.25">
      <c r="B146" s="2272" t="s">
        <v>107</v>
      </c>
      <c r="C146" s="2282">
        <f>IF(('Balances y Proyecciones'!Q17)&lt;&gt;360,'Balances y Proyecciones'!K19+'Balances y Proyecciones'!K20,'Balances y Proyecciones'!K19+'Balances y Proyecciones'!K20)</f>
        <v>90</v>
      </c>
      <c r="D146" s="2282"/>
      <c r="E146" s="2283">
        <f>IF(('Balances y Proyecciones'!Q17)&lt;&gt;360,'Balances y Proyecciones'!Q19+'Balances y Proyecciones'!Q20,'Balances y Proyecciones'!Q19+'Balances y Proyecciones'!Q20)</f>
        <v>90</v>
      </c>
      <c r="F146" s="2264"/>
      <c r="G146" s="2284" t="s">
        <v>881</v>
      </c>
      <c r="H146" s="2298">
        <f>IF(('Balances y Proyecciones'!Q110)&lt;&gt;360,'Balances y Proyecciones'!K186,'Balances y Proyecciones'!K186)</f>
        <v>0</v>
      </c>
      <c r="I146" s="2298"/>
      <c r="J146" s="2299">
        <f>IF(('Balances y Proyecciones'!Q110)&lt;&gt;360,'Balances y Proyecciones'!Q186,'Balances y Proyecciones'!Q186)</f>
        <v>0</v>
      </c>
      <c r="N146" s="2255"/>
      <c r="O146" s="2255"/>
      <c r="P146" s="2255"/>
      <c r="Q146" s="2255"/>
      <c r="R146" s="2255"/>
      <c r="S146" s="2255"/>
      <c r="T146" s="2255"/>
      <c r="U146" s="2255"/>
      <c r="V146" s="2255"/>
      <c r="W146" s="2255"/>
      <c r="X146" s="2255"/>
      <c r="Y146" s="2255"/>
      <c r="Z146" s="2255"/>
      <c r="AA146" s="2255"/>
      <c r="AB146" s="2255"/>
      <c r="AC146" s="2255"/>
      <c r="AD146" s="2255"/>
    </row>
    <row r="147" spans="2:30" ht="27" x14ac:dyDescent="0.25">
      <c r="B147" s="2272" t="s">
        <v>1598</v>
      </c>
      <c r="C147" s="2282">
        <f>IF(('Balances y Proyecciones'!Q17)&lt;&gt;360,'Balances y Proyecciones'!K21+'Balances y Proyecciones'!K22,'Balances y Proyecciones'!K21+'Balances y Proyecciones'!K22)</f>
        <v>390</v>
      </c>
      <c r="D147" s="2282"/>
      <c r="E147" s="2283">
        <f>IF(('Balances y Proyecciones'!Q17)&lt;&gt;360,'Balances y Proyecciones'!Q21+'Balances y Proyecciones'!Q22,'Balances y Proyecciones'!Q21+'Balances y Proyecciones'!Q22)</f>
        <v>390</v>
      </c>
      <c r="F147" s="2264"/>
      <c r="G147" s="2272" t="s">
        <v>1497</v>
      </c>
      <c r="H147" s="2282">
        <f>IF(('Balances y Proyecciones'!Q17)&lt;&gt;360,-'Balances y Proyecciones'!K76,-'Balances y Proyecciones'!K76)</f>
        <v>-10</v>
      </c>
      <c r="I147" s="2282"/>
      <c r="J147" s="2593">
        <f>IF(('Balances y Proyecciones'!Q17)&lt;&gt;360,-'Balances y Proyecciones'!Q76,-'Balances y Proyecciones'!Q76)</f>
        <v>-10</v>
      </c>
      <c r="N147" s="2255"/>
      <c r="O147" s="2255"/>
      <c r="P147" s="2255"/>
      <c r="Q147" s="2255"/>
      <c r="R147" s="2255"/>
      <c r="S147" s="2255"/>
      <c r="T147" s="2255"/>
      <c r="U147" s="2255"/>
      <c r="V147" s="2255"/>
      <c r="W147" s="2255"/>
      <c r="X147" s="2255"/>
      <c r="Y147" s="2255"/>
      <c r="Z147" s="2255"/>
      <c r="AA147" s="2255"/>
      <c r="AB147" s="2255"/>
      <c r="AC147" s="2255"/>
      <c r="AD147" s="2255"/>
    </row>
    <row r="148" spans="2:30" ht="27" x14ac:dyDescent="0.25">
      <c r="B148" s="2272" t="s">
        <v>1769</v>
      </c>
      <c r="C148" s="2282">
        <f>+'Estados Financieros'!I33</f>
        <v>90</v>
      </c>
      <c r="D148" s="2569"/>
      <c r="E148" s="2283">
        <f>+'Estados Financieros'!H33</f>
        <v>90</v>
      </c>
      <c r="F148" s="2264"/>
      <c r="G148" s="2272" t="s">
        <v>1600</v>
      </c>
      <c r="H148" s="2282">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10</v>
      </c>
      <c r="I148" s="2592"/>
      <c r="J148" s="2593">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10</v>
      </c>
      <c r="N148" s="2255"/>
      <c r="O148" s="2255"/>
      <c r="P148" s="2255"/>
      <c r="Q148" s="2255"/>
      <c r="R148" s="2255"/>
      <c r="S148" s="2255"/>
      <c r="T148" s="2255"/>
      <c r="U148" s="2255"/>
      <c r="V148" s="2255"/>
      <c r="W148" s="2255"/>
      <c r="X148" s="2255"/>
      <c r="Y148" s="2255"/>
      <c r="Z148" s="2255"/>
      <c r="AA148" s="2255"/>
      <c r="AB148" s="2255"/>
      <c r="AC148" s="2255"/>
      <c r="AD148" s="2255"/>
    </row>
    <row r="149" spans="2:30" ht="27" x14ac:dyDescent="0.25">
      <c r="B149" s="2272" t="s">
        <v>1770</v>
      </c>
      <c r="C149" s="2282">
        <f>+'Estados Financieros'!I39</f>
        <v>30</v>
      </c>
      <c r="D149" s="2569"/>
      <c r="E149" s="2283">
        <f>+'Estados Financieros'!H39</f>
        <v>30</v>
      </c>
      <c r="F149" s="2264"/>
      <c r="G149" s="2272" t="s">
        <v>1601</v>
      </c>
      <c r="H149" s="2592">
        <f>IF(('Balances y Proyecciones'!Q17)&lt;&gt;360,'Balances y Proyecciones'!K78,'Balances y Proyecciones'!K78)</f>
        <v>0</v>
      </c>
      <c r="I149" s="2592"/>
      <c r="J149" s="2593">
        <f>IF(('Balances y Proyecciones'!Q17)&lt;&gt;360,'Balances y Proyecciones'!Q78,'Balances y Proyecciones'!Q78)</f>
        <v>0</v>
      </c>
      <c r="N149" s="2255"/>
      <c r="O149" s="2255"/>
      <c r="P149" s="2255"/>
      <c r="Q149" s="2255"/>
      <c r="R149" s="2255"/>
      <c r="S149" s="2255"/>
      <c r="T149" s="2255"/>
      <c r="U149" s="2255"/>
      <c r="V149" s="2255"/>
      <c r="W149" s="2255"/>
      <c r="X149" s="2255"/>
      <c r="Y149" s="2255"/>
      <c r="Z149" s="2255"/>
      <c r="AA149" s="2255"/>
      <c r="AB149" s="2255"/>
      <c r="AC149" s="2255"/>
      <c r="AD149" s="2255"/>
    </row>
    <row r="150" spans="2:30" ht="27" x14ac:dyDescent="0.25">
      <c r="B150" s="2272" t="s">
        <v>1772</v>
      </c>
      <c r="C150" s="2282">
        <f>+'Estados Financieros'!I47-'Estados Financieros'!I33-'Estados Financieros'!I35-'Estados Financieros'!I39-'Estados Financieros'!I40</f>
        <v>-150</v>
      </c>
      <c r="D150" s="2569"/>
      <c r="E150" s="2283">
        <f>+'Estados Financieros'!H47-'Estados Financieros'!H33-'Estados Financieros'!H35-'Estados Financieros'!H39-'Estados Financieros'!H40</f>
        <v>-150</v>
      </c>
      <c r="F150" s="2264"/>
      <c r="G150" s="2272" t="s">
        <v>811</v>
      </c>
      <c r="H150" s="2282">
        <f>IF(('Balances y Proyecciones'!Q17)&lt;&gt;360,-'Balances y Proyecciones'!K88,-'Balances y Proyecciones'!K88)</f>
        <v>0</v>
      </c>
      <c r="I150" s="2592"/>
      <c r="J150" s="2593">
        <f>IF(('Balances y Proyecciones'!Q17)&lt;&gt;360,-'Balances y Proyecciones'!Q88,-'Balances y Proyecciones'!Q88)</f>
        <v>0</v>
      </c>
      <c r="N150" s="2255"/>
      <c r="O150" s="2255"/>
      <c r="P150" s="2255"/>
      <c r="Q150" s="2255"/>
      <c r="R150" s="2255"/>
      <c r="S150" s="2255"/>
      <c r="T150" s="2255"/>
      <c r="U150" s="2255"/>
      <c r="V150" s="2255"/>
      <c r="W150" s="2255"/>
      <c r="X150" s="2255"/>
      <c r="Y150" s="2255"/>
      <c r="Z150" s="2255"/>
      <c r="AA150" s="2255"/>
      <c r="AB150" s="2255"/>
      <c r="AC150" s="2255"/>
      <c r="AD150" s="2255"/>
    </row>
    <row r="151" spans="2:30" x14ac:dyDescent="0.25">
      <c r="B151" s="2272" t="s">
        <v>1773</v>
      </c>
      <c r="C151" s="2282">
        <f>+'Estados Financieros'!I35+'Estados Financieros'!I40</f>
        <v>60</v>
      </c>
      <c r="D151" s="2282"/>
      <c r="E151" s="2283">
        <f>+'Estados Financieros'!H35+'Estados Financieros'!H40</f>
        <v>60</v>
      </c>
      <c r="F151" s="2264"/>
      <c r="G151" s="2300" t="s">
        <v>1487</v>
      </c>
      <c r="H151" s="2595">
        <f>H145+H147+H148+H149+H150</f>
        <v>2810</v>
      </c>
      <c r="I151" s="2595"/>
      <c r="J151" s="2596">
        <f>J145+J147+J148+J149+J150</f>
        <v>2810</v>
      </c>
      <c r="N151" s="2255"/>
      <c r="O151" s="2255"/>
      <c r="P151" s="2255"/>
      <c r="Q151" s="2255"/>
      <c r="R151" s="2255"/>
      <c r="S151" s="2255"/>
      <c r="T151" s="2255"/>
      <c r="U151" s="2255"/>
      <c r="V151" s="2255"/>
      <c r="W151" s="2255"/>
      <c r="X151" s="2255"/>
      <c r="Y151" s="2255"/>
      <c r="Z151" s="2255"/>
      <c r="AA151" s="2255"/>
      <c r="AB151" s="2255"/>
      <c r="AC151" s="2255"/>
      <c r="AD151" s="2255"/>
    </row>
    <row r="152" spans="2:30" ht="27" x14ac:dyDescent="0.25">
      <c r="B152" s="2272" t="s">
        <v>663</v>
      </c>
      <c r="C152" s="2282">
        <f>+'Estados Financieros'!I74+'Estados Financieros'!I82+'Estados Financieros'!I88</f>
        <v>90</v>
      </c>
      <c r="D152" s="2282"/>
      <c r="E152" s="2283">
        <f>+'Estados Financieros'!H74+'Estados Financieros'!H82+'Estados Financieros'!H88</f>
        <v>90</v>
      </c>
      <c r="F152" s="2264"/>
      <c r="H152" s="2255"/>
      <c r="I152" s="2255"/>
      <c r="J152" s="2255"/>
      <c r="N152" s="2255"/>
      <c r="O152" s="2255"/>
      <c r="P152" s="2255"/>
      <c r="Q152" s="2255"/>
      <c r="R152" s="2255"/>
      <c r="S152" s="2255"/>
      <c r="T152" s="2255"/>
      <c r="U152" s="2255"/>
      <c r="V152" s="2255"/>
      <c r="W152" s="2255"/>
      <c r="X152" s="2255"/>
      <c r="Y152" s="2255"/>
      <c r="Z152" s="2255"/>
      <c r="AA152" s="2255"/>
      <c r="AB152" s="2255"/>
      <c r="AC152" s="2255"/>
      <c r="AD152" s="2255"/>
    </row>
    <row r="153" spans="2:30" x14ac:dyDescent="0.25">
      <c r="B153" s="2284" t="s">
        <v>1603</v>
      </c>
      <c r="C153" s="2298">
        <f>SUM(C145:C152)</f>
        <v>990</v>
      </c>
      <c r="D153" s="2298"/>
      <c r="E153" s="2299">
        <f>SUM(E145:E152)</f>
        <v>990</v>
      </c>
      <c r="F153" s="2264"/>
      <c r="G153" s="2279" t="s">
        <v>1607</v>
      </c>
      <c r="H153" s="2304"/>
      <c r="I153" s="2304"/>
      <c r="J153" s="2495"/>
      <c r="N153" s="2255"/>
      <c r="O153" s="2255"/>
      <c r="P153" s="2255"/>
      <c r="Q153" s="2255"/>
      <c r="R153" s="2255"/>
      <c r="S153" s="2255"/>
      <c r="T153" s="2255"/>
      <c r="U153" s="2255"/>
      <c r="V153" s="2255"/>
      <c r="W153" s="2255"/>
      <c r="X153" s="2255"/>
      <c r="Y153" s="2255"/>
      <c r="Z153" s="2255"/>
      <c r="AA153" s="2255"/>
      <c r="AB153" s="2255"/>
      <c r="AC153" s="2255"/>
      <c r="AD153" s="2255"/>
    </row>
    <row r="154" spans="2:30" x14ac:dyDescent="0.25">
      <c r="B154" s="2272" t="s">
        <v>1604</v>
      </c>
      <c r="C154" s="2282">
        <f>IF(('Balances y Proyecciones'!Q17)&lt;&gt;360,'Balances y Proyecciones'!K28+'Balances y Proyecciones'!K29,'Balances y Proyecciones'!K28+'Balances y Proyecciones'!K29)</f>
        <v>600</v>
      </c>
      <c r="D154" s="2282"/>
      <c r="E154" s="2283">
        <f>IF(('Balances y Proyecciones'!Q17)&lt;&gt;360,'Balances y Proyecciones'!Q28+'Balances y Proyecciones'!Q29,'Balances y Proyecciones'!Q28+'Balances y Proyecciones'!Q29)</f>
        <v>600</v>
      </c>
      <c r="F154" s="2264"/>
      <c r="G154" s="2269"/>
      <c r="H154" s="2270" t="str">
        <f>$C$48</f>
        <v>Jun 20</v>
      </c>
      <c r="I154" s="2270"/>
      <c r="J154" s="2268" t="str">
        <f>$E$48</f>
        <v>Jun 21</v>
      </c>
      <c r="N154" s="2255"/>
      <c r="O154" s="2255"/>
      <c r="P154" s="2255"/>
      <c r="Q154" s="2255"/>
      <c r="R154" s="2255"/>
      <c r="S154" s="2255"/>
      <c r="T154" s="2255"/>
      <c r="U154" s="2255"/>
      <c r="V154" s="2255"/>
      <c r="W154" s="2255"/>
      <c r="X154" s="2255"/>
      <c r="Y154" s="2255"/>
      <c r="Z154" s="2255"/>
      <c r="AA154" s="2255"/>
      <c r="AB154" s="2255"/>
      <c r="AC154" s="2255"/>
      <c r="AD154" s="2255"/>
    </row>
    <row r="155" spans="2:30" ht="27" x14ac:dyDescent="0.25">
      <c r="B155" s="2272" t="s">
        <v>1491</v>
      </c>
      <c r="C155" s="2282">
        <f>IF(('Balances y Proyecciones'!Q17)&lt;&gt;360,'Balances y Proyecciones'!K27,'Balances y Proyecciones'!K27)</f>
        <v>270</v>
      </c>
      <c r="D155" s="2282"/>
      <c r="E155" s="2283">
        <f>IF(('Balances y Proyecciones'!Q17)&lt;&gt;360,'Balances y Proyecciones'!Q27,'Balances y Proyecciones'!Q27)</f>
        <v>270</v>
      </c>
      <c r="F155" s="2264"/>
      <c r="G155" s="2386"/>
      <c r="H155" s="2255"/>
      <c r="I155" s="2255"/>
      <c r="J155" s="2387"/>
      <c r="N155" s="2255"/>
      <c r="O155" s="2255"/>
      <c r="P155" s="2255"/>
      <c r="Q155" s="2255"/>
      <c r="R155" s="2255"/>
      <c r="S155" s="2255"/>
      <c r="T155" s="2255"/>
      <c r="U155" s="2255"/>
      <c r="V155" s="2255"/>
      <c r="W155" s="2255"/>
      <c r="X155" s="2255"/>
      <c r="Y155" s="2255"/>
      <c r="Z155" s="2255"/>
      <c r="AA155" s="2255"/>
      <c r="AB155" s="2255"/>
      <c r="AC155" s="2255"/>
      <c r="AD155" s="2255"/>
    </row>
    <row r="156" spans="2:30" x14ac:dyDescent="0.25">
      <c r="B156" s="2272" t="s">
        <v>1606</v>
      </c>
      <c r="C156" s="2282">
        <f>IF(('Balances y Proyecciones'!Q17)&lt;&gt;360,'Balances y Proyecciones'!K31+'Balances y Proyecciones'!K30,'Balances y Proyecciones'!K31+'Balances y Proyecciones'!K30)</f>
        <v>390</v>
      </c>
      <c r="D156" s="2494"/>
      <c r="E156" s="2283">
        <f>IF(('Balances y Proyecciones'!Q17)&lt;&gt;360,'Balances y Proyecciones'!Q31+'Balances y Proyecciones'!Q30,'Balances y Proyecciones'!Q31+'Balances y Proyecciones'!Q30)</f>
        <v>390</v>
      </c>
      <c r="F156" s="2264"/>
      <c r="G156" s="2307" t="s">
        <v>1612</v>
      </c>
      <c r="H156" s="2264"/>
      <c r="I156" s="2264"/>
      <c r="J156" s="2308"/>
      <c r="N156" s="2255"/>
      <c r="O156" s="2255"/>
      <c r="P156" s="2255"/>
      <c r="Q156" s="2255"/>
      <c r="R156" s="2255"/>
      <c r="S156" s="2255"/>
      <c r="T156" s="2255"/>
      <c r="U156" s="2255"/>
      <c r="V156" s="2255"/>
      <c r="W156" s="2255"/>
      <c r="X156" s="2255"/>
      <c r="Y156" s="2255"/>
      <c r="Z156" s="2255"/>
      <c r="AA156" s="2255"/>
      <c r="AB156" s="2255"/>
      <c r="AC156" s="2255"/>
      <c r="AD156" s="2255"/>
    </row>
    <row r="157" spans="2:30" ht="27" x14ac:dyDescent="0.25">
      <c r="B157" s="2272" t="s">
        <v>1609</v>
      </c>
      <c r="C157" s="2282">
        <f>IF(('Balances y Proyecciones'!Q17)&lt;&gt;360,'Balances y Proyecciones'!K32,'Balances y Proyecciones'!K32)</f>
        <v>750</v>
      </c>
      <c r="D157" s="2282"/>
      <c r="E157" s="2283">
        <f>IF(('Balances y Proyecciones'!Q17)&lt;&gt;360,'Balances y Proyecciones'!Q32,'Balances y Proyecciones'!Q32)</f>
        <v>750</v>
      </c>
      <c r="F157" s="2264"/>
      <c r="G157" s="2272" t="s">
        <v>880</v>
      </c>
      <c r="H157" s="2309">
        <f>IF(('Balances y Proyecciones'!Q17)&lt;&gt;360,'Balances y Proyecciones'!AV718,'Balances y Proyecciones'!AV718)</f>
        <v>0.77839335180055402</v>
      </c>
      <c r="I157" s="2309"/>
      <c r="J157" s="2310">
        <f>IF(('Balances y Proyecciones'!Q17)&lt;&gt;360,'Balances y Proyecciones'!BB718,'Balances y Proyecciones'!BB718)</f>
        <v>0.77839335180055402</v>
      </c>
      <c r="N157" s="2255"/>
      <c r="O157" s="2255"/>
      <c r="P157" s="2255"/>
      <c r="Q157" s="2255"/>
      <c r="R157" s="2255"/>
      <c r="S157" s="2255"/>
      <c r="T157" s="2255"/>
      <c r="U157" s="2255"/>
      <c r="V157" s="2255"/>
      <c r="W157" s="2255"/>
      <c r="X157" s="2255"/>
      <c r="Y157" s="2255"/>
      <c r="Z157" s="2255"/>
      <c r="AA157" s="2255"/>
      <c r="AB157" s="2255"/>
      <c r="AC157" s="2255"/>
      <c r="AD157" s="2255"/>
    </row>
    <row r="158" spans="2:30" ht="27" x14ac:dyDescent="0.25">
      <c r="B158" s="2272" t="s">
        <v>1611</v>
      </c>
      <c r="C158" s="2282">
        <f>IF(('Balances y Proyecciones'!Q17)&lt;&gt;360,'Balances y Proyecciones'!K33,'Balances y Proyecciones'!K33)</f>
        <v>90</v>
      </c>
      <c r="D158" s="2282"/>
      <c r="E158" s="2283">
        <f>IF(('Balances y Proyecciones'!Q17)&lt;&gt;360,'Balances y Proyecciones'!Q33,'Balances y Proyecciones'!Q33)</f>
        <v>90</v>
      </c>
      <c r="F158" s="2264"/>
      <c r="G158" s="2272" t="s">
        <v>1616</v>
      </c>
      <c r="H158" s="2309">
        <f>IF(('Balances y Proyecciones'!Q17)&lt;&gt;360,'Balances y Proyecciones'!AV719,'Balances y Proyecciones'!AV719)</f>
        <v>0.78947368421052633</v>
      </c>
      <c r="I158" s="2309"/>
      <c r="J158" s="2310">
        <f>IF(('Balances y Proyecciones'!Q17)&lt;&gt;360,'Balances y Proyecciones'!BB719,'Balances y Proyecciones'!BB719)</f>
        <v>0.78947368421052633</v>
      </c>
      <c r="N158" s="2255"/>
      <c r="O158" s="2255"/>
      <c r="P158" s="2255"/>
      <c r="Q158" s="2255"/>
      <c r="R158" s="2255"/>
      <c r="S158" s="2255"/>
      <c r="T158" s="2255"/>
      <c r="U158" s="2255"/>
      <c r="V158" s="2255"/>
      <c r="W158" s="2255"/>
      <c r="X158" s="2255"/>
      <c r="Y158" s="2255"/>
      <c r="Z158" s="2255"/>
      <c r="AA158" s="2255"/>
      <c r="AB158" s="2255"/>
      <c r="AC158" s="2255"/>
      <c r="AD158" s="2255"/>
    </row>
    <row r="159" spans="2:30" x14ac:dyDescent="0.25">
      <c r="B159" s="2284" t="s">
        <v>1614</v>
      </c>
      <c r="C159" s="2298">
        <f>SUM(C154:C158)</f>
        <v>2100</v>
      </c>
      <c r="D159" s="2298"/>
      <c r="E159" s="2299">
        <f>SUM(E154:E158)</f>
        <v>2100</v>
      </c>
      <c r="F159" s="2264"/>
      <c r="G159" s="2272" t="s">
        <v>883</v>
      </c>
      <c r="H159" s="2309">
        <f>IF(('Balances y Proyecciones'!Q17)&lt;&gt;360,'Balances y Proyecciones'!AV721,'Balances y Proyecciones'!AV721)</f>
        <v>0.77839335180055402</v>
      </c>
      <c r="I159" s="2309"/>
      <c r="J159" s="2310">
        <f>IF(('Balances y Proyecciones'!Q17)&lt;&gt;360,'Balances y Proyecciones'!BB721,'Balances y Proyecciones'!BB721)</f>
        <v>0.77839335180055402</v>
      </c>
      <c r="N159" s="2255"/>
      <c r="O159" s="2255"/>
      <c r="P159" s="2255"/>
      <c r="Q159" s="2255"/>
      <c r="R159" s="2255"/>
      <c r="S159" s="2255"/>
      <c r="T159" s="2255"/>
      <c r="U159" s="2255"/>
      <c r="V159" s="2255"/>
      <c r="W159" s="2255"/>
      <c r="X159" s="2255"/>
      <c r="Y159" s="2255"/>
      <c r="Z159" s="2255"/>
      <c r="AA159" s="2255"/>
      <c r="AB159" s="2255"/>
      <c r="AC159" s="2255"/>
      <c r="AD159" s="2255"/>
    </row>
    <row r="160" spans="2:30" x14ac:dyDescent="0.25">
      <c r="B160" s="2311" t="s">
        <v>671</v>
      </c>
      <c r="C160" s="2312">
        <f>C153+C159</f>
        <v>3090</v>
      </c>
      <c r="D160" s="2312"/>
      <c r="E160" s="2313">
        <f>E153+E159</f>
        <v>3090</v>
      </c>
      <c r="F160" s="2264"/>
      <c r="G160" s="2272" t="s">
        <v>1619</v>
      </c>
      <c r="H160" s="2309">
        <f>IF('Balances y Proyecciones'!$Q$17=360,'Balances y Proyecciones'!$AV$757,'Balances y Proyecciones'!$AV$757)</f>
        <v>1.8012820512820513</v>
      </c>
      <c r="I160" s="2522"/>
      <c r="J160" s="2310">
        <f>IF('Balances y Proyecciones'!$Q$17=360,'Balances y Proyecciones'!$BB$757,'Balances y Proyecciones'!$BB$757)</f>
        <v>1.8012820512820513</v>
      </c>
      <c r="N160" s="2255"/>
      <c r="O160" s="2255"/>
      <c r="P160" s="2255"/>
      <c r="Q160" s="2255"/>
      <c r="R160" s="2255"/>
      <c r="S160" s="2255"/>
      <c r="T160" s="2255"/>
      <c r="U160" s="2255"/>
      <c r="V160" s="2255"/>
      <c r="W160" s="2255"/>
      <c r="X160" s="2255"/>
      <c r="Y160" s="2255"/>
      <c r="Z160" s="2255"/>
      <c r="AA160" s="2255"/>
      <c r="AB160" s="2255"/>
      <c r="AC160" s="2255"/>
      <c r="AD160" s="2255"/>
    </row>
    <row r="161" spans="2:30" x14ac:dyDescent="0.25">
      <c r="B161" s="2307" t="s">
        <v>678</v>
      </c>
      <c r="C161" s="2282"/>
      <c r="D161" s="2282"/>
      <c r="E161" s="2283"/>
      <c r="F161" s="2264"/>
      <c r="G161" s="2307" t="s">
        <v>1621</v>
      </c>
      <c r="H161" s="2264"/>
      <c r="I161" s="2264"/>
      <c r="J161" s="2308"/>
      <c r="N161" s="2255"/>
      <c r="O161" s="2255"/>
      <c r="P161" s="2255"/>
      <c r="Q161" s="2255"/>
      <c r="R161" s="2255"/>
      <c r="S161" s="2255"/>
      <c r="T161" s="2255"/>
      <c r="U161" s="2255"/>
      <c r="V161" s="2255"/>
      <c r="W161" s="2255"/>
      <c r="X161" s="2255"/>
      <c r="Y161" s="2255"/>
      <c r="Z161" s="2255"/>
      <c r="AA161" s="2255"/>
      <c r="AB161" s="2255"/>
      <c r="AC161" s="2255"/>
      <c r="AD161" s="2255"/>
    </row>
    <row r="162" spans="2:30" ht="27" x14ac:dyDescent="0.25">
      <c r="B162" s="2272" t="s">
        <v>1618</v>
      </c>
      <c r="C162" s="2282">
        <f>IF(('Balances y Proyecciones'!Q17)&lt;&gt;360,'Balances y Proyecciones'!K36+'Balances y Proyecciones'!K37+'Balances y Proyecciones'!K38+'Balances y Proyecciones'!K39,'Balances y Proyecciones'!K36+'Balances y Proyecciones'!K37+'Balances y Proyecciones'!K38+'Balances y Proyecciones'!K39)</f>
        <v>30</v>
      </c>
      <c r="D162" s="2282"/>
      <c r="E162" s="2283">
        <f>IF(('Balances y Proyecciones'!Q17)&lt;&gt;360,'Balances y Proyecciones'!Q60,'Balances y Proyecciones'!Q60)</f>
        <v>70</v>
      </c>
      <c r="F162" s="2264"/>
      <c r="G162" s="2294" t="s">
        <v>1624</v>
      </c>
      <c r="H162" s="2309" t="s">
        <v>1740</v>
      </c>
      <c r="I162" s="2309"/>
      <c r="J162" s="2310">
        <f>J49/H49-1</f>
        <v>0</v>
      </c>
      <c r="N162" s="2255"/>
      <c r="O162" s="2255"/>
      <c r="P162" s="2255"/>
      <c r="Q162" s="2255"/>
      <c r="R162" s="2255"/>
      <c r="S162" s="2255"/>
      <c r="T162" s="2255"/>
      <c r="U162" s="2255"/>
      <c r="V162" s="2255"/>
      <c r="W162" s="2255"/>
      <c r="X162" s="2255"/>
      <c r="Y162" s="2255"/>
      <c r="Z162" s="2255"/>
      <c r="AA162" s="2255"/>
      <c r="AB162" s="2255"/>
      <c r="AC162" s="2255"/>
      <c r="AD162" s="2255"/>
    </row>
    <row r="163" spans="2:30" ht="27" x14ac:dyDescent="0.25">
      <c r="B163" s="2272" t="s">
        <v>108</v>
      </c>
      <c r="C163" s="2282">
        <f>IF(('Balances y Proyecciones'!Q17)&lt;&gt;360,'Balances y Proyecciones'!K40,'Balances y Proyecciones'!K40)</f>
        <v>30</v>
      </c>
      <c r="D163" s="2282"/>
      <c r="E163" s="2283">
        <f>IF(('Balances y Proyecciones'!Q17)&lt;&gt;360,'Balances y Proyecciones'!Q40,'Balances y Proyecciones'!Q40)</f>
        <v>30</v>
      </c>
      <c r="F163" s="2264"/>
      <c r="G163" s="2272" t="s">
        <v>1627</v>
      </c>
      <c r="H163" s="2316">
        <f>IF(('Balances y Proyecciones'!Q17)&lt;&gt;360,'Balances y Proyecciones'!AV725,'Balances y Proyecciones'!AV725)</f>
        <v>4.4875346260387809</v>
      </c>
      <c r="I163" s="2316"/>
      <c r="J163" s="2317">
        <f>IF(('Balances y Proyecciones'!Q17)&lt;&gt;360,'Balances y Proyecciones'!BB725,'Balances y Proyecciones'!BB725)</f>
        <v>4.4875346260387809</v>
      </c>
      <c r="N163" s="2255"/>
      <c r="O163" s="2255"/>
      <c r="P163" s="2255"/>
      <c r="Q163" s="2255"/>
      <c r="R163" s="2255"/>
      <c r="S163" s="2255"/>
      <c r="T163" s="2255"/>
      <c r="U163" s="2255"/>
      <c r="V163" s="2255"/>
      <c r="W163" s="2255"/>
      <c r="X163" s="2255"/>
      <c r="Y163" s="2255"/>
      <c r="Z163" s="2255"/>
      <c r="AA163" s="2255"/>
      <c r="AB163" s="2255"/>
      <c r="AC163" s="2255"/>
      <c r="AD163" s="2255"/>
    </row>
    <row r="164" spans="2:30" ht="27" x14ac:dyDescent="0.25">
      <c r="B164" s="2272" t="s">
        <v>1623</v>
      </c>
      <c r="C164" s="2282">
        <f>IF(('Balances y Proyecciones'!Q17)&lt;&gt;360,'Balances y Proyecciones'!K44,'Balances y Proyecciones'!K44)</f>
        <v>120</v>
      </c>
      <c r="D164" s="2282"/>
      <c r="E164" s="2283">
        <f>IF(('Balances y Proyecciones'!Q17)&lt;&gt;360,'Balances y Proyecciones'!Q44,'Balances y Proyecciones'!Q44)</f>
        <v>120</v>
      </c>
      <c r="F164" s="2264"/>
      <c r="G164" s="2272" t="s">
        <v>1631</v>
      </c>
      <c r="H164" s="2316">
        <f>IF(('Balances y Proyecciones'!Q17)&lt;&gt;360,'Balances y Proyecciones'!AV727,'Balances y Proyecciones'!AV727)</f>
        <v>140.4</v>
      </c>
      <c r="I164" s="2316"/>
      <c r="J164" s="2317">
        <f>IF(('Balances y Proyecciones'!Q17)&lt;&gt;360,'Balances y Proyecciones'!BB727,'Balances y Proyecciones'!BB727)</f>
        <v>140.4</v>
      </c>
      <c r="N164" s="2255"/>
      <c r="O164" s="2255"/>
      <c r="P164" s="2255"/>
      <c r="Q164" s="2255"/>
      <c r="R164" s="2255"/>
      <c r="S164" s="2255"/>
      <c r="T164" s="2255"/>
      <c r="U164" s="2255"/>
      <c r="V164" s="2255"/>
      <c r="W164" s="2255"/>
      <c r="X164" s="2255"/>
      <c r="Y164" s="2255"/>
      <c r="Z164" s="2255"/>
      <c r="AA164" s="2255"/>
      <c r="AB164" s="2255"/>
      <c r="AC164" s="2255"/>
      <c r="AD164" s="2255"/>
    </row>
    <row r="165" spans="2:30" ht="27" x14ac:dyDescent="0.25">
      <c r="B165" s="2272" t="s">
        <v>1777</v>
      </c>
      <c r="C165" s="2282">
        <f>+'Estados Financieros'!I245</f>
        <v>90</v>
      </c>
      <c r="D165" s="2282"/>
      <c r="E165" s="2283">
        <f>+'Estados Financieros'!H245</f>
        <v>90</v>
      </c>
      <c r="F165" s="2264"/>
      <c r="G165" s="2272" t="s">
        <v>1633</v>
      </c>
      <c r="H165" s="2316">
        <f>H163+H164</f>
        <v>144.88753462603879</v>
      </c>
      <c r="I165" s="2316"/>
      <c r="J165" s="2317">
        <f>J163+J164</f>
        <v>144.88753462603879</v>
      </c>
      <c r="N165" s="2255"/>
      <c r="O165" s="2255"/>
      <c r="P165" s="2255"/>
      <c r="Q165" s="2255"/>
      <c r="R165" s="2255"/>
      <c r="S165" s="2255"/>
      <c r="T165" s="2255"/>
      <c r="U165" s="2255"/>
      <c r="V165" s="2255"/>
      <c r="W165" s="2255"/>
      <c r="X165" s="2255"/>
      <c r="Y165" s="2255"/>
      <c r="Z165" s="2255"/>
      <c r="AA165" s="2255"/>
      <c r="AB165" s="2255"/>
      <c r="AC165" s="2255"/>
      <c r="AD165" s="2255"/>
    </row>
    <row r="166" spans="2:30" ht="27" x14ac:dyDescent="0.25">
      <c r="B166" s="2272" t="s">
        <v>1626</v>
      </c>
      <c r="C166" s="2282">
        <f>+'Estados Financieros'!I224+'Estados Financieros'!I232+'Estados Financieros'!I243+('Estados Financieros'!I251-'Estados Financieros'!I245)+'Estados Financieros'!I258</f>
        <v>-60</v>
      </c>
      <c r="D166" s="2282"/>
      <c r="E166" s="2283">
        <f>+'Estados Financieros'!H224+'Estados Financieros'!H232+'Estados Financieros'!H243+('Estados Financieros'!H251-'Estados Financieros'!H245)+'Estados Financieros'!H258</f>
        <v>-60</v>
      </c>
      <c r="F166" s="2264"/>
      <c r="G166" s="2272" t="s">
        <v>1635</v>
      </c>
      <c r="H166" s="2316">
        <f>IF(('Balances y Proyecciones'!Q17)&lt;&gt;360,'Balances y Proyecciones'!AV730,'Balances y Proyecciones'!AV730)</f>
        <v>10.8</v>
      </c>
      <c r="I166" s="2316"/>
      <c r="J166" s="2317">
        <f>IF(('Balances y Proyecciones'!Q17)&lt;&gt;360,'Balances y Proyecciones'!BB730,'Balances y Proyecciones'!BB730)</f>
        <v>10.8</v>
      </c>
      <c r="N166" s="2255"/>
      <c r="O166" s="2255"/>
      <c r="P166" s="2255"/>
      <c r="Q166" s="2255"/>
      <c r="R166" s="2255"/>
      <c r="S166" s="2255"/>
      <c r="T166" s="2255"/>
      <c r="U166" s="2255"/>
      <c r="V166" s="2255"/>
      <c r="W166" s="2255"/>
      <c r="X166" s="2255"/>
      <c r="Y166" s="2255"/>
      <c r="Z166" s="2255"/>
      <c r="AA166" s="2255"/>
      <c r="AB166" s="2255"/>
      <c r="AC166" s="2255"/>
      <c r="AD166" s="2255"/>
    </row>
    <row r="167" spans="2:30" x14ac:dyDescent="0.25">
      <c r="B167" s="2284" t="s">
        <v>1630</v>
      </c>
      <c r="C167" s="2298">
        <f>SUM(C162:C166)</f>
        <v>210</v>
      </c>
      <c r="D167" s="2298"/>
      <c r="E167" s="2299">
        <f>SUM(E162:E166)</f>
        <v>250</v>
      </c>
      <c r="F167" s="2264"/>
      <c r="G167" s="2272" t="s">
        <v>1639</v>
      </c>
      <c r="H167" s="2316">
        <f>H165-H166</f>
        <v>134.08753462603877</v>
      </c>
      <c r="I167" s="2316"/>
      <c r="J167" s="2317">
        <f>J165-J166</f>
        <v>134.08753462603877</v>
      </c>
      <c r="N167" s="2255"/>
      <c r="O167" s="2255"/>
      <c r="P167" s="2255"/>
      <c r="Q167" s="2255"/>
      <c r="R167" s="2255"/>
      <c r="S167" s="2255"/>
      <c r="T167" s="2255"/>
      <c r="U167" s="2255"/>
      <c r="V167" s="2255"/>
      <c r="W167" s="2255"/>
      <c r="X167" s="2255"/>
      <c r="Y167" s="2255"/>
      <c r="Z167" s="2255"/>
      <c r="AA167" s="2255"/>
      <c r="AB167" s="2255"/>
      <c r="AC167" s="2255"/>
      <c r="AD167" s="2255"/>
    </row>
    <row r="168" spans="2:30" x14ac:dyDescent="0.25">
      <c r="B168" s="2272" t="s">
        <v>1632</v>
      </c>
      <c r="C168" s="2282">
        <f>IF(('Balances y Proyecciones'!Q17)&lt;&gt;360,'Balances y Proyecciones'!K49+'Balances y Proyecciones'!K50+'Balances y Proyecciones'!K51,'Balances y Proyecciones'!K49+'Balances y Proyecciones'!K50+'Balances y Proyecciones'!K51)</f>
        <v>20</v>
      </c>
      <c r="D168" s="2282"/>
      <c r="E168" s="2283">
        <f>IF(('Balances y Proyecciones'!Q17)&lt;&gt;360,'Balances y Proyecciones'!Q36+'Balances y Proyecciones'!Q37+'Balances y Proyecciones'!Q38+'Balances y Proyecciones'!Q39,'Balances y Proyecciones'!Q36+'Balances y Proyecciones'!Q37+'Balances y Proyecciones'!Q38+'Balances y Proyecciones'!Q39)</f>
        <v>30</v>
      </c>
      <c r="F168" s="2264"/>
      <c r="G168" s="2307" t="s">
        <v>1641</v>
      </c>
      <c r="H168" s="2264"/>
      <c r="I168" s="2264"/>
      <c r="J168" s="2308"/>
      <c r="N168" s="2255"/>
      <c r="O168" s="2255"/>
      <c r="P168" s="2255"/>
      <c r="Q168" s="2255"/>
      <c r="R168" s="2255"/>
      <c r="S168" s="2255"/>
      <c r="T168" s="2255"/>
      <c r="U168" s="2255"/>
      <c r="V168" s="2255"/>
      <c r="W168" s="2255"/>
      <c r="X168" s="2255"/>
      <c r="Y168" s="2255"/>
      <c r="Z168" s="2255"/>
      <c r="AA168" s="2255"/>
      <c r="AB168" s="2255"/>
      <c r="AC168" s="2255"/>
      <c r="AD168" s="2255"/>
    </row>
    <row r="169" spans="2:30" ht="27" x14ac:dyDescent="0.25">
      <c r="B169" s="2332" t="s">
        <v>1781</v>
      </c>
      <c r="C169" s="2282">
        <f>+'Estados Financieros'!I270</f>
        <v>10</v>
      </c>
      <c r="D169" s="2282"/>
      <c r="E169" s="2283">
        <f>+'Estados Financieros'!H270</f>
        <v>10</v>
      </c>
      <c r="F169" s="2264"/>
      <c r="G169" s="2272" t="s">
        <v>1642</v>
      </c>
      <c r="H169" s="2309">
        <f>IF(('Balances y Proyecciones'!Q17)&lt;&gt;360,'Balances y Proyecciones'!AV751,'Balances y Proyecciones'!AV751)</f>
        <v>0.24031007751937986</v>
      </c>
      <c r="I169" s="2309"/>
      <c r="J169" s="2310">
        <f>IF(('Balances y Proyecciones'!Q17)&lt;&gt;360,'Balances y Proyecciones'!BB751,'Balances y Proyecciones'!BB751)</f>
        <v>0.24031007751937986</v>
      </c>
      <c r="N169" s="2255"/>
      <c r="O169" s="2255"/>
      <c r="P169" s="2255"/>
      <c r="Q169" s="2255"/>
      <c r="R169" s="2255"/>
      <c r="S169" s="2255"/>
      <c r="T169" s="2255"/>
      <c r="U169" s="2255"/>
      <c r="V169" s="2255"/>
      <c r="W169" s="2255"/>
      <c r="X169" s="2255"/>
      <c r="Y169" s="2255"/>
      <c r="Z169" s="2255"/>
      <c r="AA169" s="2255"/>
      <c r="AB169" s="2255"/>
      <c r="AC169" s="2255"/>
      <c r="AD169" s="2255"/>
    </row>
    <row r="170" spans="2:30" ht="27" x14ac:dyDescent="0.25">
      <c r="B170" s="2272" t="s">
        <v>1782</v>
      </c>
      <c r="C170" s="2282">
        <f>+'Estados Financieros'!I314</f>
        <v>90</v>
      </c>
      <c r="D170" s="2282"/>
      <c r="E170" s="2283">
        <f>+'Estados Financieros'!H314</f>
        <v>90</v>
      </c>
      <c r="F170" s="2264"/>
      <c r="G170" s="2272" t="s">
        <v>1646</v>
      </c>
      <c r="H170" s="2309">
        <f>IF(('Balances y Proyecciones'!Q17)&lt;&gt;360,(('Balances y Proyecciones'!AV704+'Balances y Proyecciones'!AV657)/'Balances y Proyecciones'!AV703),(('Balances y Proyecciones'!AV704+'Balances y Proyecciones'!AV657)/'Balances y Proyecciones'!AV703))</f>
        <v>1.2919896640826873E-2</v>
      </c>
      <c r="I170" s="2309"/>
      <c r="J170" s="2310">
        <f>IF(('Balances y Proyecciones'!Q17)&lt;&gt;360,'Balances y Proyecciones'!BB743,'Balances y Proyecciones'!BB743)</f>
        <v>6.9252077562326868E-3</v>
      </c>
      <c r="N170" s="2255"/>
      <c r="O170" s="2255"/>
      <c r="P170" s="2255"/>
      <c r="Q170" s="2255"/>
      <c r="R170" s="2255"/>
      <c r="S170" s="2255"/>
      <c r="T170" s="2255"/>
      <c r="U170" s="2255"/>
      <c r="V170" s="2255"/>
      <c r="W170" s="2255"/>
      <c r="X170" s="2255"/>
      <c r="Y170" s="2255"/>
      <c r="Z170" s="2255"/>
      <c r="AA170" s="2255"/>
      <c r="AB170" s="2255"/>
      <c r="AC170" s="2255"/>
      <c r="AD170" s="2255"/>
    </row>
    <row r="171" spans="2:30" ht="27" x14ac:dyDescent="0.25">
      <c r="B171" s="2272" t="s">
        <v>1783</v>
      </c>
      <c r="C171" s="2282">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Proyecciones'!K57)-C169-C170</f>
        <v>330</v>
      </c>
      <c r="D171" s="2282"/>
      <c r="E171" s="2283">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Proyecciones'!Q57)-E169-E170</f>
        <v>330</v>
      </c>
      <c r="F171" s="2264"/>
      <c r="G171" s="2272" t="s">
        <v>915</v>
      </c>
      <c r="H171" s="2309">
        <f>IF(('Balances y Proyecciones'!Q17)&lt;&gt;360,'Balances y Proyecciones'!AV743,'Balances y Proyecciones'!AV743)</f>
        <v>6.9252077562326868E-3</v>
      </c>
      <c r="I171" s="2309"/>
      <c r="J171" s="2310">
        <f>IF(('Balances y Proyecciones'!Q17)&lt;&gt;360,'Balances y Proyecciones'!BB745,'Balances y Proyecciones'!BB745)</f>
        <v>8.771929824561403E-3</v>
      </c>
      <c r="N171" s="2255"/>
      <c r="O171" s="2255"/>
      <c r="P171" s="2255"/>
      <c r="Q171" s="2255"/>
      <c r="R171" s="2255"/>
      <c r="S171" s="2255"/>
      <c r="T171" s="2255"/>
      <c r="U171" s="2255"/>
      <c r="V171" s="2255"/>
      <c r="W171" s="2255"/>
      <c r="X171" s="2255"/>
      <c r="Y171" s="2255"/>
      <c r="Z171" s="2255"/>
      <c r="AA171" s="2255"/>
      <c r="AB171" s="2255"/>
      <c r="AC171" s="2255"/>
      <c r="AD171" s="2255"/>
    </row>
    <row r="172" spans="2:30" x14ac:dyDescent="0.25">
      <c r="B172" s="2284" t="s">
        <v>1638</v>
      </c>
      <c r="C172" s="2298">
        <f>SUM(C168:C171)</f>
        <v>450</v>
      </c>
      <c r="D172" s="2298"/>
      <c r="E172" s="2299">
        <f>SUM(E168:E171)</f>
        <v>460</v>
      </c>
      <c r="F172" s="2264"/>
      <c r="G172" s="2272" t="s">
        <v>910</v>
      </c>
      <c r="H172" s="2352">
        <f>IF(('Balances y Proyecciones'!Q17)&lt;&gt;360,'Balances y Proyecciones'!AV745,'Balances y Proyecciones'!AV745)</f>
        <v>8.771929824561403E-3</v>
      </c>
      <c r="I172" s="2352"/>
      <c r="J172" s="2353">
        <f>IF(('Balances y Proyecciones'!Q17)&lt;&gt;360,'Balances y Proyecciones'!BB745,'Balances y Proyecciones'!BB745)</f>
        <v>8.771929824561403E-3</v>
      </c>
      <c r="N172" s="2255"/>
      <c r="O172" s="2255"/>
      <c r="P172" s="2255"/>
      <c r="Q172" s="2255"/>
      <c r="R172" s="2255"/>
      <c r="S172" s="2255"/>
      <c r="T172" s="2255"/>
      <c r="U172" s="2255"/>
      <c r="V172" s="2255"/>
      <c r="W172" s="2255"/>
      <c r="X172" s="2255"/>
      <c r="Y172" s="2255"/>
      <c r="Z172" s="2255"/>
      <c r="AA172" s="2255"/>
      <c r="AB172" s="2255"/>
      <c r="AC172" s="2255"/>
      <c r="AD172" s="2255"/>
    </row>
    <row r="173" spans="2:30" x14ac:dyDescent="0.25">
      <c r="B173" s="2311" t="s">
        <v>763</v>
      </c>
      <c r="C173" s="2312">
        <f>C167+C172</f>
        <v>660</v>
      </c>
      <c r="D173" s="2312"/>
      <c r="E173" s="2313">
        <f>E167+E172</f>
        <v>710</v>
      </c>
      <c r="F173" s="2264"/>
      <c r="G173" s="2272" t="s">
        <v>1754</v>
      </c>
      <c r="H173" s="2352">
        <f>IF(('Balances y Proyecciones'!Q17)&lt;&gt;360,'Balances y Proyecciones'!AV746,'Balances y Proyecciones'!AV746)</f>
        <v>-5.9649122807017542E-2</v>
      </c>
      <c r="I173" s="2352"/>
      <c r="J173" s="2353">
        <f>IF(('Balances y Proyecciones'!Q17)&lt;&gt;360,'Balances y Proyecciones'!BB746,'Balances y Proyecciones'!BB746)</f>
        <v>-5.9649122807017542E-2</v>
      </c>
      <c r="N173" s="2255"/>
      <c r="O173" s="2255"/>
      <c r="P173" s="2255"/>
      <c r="Q173" s="2255"/>
      <c r="R173" s="2255"/>
      <c r="S173" s="2255"/>
      <c r="T173" s="2255"/>
      <c r="U173" s="2255"/>
      <c r="V173" s="2255"/>
      <c r="W173" s="2255"/>
      <c r="X173" s="2255"/>
      <c r="Y173" s="2255"/>
      <c r="Z173" s="2255"/>
      <c r="AA173" s="2255"/>
      <c r="AB173" s="2255"/>
      <c r="AC173" s="2255"/>
      <c r="AD173" s="2255"/>
    </row>
    <row r="174" spans="2:30" x14ac:dyDescent="0.25">
      <c r="B174" s="2307" t="s">
        <v>764</v>
      </c>
      <c r="C174" s="2282"/>
      <c r="D174" s="2282"/>
      <c r="E174" s="2283"/>
      <c r="G174" s="2307" t="s">
        <v>1666</v>
      </c>
      <c r="H174" s="2352"/>
      <c r="I174" s="2352"/>
      <c r="J174" s="2353"/>
      <c r="N174" s="2255"/>
      <c r="O174" s="2255"/>
      <c r="P174" s="2255"/>
      <c r="Q174" s="2255"/>
      <c r="R174" s="2255"/>
      <c r="S174" s="2255"/>
      <c r="T174" s="2255"/>
      <c r="U174" s="2255"/>
      <c r="V174" s="2255"/>
      <c r="W174" s="2255"/>
      <c r="X174" s="2255"/>
      <c r="Y174" s="2255"/>
      <c r="Z174" s="2255"/>
      <c r="AA174" s="2255"/>
      <c r="AB174" s="2255"/>
      <c r="AC174" s="2255"/>
      <c r="AD174" s="2255"/>
    </row>
    <row r="175" spans="2:30" ht="27" x14ac:dyDescent="0.25">
      <c r="B175" s="2272" t="s">
        <v>1645</v>
      </c>
      <c r="C175" s="2282">
        <f>IF(('Balances y Proyecciones'!Q17)&lt;&gt;360,'Balances y Proyecciones'!K60,'Balances y Proyecciones'!K60)</f>
        <v>70</v>
      </c>
      <c r="D175" s="2282"/>
      <c r="E175" s="2283">
        <f>IF(('Balances y Proyecciones'!Q17)&lt;&gt;360,'Balances y Proyecciones'!Q60,'Balances y Proyecciones'!Q60)</f>
        <v>70</v>
      </c>
      <c r="G175" s="2272" t="s">
        <v>1669</v>
      </c>
      <c r="H175" s="2352">
        <f>IF(('Balances y Proyecciones'!Q17)&lt;&gt;360,'Balances y Proyecciones'!AV737,'Balances y Proyecciones'!AV737)</f>
        <v>285</v>
      </c>
      <c r="I175" s="2352"/>
      <c r="J175" s="2353">
        <f>IF(('Balances y Proyecciones'!Q17)&lt;&gt;360,'Balances y Proyecciones'!BB737,'Balances y Proyecciones'!BB737)</f>
        <v>285</v>
      </c>
      <c r="N175" s="2255"/>
      <c r="O175" s="2255"/>
      <c r="P175" s="2255"/>
      <c r="Q175" s="2255"/>
      <c r="R175" s="2255"/>
      <c r="S175" s="2255"/>
      <c r="T175" s="2255"/>
      <c r="U175" s="2255"/>
      <c r="V175" s="2255"/>
      <c r="W175" s="2255"/>
      <c r="X175" s="2255"/>
      <c r="Y175" s="2255"/>
      <c r="Z175" s="2255"/>
      <c r="AA175" s="2255"/>
      <c r="AB175" s="2255"/>
      <c r="AC175" s="2255"/>
      <c r="AD175" s="2255"/>
    </row>
    <row r="176" spans="2:30" ht="27" x14ac:dyDescent="0.25">
      <c r="B176" s="2272" t="s">
        <v>1651</v>
      </c>
      <c r="C176" s="2282">
        <f>IF(('Balances y Proyecciones'!Q17)&lt;&gt;360,'Balances y Proyecciones'!K61,'Balances y Proyecciones'!K61)</f>
        <v>50</v>
      </c>
      <c r="D176" s="2282"/>
      <c r="E176" s="2283">
        <f>IF(('Balances y Proyecciones'!Q17)&lt;&gt;360,'Balances y Proyecciones'!Q61,'Balances y Proyecciones'!Q61)</f>
        <v>50</v>
      </c>
      <c r="F176" s="2255"/>
      <c r="G176" s="2397"/>
      <c r="H176" s="2609"/>
      <c r="I176" s="2609"/>
      <c r="J176" s="2610"/>
      <c r="N176" s="2255"/>
      <c r="O176" s="2262"/>
      <c r="P176" s="2255"/>
      <c r="Q176" s="2255"/>
      <c r="R176" s="2255"/>
      <c r="S176" s="2255"/>
      <c r="T176" s="2255"/>
      <c r="U176" s="2255"/>
      <c r="V176" s="2255"/>
      <c r="W176" s="2255"/>
      <c r="X176" s="2255"/>
      <c r="Y176" s="2255"/>
      <c r="Z176" s="2255"/>
      <c r="AA176" s="2255"/>
      <c r="AB176" s="2255"/>
      <c r="AC176" s="2255"/>
      <c r="AD176" s="2255"/>
    </row>
    <row r="177" spans="2:30" ht="27" x14ac:dyDescent="0.25">
      <c r="B177" s="2272" t="s">
        <v>1656</v>
      </c>
      <c r="C177" s="2282">
        <f>IF(('Balances y Proyecciones'!Q17)&lt;&gt;360,'Balances y Proyecciones'!K62+'Balances y Proyecciones'!K66,'Balances y Proyecciones'!K62+'Balances y Proyecciones'!K66)</f>
        <v>50</v>
      </c>
      <c r="D177" s="2282"/>
      <c r="E177" s="2283">
        <f>IF(('Balances y Proyecciones'!Q17)&lt;&gt;360,'Balances y Proyecciones'!Q62+'Balances y Proyecciones'!Q66,'Balances y Proyecciones'!Q62+'Balances y Proyecciones'!Q66)</f>
        <v>50</v>
      </c>
      <c r="F177" s="2255"/>
      <c r="G177" s="2255"/>
      <c r="H177" s="2255"/>
      <c r="I177" s="2255"/>
      <c r="J177" s="2255"/>
      <c r="N177" s="2255"/>
      <c r="O177" s="2255"/>
      <c r="P177" s="2255"/>
      <c r="Q177" s="2255"/>
      <c r="R177" s="2255"/>
      <c r="S177" s="2255"/>
      <c r="T177" s="2255"/>
      <c r="U177" s="2255"/>
      <c r="V177" s="2255"/>
      <c r="W177" s="2255"/>
      <c r="X177" s="2255"/>
      <c r="Y177" s="2255"/>
      <c r="Z177" s="2255"/>
      <c r="AA177" s="2255"/>
      <c r="AB177" s="2255"/>
      <c r="AC177" s="2255"/>
      <c r="AD177" s="2255"/>
    </row>
    <row r="178" spans="2:30" ht="27" x14ac:dyDescent="0.25">
      <c r="B178" s="2272" t="s">
        <v>1662</v>
      </c>
      <c r="C178" s="2282">
        <f>IF(('Balances y Proyecciones'!Q17)&lt;&gt;360,'Balances y Proyecciones'!K63+'Balances y Proyecciones'!K64+'Balances y Proyecciones'!K65,'Balances y Proyecciones'!K63+'Balances y Proyecciones'!K64+'Balances y Proyecciones'!K65)</f>
        <v>2860</v>
      </c>
      <c r="D178" s="2282"/>
      <c r="E178" s="2283">
        <f>IF(('Balances y Proyecciones'!Q17)&lt;&gt;360,'Balances y Proyecciones'!Q63+'Balances y Proyecciones'!Q64+'Balances y Proyecciones'!Q65,'Balances y Proyecciones'!Q63+'Balances y Proyecciones'!Q64+'Balances y Proyecciones'!Q65)</f>
        <v>2860</v>
      </c>
      <c r="F178" s="2255"/>
      <c r="G178" s="2255"/>
      <c r="H178" s="2255"/>
      <c r="I178" s="2255"/>
      <c r="J178" s="2255"/>
      <c r="N178" s="2255"/>
      <c r="O178" s="2255"/>
      <c r="P178" s="2255"/>
      <c r="Q178" s="2255"/>
      <c r="R178" s="2255"/>
      <c r="S178" s="2255"/>
      <c r="T178" s="2255"/>
      <c r="U178" s="2255"/>
      <c r="V178" s="2255"/>
      <c r="W178" s="2255"/>
      <c r="X178" s="2255"/>
      <c r="Y178" s="2255"/>
      <c r="Z178" s="2255"/>
      <c r="AA178" s="2255"/>
      <c r="AB178" s="2255"/>
      <c r="AC178" s="2255"/>
      <c r="AD178" s="2255"/>
    </row>
    <row r="179" spans="2:30" ht="27" x14ac:dyDescent="0.25">
      <c r="B179" s="2272" t="s">
        <v>1611</v>
      </c>
      <c r="C179" s="2282">
        <f>IF(('Balances y Proyecciones'!Q17)&lt;&gt;360,'Balances y Proyecciones'!K33,'Balances y Proyecciones'!K33)</f>
        <v>90</v>
      </c>
      <c r="D179" s="2282"/>
      <c r="E179" s="2283">
        <f>IF(('Balances y Proyecciones'!Q17)&lt;&gt;360,'Balances y Proyecciones'!Q33,'Balances y Proyecciones'!Q33)</f>
        <v>90</v>
      </c>
      <c r="F179" s="2255"/>
      <c r="G179" s="2255"/>
      <c r="H179" s="2255"/>
      <c r="I179" s="2255"/>
      <c r="J179" s="2255"/>
      <c r="N179" s="2255"/>
      <c r="O179" s="2255"/>
      <c r="P179" s="2255"/>
      <c r="Q179" s="2255"/>
      <c r="R179" s="2255"/>
      <c r="S179" s="2255"/>
      <c r="T179" s="2255"/>
      <c r="U179" s="2255"/>
      <c r="V179" s="2255"/>
      <c r="W179" s="2255"/>
      <c r="X179" s="2255"/>
      <c r="Y179" s="2255"/>
      <c r="Z179" s="2255"/>
      <c r="AA179" s="2255"/>
      <c r="AB179" s="2255"/>
      <c r="AC179" s="2255"/>
      <c r="AD179" s="2255"/>
    </row>
    <row r="180" spans="2:30" x14ac:dyDescent="0.25">
      <c r="B180" s="2395" t="s">
        <v>793</v>
      </c>
      <c r="C180" s="2571">
        <f>SUM(C175:C179)</f>
        <v>3120</v>
      </c>
      <c r="D180" s="2571"/>
      <c r="E180" s="2572">
        <f>SUM(E175:E179)</f>
        <v>3120</v>
      </c>
      <c r="F180" s="2255"/>
      <c r="G180" s="2255"/>
      <c r="H180" s="2255"/>
      <c r="I180" s="2255"/>
      <c r="J180" s="2255"/>
      <c r="N180" s="2255"/>
      <c r="O180" s="2255"/>
      <c r="P180" s="2255"/>
      <c r="Q180" s="2255"/>
      <c r="R180" s="2255"/>
      <c r="S180" s="2255"/>
      <c r="T180" s="2255"/>
      <c r="U180" s="2255"/>
      <c r="V180" s="2255"/>
      <c r="W180" s="2255"/>
      <c r="X180" s="2255"/>
      <c r="Y180" s="2255"/>
      <c r="Z180" s="2255"/>
      <c r="AA180" s="2255"/>
      <c r="AB180" s="2255"/>
      <c r="AC180" s="2255"/>
      <c r="AD180" s="2255"/>
    </row>
    <row r="181" spans="2:30" ht="12" x14ac:dyDescent="0.25">
      <c r="F181" s="2255"/>
      <c r="G181" s="2255"/>
      <c r="H181" s="2255"/>
      <c r="I181" s="2255"/>
      <c r="J181" s="2255"/>
      <c r="N181" s="2255"/>
      <c r="O181" s="2255"/>
      <c r="P181" s="2255"/>
      <c r="Q181" s="2255"/>
      <c r="R181" s="2255"/>
      <c r="S181" s="2255"/>
      <c r="T181" s="2255"/>
      <c r="U181" s="2255"/>
      <c r="V181" s="2255"/>
      <c r="W181" s="2255"/>
      <c r="X181" s="2255"/>
      <c r="Y181" s="2255"/>
      <c r="Z181" s="2255"/>
      <c r="AA181" s="2255"/>
      <c r="AB181" s="2255"/>
      <c r="AC181" s="2255"/>
      <c r="AD181" s="2255"/>
    </row>
    <row r="182" spans="2:30" ht="12" x14ac:dyDescent="0.25">
      <c r="B182" s="2255"/>
      <c r="C182" s="2255"/>
      <c r="D182" s="2255"/>
      <c r="E182" s="2255"/>
      <c r="F182" s="2255"/>
      <c r="G182" s="2255"/>
      <c r="H182" s="2255"/>
      <c r="I182" s="2255"/>
      <c r="J182" s="2255"/>
      <c r="N182" s="2255"/>
      <c r="O182" s="2255"/>
      <c r="P182" s="2255"/>
      <c r="Q182" s="2255"/>
      <c r="R182" s="2255"/>
      <c r="S182" s="2255"/>
      <c r="T182" s="2255"/>
      <c r="U182" s="2255"/>
      <c r="V182" s="2255"/>
      <c r="W182" s="2255"/>
      <c r="X182" s="2255"/>
      <c r="Y182" s="2255"/>
      <c r="Z182" s="2255"/>
      <c r="AA182" s="2255"/>
      <c r="AB182" s="2255"/>
      <c r="AC182" s="2255"/>
      <c r="AD182" s="2255"/>
    </row>
    <row r="183" spans="2:30" x14ac:dyDescent="0.25">
      <c r="B183" s="2583" t="s">
        <v>1784</v>
      </c>
      <c r="C183" s="2584"/>
      <c r="D183" s="2584"/>
      <c r="E183" s="2584"/>
      <c r="F183" s="2584"/>
      <c r="G183" s="2611"/>
      <c r="H183" s="2611"/>
      <c r="I183" s="2611"/>
      <c r="J183" s="2611"/>
      <c r="N183" s="2255"/>
      <c r="O183" s="2255"/>
      <c r="P183" s="2255"/>
      <c r="Q183" s="2255"/>
      <c r="R183" s="2255"/>
      <c r="S183" s="2255"/>
      <c r="T183" s="2255"/>
      <c r="U183" s="2255"/>
      <c r="V183" s="2255"/>
      <c r="W183" s="2255"/>
      <c r="X183" s="2255"/>
      <c r="Y183" s="2255"/>
      <c r="Z183" s="2255"/>
      <c r="AA183" s="2255"/>
      <c r="AB183" s="2255"/>
      <c r="AC183" s="2255"/>
      <c r="AD183" s="2255"/>
    </row>
    <row r="184" spans="2:30" ht="26.25" x14ac:dyDescent="0.25">
      <c r="B184" s="2612" t="s">
        <v>1785</v>
      </c>
      <c r="C184" s="3472" t="str">
        <f>+B6</f>
        <v>Prueba Da 27.08.23</v>
      </c>
      <c r="D184" s="3473"/>
      <c r="E184" s="3474"/>
      <c r="F184" s="2255"/>
      <c r="G184" s="2613"/>
      <c r="H184" s="3472" t="s">
        <v>1786</v>
      </c>
      <c r="I184" s="3473"/>
      <c r="J184" s="3474"/>
      <c r="N184" s="2255"/>
      <c r="O184" s="2255"/>
      <c r="P184" s="2255"/>
      <c r="Q184" s="2255"/>
      <c r="R184" s="2255"/>
      <c r="S184" s="2255"/>
      <c r="T184" s="2255"/>
      <c r="U184" s="2255"/>
      <c r="V184" s="2255"/>
      <c r="W184" s="2255"/>
      <c r="X184" s="2255"/>
      <c r="Y184" s="2255"/>
      <c r="Z184" s="2255"/>
      <c r="AA184" s="2255"/>
      <c r="AB184" s="2255"/>
      <c r="AC184" s="2255"/>
      <c r="AD184" s="2255"/>
    </row>
    <row r="185" spans="2:30" ht="26.25" x14ac:dyDescent="0.25">
      <c r="B185" s="2614" t="s">
        <v>1787</v>
      </c>
      <c r="C185" s="2615" t="str">
        <f>+C9</f>
        <v>Dic 20</v>
      </c>
      <c r="D185" s="2615" t="str">
        <f>+D9</f>
        <v>Dic 21</v>
      </c>
      <c r="E185" s="2615" t="str">
        <f>+E9</f>
        <v>Jun 21</v>
      </c>
      <c r="F185" s="2255"/>
      <c r="G185" s="2613"/>
      <c r="H185" s="2615" t="str">
        <f>+C185</f>
        <v>Dic 20</v>
      </c>
      <c r="I185" s="2615" t="str">
        <f>+D185</f>
        <v>Dic 21</v>
      </c>
      <c r="J185" s="2615" t="str">
        <f>+E185</f>
        <v>Jun 21</v>
      </c>
      <c r="N185" s="3475" t="str">
        <f>N285&amp;CHAR(10)&amp;"Cifras en $ MM"</f>
        <v xml:space="preserve">
Cifras en $ MM</v>
      </c>
      <c r="O185" s="3476"/>
      <c r="P185" s="3476"/>
      <c r="Q185" s="3476"/>
      <c r="R185" s="3476"/>
      <c r="S185" s="3477"/>
    </row>
    <row r="186" spans="2:30" ht="25.5" x14ac:dyDescent="0.25">
      <c r="B186" s="2616" t="s">
        <v>1788</v>
      </c>
      <c r="C186" s="2617">
        <f t="shared" ref="C186:E190" si="29">+C12</f>
        <v>390</v>
      </c>
      <c r="D186" s="2617">
        <f t="shared" si="29"/>
        <v>390</v>
      </c>
      <c r="E186" s="2618">
        <f t="shared" si="29"/>
        <v>390</v>
      </c>
      <c r="F186" s="2255"/>
      <c r="G186" s="2613"/>
      <c r="H186" s="2619"/>
      <c r="I186" s="2619"/>
      <c r="J186" s="2620"/>
      <c r="N186" s="3478"/>
      <c r="O186" s="3479"/>
      <c r="P186" s="3479"/>
      <c r="Q186" s="3479"/>
      <c r="R186" s="3479"/>
      <c r="S186" s="3480"/>
    </row>
    <row r="187" spans="2:30" ht="26.25" x14ac:dyDescent="0.25">
      <c r="B187" s="2616" t="s">
        <v>107</v>
      </c>
      <c r="C187" s="2621">
        <f t="shared" si="29"/>
        <v>90</v>
      </c>
      <c r="D187" s="2621">
        <f t="shared" si="29"/>
        <v>90</v>
      </c>
      <c r="E187" s="2622">
        <f t="shared" si="29"/>
        <v>90</v>
      </c>
      <c r="F187" s="2255"/>
      <c r="G187" s="2613"/>
      <c r="H187" s="2623"/>
      <c r="I187" s="2623"/>
      <c r="J187" s="2624"/>
      <c r="N187" s="2625" t="s">
        <v>1691</v>
      </c>
      <c r="O187" s="2626" t="s">
        <v>987</v>
      </c>
      <c r="P187" s="2627" t="s">
        <v>1692</v>
      </c>
      <c r="Q187" s="2628" t="s">
        <v>1693</v>
      </c>
      <c r="R187" s="2627" t="s">
        <v>1694</v>
      </c>
      <c r="S187" s="2629" t="s">
        <v>1695</v>
      </c>
    </row>
    <row r="188" spans="2:30" ht="25.5" x14ac:dyDescent="0.35">
      <c r="B188" s="2616" t="s">
        <v>528</v>
      </c>
      <c r="C188" s="2621">
        <f t="shared" si="29"/>
        <v>390</v>
      </c>
      <c r="D188" s="2621">
        <f t="shared" si="29"/>
        <v>390</v>
      </c>
      <c r="E188" s="2622">
        <f t="shared" si="29"/>
        <v>390</v>
      </c>
      <c r="F188" s="2255"/>
      <c r="G188" s="2613"/>
      <c r="H188" s="2623"/>
      <c r="I188" s="2623"/>
      <c r="J188" s="2624"/>
      <c r="N188" s="2630"/>
      <c r="O188" s="2631"/>
      <c r="P188" s="2632"/>
      <c r="Q188" s="2632"/>
      <c r="R188" s="2632"/>
      <c r="S188" s="2632"/>
    </row>
    <row r="189" spans="2:30" ht="25.5" x14ac:dyDescent="0.35">
      <c r="B189" s="2616" t="s">
        <v>1789</v>
      </c>
      <c r="C189" s="2621">
        <f t="shared" si="29"/>
        <v>360</v>
      </c>
      <c r="D189" s="2621">
        <f t="shared" si="29"/>
        <v>360</v>
      </c>
      <c r="E189" s="2622">
        <f t="shared" si="29"/>
        <v>360</v>
      </c>
      <c r="F189" s="2255"/>
      <c r="G189" s="2255"/>
      <c r="H189" s="2623"/>
      <c r="I189" s="2623"/>
      <c r="J189" s="2624"/>
      <c r="N189" s="2633"/>
      <c r="O189" s="2634"/>
      <c r="P189" s="2635"/>
      <c r="Q189" s="2635"/>
      <c r="R189" s="2635"/>
      <c r="S189" s="2635"/>
    </row>
    <row r="190" spans="2:30" ht="25.5" x14ac:dyDescent="0.35">
      <c r="B190" s="2616" t="s">
        <v>1790</v>
      </c>
      <c r="C190" s="2621">
        <f t="shared" si="29"/>
        <v>630</v>
      </c>
      <c r="D190" s="2621">
        <f t="shared" si="29"/>
        <v>630</v>
      </c>
      <c r="E190" s="2622">
        <f t="shared" si="29"/>
        <v>630</v>
      </c>
      <c r="F190" s="2255"/>
      <c r="G190" s="2255"/>
      <c r="H190" s="2623"/>
      <c r="I190" s="2623"/>
      <c r="J190" s="2624"/>
      <c r="N190" s="2633"/>
      <c r="O190" s="2634"/>
      <c r="P190" s="2635"/>
      <c r="Q190" s="2635"/>
      <c r="R190" s="2635"/>
      <c r="S190" s="2635"/>
    </row>
    <row r="191" spans="2:30" ht="25.5" x14ac:dyDescent="0.35">
      <c r="B191" s="2636" t="s">
        <v>1791</v>
      </c>
      <c r="C191" s="2637">
        <f t="shared" ref="C191:E195" si="30">+C18</f>
        <v>600</v>
      </c>
      <c r="D191" s="2637">
        <f t="shared" si="30"/>
        <v>600</v>
      </c>
      <c r="E191" s="2638">
        <f t="shared" si="30"/>
        <v>600</v>
      </c>
      <c r="F191" s="2255"/>
      <c r="G191" s="2613"/>
      <c r="H191" s="2639"/>
      <c r="I191" s="2639"/>
      <c r="J191" s="2640"/>
      <c r="N191" s="2633"/>
      <c r="O191" s="2634"/>
      <c r="P191" s="2635"/>
      <c r="Q191" s="2635"/>
      <c r="R191" s="2635"/>
      <c r="S191" s="2635"/>
    </row>
    <row r="192" spans="2:30" ht="25.5" x14ac:dyDescent="0.25">
      <c r="B192" s="2616" t="s">
        <v>1792</v>
      </c>
      <c r="C192" s="2621">
        <f t="shared" si="30"/>
        <v>270</v>
      </c>
      <c r="D192" s="2621">
        <f t="shared" si="30"/>
        <v>270</v>
      </c>
      <c r="E192" s="2622">
        <f t="shared" si="30"/>
        <v>270</v>
      </c>
      <c r="F192" s="2255"/>
      <c r="G192" s="2255"/>
      <c r="H192" s="2623"/>
      <c r="I192" s="2623"/>
      <c r="J192" s="2624"/>
      <c r="N192" s="2633"/>
      <c r="O192" s="2641"/>
      <c r="P192" s="2635"/>
      <c r="Q192" s="2635"/>
      <c r="R192" s="2635"/>
      <c r="S192" s="2635"/>
    </row>
    <row r="193" spans="2:19" ht="25.5" x14ac:dyDescent="0.25">
      <c r="B193" s="2616" t="s">
        <v>1793</v>
      </c>
      <c r="C193" s="2621">
        <f t="shared" si="30"/>
        <v>390</v>
      </c>
      <c r="D193" s="2621">
        <f t="shared" si="30"/>
        <v>390</v>
      </c>
      <c r="E193" s="2622">
        <f t="shared" si="30"/>
        <v>390</v>
      </c>
      <c r="F193" s="2255"/>
      <c r="G193" s="2613"/>
      <c r="H193" s="2623"/>
      <c r="I193" s="2623"/>
      <c r="J193" s="2624"/>
      <c r="N193" s="2633"/>
      <c r="O193" s="2641"/>
      <c r="P193" s="2635"/>
      <c r="Q193" s="2635"/>
      <c r="R193" s="2635"/>
      <c r="S193" s="2635"/>
    </row>
    <row r="194" spans="2:19" ht="25.5" x14ac:dyDescent="0.35">
      <c r="B194" s="2616" t="s">
        <v>1794</v>
      </c>
      <c r="C194" s="2621">
        <f t="shared" si="30"/>
        <v>750</v>
      </c>
      <c r="D194" s="2621">
        <f t="shared" si="30"/>
        <v>750</v>
      </c>
      <c r="E194" s="2622">
        <f t="shared" si="30"/>
        <v>750</v>
      </c>
      <c r="F194" s="2255"/>
      <c r="G194" s="2613"/>
      <c r="H194" s="2623"/>
      <c r="I194" s="2623"/>
      <c r="J194" s="2624"/>
      <c r="N194" s="2633"/>
      <c r="O194" s="2634"/>
      <c r="P194" s="2635"/>
      <c r="Q194" s="2635"/>
      <c r="R194" s="2635"/>
      <c r="S194" s="2635"/>
    </row>
    <row r="195" spans="2:19" ht="25.5" x14ac:dyDescent="0.35">
      <c r="B195" s="2616" t="s">
        <v>1611</v>
      </c>
      <c r="C195" s="2621">
        <f t="shared" si="30"/>
        <v>90</v>
      </c>
      <c r="D195" s="2621">
        <f t="shared" si="30"/>
        <v>90</v>
      </c>
      <c r="E195" s="2622">
        <f t="shared" si="30"/>
        <v>90</v>
      </c>
      <c r="F195" s="2255"/>
      <c r="G195" s="2613"/>
      <c r="H195" s="2623"/>
      <c r="I195" s="2623"/>
      <c r="J195" s="2624"/>
      <c r="N195" s="2633"/>
      <c r="O195" s="2634"/>
      <c r="P195" s="2635"/>
      <c r="Q195" s="2635"/>
      <c r="R195" s="2635"/>
      <c r="S195" s="2635"/>
    </row>
    <row r="196" spans="2:19" ht="25.5" x14ac:dyDescent="0.35">
      <c r="B196" s="2642" t="s">
        <v>1795</v>
      </c>
      <c r="C196" s="2643">
        <f>SUM(C186:C195)</f>
        <v>3960</v>
      </c>
      <c r="D196" s="2643">
        <f>SUM(D186:D195)</f>
        <v>3960</v>
      </c>
      <c r="E196" s="2644">
        <f>SUM(E186:E195)</f>
        <v>3960</v>
      </c>
      <c r="F196" s="2255"/>
      <c r="G196" s="2613"/>
      <c r="H196" s="2643">
        <f>SUM(H186:H195)</f>
        <v>0</v>
      </c>
      <c r="I196" s="2643">
        <f>SUM(I186:I195)</f>
        <v>0</v>
      </c>
      <c r="J196" s="2644">
        <f>SUM(J186:J195)</f>
        <v>0</v>
      </c>
      <c r="N196" s="2633"/>
      <c r="O196" s="2634"/>
      <c r="P196" s="2635"/>
      <c r="Q196" s="2635"/>
      <c r="R196" s="2635"/>
      <c r="S196" s="2635"/>
    </row>
    <row r="197" spans="2:19" ht="25.5" x14ac:dyDescent="0.35">
      <c r="B197" s="2645" t="s">
        <v>1796</v>
      </c>
      <c r="C197" s="2617">
        <f t="shared" ref="C197:E200" si="31">+C26</f>
        <v>30</v>
      </c>
      <c r="D197" s="2617">
        <f t="shared" si="31"/>
        <v>30</v>
      </c>
      <c r="E197" s="2618">
        <f t="shared" si="31"/>
        <v>30</v>
      </c>
      <c r="F197" s="2255"/>
      <c r="G197" s="2613"/>
      <c r="H197" s="2619"/>
      <c r="I197" s="2619"/>
      <c r="J197" s="2620"/>
      <c r="N197" s="2633"/>
      <c r="O197" s="2634"/>
      <c r="P197" s="2635"/>
      <c r="Q197" s="2635"/>
      <c r="R197" s="2635"/>
      <c r="S197" s="2635"/>
    </row>
    <row r="198" spans="2:19" ht="26.25" x14ac:dyDescent="0.25">
      <c r="B198" s="2616" t="s">
        <v>108</v>
      </c>
      <c r="C198" s="2621">
        <f t="shared" si="31"/>
        <v>30</v>
      </c>
      <c r="D198" s="2621">
        <f t="shared" si="31"/>
        <v>30</v>
      </c>
      <c r="E198" s="2622">
        <f t="shared" si="31"/>
        <v>30</v>
      </c>
      <c r="F198" s="2255"/>
      <c r="G198" s="2613"/>
      <c r="H198" s="2623"/>
      <c r="I198" s="2623"/>
      <c r="J198" s="2624"/>
      <c r="N198" s="2646" t="s">
        <v>1798</v>
      </c>
      <c r="O198" s="2647"/>
      <c r="P198" s="2648">
        <f>SUM(P188:P197)</f>
        <v>0</v>
      </c>
      <c r="Q198" s="2648">
        <f>SUM(Q188:Q197)</f>
        <v>0</v>
      </c>
      <c r="R198" s="2648">
        <f>SUM(R188:R197)</f>
        <v>0</v>
      </c>
      <c r="S198" s="2648">
        <f>SUM(S188:S197)</f>
        <v>0</v>
      </c>
    </row>
    <row r="199" spans="2:19" ht="25.5" x14ac:dyDescent="0.25">
      <c r="B199" s="2616" t="s">
        <v>1797</v>
      </c>
      <c r="C199" s="2621">
        <f t="shared" si="31"/>
        <v>120</v>
      </c>
      <c r="D199" s="2621">
        <f t="shared" si="31"/>
        <v>120</v>
      </c>
      <c r="E199" s="2622">
        <f t="shared" si="31"/>
        <v>120</v>
      </c>
      <c r="F199" s="2255"/>
      <c r="G199" s="2613"/>
      <c r="H199" s="2623"/>
      <c r="I199" s="2623"/>
      <c r="J199" s="2624"/>
      <c r="N199"/>
      <c r="O199"/>
      <c r="P199"/>
      <c r="Q199"/>
      <c r="R199"/>
      <c r="S199"/>
    </row>
    <row r="200" spans="2:19" ht="25.5" x14ac:dyDescent="0.25">
      <c r="B200" s="2616" t="s">
        <v>1799</v>
      </c>
      <c r="C200" s="2621">
        <f t="shared" si="31"/>
        <v>300</v>
      </c>
      <c r="D200" s="2621">
        <f t="shared" si="31"/>
        <v>300</v>
      </c>
      <c r="E200" s="2622">
        <f t="shared" si="31"/>
        <v>300</v>
      </c>
      <c r="F200" s="2255"/>
      <c r="G200" s="2255"/>
      <c r="H200" s="2623"/>
      <c r="I200" s="2623"/>
      <c r="J200" s="2624"/>
      <c r="N200"/>
      <c r="O200"/>
      <c r="P200"/>
      <c r="Q200"/>
      <c r="R200"/>
      <c r="S200"/>
    </row>
    <row r="201" spans="2:19" ht="25.5" x14ac:dyDescent="0.25">
      <c r="B201" s="2636" t="s">
        <v>1800</v>
      </c>
      <c r="C201" s="2637">
        <f t="shared" ref="C201:E202" si="32">+C31</f>
        <v>20</v>
      </c>
      <c r="D201" s="2637">
        <f t="shared" si="32"/>
        <v>20</v>
      </c>
      <c r="E201" s="2638">
        <f t="shared" si="32"/>
        <v>20</v>
      </c>
      <c r="F201" s="2255"/>
      <c r="G201" s="2255"/>
      <c r="H201" s="2639"/>
      <c r="I201" s="2639"/>
      <c r="J201" s="2640"/>
      <c r="N201"/>
      <c r="O201"/>
      <c r="P201"/>
      <c r="Q201"/>
      <c r="R201"/>
      <c r="S201"/>
    </row>
    <row r="202" spans="2:19" ht="25.5" x14ac:dyDescent="0.25">
      <c r="B202" s="2616" t="s">
        <v>1801</v>
      </c>
      <c r="C202" s="2621">
        <f t="shared" si="32"/>
        <v>430</v>
      </c>
      <c r="D202" s="2621">
        <f t="shared" si="32"/>
        <v>430</v>
      </c>
      <c r="E202" s="2622">
        <f t="shared" si="32"/>
        <v>430</v>
      </c>
      <c r="F202" s="2255"/>
      <c r="G202" s="2613"/>
      <c r="H202" s="2623"/>
      <c r="I202" s="2623"/>
      <c r="J202" s="2624"/>
      <c r="N202"/>
      <c r="O202"/>
      <c r="P202"/>
      <c r="Q202"/>
      <c r="R202"/>
      <c r="S202"/>
    </row>
    <row r="203" spans="2:19" ht="25.5" x14ac:dyDescent="0.25">
      <c r="B203" s="2642" t="s">
        <v>1802</v>
      </c>
      <c r="C203" s="2643">
        <f>SUM(C197:C202)</f>
        <v>930</v>
      </c>
      <c r="D203" s="2643">
        <f>SUM(D197:D202)</f>
        <v>930</v>
      </c>
      <c r="E203" s="2644">
        <f>SUM(E197:E202)</f>
        <v>930</v>
      </c>
      <c r="F203" s="2255"/>
      <c r="G203" s="2613"/>
      <c r="H203" s="2643">
        <f>SUM(H197)</f>
        <v>0</v>
      </c>
      <c r="I203" s="2643">
        <f>SUM(I197)</f>
        <v>0</v>
      </c>
      <c r="J203" s="2644">
        <f>SUM(J197)</f>
        <v>0</v>
      </c>
      <c r="N203"/>
      <c r="O203"/>
      <c r="P203"/>
      <c r="Q203"/>
      <c r="R203"/>
      <c r="S203"/>
    </row>
    <row r="204" spans="2:19" ht="25.5" x14ac:dyDescent="0.25">
      <c r="B204" s="2616" t="s">
        <v>1645</v>
      </c>
      <c r="C204" s="2621">
        <f t="shared" ref="C204:E208" si="33">+C36</f>
        <v>70</v>
      </c>
      <c r="D204" s="2621">
        <f t="shared" si="33"/>
        <v>70</v>
      </c>
      <c r="E204" s="2622">
        <f t="shared" si="33"/>
        <v>70</v>
      </c>
      <c r="F204" s="2255"/>
      <c r="G204" s="2613"/>
      <c r="H204" s="2623"/>
      <c r="I204" s="2623"/>
      <c r="J204" s="2624"/>
      <c r="N204"/>
      <c r="O204"/>
      <c r="P204"/>
      <c r="Q204"/>
      <c r="R204"/>
      <c r="S204"/>
    </row>
    <row r="205" spans="2:19" ht="25.5" x14ac:dyDescent="0.25">
      <c r="B205" s="2616" t="s">
        <v>1803</v>
      </c>
      <c r="C205" s="2621">
        <f t="shared" si="33"/>
        <v>50</v>
      </c>
      <c r="D205" s="2621">
        <f t="shared" si="33"/>
        <v>50</v>
      </c>
      <c r="E205" s="2622">
        <f t="shared" si="33"/>
        <v>50</v>
      </c>
      <c r="F205" s="2255"/>
      <c r="G205" s="2613"/>
      <c r="H205" s="2623"/>
      <c r="I205" s="2623"/>
      <c r="J205" s="2624"/>
      <c r="N205"/>
      <c r="O205"/>
      <c r="P205"/>
      <c r="Q205"/>
      <c r="R205"/>
      <c r="S205"/>
    </row>
    <row r="206" spans="2:19" ht="25.5" x14ac:dyDescent="0.25">
      <c r="B206" s="2616" t="s">
        <v>1656</v>
      </c>
      <c r="C206" s="2621">
        <f t="shared" si="33"/>
        <v>40</v>
      </c>
      <c r="D206" s="2621">
        <f t="shared" si="33"/>
        <v>40</v>
      </c>
      <c r="E206" s="2622">
        <f t="shared" si="33"/>
        <v>40</v>
      </c>
      <c r="F206" s="2255"/>
      <c r="G206" s="2613"/>
      <c r="H206" s="2623"/>
      <c r="I206" s="2623"/>
      <c r="J206" s="2624"/>
      <c r="N206"/>
      <c r="O206"/>
      <c r="P206"/>
      <c r="Q206"/>
      <c r="R206"/>
      <c r="S206"/>
    </row>
    <row r="207" spans="2:19" ht="25.5" x14ac:dyDescent="0.25">
      <c r="B207" s="2616" t="s">
        <v>1662</v>
      </c>
      <c r="C207" s="2621">
        <f t="shared" si="33"/>
        <v>2860</v>
      </c>
      <c r="D207" s="2621">
        <f t="shared" si="33"/>
        <v>2860</v>
      </c>
      <c r="E207" s="2622">
        <f t="shared" si="33"/>
        <v>2860</v>
      </c>
      <c r="F207" s="2255"/>
      <c r="G207" s="2613"/>
      <c r="H207" s="2623"/>
      <c r="I207" s="2623"/>
      <c r="J207" s="2624"/>
      <c r="N207"/>
      <c r="O207"/>
      <c r="P207"/>
      <c r="Q207"/>
      <c r="R207"/>
      <c r="S207"/>
    </row>
    <row r="208" spans="2:19" ht="25.5" x14ac:dyDescent="0.25">
      <c r="B208" s="2616" t="s">
        <v>1611</v>
      </c>
      <c r="C208" s="2621">
        <f t="shared" si="33"/>
        <v>10</v>
      </c>
      <c r="D208" s="2621">
        <f t="shared" si="33"/>
        <v>10</v>
      </c>
      <c r="E208" s="2622">
        <f t="shared" si="33"/>
        <v>10</v>
      </c>
      <c r="F208" s="2255"/>
      <c r="G208" s="2613"/>
      <c r="H208" s="2623"/>
      <c r="I208" s="2623"/>
      <c r="J208" s="2624"/>
      <c r="N208"/>
      <c r="O208"/>
      <c r="P208"/>
      <c r="Q208"/>
      <c r="R208"/>
      <c r="S208"/>
    </row>
    <row r="209" spans="2:19" ht="25.5" x14ac:dyDescent="0.25">
      <c r="B209" s="2642" t="s">
        <v>1804</v>
      </c>
      <c r="C209" s="2643">
        <f>SUM(C204:C208)</f>
        <v>3030</v>
      </c>
      <c r="D209" s="2643">
        <f>SUM(D204:D208)</f>
        <v>3030</v>
      </c>
      <c r="E209" s="2644">
        <f>SUM(E204:E208)</f>
        <v>3030</v>
      </c>
      <c r="F209" s="2255"/>
      <c r="G209" s="2613"/>
      <c r="H209" s="2643">
        <f>SUM(H204:H208)</f>
        <v>0</v>
      </c>
      <c r="I209" s="2643">
        <f>SUM(I204:I208)</f>
        <v>0</v>
      </c>
      <c r="J209" s="2644">
        <f>SUM(J204:J208)</f>
        <v>0</v>
      </c>
      <c r="N209"/>
      <c r="O209"/>
      <c r="P209"/>
      <c r="Q209"/>
      <c r="R209"/>
      <c r="S209"/>
    </row>
    <row r="210" spans="2:19" ht="26.25" x14ac:dyDescent="0.25">
      <c r="B210" s="2649"/>
      <c r="C210" s="2650"/>
      <c r="D210" s="2650"/>
      <c r="E210" s="2650"/>
      <c r="F210" s="2255"/>
      <c r="G210" s="2613"/>
      <c r="H210" s="2650"/>
      <c r="I210" s="2650"/>
      <c r="J210" s="2650"/>
      <c r="N210"/>
      <c r="O210"/>
      <c r="P210"/>
      <c r="Q210"/>
      <c r="R210"/>
      <c r="S210"/>
    </row>
    <row r="211" spans="2:19" ht="25.5" x14ac:dyDescent="0.25">
      <c r="B211" s="2645" t="s">
        <v>1593</v>
      </c>
      <c r="C211" s="2618">
        <f>+H10</f>
        <v>3610</v>
      </c>
      <c r="D211" s="2618">
        <f>+I10</f>
        <v>3610</v>
      </c>
      <c r="E211" s="2618">
        <f>+J10</f>
        <v>3610</v>
      </c>
      <c r="F211" s="2255"/>
      <c r="G211" s="2613"/>
      <c r="H211" s="2618"/>
      <c r="I211" s="2618"/>
      <c r="J211" s="2618"/>
      <c r="N211"/>
      <c r="O211"/>
      <c r="P211"/>
      <c r="Q211"/>
      <c r="R211"/>
      <c r="S211"/>
    </row>
    <row r="212" spans="2:19" ht="25.5" x14ac:dyDescent="0.25">
      <c r="B212" s="2616" t="s">
        <v>1805</v>
      </c>
      <c r="C212" s="2651">
        <f>+H28</f>
        <v>0</v>
      </c>
      <c r="D212" s="2651">
        <f>+I28</f>
        <v>0</v>
      </c>
      <c r="E212" s="2651">
        <f>+J28</f>
        <v>1</v>
      </c>
      <c r="F212" s="2255"/>
      <c r="G212" s="2613"/>
      <c r="H212" s="2622"/>
      <c r="I212" s="2622"/>
      <c r="J212" s="2622"/>
      <c r="N212"/>
      <c r="O212"/>
      <c r="P212"/>
      <c r="Q212"/>
      <c r="R212"/>
      <c r="S212"/>
    </row>
    <row r="213" spans="2:19" ht="25.5" x14ac:dyDescent="0.25">
      <c r="B213" s="2616" t="s">
        <v>880</v>
      </c>
      <c r="C213" s="2651">
        <f>+H23</f>
        <v>0.77839335180055402</v>
      </c>
      <c r="D213" s="2651">
        <f>+I23</f>
        <v>0.77839335180055402</v>
      </c>
      <c r="E213" s="2651">
        <f>+J23</f>
        <v>0.77839335180055402</v>
      </c>
      <c r="F213" s="2255"/>
      <c r="G213" s="2613"/>
      <c r="H213" s="2651"/>
      <c r="I213" s="2651"/>
      <c r="J213" s="2651"/>
      <c r="N213"/>
      <c r="O213"/>
      <c r="P213"/>
      <c r="Q213"/>
      <c r="R213"/>
      <c r="S213"/>
    </row>
    <row r="214" spans="2:19" ht="25.5" x14ac:dyDescent="0.25">
      <c r="B214" s="2616" t="s">
        <v>881</v>
      </c>
      <c r="C214" s="2622">
        <f>+H13</f>
        <v>2850</v>
      </c>
      <c r="D214" s="2622">
        <f>+I13</f>
        <v>2850</v>
      </c>
      <c r="E214" s="2622">
        <f>+J13</f>
        <v>2850</v>
      </c>
      <c r="F214" s="2255"/>
      <c r="G214" s="2613"/>
      <c r="H214" s="2622"/>
      <c r="I214" s="2622"/>
      <c r="J214" s="2622"/>
      <c r="N214"/>
      <c r="O214"/>
      <c r="P214"/>
      <c r="Q214"/>
      <c r="R214"/>
      <c r="S214"/>
    </row>
    <row r="215" spans="2:19" ht="25.5" x14ac:dyDescent="0.25">
      <c r="B215" s="2616" t="s">
        <v>882</v>
      </c>
      <c r="C215" s="2651">
        <f>+H24</f>
        <v>0.78947368421052633</v>
      </c>
      <c r="D215" s="2651">
        <f>+I24</f>
        <v>0.78947368421052633</v>
      </c>
      <c r="E215" s="2651">
        <f>+J24</f>
        <v>0.78947368421052633</v>
      </c>
      <c r="F215" s="2255"/>
      <c r="G215" s="2613"/>
      <c r="H215" s="2651"/>
      <c r="I215" s="2651"/>
      <c r="J215" s="2651"/>
      <c r="N215"/>
      <c r="O215"/>
      <c r="P215"/>
      <c r="Q215"/>
      <c r="R215"/>
      <c r="S215"/>
    </row>
    <row r="216" spans="2:19" ht="25.5" x14ac:dyDescent="0.25">
      <c r="B216" s="2642" t="s">
        <v>1487</v>
      </c>
      <c r="C216" s="2643">
        <f>+H18</f>
        <v>2810</v>
      </c>
      <c r="D216" s="2643">
        <f>+I18</f>
        <v>2810</v>
      </c>
      <c r="E216" s="2644">
        <f>+J18</f>
        <v>2810</v>
      </c>
      <c r="F216" s="2255"/>
      <c r="G216" s="2613"/>
      <c r="H216" s="2643"/>
      <c r="I216" s="2643"/>
      <c r="J216" s="2644"/>
      <c r="N216"/>
      <c r="O216"/>
      <c r="P216"/>
      <c r="Q216"/>
      <c r="R216"/>
      <c r="S216"/>
    </row>
    <row r="217" spans="2:19" ht="25.5" x14ac:dyDescent="0.25">
      <c r="B217" s="2645" t="s">
        <v>1806</v>
      </c>
      <c r="C217" s="2652">
        <f>+H26</f>
        <v>0.90064102564102566</v>
      </c>
      <c r="D217" s="2652">
        <f>+I26</f>
        <v>0.90064102564102566</v>
      </c>
      <c r="E217" s="2652">
        <f>+J26</f>
        <v>1.8012820512820513</v>
      </c>
      <c r="F217" s="2255"/>
      <c r="G217" s="2613"/>
      <c r="H217" s="2652"/>
      <c r="I217" s="2652"/>
      <c r="J217" s="2652"/>
      <c r="N217"/>
      <c r="O217"/>
      <c r="P217"/>
      <c r="Q217"/>
      <c r="R217"/>
      <c r="S217"/>
    </row>
    <row r="218" spans="2:19" ht="25.5" x14ac:dyDescent="0.25">
      <c r="B218" s="2616" t="s">
        <v>1512</v>
      </c>
      <c r="C218" s="2653">
        <f t="shared" ref="C218:E219" si="34">+H29</f>
        <v>8.9750692520775619</v>
      </c>
      <c r="D218" s="2653">
        <f t="shared" si="34"/>
        <v>8.9750692520775619</v>
      </c>
      <c r="E218" s="2653">
        <f t="shared" si="34"/>
        <v>4.4875346260387809</v>
      </c>
      <c r="F218" s="2255"/>
      <c r="G218" s="2613"/>
      <c r="H218" s="2653"/>
      <c r="I218" s="2653"/>
      <c r="J218" s="2653"/>
      <c r="N218"/>
      <c r="O218"/>
      <c r="P218"/>
      <c r="Q218"/>
      <c r="R218"/>
      <c r="S218"/>
    </row>
    <row r="219" spans="2:19" ht="25.5" x14ac:dyDescent="0.25">
      <c r="B219" s="2616" t="s">
        <v>1775</v>
      </c>
      <c r="C219" s="2653">
        <f t="shared" si="34"/>
        <v>280.8</v>
      </c>
      <c r="D219" s="2653">
        <f t="shared" si="34"/>
        <v>280.8</v>
      </c>
      <c r="E219" s="2653">
        <f t="shared" si="34"/>
        <v>140.4</v>
      </c>
      <c r="F219" s="2255"/>
      <c r="G219" s="2613"/>
      <c r="H219" s="2653"/>
      <c r="I219" s="2653"/>
      <c r="J219" s="2653"/>
      <c r="N219"/>
      <c r="O219"/>
      <c r="P219"/>
      <c r="Q219"/>
      <c r="R219"/>
      <c r="S219"/>
    </row>
    <row r="220" spans="2:19" ht="25.5" x14ac:dyDescent="0.25">
      <c r="B220" s="2616" t="s">
        <v>1514</v>
      </c>
      <c r="C220" s="2653">
        <f>+H32</f>
        <v>21.6</v>
      </c>
      <c r="D220" s="2653">
        <f>+I32</f>
        <v>21.6</v>
      </c>
      <c r="E220" s="2653">
        <f>+J32</f>
        <v>10.8</v>
      </c>
      <c r="F220" s="2255"/>
      <c r="G220" s="2613"/>
      <c r="H220" s="2653"/>
      <c r="I220" s="2653"/>
      <c r="J220" s="2653"/>
      <c r="N220"/>
      <c r="O220"/>
      <c r="P220"/>
      <c r="Q220"/>
      <c r="R220"/>
      <c r="S220"/>
    </row>
    <row r="221" spans="2:19" ht="25.5" x14ac:dyDescent="0.25">
      <c r="B221" s="2616" t="s">
        <v>1511</v>
      </c>
      <c r="C221" s="2651">
        <f>+H35</f>
        <v>0.24031007751937986</v>
      </c>
      <c r="D221" s="2651">
        <f>+I35</f>
        <v>0.24031007751937986</v>
      </c>
      <c r="E221" s="2651">
        <f>+J35</f>
        <v>0.24031007751937986</v>
      </c>
      <c r="F221" s="2255"/>
      <c r="G221" s="2613"/>
      <c r="H221" s="2651"/>
      <c r="I221" s="2651"/>
      <c r="J221" s="2651"/>
      <c r="N221"/>
      <c r="O221"/>
      <c r="P221"/>
      <c r="Q221"/>
      <c r="R221"/>
      <c r="S221"/>
    </row>
    <row r="222" spans="2:19" ht="25.5" x14ac:dyDescent="0.25">
      <c r="B222" s="2616" t="s">
        <v>910</v>
      </c>
      <c r="C222" s="2654">
        <f>+H38</f>
        <v>1.7543859649122806E-2</v>
      </c>
      <c r="D222" s="2654">
        <f>+I38</f>
        <v>1.7543859649122806E-2</v>
      </c>
      <c r="E222" s="2654">
        <f>+J38</f>
        <v>8.771929824561403E-3</v>
      </c>
      <c r="F222" s="2255"/>
      <c r="G222" s="2613"/>
      <c r="H222" s="2654"/>
      <c r="I222" s="2654"/>
      <c r="J222" s="2654"/>
      <c r="N222"/>
      <c r="O222"/>
      <c r="P222"/>
      <c r="Q222"/>
      <c r="R222"/>
      <c r="S222"/>
    </row>
    <row r="223" spans="2:19" ht="25.5" x14ac:dyDescent="0.25">
      <c r="B223" s="2655" t="s">
        <v>1669</v>
      </c>
      <c r="C223" s="2656">
        <f>+H41</f>
        <v>285</v>
      </c>
      <c r="D223" s="2656">
        <f>+I41</f>
        <v>285</v>
      </c>
      <c r="E223" s="2656">
        <f>+J41</f>
        <v>285</v>
      </c>
      <c r="F223" s="2255"/>
      <c r="G223" s="2613"/>
      <c r="H223" s="2656"/>
      <c r="I223" s="2656"/>
      <c r="J223" s="2656"/>
      <c r="N223"/>
      <c r="O223"/>
      <c r="P223"/>
      <c r="Q223"/>
      <c r="R223"/>
      <c r="S223"/>
    </row>
    <row r="224" spans="2:19" ht="15" x14ac:dyDescent="0.25">
      <c r="B224" s="2255"/>
      <c r="C224" s="2255"/>
      <c r="D224" s="2255"/>
      <c r="E224" s="2255"/>
      <c r="F224" s="2255"/>
      <c r="G224" s="2255"/>
      <c r="H224" s="2255"/>
      <c r="I224" s="2255"/>
      <c r="J224" s="2255"/>
      <c r="N224"/>
      <c r="O224"/>
      <c r="P224"/>
      <c r="Q224"/>
      <c r="R224"/>
      <c r="S224"/>
    </row>
    <row r="225" spans="2:19" ht="15" x14ac:dyDescent="0.25">
      <c r="B225" s="2255"/>
      <c r="C225" s="2255"/>
      <c r="D225" s="2255"/>
      <c r="E225" s="2255"/>
      <c r="F225" s="2255"/>
      <c r="G225" s="2255"/>
      <c r="H225" s="2255"/>
      <c r="I225" s="2255"/>
      <c r="J225" s="2255"/>
      <c r="N225"/>
      <c r="O225"/>
      <c r="P225"/>
      <c r="Q225"/>
      <c r="R225"/>
      <c r="S225"/>
    </row>
    <row r="226" spans="2:19" ht="15" x14ac:dyDescent="0.25">
      <c r="B226" s="2255"/>
      <c r="C226" s="2255"/>
      <c r="D226" s="2255"/>
      <c r="E226" s="2255"/>
      <c r="F226" s="2255"/>
      <c r="G226" s="2255"/>
      <c r="H226" s="2255"/>
      <c r="I226" s="2255"/>
      <c r="J226" s="2255"/>
      <c r="N226"/>
      <c r="O226"/>
      <c r="P226"/>
      <c r="Q226"/>
      <c r="R226"/>
      <c r="S226"/>
    </row>
    <row r="227" spans="2:19" ht="15" x14ac:dyDescent="0.25">
      <c r="N227"/>
      <c r="O227"/>
      <c r="P227"/>
      <c r="Q227"/>
      <c r="R227"/>
      <c r="S227"/>
    </row>
    <row r="228" spans="2:19" ht="15" x14ac:dyDescent="0.25">
      <c r="N228"/>
      <c r="O228"/>
      <c r="P228"/>
      <c r="Q228"/>
      <c r="R228"/>
      <c r="S228"/>
    </row>
    <row r="229" spans="2:19" ht="15" x14ac:dyDescent="0.25">
      <c r="N229"/>
      <c r="O229"/>
      <c r="P229"/>
      <c r="Q229"/>
      <c r="R229"/>
      <c r="S229"/>
    </row>
    <row r="230" spans="2:19" ht="15" x14ac:dyDescent="0.25">
      <c r="N230"/>
      <c r="O230"/>
      <c r="P230"/>
      <c r="Q230"/>
      <c r="R230"/>
      <c r="S230"/>
    </row>
    <row r="231" spans="2:19" ht="15" x14ac:dyDescent="0.25">
      <c r="N231"/>
      <c r="O231"/>
      <c r="P231"/>
      <c r="Q231"/>
      <c r="R231"/>
      <c r="S231"/>
    </row>
    <row r="232" spans="2:19" ht="15" x14ac:dyDescent="0.25">
      <c r="N232"/>
      <c r="O232"/>
      <c r="P232"/>
      <c r="Q232"/>
      <c r="R232"/>
      <c r="S232"/>
    </row>
    <row r="233" spans="2:19" ht="15" x14ac:dyDescent="0.25">
      <c r="N233"/>
      <c r="O233"/>
      <c r="P233"/>
      <c r="Q233"/>
      <c r="R233"/>
      <c r="S233"/>
    </row>
    <row r="234" spans="2:19" ht="15" x14ac:dyDescent="0.25">
      <c r="N234"/>
      <c r="O234"/>
      <c r="P234"/>
      <c r="Q234"/>
      <c r="R234"/>
      <c r="S234"/>
    </row>
    <row r="235" spans="2:19" ht="15" x14ac:dyDescent="0.25">
      <c r="N235"/>
      <c r="O235"/>
      <c r="P235"/>
      <c r="Q235"/>
      <c r="R235"/>
      <c r="S235"/>
    </row>
    <row r="236" spans="2:19" ht="15" x14ac:dyDescent="0.25">
      <c r="N236"/>
      <c r="O236"/>
      <c r="P236"/>
      <c r="Q236"/>
      <c r="R236"/>
      <c r="S236"/>
    </row>
    <row r="237" spans="2:19" ht="15" x14ac:dyDescent="0.25">
      <c r="N237"/>
      <c r="O237"/>
      <c r="P237"/>
      <c r="Q237"/>
      <c r="R237"/>
      <c r="S237"/>
    </row>
    <row r="238" spans="2:19" ht="15" x14ac:dyDescent="0.25">
      <c r="N238"/>
      <c r="O238"/>
      <c r="P238"/>
      <c r="Q238"/>
      <c r="R238"/>
      <c r="S238"/>
    </row>
    <row r="239" spans="2:19" ht="15" x14ac:dyDescent="0.25">
      <c r="N239"/>
      <c r="O239"/>
      <c r="P239"/>
      <c r="Q239"/>
      <c r="R239"/>
      <c r="S239"/>
    </row>
    <row r="240" spans="2:19" ht="15" x14ac:dyDescent="0.25">
      <c r="N240"/>
      <c r="O240"/>
      <c r="P240"/>
      <c r="Q240"/>
      <c r="R240"/>
      <c r="S240"/>
    </row>
    <row r="241" spans="14:19" ht="15" x14ac:dyDescent="0.25">
      <c r="N241"/>
      <c r="O241"/>
      <c r="P241"/>
      <c r="Q241"/>
      <c r="R241"/>
      <c r="S241"/>
    </row>
    <row r="242" spans="14:19" ht="15" x14ac:dyDescent="0.25">
      <c r="N242"/>
      <c r="O242"/>
      <c r="P242"/>
      <c r="Q242"/>
      <c r="R242"/>
      <c r="S242"/>
    </row>
    <row r="243" spans="14:19" ht="15" x14ac:dyDescent="0.25">
      <c r="N243"/>
      <c r="O243"/>
      <c r="P243"/>
      <c r="Q243"/>
      <c r="R243"/>
      <c r="S243"/>
    </row>
    <row r="244" spans="14:19" ht="15" x14ac:dyDescent="0.25">
      <c r="N244"/>
      <c r="O244"/>
      <c r="P244"/>
      <c r="Q244"/>
      <c r="R244"/>
      <c r="S244"/>
    </row>
    <row r="245" spans="14:19" ht="15" x14ac:dyDescent="0.25">
      <c r="N245"/>
      <c r="O245"/>
      <c r="P245"/>
      <c r="Q245"/>
      <c r="R245"/>
      <c r="S245"/>
    </row>
    <row r="246" spans="14:19" ht="15" x14ac:dyDescent="0.25">
      <c r="N246"/>
      <c r="O246"/>
      <c r="P246"/>
      <c r="Q246"/>
      <c r="R246"/>
      <c r="S246"/>
    </row>
    <row r="247" spans="14:19" ht="15" x14ac:dyDescent="0.25">
      <c r="N247"/>
      <c r="O247"/>
      <c r="P247"/>
      <c r="Q247"/>
      <c r="R247"/>
      <c r="S247"/>
    </row>
    <row r="248" spans="14:19" ht="15" x14ac:dyDescent="0.25">
      <c r="N248"/>
      <c r="O248"/>
      <c r="P248"/>
      <c r="Q248"/>
      <c r="R248"/>
      <c r="S248"/>
    </row>
    <row r="249" spans="14:19" ht="15" x14ac:dyDescent="0.25">
      <c r="N249"/>
      <c r="O249"/>
      <c r="P249"/>
      <c r="Q249"/>
      <c r="R249"/>
      <c r="S249"/>
    </row>
    <row r="250" spans="14:19" ht="15" x14ac:dyDescent="0.25">
      <c r="N250"/>
      <c r="O250"/>
      <c r="P250"/>
      <c r="Q250"/>
      <c r="R250"/>
      <c r="S250"/>
    </row>
    <row r="251" spans="14:19" ht="15" x14ac:dyDescent="0.25">
      <c r="N251"/>
      <c r="O251"/>
      <c r="P251"/>
      <c r="Q251"/>
      <c r="R251"/>
      <c r="S251"/>
    </row>
    <row r="252" spans="14:19" ht="15" x14ac:dyDescent="0.25">
      <c r="N252"/>
      <c r="O252"/>
      <c r="P252"/>
      <c r="Q252"/>
      <c r="R252"/>
      <c r="S252"/>
    </row>
    <row r="253" spans="14:19" ht="15" x14ac:dyDescent="0.25">
      <c r="N253"/>
      <c r="O253"/>
      <c r="P253"/>
      <c r="Q253"/>
      <c r="R253"/>
      <c r="S253"/>
    </row>
    <row r="254" spans="14:19" ht="15" x14ac:dyDescent="0.25">
      <c r="N254"/>
      <c r="O254"/>
      <c r="P254"/>
      <c r="Q254"/>
      <c r="R254"/>
      <c r="S254"/>
    </row>
    <row r="255" spans="14:19" ht="15" x14ac:dyDescent="0.25">
      <c r="N255"/>
      <c r="O255"/>
      <c r="P255"/>
      <c r="Q255"/>
      <c r="R255"/>
      <c r="S255"/>
    </row>
    <row r="256" spans="14:19" ht="15" x14ac:dyDescent="0.25">
      <c r="N256"/>
      <c r="O256"/>
      <c r="P256"/>
      <c r="Q256"/>
      <c r="R256"/>
      <c r="S256"/>
    </row>
    <row r="257" spans="14:19" ht="15" x14ac:dyDescent="0.25">
      <c r="N257"/>
      <c r="O257"/>
      <c r="P257"/>
      <c r="Q257"/>
      <c r="R257"/>
      <c r="S257"/>
    </row>
    <row r="258" spans="14:19" ht="15" x14ac:dyDescent="0.25">
      <c r="N258"/>
      <c r="O258"/>
      <c r="P258"/>
      <c r="Q258"/>
      <c r="R258"/>
      <c r="S258"/>
    </row>
    <row r="259" spans="14:19" ht="15" x14ac:dyDescent="0.25">
      <c r="N259"/>
      <c r="O259"/>
      <c r="P259"/>
      <c r="Q259"/>
      <c r="R259"/>
      <c r="S259"/>
    </row>
    <row r="260" spans="14:19" ht="15" x14ac:dyDescent="0.25">
      <c r="N260"/>
      <c r="O260"/>
      <c r="P260"/>
      <c r="Q260"/>
      <c r="R260"/>
      <c r="S260"/>
    </row>
    <row r="261" spans="14:19" ht="15" x14ac:dyDescent="0.25">
      <c r="N261"/>
      <c r="O261"/>
      <c r="P261"/>
      <c r="Q261"/>
      <c r="R261"/>
      <c r="S261"/>
    </row>
    <row r="262" spans="14:19" ht="15" x14ac:dyDescent="0.25">
      <c r="N262"/>
      <c r="O262"/>
      <c r="P262"/>
      <c r="Q262"/>
      <c r="R262"/>
      <c r="S262"/>
    </row>
    <row r="263" spans="14:19" ht="15" x14ac:dyDescent="0.25">
      <c r="N263"/>
      <c r="O263"/>
      <c r="P263"/>
      <c r="Q263"/>
      <c r="R263"/>
      <c r="S263"/>
    </row>
    <row r="264" spans="14:19" ht="15" x14ac:dyDescent="0.25">
      <c r="N264"/>
      <c r="O264"/>
      <c r="P264"/>
      <c r="Q264"/>
      <c r="R264"/>
      <c r="S264"/>
    </row>
    <row r="265" spans="14:19" ht="15" x14ac:dyDescent="0.25">
      <c r="N265"/>
      <c r="O265"/>
      <c r="P265"/>
      <c r="Q265"/>
      <c r="R265"/>
      <c r="S265"/>
    </row>
    <row r="266" spans="14:19" ht="15" x14ac:dyDescent="0.25">
      <c r="N266"/>
      <c r="O266"/>
      <c r="P266"/>
      <c r="Q266"/>
      <c r="R266"/>
      <c r="S266"/>
    </row>
    <row r="267" spans="14:19" ht="15" x14ac:dyDescent="0.25">
      <c r="N267"/>
      <c r="O267"/>
      <c r="P267"/>
      <c r="Q267"/>
      <c r="R267"/>
      <c r="S267"/>
    </row>
    <row r="268" spans="14:19" ht="15" x14ac:dyDescent="0.25">
      <c r="N268"/>
      <c r="O268"/>
      <c r="P268"/>
      <c r="Q268"/>
      <c r="R268"/>
      <c r="S268"/>
    </row>
    <row r="269" spans="14:19" ht="15" x14ac:dyDescent="0.25">
      <c r="N269"/>
      <c r="O269"/>
      <c r="P269"/>
      <c r="Q269"/>
      <c r="R269"/>
      <c r="S269"/>
    </row>
    <row r="270" spans="14:19" ht="15" x14ac:dyDescent="0.25">
      <c r="N270"/>
      <c r="O270"/>
      <c r="P270"/>
      <c r="Q270"/>
      <c r="R270"/>
      <c r="S270"/>
    </row>
    <row r="271" spans="14:19" ht="15" x14ac:dyDescent="0.25">
      <c r="N271"/>
      <c r="O271"/>
      <c r="P271"/>
      <c r="Q271"/>
      <c r="R271"/>
      <c r="S271"/>
    </row>
    <row r="272" spans="14:19" ht="15" x14ac:dyDescent="0.25">
      <c r="N272"/>
      <c r="O272"/>
      <c r="P272"/>
      <c r="Q272"/>
      <c r="R272"/>
      <c r="S272"/>
    </row>
    <row r="273" spans="14:19" ht="15" x14ac:dyDescent="0.25">
      <c r="N273"/>
      <c r="O273"/>
      <c r="P273"/>
      <c r="Q273"/>
      <c r="R273"/>
      <c r="S273"/>
    </row>
    <row r="274" spans="14:19" ht="15" x14ac:dyDescent="0.25">
      <c r="N274"/>
      <c r="O274"/>
      <c r="P274"/>
      <c r="Q274"/>
      <c r="R274"/>
      <c r="S274"/>
    </row>
    <row r="275" spans="14:19" ht="15" x14ac:dyDescent="0.25">
      <c r="N275"/>
      <c r="O275"/>
      <c r="P275"/>
      <c r="Q275"/>
      <c r="R275"/>
      <c r="S275"/>
    </row>
    <row r="276" spans="14:19" ht="15" x14ac:dyDescent="0.25">
      <c r="N276"/>
      <c r="O276"/>
      <c r="P276"/>
      <c r="Q276"/>
      <c r="R276"/>
      <c r="S276"/>
    </row>
    <row r="277" spans="14:19" ht="15" x14ac:dyDescent="0.25">
      <c r="N277"/>
      <c r="O277"/>
      <c r="P277"/>
      <c r="Q277"/>
      <c r="R277"/>
      <c r="S277"/>
    </row>
    <row r="278" spans="14:19" ht="15" x14ac:dyDescent="0.25">
      <c r="N278"/>
      <c r="O278"/>
      <c r="P278"/>
      <c r="Q278"/>
      <c r="R278"/>
      <c r="S278"/>
    </row>
    <row r="279" spans="14:19" ht="15" x14ac:dyDescent="0.25">
      <c r="N279"/>
      <c r="O279"/>
      <c r="P279"/>
      <c r="Q279"/>
      <c r="R279"/>
      <c r="S279"/>
    </row>
    <row r="280" spans="14:19" ht="15" x14ac:dyDescent="0.25">
      <c r="N280"/>
      <c r="O280"/>
      <c r="P280"/>
      <c r="Q280"/>
      <c r="R280"/>
      <c r="S280"/>
    </row>
    <row r="281" spans="14:19" ht="15" x14ac:dyDescent="0.25">
      <c r="N281"/>
      <c r="O281"/>
      <c r="P281"/>
      <c r="Q281"/>
      <c r="R281"/>
      <c r="S281"/>
    </row>
    <row r="282" spans="14:19" ht="15" x14ac:dyDescent="0.25">
      <c r="N282"/>
      <c r="O282"/>
      <c r="P282"/>
      <c r="Q282"/>
      <c r="R282"/>
      <c r="S282"/>
    </row>
    <row r="283" spans="14:19" ht="15" x14ac:dyDescent="0.25">
      <c r="N283"/>
      <c r="O283"/>
      <c r="P283"/>
      <c r="Q283"/>
      <c r="R283"/>
      <c r="S283"/>
    </row>
    <row r="284" spans="14:19" ht="15" x14ac:dyDescent="0.25">
      <c r="N284"/>
      <c r="O284"/>
      <c r="P284"/>
      <c r="Q284"/>
      <c r="R284"/>
      <c r="S284"/>
    </row>
    <row r="285" spans="14:19" ht="15" x14ac:dyDescent="0.25">
      <c r="N285"/>
      <c r="O285"/>
      <c r="P285"/>
      <c r="Q285"/>
      <c r="R285"/>
      <c r="S285"/>
    </row>
    <row r="286" spans="14:19" ht="15" x14ac:dyDescent="0.25">
      <c r="N286"/>
      <c r="O286"/>
      <c r="P286"/>
      <c r="Q286"/>
      <c r="R286"/>
      <c r="S286"/>
    </row>
    <row r="287" spans="14:19" ht="15" x14ac:dyDescent="0.25">
      <c r="N287"/>
      <c r="O287"/>
      <c r="P287"/>
      <c r="Q287"/>
      <c r="R287"/>
      <c r="S287"/>
    </row>
    <row r="288" spans="14:19" ht="15" x14ac:dyDescent="0.25">
      <c r="N288"/>
      <c r="O288"/>
      <c r="P288"/>
      <c r="Q288"/>
      <c r="R288"/>
      <c r="S288"/>
    </row>
    <row r="289" spans="14:19" ht="15" x14ac:dyDescent="0.25">
      <c r="N289"/>
      <c r="O289"/>
      <c r="P289"/>
      <c r="Q289"/>
      <c r="R289"/>
      <c r="S289"/>
    </row>
    <row r="290" spans="14:19" ht="15" x14ac:dyDescent="0.25">
      <c r="N290"/>
      <c r="O290"/>
      <c r="P290"/>
      <c r="Q290"/>
      <c r="R290"/>
      <c r="S290"/>
    </row>
    <row r="291" spans="14:19" ht="15" x14ac:dyDescent="0.25">
      <c r="N291"/>
      <c r="O291"/>
      <c r="P291"/>
      <c r="Q291"/>
      <c r="R291"/>
      <c r="S291"/>
    </row>
    <row r="292" spans="14:19" ht="15" x14ac:dyDescent="0.25">
      <c r="N292"/>
      <c r="O292"/>
      <c r="P292"/>
      <c r="Q292"/>
      <c r="R292"/>
      <c r="S292"/>
    </row>
    <row r="293" spans="14:19" ht="15" x14ac:dyDescent="0.25">
      <c r="N293"/>
      <c r="O293"/>
      <c r="P293"/>
      <c r="Q293"/>
      <c r="R293"/>
      <c r="S293"/>
    </row>
    <row r="294" spans="14:19" ht="15" x14ac:dyDescent="0.25">
      <c r="N294"/>
      <c r="O294"/>
      <c r="P294"/>
      <c r="Q294"/>
      <c r="R294"/>
      <c r="S294"/>
    </row>
    <row r="295" spans="14:19" ht="12" x14ac:dyDescent="0.25"/>
    <row r="311" spans="14:19" ht="27.75" customHeight="1" x14ac:dyDescent="0.25">
      <c r="N311" s="2255"/>
      <c r="O311" s="2255"/>
      <c r="P311" s="2255"/>
      <c r="Q311" s="2255"/>
      <c r="R311" s="2255"/>
      <c r="S311" s="2255"/>
    </row>
    <row r="312" spans="14:19" ht="12" x14ac:dyDescent="0.25"/>
    <row r="1048563" spans="3:7" ht="27" x14ac:dyDescent="0.25">
      <c r="C1048563" s="2262" t="s">
        <v>1807</v>
      </c>
      <c r="D1048563" s="2255"/>
      <c r="E1048563" s="2657"/>
      <c r="G1048563" s="2262" t="s">
        <v>1808</v>
      </c>
    </row>
    <row r="1048564" spans="3:7" ht="27" x14ac:dyDescent="0.25">
      <c r="C1048564" s="2255"/>
      <c r="D1048564" s="2255"/>
      <c r="E1048564" s="2657"/>
      <c r="G1048564" s="2262" t="s">
        <v>2161</v>
      </c>
    </row>
    <row r="1048565" spans="3:7" ht="27" x14ac:dyDescent="0.25">
      <c r="C1048565" s="2255"/>
      <c r="D1048565" s="2255"/>
      <c r="E1048565" s="2657"/>
      <c r="G1048565" s="2262" t="s">
        <v>1809</v>
      </c>
    </row>
    <row r="1048566" spans="3:7" ht="27" x14ac:dyDescent="0.25">
      <c r="C1048566" s="2255"/>
      <c r="D1048566" s="2255"/>
      <c r="E1048566" s="2657"/>
      <c r="G1048566" s="2262" t="s">
        <v>1810</v>
      </c>
    </row>
    <row r="1048567" spans="3:7" ht="27" x14ac:dyDescent="0.25">
      <c r="C1048567" s="2255"/>
      <c r="D1048567" s="2255"/>
      <c r="E1048567" s="2657"/>
      <c r="G1048567" s="2262" t="s">
        <v>1811</v>
      </c>
    </row>
    <row r="1048568" spans="3:7" ht="27" x14ac:dyDescent="0.25">
      <c r="C1048568" s="2255"/>
      <c r="D1048568" s="2255"/>
      <c r="E1048568" s="2657"/>
    </row>
    <row r="1048569" spans="3:7" ht="27" x14ac:dyDescent="0.25">
      <c r="C1048569" s="2255"/>
      <c r="D1048569" s="2255"/>
      <c r="E1048569" s="2657"/>
      <c r="G1048569" s="2262" t="s">
        <v>1812</v>
      </c>
    </row>
    <row r="1048570" spans="3:7" ht="27" x14ac:dyDescent="0.25">
      <c r="C1048570" s="2255"/>
      <c r="D1048570" s="2255"/>
      <c r="E1048570" s="2657"/>
      <c r="G1048570" s="2262" t="s">
        <v>1813</v>
      </c>
    </row>
    <row r="1048571" spans="3:7" ht="27" x14ac:dyDescent="0.25">
      <c r="C1048571" s="2255"/>
      <c r="D1048571" s="2255"/>
      <c r="E1048571" s="2657"/>
      <c r="G1048571" s="2262" t="s">
        <v>1814</v>
      </c>
    </row>
    <row r="1048572" spans="3:7" ht="27" x14ac:dyDescent="0.25">
      <c r="C1048572" s="2255"/>
      <c r="D1048572" s="2255"/>
      <c r="E1048572" s="2657"/>
    </row>
  </sheetData>
  <sheetProtection password="D5B5" sheet="1" objects="1" scenarios="1"/>
  <mergeCells count="169">
    <mergeCell ref="B139:J139"/>
    <mergeCell ref="C184:E184"/>
    <mergeCell ref="H184:J184"/>
    <mergeCell ref="N185:S186"/>
    <mergeCell ref="Q90:R90"/>
    <mergeCell ref="S90:T90"/>
    <mergeCell ref="Q91:R91"/>
    <mergeCell ref="S91:T91"/>
    <mergeCell ref="B94:J94"/>
    <mergeCell ref="B96:E96"/>
    <mergeCell ref="G96:J96"/>
    <mergeCell ref="Q87:R87"/>
    <mergeCell ref="S87:T87"/>
    <mergeCell ref="Q88:R88"/>
    <mergeCell ref="S88:T88"/>
    <mergeCell ref="Q89:R89"/>
    <mergeCell ref="S89:T89"/>
    <mergeCell ref="Q84:R84"/>
    <mergeCell ref="S84:T84"/>
    <mergeCell ref="Q85:R85"/>
    <mergeCell ref="S85:T85"/>
    <mergeCell ref="Q86:R86"/>
    <mergeCell ref="S86:T86"/>
    <mergeCell ref="Q81:R81"/>
    <mergeCell ref="S81:T81"/>
    <mergeCell ref="Q82:R82"/>
    <mergeCell ref="S82:T82"/>
    <mergeCell ref="Q83:R83"/>
    <mergeCell ref="S83:T83"/>
    <mergeCell ref="AJ67:AM67"/>
    <mergeCell ref="AJ68:AM68"/>
    <mergeCell ref="AJ69:AM69"/>
    <mergeCell ref="AR71:AT71"/>
    <mergeCell ref="N80:O80"/>
    <mergeCell ref="Q80:T80"/>
    <mergeCell ref="BA62:BC62"/>
    <mergeCell ref="BE62:BG62"/>
    <mergeCell ref="BI62:BK62"/>
    <mergeCell ref="BM62:BO62"/>
    <mergeCell ref="AW63:AY63"/>
    <mergeCell ref="BA63:BC63"/>
    <mergeCell ref="BE63:BG63"/>
    <mergeCell ref="BI63:BK63"/>
    <mergeCell ref="BM63:BO63"/>
    <mergeCell ref="AI62:AI63"/>
    <mergeCell ref="AJ62:AJ63"/>
    <mergeCell ref="AK62:AK63"/>
    <mergeCell ref="AL62:AL63"/>
    <mergeCell ref="AM62:AM63"/>
    <mergeCell ref="AW62:AY62"/>
    <mergeCell ref="CH59:CM59"/>
    <mergeCell ref="N59:N60"/>
    <mergeCell ref="O59:P59"/>
    <mergeCell ref="Q59:Q60"/>
    <mergeCell ref="R59:R60"/>
    <mergeCell ref="AI60:AI61"/>
    <mergeCell ref="AJ60:AJ61"/>
    <mergeCell ref="AK60:AK61"/>
    <mergeCell ref="AL60:AL61"/>
    <mergeCell ref="AM60:AM61"/>
    <mergeCell ref="AW60:AY60"/>
    <mergeCell ref="BA60:BC60"/>
    <mergeCell ref="BE60:BG60"/>
    <mergeCell ref="BI60:BK60"/>
    <mergeCell ref="BM60:BO60"/>
    <mergeCell ref="AW61:AY61"/>
    <mergeCell ref="BA61:BC61"/>
    <mergeCell ref="BE61:BG61"/>
    <mergeCell ref="BI61:BK61"/>
    <mergeCell ref="BM61:BO61"/>
    <mergeCell ref="N57:R57"/>
    <mergeCell ref="AI58:AI59"/>
    <mergeCell ref="AJ58:AJ59"/>
    <mergeCell ref="AK58:AK59"/>
    <mergeCell ref="AL58:AL59"/>
    <mergeCell ref="AM58:AM59"/>
    <mergeCell ref="BM56:BO56"/>
    <mergeCell ref="AW57:AY57"/>
    <mergeCell ref="BA57:BC57"/>
    <mergeCell ref="BE57:BG57"/>
    <mergeCell ref="BI57:BK57"/>
    <mergeCell ref="BM57:BO57"/>
    <mergeCell ref="AW58:AY58"/>
    <mergeCell ref="BA58:BC58"/>
    <mergeCell ref="BE58:BG58"/>
    <mergeCell ref="BI58:BK58"/>
    <mergeCell ref="BM58:BO58"/>
    <mergeCell ref="AW59:AY59"/>
    <mergeCell ref="BA59:BC59"/>
    <mergeCell ref="BE59:BG59"/>
    <mergeCell ref="BI59:BK59"/>
    <mergeCell ref="BM59:BO59"/>
    <mergeCell ref="AI56:AI57"/>
    <mergeCell ref="AJ56:AJ57"/>
    <mergeCell ref="AK56:AK57"/>
    <mergeCell ref="AL56:AL57"/>
    <mergeCell ref="AM56:AM57"/>
    <mergeCell ref="AW56:AY56"/>
    <mergeCell ref="BA56:BC56"/>
    <mergeCell ref="BE56:BG56"/>
    <mergeCell ref="BI56:BK56"/>
    <mergeCell ref="BI54:BK54"/>
    <mergeCell ref="BM54:BO54"/>
    <mergeCell ref="N54:O54"/>
    <mergeCell ref="P54:S54"/>
    <mergeCell ref="AW55:AY55"/>
    <mergeCell ref="BA55:BC55"/>
    <mergeCell ref="BE55:BG55"/>
    <mergeCell ref="BI55:BK55"/>
    <mergeCell ref="BM55:BO55"/>
    <mergeCell ref="N53:O53"/>
    <mergeCell ref="AI54:AI55"/>
    <mergeCell ref="AJ54:AJ55"/>
    <mergeCell ref="AK54:AK55"/>
    <mergeCell ref="AL54:AL55"/>
    <mergeCell ref="AM54:AM55"/>
    <mergeCell ref="AW54:AY54"/>
    <mergeCell ref="BA54:BC54"/>
    <mergeCell ref="BE54:BG54"/>
    <mergeCell ref="BM51:BO51"/>
    <mergeCell ref="N51:O51"/>
    <mergeCell ref="AI52:AI53"/>
    <mergeCell ref="AJ52:AJ53"/>
    <mergeCell ref="AK52:AK53"/>
    <mergeCell ref="AL52:AL53"/>
    <mergeCell ref="AM52:AM53"/>
    <mergeCell ref="AW52:AY52"/>
    <mergeCell ref="BA52:BC52"/>
    <mergeCell ref="BE52:BG52"/>
    <mergeCell ref="BI52:BK52"/>
    <mergeCell ref="BM52:BO52"/>
    <mergeCell ref="N52:O52"/>
    <mergeCell ref="N49:O49"/>
    <mergeCell ref="N50:O50"/>
    <mergeCell ref="AW51:AY51"/>
    <mergeCell ref="BA51:BC51"/>
    <mergeCell ref="BE51:BG51"/>
    <mergeCell ref="BI51:BK51"/>
    <mergeCell ref="N48:O48"/>
    <mergeCell ref="AI49:AK49"/>
    <mergeCell ref="AW49:AY49"/>
    <mergeCell ref="BA49:BC49"/>
    <mergeCell ref="BE49:BG49"/>
    <mergeCell ref="BI49:BK49"/>
    <mergeCell ref="AW48:AY48"/>
    <mergeCell ref="BA48:BC48"/>
    <mergeCell ref="BE48:BG48"/>
    <mergeCell ref="BI48:BK48"/>
    <mergeCell ref="BI46:BK46"/>
    <mergeCell ref="AI47:AK47"/>
    <mergeCell ref="AW47:AY47"/>
    <mergeCell ref="BA47:BC47"/>
    <mergeCell ref="BE47:BG47"/>
    <mergeCell ref="BI47:BK47"/>
    <mergeCell ref="AI46:AK46"/>
    <mergeCell ref="AN46:AO46"/>
    <mergeCell ref="AW46:AY46"/>
    <mergeCell ref="BA46:BC46"/>
    <mergeCell ref="BE46:BG46"/>
    <mergeCell ref="B5:J5"/>
    <mergeCell ref="B6:J6"/>
    <mergeCell ref="AG29:AU30"/>
    <mergeCell ref="AI38:AM42"/>
    <mergeCell ref="N43:S43"/>
    <mergeCell ref="B45:J45"/>
    <mergeCell ref="AH45:AS45"/>
    <mergeCell ref="N47:O47"/>
    <mergeCell ref="AI48:AK48"/>
    <mergeCell ref="P45:S45"/>
  </mergeCells>
  <conditionalFormatting sqref="AP67:AS69 AP52:AS52 AP56:AS56 AP54:AS54 AP58:AS58 AP60:AS60 AP62:AS62">
    <cfRule type="cellIs" dxfId="19" priority="27" operator="equal">
      <formula>"x"</formula>
    </cfRule>
  </conditionalFormatting>
  <conditionalFormatting sqref="AP53:AS53 AP55:AS55 AP57:AS57 AP59:AS59 AP61:AS61 AP63:AS63">
    <cfRule type="cellIs" dxfId="18" priority="25" operator="equal">
      <formula>"X"</formula>
    </cfRule>
    <cfRule type="cellIs" dxfId="17" priority="26" operator="equal">
      <formula>"x"</formula>
    </cfRule>
  </conditionalFormatting>
  <conditionalFormatting sqref="AP38:AS42">
    <cfRule type="cellIs" dxfId="16" priority="20" operator="equal">
      <formula>4</formula>
    </cfRule>
    <cfRule type="cellIs" dxfId="15" priority="21" operator="equal">
      <formula>3</formula>
    </cfRule>
    <cfRule type="cellIs" dxfId="14" priority="22" operator="equal">
      <formula>2</formula>
    </cfRule>
    <cfRule type="cellIs" dxfId="13" priority="23" operator="equal">
      <formula>1</formula>
    </cfRule>
    <cfRule type="cellIs" dxfId="12" priority="24" operator="equal">
      <formula>"X"</formula>
    </cfRule>
  </conditionalFormatting>
  <conditionalFormatting sqref="AP47:AS49">
    <cfRule type="cellIs" dxfId="11" priority="10" operator="equal">
      <formula>4</formula>
    </cfRule>
    <cfRule type="cellIs" dxfId="10" priority="11" operator="equal">
      <formula>3</formula>
    </cfRule>
    <cfRule type="cellIs" dxfId="9" priority="12" operator="equal">
      <formula>2</formula>
    </cfRule>
    <cfRule type="cellIs" dxfId="8" priority="13" operator="equal">
      <formula>1</formula>
    </cfRule>
  </conditionalFormatting>
  <conditionalFormatting sqref="AP52:AS52 AP53:AR53 AP54:AS54 AP55:AR55 AP56:AS56 AP57:AR57 AP58:AS58 AP59:AR59 AP60:AS60 AP61:AR61 AP63:AR63 AP62:AS62">
    <cfRule type="cellIs" dxfId="7" priority="6" operator="equal">
      <formula>4</formula>
    </cfRule>
    <cfRule type="cellIs" dxfId="6" priority="7" operator="equal">
      <formula>3</formula>
    </cfRule>
    <cfRule type="cellIs" dxfId="5" priority="8" operator="equal">
      <formula>2</formula>
    </cfRule>
    <cfRule type="cellIs" dxfId="4" priority="9" operator="equal">
      <formula>1</formula>
    </cfRule>
  </conditionalFormatting>
  <conditionalFormatting sqref="AP67:AS68 AP69 AS69">
    <cfRule type="cellIs" dxfId="3" priority="4" operator="equal">
      <formula>1</formula>
    </cfRule>
  </conditionalFormatting>
  <conditionalFormatting sqref="AP67:AS68 AP69 AS69">
    <cfRule type="cellIs" dxfId="2" priority="3" operator="equal">
      <formula>2</formula>
    </cfRule>
  </conditionalFormatting>
  <conditionalFormatting sqref="AP67:AS68 AP69 AS69">
    <cfRule type="cellIs" dxfId="1" priority="2" operator="equal">
      <formula>3</formula>
    </cfRule>
  </conditionalFormatting>
  <conditionalFormatting sqref="AP67:AS68 AP69 AS69">
    <cfRule type="cellIs" dxfId="0" priority="1" operator="equal">
      <formula>4</formula>
    </cfRule>
  </conditionalFormatting>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3"/>
  <dimension ref="A1:T421"/>
  <sheetViews>
    <sheetView showGridLines="0" showRowColHeaders="0" workbookViewId="0"/>
  </sheetViews>
  <sheetFormatPr baseColWidth="10" defaultColWidth="0" defaultRowHeight="9.9499999999999993" customHeight="1" zeroHeight="1" x14ac:dyDescent="0.25"/>
  <cols>
    <col min="1" max="1" width="3.28515625" style="2217" customWidth="1"/>
    <col min="2" max="2" width="42.42578125" style="2217" customWidth="1"/>
    <col min="3" max="3" width="14.140625" style="2217" customWidth="1"/>
    <col min="4" max="4" width="14.7109375" style="2217" customWidth="1"/>
    <col min="5" max="5" width="11.7109375" style="2217" bestFit="1" customWidth="1"/>
    <col min="6" max="7" width="17.85546875" style="2217" customWidth="1"/>
    <col min="8" max="8" width="15.85546875" style="2217" customWidth="1"/>
    <col min="9" max="9" width="14.140625" style="2217" customWidth="1"/>
    <col min="10" max="10" width="2.85546875" style="2217" customWidth="1"/>
    <col min="11" max="11" width="4.28515625" style="2217" customWidth="1"/>
    <col min="12" max="12" width="14.7109375" style="2217" hidden="1" customWidth="1"/>
    <col min="13" max="13" width="14.140625" style="2217" hidden="1" customWidth="1"/>
    <col min="14" max="20" width="0" style="2217" hidden="1" customWidth="1"/>
    <col min="21" max="16384" width="9.85546875" style="2217" hidden="1"/>
  </cols>
  <sheetData>
    <row r="1" spans="1:18" ht="11.25" x14ac:dyDescent="0.25">
      <c r="A1" s="2658"/>
      <c r="M1" s="2235" t="s">
        <v>1815</v>
      </c>
      <c r="Q1" s="2235" t="s">
        <v>1816</v>
      </c>
    </row>
    <row r="2" spans="1:18" ht="11.25" x14ac:dyDescent="0.25">
      <c r="A2" s="2658"/>
      <c r="M2" s="2217" t="str">
        <f ca="1">CELL("DIRECCION",A71)&amp;":"&amp;CELL("DIRECCION",A130)</f>
        <v>$A$71:$A$130</v>
      </c>
      <c r="O2" s="2217" t="str">
        <f ca="1">CELL("DIRECCION",A71)&amp;":"&amp;CELL("DIRECCION",F118)</f>
        <v>$A$71:$F$118</v>
      </c>
      <c r="Q2" s="2217">
        <v>4</v>
      </c>
      <c r="R2" s="2217" t="str">
        <f>IF(ISERROR(VLOOKUP(Q2,$Q$3:$R$3,2,0))=TRUE,"",VLOOKUP(Q2,$Q$3:$R$3,2,0))</f>
        <v/>
      </c>
    </row>
    <row r="3" spans="1:18" ht="11.25" x14ac:dyDescent="0.25">
      <c r="Q3" s="2217">
        <v>2</v>
      </c>
      <c r="R3" s="2217" t="str">
        <f ca="1">CELL("DIRECCION",J90)</f>
        <v>$J$90</v>
      </c>
    </row>
    <row r="4" spans="1:18" s="2218" customFormat="1" ht="12" x14ac:dyDescent="0.2">
      <c r="A4" s="2659" t="s">
        <v>1817</v>
      </c>
      <c r="B4" s="2660" t="s">
        <v>1818</v>
      </c>
      <c r="C4" s="2661"/>
      <c r="D4" s="2661"/>
      <c r="E4" s="2661"/>
      <c r="F4" s="2661"/>
      <c r="G4" s="2661"/>
      <c r="H4" s="2661"/>
      <c r="I4" s="2661"/>
      <c r="J4" s="2661"/>
      <c r="K4" s="2662"/>
    </row>
    <row r="5" spans="1:18" s="2218" customFormat="1" ht="12" x14ac:dyDescent="0.2">
      <c r="A5" s="2663"/>
      <c r="B5" s="2664"/>
      <c r="C5" s="2662"/>
      <c r="D5" s="2662"/>
      <c r="E5" s="2662"/>
      <c r="F5" s="2662"/>
      <c r="G5" s="2662"/>
      <c r="H5" s="2662"/>
      <c r="I5" s="2662"/>
      <c r="J5" s="2662"/>
      <c r="K5" s="2662"/>
    </row>
    <row r="6" spans="1:18" s="2218" customFormat="1" ht="12" x14ac:dyDescent="0.2">
      <c r="A6" s="2663"/>
      <c r="B6" s="2664"/>
      <c r="C6" s="2662"/>
      <c r="D6" s="2662"/>
      <c r="E6" s="2662"/>
      <c r="F6" s="2662"/>
      <c r="G6" s="2662"/>
      <c r="H6" s="2662"/>
      <c r="I6" s="2662"/>
      <c r="J6" s="2662"/>
      <c r="K6" s="2662"/>
    </row>
    <row r="7" spans="1:18" s="2218" customFormat="1" ht="12" x14ac:dyDescent="0.2">
      <c r="A7" s="2663"/>
      <c r="B7" s="2665"/>
      <c r="C7" s="2662"/>
      <c r="D7" s="2662"/>
      <c r="E7" s="2662"/>
      <c r="F7" s="2662"/>
      <c r="G7" s="2662"/>
      <c r="H7" s="2662"/>
      <c r="I7" s="2662"/>
      <c r="J7" s="2662"/>
      <c r="K7" s="2662"/>
    </row>
    <row r="8" spans="1:18" s="2218" customFormat="1" ht="12" x14ac:dyDescent="0.2">
      <c r="A8" s="2663"/>
      <c r="B8" s="2666"/>
      <c r="C8" s="2667"/>
      <c r="D8" s="2667"/>
      <c r="E8" s="2667"/>
      <c r="F8" s="2667"/>
      <c r="G8" s="2667"/>
      <c r="H8" s="2667"/>
      <c r="I8" s="2667"/>
      <c r="J8" s="2667"/>
      <c r="K8" s="2662"/>
    </row>
    <row r="9" spans="1:18" s="2218" customFormat="1" ht="12" x14ac:dyDescent="0.2">
      <c r="A9" s="2668" t="s">
        <v>1819</v>
      </c>
      <c r="B9" s="2669" t="s">
        <v>1820</v>
      </c>
      <c r="C9" s="2670"/>
      <c r="D9" s="2670"/>
      <c r="E9" s="2670"/>
      <c r="F9" s="2671"/>
      <c r="G9" s="2672"/>
      <c r="H9" s="2673"/>
      <c r="I9" s="2674"/>
      <c r="J9" s="2675"/>
      <c r="K9" s="2662"/>
    </row>
    <row r="10" spans="1:18" s="2218" customFormat="1" ht="15" x14ac:dyDescent="0.25">
      <c r="A10" s="2676"/>
      <c r="B10" s="2677" t="s">
        <v>1821</v>
      </c>
      <c r="C10" s="2670"/>
      <c r="D10" s="2670"/>
      <c r="E10" s="2670"/>
      <c r="F10" s="2678" t="s">
        <v>1822</v>
      </c>
      <c r="G10" s="2679"/>
      <c r="H10" s="2670"/>
      <c r="I10" s="2670"/>
      <c r="J10" s="2675"/>
      <c r="K10"/>
    </row>
    <row r="11" spans="1:18" s="2218" customFormat="1" ht="15" x14ac:dyDescent="0.25">
      <c r="A11" s="2676"/>
      <c r="B11" s="2680"/>
      <c r="C11" s="2670"/>
      <c r="D11" s="2670"/>
      <c r="E11" s="2670"/>
      <c r="F11" s="2670"/>
      <c r="G11" s="2670"/>
      <c r="H11" s="2670"/>
      <c r="I11" s="2670"/>
      <c r="J11" s="2675"/>
      <c r="K11"/>
    </row>
    <row r="12" spans="1:18" ht="24" x14ac:dyDescent="0.25">
      <c r="A12" s="2681"/>
      <c r="B12" s="2682" t="s">
        <v>933</v>
      </c>
      <c r="C12" s="2683" t="s">
        <v>1823</v>
      </c>
      <c r="D12" s="2683" t="s">
        <v>1824</v>
      </c>
      <c r="E12" s="2683" t="s">
        <v>1825</v>
      </c>
      <c r="F12" s="2683" t="s">
        <v>1826</v>
      </c>
      <c r="G12" s="2683" t="s">
        <v>1827</v>
      </c>
      <c r="H12" s="2683" t="s">
        <v>1828</v>
      </c>
      <c r="I12" s="2683" t="s">
        <v>25</v>
      </c>
      <c r="J12" s="2684"/>
      <c r="K12"/>
    </row>
    <row r="13" spans="1:18" s="2218" customFormat="1" ht="15" x14ac:dyDescent="0.25">
      <c r="A13" s="2685">
        <v>111</v>
      </c>
      <c r="B13" s="2686"/>
      <c r="C13" s="2687"/>
      <c r="D13" s="2688"/>
      <c r="E13" s="2689"/>
      <c r="F13" s="2687"/>
      <c r="G13" s="2689"/>
      <c r="H13" s="2690"/>
      <c r="I13" s="2691"/>
      <c r="J13" s="2684"/>
      <c r="K13"/>
    </row>
    <row r="14" spans="1:18" ht="15" x14ac:dyDescent="0.25">
      <c r="A14" s="2685">
        <v>112</v>
      </c>
      <c r="B14" s="2692"/>
      <c r="C14" s="2693"/>
      <c r="D14" s="2694"/>
      <c r="E14" s="2695"/>
      <c r="F14" s="2693"/>
      <c r="G14" s="2695"/>
      <c r="H14" s="2696"/>
      <c r="I14" s="2697"/>
      <c r="J14" s="2684"/>
      <c r="K14"/>
    </row>
    <row r="15" spans="1:18" ht="15" x14ac:dyDescent="0.25">
      <c r="A15" s="2685">
        <v>113</v>
      </c>
      <c r="B15" s="2692"/>
      <c r="C15" s="2693"/>
      <c r="D15" s="2694"/>
      <c r="E15" s="2695"/>
      <c r="F15" s="2693"/>
      <c r="G15" s="2695"/>
      <c r="H15" s="2696"/>
      <c r="I15" s="2697"/>
      <c r="J15" s="2684"/>
      <c r="K15"/>
    </row>
    <row r="16" spans="1:18" ht="15" x14ac:dyDescent="0.25">
      <c r="A16" s="2685">
        <v>114</v>
      </c>
      <c r="B16" s="2692"/>
      <c r="C16" s="2698"/>
      <c r="D16" s="2699"/>
      <c r="E16" s="2700"/>
      <c r="F16" s="2698"/>
      <c r="G16" s="2700"/>
      <c r="H16" s="2696"/>
      <c r="I16" s="2697"/>
      <c r="J16" s="2684"/>
      <c r="K16"/>
    </row>
    <row r="17" spans="1:11" ht="15" x14ac:dyDescent="0.25">
      <c r="A17" s="2685">
        <v>115</v>
      </c>
      <c r="B17" s="2692"/>
      <c r="C17" s="2698"/>
      <c r="D17" s="2699"/>
      <c r="E17" s="2700"/>
      <c r="F17" s="2698"/>
      <c r="G17" s="2700"/>
      <c r="H17" s="2696"/>
      <c r="I17" s="2697"/>
      <c r="J17" s="2684"/>
      <c r="K17"/>
    </row>
    <row r="18" spans="1:11" ht="15" x14ac:dyDescent="0.25">
      <c r="A18" s="2685">
        <v>116</v>
      </c>
      <c r="B18" s="2692"/>
      <c r="C18" s="2698"/>
      <c r="D18" s="2699"/>
      <c r="E18" s="2700"/>
      <c r="F18" s="2698"/>
      <c r="G18" s="2700"/>
      <c r="H18" s="2696"/>
      <c r="I18" s="2697"/>
      <c r="J18" s="2684"/>
      <c r="K18"/>
    </row>
    <row r="19" spans="1:11" ht="15" x14ac:dyDescent="0.25">
      <c r="A19" s="2685">
        <v>117</v>
      </c>
      <c r="B19" s="2692"/>
      <c r="C19" s="2698"/>
      <c r="D19" s="2699"/>
      <c r="E19" s="2700"/>
      <c r="F19" s="2698"/>
      <c r="G19" s="2700"/>
      <c r="H19" s="2696"/>
      <c r="I19" s="2697"/>
      <c r="J19" s="2684"/>
      <c r="K19"/>
    </row>
    <row r="20" spans="1:11" ht="15" x14ac:dyDescent="0.25">
      <c r="A20" s="2685">
        <v>118</v>
      </c>
      <c r="B20" s="2692"/>
      <c r="C20" s="2698"/>
      <c r="D20" s="2699"/>
      <c r="E20" s="2700"/>
      <c r="F20" s="2698"/>
      <c r="G20" s="2700"/>
      <c r="H20" s="2696"/>
      <c r="I20" s="2697"/>
      <c r="J20" s="2684"/>
      <c r="K20"/>
    </row>
    <row r="21" spans="1:11" ht="15" x14ac:dyDescent="0.25">
      <c r="A21" s="2685">
        <v>119</v>
      </c>
      <c r="B21" s="2692"/>
      <c r="C21" s="2698"/>
      <c r="D21" s="2699"/>
      <c r="E21" s="2700"/>
      <c r="F21" s="2698"/>
      <c r="G21" s="2700"/>
      <c r="H21" s="2696"/>
      <c r="I21" s="2697"/>
      <c r="J21" s="2701"/>
      <c r="K21"/>
    </row>
    <row r="22" spans="1:11" ht="15" x14ac:dyDescent="0.25">
      <c r="A22" s="2685">
        <v>120</v>
      </c>
      <c r="B22" s="2692"/>
      <c r="C22" s="2698"/>
      <c r="D22" s="2699"/>
      <c r="E22" s="2700"/>
      <c r="F22" s="2698"/>
      <c r="G22" s="2700"/>
      <c r="H22" s="2696"/>
      <c r="I22" s="2697"/>
      <c r="J22" s="2701"/>
      <c r="K22"/>
    </row>
    <row r="23" spans="1:11" ht="15" x14ac:dyDescent="0.25">
      <c r="A23" s="2685">
        <v>121</v>
      </c>
      <c r="B23" s="2692"/>
      <c r="C23" s="2698"/>
      <c r="D23" s="2699"/>
      <c r="E23" s="2700"/>
      <c r="F23" s="2698"/>
      <c r="G23" s="2700"/>
      <c r="H23" s="2696"/>
      <c r="I23" s="2697"/>
      <c r="J23" s="2701"/>
      <c r="K23"/>
    </row>
    <row r="24" spans="1:11" ht="15" x14ac:dyDescent="0.25">
      <c r="A24" s="2685">
        <v>122</v>
      </c>
      <c r="B24" s="2692"/>
      <c r="C24" s="2698"/>
      <c r="D24" s="2699"/>
      <c r="E24" s="2700"/>
      <c r="F24" s="2698"/>
      <c r="G24" s="2700"/>
      <c r="H24" s="2696"/>
      <c r="I24" s="2697"/>
      <c r="J24" s="2701"/>
      <c r="K24"/>
    </row>
    <row r="25" spans="1:11" ht="15" x14ac:dyDescent="0.25">
      <c r="A25" s="2685">
        <v>123</v>
      </c>
      <c r="B25" s="2692"/>
      <c r="C25" s="2698"/>
      <c r="D25" s="2699"/>
      <c r="E25" s="2700"/>
      <c r="F25" s="2698"/>
      <c r="G25" s="2700"/>
      <c r="H25" s="2696"/>
      <c r="I25" s="2697"/>
      <c r="J25" s="2701"/>
      <c r="K25"/>
    </row>
    <row r="26" spans="1:11" ht="15" x14ac:dyDescent="0.25">
      <c r="A26" s="2685">
        <v>124</v>
      </c>
      <c r="B26" s="2692"/>
      <c r="C26" s="2698"/>
      <c r="D26" s="2699"/>
      <c r="E26" s="2700"/>
      <c r="F26" s="2698"/>
      <c r="G26" s="2700"/>
      <c r="H26" s="2696"/>
      <c r="I26" s="2697"/>
      <c r="J26" s="2701"/>
      <c r="K26"/>
    </row>
    <row r="27" spans="1:11" ht="15" x14ac:dyDescent="0.25">
      <c r="A27" s="2685">
        <v>125</v>
      </c>
      <c r="B27" s="2692"/>
      <c r="C27" s="2698"/>
      <c r="D27" s="2699"/>
      <c r="E27" s="2700"/>
      <c r="F27" s="2698"/>
      <c r="G27" s="2700"/>
      <c r="H27" s="2696"/>
      <c r="I27" s="2697"/>
      <c r="J27" s="2701"/>
      <c r="K27"/>
    </row>
    <row r="28" spans="1:11" ht="15" x14ac:dyDescent="0.25">
      <c r="A28" s="2685"/>
      <c r="B28" s="2702" t="s">
        <v>1829</v>
      </c>
      <c r="C28" s="2703">
        <f>SUM(C13:C27)</f>
        <v>0</v>
      </c>
      <c r="D28" s="2704">
        <f>SUM(D13:D27)</f>
        <v>0</v>
      </c>
      <c r="E28" s="2703"/>
      <c r="F28" s="2703">
        <f>SUM(F13:F27)</f>
        <v>0</v>
      </c>
      <c r="G28" s="2703">
        <f>SUM(G13:G27)</f>
        <v>0</v>
      </c>
      <c r="H28" s="2705">
        <f>SUM(H13:H27)</f>
        <v>0</v>
      </c>
      <c r="I28" s="2705">
        <f>SUM(I13:I27)</f>
        <v>0</v>
      </c>
      <c r="J28" s="2706"/>
      <c r="K28"/>
    </row>
    <row r="29" spans="1:11" s="2218" customFormat="1" ht="15" x14ac:dyDescent="0.25">
      <c r="A29" s="2707"/>
      <c r="B29" s="2708"/>
      <c r="C29" s="2670"/>
      <c r="D29" s="2670"/>
      <c r="E29" s="2670"/>
      <c r="F29" s="2709"/>
      <c r="G29" s="2710"/>
      <c r="H29" s="2711"/>
      <c r="I29" s="2674"/>
      <c r="J29" s="2675"/>
      <c r="K29"/>
    </row>
    <row r="30" spans="1:11" s="2218" customFormat="1" ht="15" x14ac:dyDescent="0.25">
      <c r="A30" s="2712"/>
      <c r="B30" s="2677" t="s">
        <v>1821</v>
      </c>
      <c r="C30" s="2670"/>
      <c r="D30" s="2670"/>
      <c r="E30" s="2670"/>
      <c r="F30" s="2678" t="s">
        <v>1822</v>
      </c>
      <c r="G30" s="2679"/>
      <c r="H30" s="2670"/>
      <c r="I30" s="2670"/>
      <c r="J30" s="2675"/>
      <c r="K30"/>
    </row>
    <row r="31" spans="1:11" s="2218" customFormat="1" ht="15" x14ac:dyDescent="0.25">
      <c r="A31" s="2712"/>
      <c r="B31" s="2680"/>
      <c r="C31" s="2670"/>
      <c r="D31" s="2670"/>
      <c r="E31" s="2670"/>
      <c r="F31" s="2670"/>
      <c r="G31" s="2670"/>
      <c r="H31" s="2670"/>
      <c r="I31" s="2670"/>
      <c r="J31" s="2675"/>
      <c r="K31"/>
    </row>
    <row r="32" spans="1:11" ht="24" x14ac:dyDescent="0.25">
      <c r="A32" s="2712"/>
      <c r="B32" s="2682" t="s">
        <v>933</v>
      </c>
      <c r="C32" s="2683" t="s">
        <v>1823</v>
      </c>
      <c r="D32" s="2683" t="s">
        <v>1824</v>
      </c>
      <c r="E32" s="2683" t="s">
        <v>1825</v>
      </c>
      <c r="F32" s="2683" t="s">
        <v>1826</v>
      </c>
      <c r="G32" s="2683" t="s">
        <v>1827</v>
      </c>
      <c r="H32" s="2683" t="s">
        <v>1828</v>
      </c>
      <c r="I32" s="2683" t="s">
        <v>25</v>
      </c>
      <c r="J32" s="2684"/>
      <c r="K32"/>
    </row>
    <row r="33" spans="1:11" s="2218" customFormat="1" ht="15" x14ac:dyDescent="0.25">
      <c r="A33" s="2685">
        <v>221</v>
      </c>
      <c r="B33" s="2686"/>
      <c r="C33" s="2687"/>
      <c r="D33" s="2688"/>
      <c r="E33" s="2689"/>
      <c r="F33" s="2687"/>
      <c r="G33" s="2689"/>
      <c r="H33" s="2690"/>
      <c r="I33" s="2691"/>
      <c r="J33" s="2684"/>
      <c r="K33"/>
    </row>
    <row r="34" spans="1:11" ht="15" x14ac:dyDescent="0.25">
      <c r="A34" s="2685">
        <v>222</v>
      </c>
      <c r="B34" s="2692"/>
      <c r="C34" s="2693"/>
      <c r="D34" s="2694"/>
      <c r="E34" s="2695"/>
      <c r="F34" s="2693"/>
      <c r="G34" s="2695"/>
      <c r="H34" s="2696"/>
      <c r="I34" s="2697"/>
      <c r="J34" s="2684"/>
      <c r="K34"/>
    </row>
    <row r="35" spans="1:11" ht="15" x14ac:dyDescent="0.25">
      <c r="A35" s="2685">
        <v>223</v>
      </c>
      <c r="B35" s="2692"/>
      <c r="C35" s="2693"/>
      <c r="D35" s="2694"/>
      <c r="E35" s="2695"/>
      <c r="F35" s="2693"/>
      <c r="G35" s="2695"/>
      <c r="H35" s="2696"/>
      <c r="I35" s="2697"/>
      <c r="J35" s="2684"/>
      <c r="K35"/>
    </row>
    <row r="36" spans="1:11" ht="15" x14ac:dyDescent="0.25">
      <c r="A36" s="2685">
        <v>224</v>
      </c>
      <c r="B36" s="2692"/>
      <c r="C36" s="2698"/>
      <c r="D36" s="2699"/>
      <c r="E36" s="2700"/>
      <c r="F36" s="2698"/>
      <c r="G36" s="2700"/>
      <c r="H36" s="2696"/>
      <c r="I36" s="2697"/>
      <c r="J36" s="2684"/>
      <c r="K36"/>
    </row>
    <row r="37" spans="1:11" ht="15" x14ac:dyDescent="0.25">
      <c r="A37" s="2685">
        <v>225</v>
      </c>
      <c r="B37" s="2692"/>
      <c r="C37" s="2698"/>
      <c r="D37" s="2699"/>
      <c r="E37" s="2700"/>
      <c r="F37" s="2698"/>
      <c r="G37" s="2700"/>
      <c r="H37" s="2696"/>
      <c r="I37" s="2697"/>
      <c r="J37" s="2684"/>
      <c r="K37"/>
    </row>
    <row r="38" spans="1:11" ht="15" x14ac:dyDescent="0.25">
      <c r="A38" s="2685">
        <v>226</v>
      </c>
      <c r="B38" s="2692"/>
      <c r="C38" s="2698"/>
      <c r="D38" s="2699"/>
      <c r="E38" s="2700"/>
      <c r="F38" s="2698"/>
      <c r="G38" s="2700"/>
      <c r="H38" s="2696"/>
      <c r="I38" s="2697"/>
      <c r="J38" s="2684"/>
      <c r="K38"/>
    </row>
    <row r="39" spans="1:11" ht="15" x14ac:dyDescent="0.25">
      <c r="A39" s="2685">
        <v>227</v>
      </c>
      <c r="B39" s="2692"/>
      <c r="C39" s="2698"/>
      <c r="D39" s="2699"/>
      <c r="E39" s="2700"/>
      <c r="F39" s="2698"/>
      <c r="G39" s="2700"/>
      <c r="H39" s="2696"/>
      <c r="I39" s="2697"/>
      <c r="J39" s="2684"/>
      <c r="K39"/>
    </row>
    <row r="40" spans="1:11" ht="15" x14ac:dyDescent="0.25">
      <c r="A40" s="2685">
        <v>228</v>
      </c>
      <c r="B40" s="2692"/>
      <c r="C40" s="2698"/>
      <c r="D40" s="2699"/>
      <c r="E40" s="2700"/>
      <c r="F40" s="2698"/>
      <c r="G40" s="2700"/>
      <c r="H40" s="2696"/>
      <c r="I40" s="2697"/>
      <c r="J40" s="2684"/>
      <c r="K40"/>
    </row>
    <row r="41" spans="1:11" ht="15" x14ac:dyDescent="0.25">
      <c r="A41" s="2685">
        <v>229</v>
      </c>
      <c r="B41" s="2692"/>
      <c r="C41" s="2698"/>
      <c r="D41" s="2699"/>
      <c r="E41" s="2700"/>
      <c r="F41" s="2698"/>
      <c r="G41" s="2700"/>
      <c r="H41" s="2696"/>
      <c r="I41" s="2697"/>
      <c r="J41" s="2701"/>
      <c r="K41"/>
    </row>
    <row r="42" spans="1:11" ht="15" x14ac:dyDescent="0.25">
      <c r="A42" s="2685">
        <v>230</v>
      </c>
      <c r="B42" s="2692"/>
      <c r="C42" s="2698"/>
      <c r="D42" s="2699"/>
      <c r="E42" s="2700"/>
      <c r="F42" s="2698"/>
      <c r="G42" s="2700"/>
      <c r="H42" s="2696"/>
      <c r="I42" s="2697"/>
      <c r="J42" s="2701"/>
      <c r="K42"/>
    </row>
    <row r="43" spans="1:11" ht="15" x14ac:dyDescent="0.25">
      <c r="A43" s="2685">
        <v>231</v>
      </c>
      <c r="B43" s="2692"/>
      <c r="C43" s="2698"/>
      <c r="D43" s="2699"/>
      <c r="E43" s="2700"/>
      <c r="F43" s="2698"/>
      <c r="G43" s="2700"/>
      <c r="H43" s="2696"/>
      <c r="I43" s="2697"/>
      <c r="J43" s="2701"/>
      <c r="K43"/>
    </row>
    <row r="44" spans="1:11" ht="15" x14ac:dyDescent="0.25">
      <c r="A44" s="2685">
        <v>232</v>
      </c>
      <c r="B44" s="2692"/>
      <c r="C44" s="2698"/>
      <c r="D44" s="2699"/>
      <c r="E44" s="2700"/>
      <c r="F44" s="2698"/>
      <c r="G44" s="2700"/>
      <c r="H44" s="2696"/>
      <c r="I44" s="2697"/>
      <c r="J44" s="2701"/>
      <c r="K44"/>
    </row>
    <row r="45" spans="1:11" ht="15" x14ac:dyDescent="0.25">
      <c r="A45" s="2685">
        <v>233</v>
      </c>
      <c r="B45" s="2692"/>
      <c r="C45" s="2698"/>
      <c r="D45" s="2699"/>
      <c r="E45" s="2700"/>
      <c r="F45" s="2698"/>
      <c r="G45" s="2700"/>
      <c r="H45" s="2696"/>
      <c r="I45" s="2697"/>
      <c r="J45" s="2701"/>
      <c r="K45"/>
    </row>
    <row r="46" spans="1:11" ht="15" x14ac:dyDescent="0.25">
      <c r="A46" s="2685">
        <v>234</v>
      </c>
      <c r="B46" s="2692"/>
      <c r="C46" s="2698"/>
      <c r="D46" s="2699"/>
      <c r="E46" s="2700"/>
      <c r="F46" s="2698"/>
      <c r="G46" s="2700"/>
      <c r="H46" s="2696"/>
      <c r="I46" s="2697"/>
      <c r="J46" s="2701"/>
      <c r="K46"/>
    </row>
    <row r="47" spans="1:11" ht="15" x14ac:dyDescent="0.25">
      <c r="A47" s="2685">
        <v>235</v>
      </c>
      <c r="B47" s="2692"/>
      <c r="C47" s="2698"/>
      <c r="D47" s="2699"/>
      <c r="E47" s="2700"/>
      <c r="F47" s="2698"/>
      <c r="G47" s="2700"/>
      <c r="H47" s="2696"/>
      <c r="I47" s="2697"/>
      <c r="J47" s="2701"/>
      <c r="K47"/>
    </row>
    <row r="48" spans="1:11" ht="15" x14ac:dyDescent="0.25">
      <c r="A48" s="2685"/>
      <c r="B48" s="2702" t="s">
        <v>1829</v>
      </c>
      <c r="C48" s="2703">
        <f>SUM(C33:C47)</f>
        <v>0</v>
      </c>
      <c r="D48" s="2704">
        <f>SUM(D33:D47)</f>
        <v>0</v>
      </c>
      <c r="E48" s="2703"/>
      <c r="F48" s="2703">
        <f>SUM(F33:F47)</f>
        <v>0</v>
      </c>
      <c r="G48" s="2703">
        <f>SUM(G33:G47)</f>
        <v>0</v>
      </c>
      <c r="H48" s="2705">
        <f>SUM(H33:H47)</f>
        <v>0</v>
      </c>
      <c r="I48" s="2705">
        <f>SUM(I33:I47)</f>
        <v>0</v>
      </c>
      <c r="J48" s="2706"/>
      <c r="K48"/>
    </row>
    <row r="49" spans="1:11" s="2218" customFormat="1" ht="15" x14ac:dyDescent="0.25">
      <c r="A49" s="2707"/>
      <c r="B49" s="2708"/>
      <c r="C49" s="2670"/>
      <c r="D49" s="2670"/>
      <c r="E49" s="2670"/>
      <c r="F49" s="2709"/>
      <c r="G49" s="2710"/>
      <c r="H49" s="2711"/>
      <c r="I49" s="2674"/>
      <c r="J49" s="2675"/>
      <c r="K49"/>
    </row>
    <row r="50" spans="1:11" s="2218" customFormat="1" ht="15" x14ac:dyDescent="0.25">
      <c r="A50" s="2712"/>
      <c r="B50" s="2677" t="s">
        <v>1821</v>
      </c>
      <c r="C50" s="2670"/>
      <c r="D50" s="2670"/>
      <c r="E50" s="2670"/>
      <c r="F50" s="2678" t="s">
        <v>1822</v>
      </c>
      <c r="G50" s="2679"/>
      <c r="H50" s="2670"/>
      <c r="I50" s="2670"/>
      <c r="J50" s="2675"/>
      <c r="K50"/>
    </row>
    <row r="51" spans="1:11" s="2218" customFormat="1" ht="15" x14ac:dyDescent="0.25">
      <c r="A51" s="2712"/>
      <c r="B51" s="2680"/>
      <c r="C51" s="2670"/>
      <c r="D51" s="2670"/>
      <c r="E51" s="2670"/>
      <c r="F51" s="2670"/>
      <c r="G51" s="2670"/>
      <c r="H51" s="2670"/>
      <c r="I51" s="2670"/>
      <c r="J51" s="2675"/>
      <c r="K51"/>
    </row>
    <row r="52" spans="1:11" ht="24" x14ac:dyDescent="0.25">
      <c r="A52" s="2712"/>
      <c r="B52" s="2682" t="s">
        <v>933</v>
      </c>
      <c r="C52" s="2683" t="s">
        <v>1823</v>
      </c>
      <c r="D52" s="2683" t="s">
        <v>1824</v>
      </c>
      <c r="E52" s="2683" t="s">
        <v>1825</v>
      </c>
      <c r="F52" s="2683" t="s">
        <v>1826</v>
      </c>
      <c r="G52" s="2683" t="s">
        <v>1827</v>
      </c>
      <c r="H52" s="2683" t="s">
        <v>1828</v>
      </c>
      <c r="I52" s="2683" t="s">
        <v>25</v>
      </c>
      <c r="J52" s="2684"/>
      <c r="K52"/>
    </row>
    <row r="53" spans="1:11" s="2218" customFormat="1" ht="15" x14ac:dyDescent="0.25">
      <c r="A53" s="2685">
        <v>331</v>
      </c>
      <c r="B53" s="2686"/>
      <c r="C53" s="2687"/>
      <c r="D53" s="2688"/>
      <c r="E53" s="2689"/>
      <c r="F53" s="2687"/>
      <c r="G53" s="2689"/>
      <c r="H53" s="2690"/>
      <c r="I53" s="2691"/>
      <c r="J53" s="2684"/>
      <c r="K53"/>
    </row>
    <row r="54" spans="1:11" ht="15" x14ac:dyDescent="0.25">
      <c r="A54" s="2685">
        <v>332</v>
      </c>
      <c r="B54" s="2692"/>
      <c r="C54" s="2693"/>
      <c r="D54" s="2694"/>
      <c r="E54" s="2695"/>
      <c r="F54" s="2693"/>
      <c r="G54" s="2695"/>
      <c r="H54" s="2696"/>
      <c r="I54" s="2697"/>
      <c r="J54" s="2684"/>
      <c r="K54"/>
    </row>
    <row r="55" spans="1:11" ht="15" x14ac:dyDescent="0.25">
      <c r="A55" s="2685">
        <v>333</v>
      </c>
      <c r="B55" s="2692"/>
      <c r="C55" s="2693"/>
      <c r="D55" s="2694"/>
      <c r="E55" s="2695"/>
      <c r="F55" s="2693"/>
      <c r="G55" s="2695"/>
      <c r="H55" s="2696"/>
      <c r="I55" s="2697"/>
      <c r="J55" s="2684"/>
      <c r="K55"/>
    </row>
    <row r="56" spans="1:11" ht="15" x14ac:dyDescent="0.25">
      <c r="A56" s="2685">
        <v>334</v>
      </c>
      <c r="B56" s="2692"/>
      <c r="C56" s="2698"/>
      <c r="D56" s="2699"/>
      <c r="E56" s="2700"/>
      <c r="F56" s="2698"/>
      <c r="G56" s="2700"/>
      <c r="H56" s="2696"/>
      <c r="I56" s="2697"/>
      <c r="J56" s="2684"/>
      <c r="K56"/>
    </row>
    <row r="57" spans="1:11" ht="15" x14ac:dyDescent="0.25">
      <c r="A57" s="2685">
        <v>335</v>
      </c>
      <c r="B57" s="2692"/>
      <c r="C57" s="2698"/>
      <c r="D57" s="2699"/>
      <c r="E57" s="2700"/>
      <c r="F57" s="2698"/>
      <c r="G57" s="2700"/>
      <c r="H57" s="2696"/>
      <c r="I57" s="2697"/>
      <c r="J57" s="2684"/>
      <c r="K57"/>
    </row>
    <row r="58" spans="1:11" ht="15" x14ac:dyDescent="0.25">
      <c r="A58" s="2685">
        <v>336</v>
      </c>
      <c r="B58" s="2692"/>
      <c r="C58" s="2698"/>
      <c r="D58" s="2699"/>
      <c r="E58" s="2700"/>
      <c r="F58" s="2698"/>
      <c r="G58" s="2700"/>
      <c r="H58" s="2696"/>
      <c r="I58" s="2697"/>
      <c r="J58" s="2684"/>
      <c r="K58"/>
    </row>
    <row r="59" spans="1:11" ht="15" x14ac:dyDescent="0.25">
      <c r="A59" s="2685">
        <v>337</v>
      </c>
      <c r="B59" s="2692"/>
      <c r="C59" s="2698"/>
      <c r="D59" s="2699"/>
      <c r="E59" s="2700"/>
      <c r="F59" s="2698"/>
      <c r="G59" s="2700"/>
      <c r="H59" s="2696"/>
      <c r="I59" s="2697"/>
      <c r="J59" s="2684"/>
      <c r="K59"/>
    </row>
    <row r="60" spans="1:11" ht="15" x14ac:dyDescent="0.25">
      <c r="A60" s="2685">
        <v>338</v>
      </c>
      <c r="B60" s="2692"/>
      <c r="C60" s="2698"/>
      <c r="D60" s="2699"/>
      <c r="E60" s="2700"/>
      <c r="F60" s="2698"/>
      <c r="G60" s="2700"/>
      <c r="H60" s="2696"/>
      <c r="I60" s="2697"/>
      <c r="J60" s="2684"/>
      <c r="K60"/>
    </row>
    <row r="61" spans="1:11" ht="15" x14ac:dyDescent="0.25">
      <c r="A61" s="2685">
        <v>339</v>
      </c>
      <c r="B61" s="2692"/>
      <c r="C61" s="2698"/>
      <c r="D61" s="2699"/>
      <c r="E61" s="2700"/>
      <c r="F61" s="2698"/>
      <c r="G61" s="2700"/>
      <c r="H61" s="2696"/>
      <c r="I61" s="2697"/>
      <c r="J61" s="2701"/>
      <c r="K61"/>
    </row>
    <row r="62" spans="1:11" ht="15" x14ac:dyDescent="0.25">
      <c r="A62" s="2685">
        <v>340</v>
      </c>
      <c r="B62" s="2692"/>
      <c r="C62" s="2698"/>
      <c r="D62" s="2699"/>
      <c r="E62" s="2700"/>
      <c r="F62" s="2698"/>
      <c r="G62" s="2700"/>
      <c r="H62" s="2696"/>
      <c r="I62" s="2697"/>
      <c r="J62" s="2701"/>
      <c r="K62"/>
    </row>
    <row r="63" spans="1:11" ht="15" x14ac:dyDescent="0.25">
      <c r="A63" s="2685">
        <v>341</v>
      </c>
      <c r="B63" s="2692"/>
      <c r="C63" s="2698"/>
      <c r="D63" s="2699"/>
      <c r="E63" s="2700"/>
      <c r="F63" s="2698"/>
      <c r="G63" s="2700"/>
      <c r="H63" s="2696"/>
      <c r="I63" s="2697"/>
      <c r="J63" s="2701"/>
      <c r="K63"/>
    </row>
    <row r="64" spans="1:11" ht="15" x14ac:dyDescent="0.25">
      <c r="A64" s="2685">
        <v>342</v>
      </c>
      <c r="B64" s="2692"/>
      <c r="C64" s="2698"/>
      <c r="D64" s="2699"/>
      <c r="E64" s="2700"/>
      <c r="F64" s="2698"/>
      <c r="G64" s="2700"/>
      <c r="H64" s="2696"/>
      <c r="I64" s="2697"/>
      <c r="J64" s="2701"/>
      <c r="K64"/>
    </row>
    <row r="65" spans="1:11" ht="15" x14ac:dyDescent="0.25">
      <c r="A65" s="2685">
        <v>343</v>
      </c>
      <c r="B65" s="2692"/>
      <c r="C65" s="2698"/>
      <c r="D65" s="2699"/>
      <c r="E65" s="2700"/>
      <c r="F65" s="2698"/>
      <c r="G65" s="2700"/>
      <c r="H65" s="2696"/>
      <c r="I65" s="2697"/>
      <c r="J65" s="2701"/>
      <c r="K65"/>
    </row>
    <row r="66" spans="1:11" ht="15" x14ac:dyDescent="0.25">
      <c r="A66" s="2685">
        <v>344</v>
      </c>
      <c r="B66" s="2692"/>
      <c r="C66" s="2698"/>
      <c r="D66" s="2699"/>
      <c r="E66" s="2700"/>
      <c r="F66" s="2698"/>
      <c r="G66" s="2700"/>
      <c r="H66" s="2696"/>
      <c r="I66" s="2697"/>
      <c r="J66" s="2701"/>
      <c r="K66"/>
    </row>
    <row r="67" spans="1:11" ht="15" x14ac:dyDescent="0.25">
      <c r="A67" s="2685">
        <v>345</v>
      </c>
      <c r="B67" s="2692"/>
      <c r="C67" s="2698"/>
      <c r="D67" s="2699"/>
      <c r="E67" s="2700"/>
      <c r="F67" s="2698"/>
      <c r="G67" s="2700"/>
      <c r="H67" s="2696"/>
      <c r="I67" s="2697"/>
      <c r="J67" s="2701"/>
      <c r="K67"/>
    </row>
    <row r="68" spans="1:11" ht="15" x14ac:dyDescent="0.25">
      <c r="A68" s="2713"/>
      <c r="B68" s="2702" t="s">
        <v>1829</v>
      </c>
      <c r="C68" s="2703">
        <f>SUM(C53:C67)</f>
        <v>0</v>
      </c>
      <c r="D68" s="2704">
        <f>SUM(D53:D67)</f>
        <v>0</v>
      </c>
      <c r="E68" s="2703"/>
      <c r="F68" s="2703">
        <f>SUM(F53:F67)</f>
        <v>0</v>
      </c>
      <c r="G68" s="2703">
        <f>SUM(G53:G67)</f>
        <v>0</v>
      </c>
      <c r="H68" s="2705">
        <f>SUM(H53:H67)</f>
        <v>0</v>
      </c>
      <c r="I68" s="2705">
        <f>SUM(I53:I67)</f>
        <v>0</v>
      </c>
      <c r="J68" s="2706"/>
      <c r="K68"/>
    </row>
    <row r="69" spans="1:11" s="2218" customFormat="1" ht="15" x14ac:dyDescent="0.25">
      <c r="A69" s="2714"/>
      <c r="B69" s="2715"/>
      <c r="C69" s="2715"/>
      <c r="D69" s="2715"/>
      <c r="E69" s="2716"/>
      <c r="F69" s="2717"/>
      <c r="G69" s="2718"/>
      <c r="H69" s="2719"/>
      <c r="I69" s="2719"/>
      <c r="J69" s="2720"/>
      <c r="K69"/>
    </row>
    <row r="70" spans="1:11" s="2218" customFormat="1" ht="15" x14ac:dyDescent="0.25">
      <c r="A70" s="156"/>
      <c r="B70" s="156"/>
      <c r="C70" s="156"/>
      <c r="D70" s="156"/>
      <c r="E70" s="156"/>
      <c r="F70" s="156"/>
      <c r="G70" s="156"/>
      <c r="H70" s="156"/>
      <c r="I70" s="156"/>
      <c r="J70" s="156"/>
      <c r="K70"/>
    </row>
    <row r="71" spans="1:11" s="2218" customFormat="1" ht="11.25" x14ac:dyDescent="0.2">
      <c r="A71" s="497"/>
      <c r="B71" s="497"/>
      <c r="C71" s="497"/>
      <c r="D71" s="497"/>
      <c r="E71" s="497"/>
      <c r="F71" s="497"/>
      <c r="G71" s="497"/>
      <c r="H71" s="497"/>
      <c r="I71" s="497"/>
      <c r="J71" s="497"/>
    </row>
    <row r="72" spans="1:11" ht="11.25" x14ac:dyDescent="0.25">
      <c r="A72" s="500"/>
      <c r="B72" s="500"/>
      <c r="C72" s="500"/>
      <c r="D72" s="500"/>
      <c r="E72" s="500"/>
      <c r="F72" s="500"/>
      <c r="G72" s="500"/>
      <c r="H72" s="500"/>
      <c r="I72" s="500"/>
      <c r="J72" s="500"/>
    </row>
    <row r="73" spans="1:11" ht="11.25" x14ac:dyDescent="0.25">
      <c r="A73" s="500"/>
      <c r="B73" s="500"/>
      <c r="C73" s="500"/>
      <c r="D73" s="500"/>
      <c r="E73" s="500"/>
      <c r="F73" s="500"/>
      <c r="G73" s="500"/>
      <c r="H73" s="500"/>
      <c r="I73" s="500"/>
      <c r="J73" s="500"/>
    </row>
    <row r="74" spans="1:11" ht="11.25" x14ac:dyDescent="0.25">
      <c r="A74" s="500"/>
      <c r="B74" s="500"/>
      <c r="C74" s="500"/>
      <c r="D74" s="500"/>
      <c r="E74" s="500"/>
      <c r="F74" s="500"/>
      <c r="G74" s="500"/>
      <c r="H74" s="500"/>
      <c r="I74" s="500"/>
      <c r="J74" s="500"/>
    </row>
    <row r="75" spans="1:11" ht="15.75" x14ac:dyDescent="0.25">
      <c r="A75" s="1919" t="s">
        <v>1830</v>
      </c>
      <c r="B75" s="500"/>
      <c r="C75" s="500"/>
      <c r="D75" s="500"/>
      <c r="E75" s="500"/>
      <c r="F75" s="500"/>
      <c r="G75" s="500"/>
      <c r="H75" s="500"/>
      <c r="I75" s="500"/>
      <c r="J75" s="500"/>
    </row>
    <row r="76" spans="1:11" ht="15.75" x14ac:dyDescent="0.25">
      <c r="A76" s="2721"/>
      <c r="B76" s="500"/>
      <c r="C76" s="500"/>
      <c r="D76" s="500"/>
      <c r="E76" s="500"/>
      <c r="F76" s="500"/>
      <c r="G76" s="500"/>
      <c r="H76" s="500"/>
      <c r="I76" s="500"/>
      <c r="J76" s="500"/>
    </row>
    <row r="77" spans="1:11" ht="11.25" x14ac:dyDescent="0.25">
      <c r="A77" s="3487">
        <f ca="1">NOW()</f>
        <v>45165.397987962962</v>
      </c>
      <c r="B77" s="3487"/>
      <c r="C77" s="500"/>
      <c r="D77" s="500"/>
      <c r="E77" s="500"/>
      <c r="F77" s="500"/>
      <c r="G77" s="500"/>
      <c r="H77" s="500"/>
      <c r="I77" s="500"/>
      <c r="J77" s="500"/>
    </row>
    <row r="78" spans="1:11" ht="11.25" x14ac:dyDescent="0.25">
      <c r="A78" s="500"/>
      <c r="B78" s="500"/>
      <c r="C78" s="500"/>
      <c r="D78" s="500"/>
      <c r="E78" s="500"/>
      <c r="F78" s="500"/>
      <c r="G78" s="500"/>
      <c r="H78" s="500"/>
      <c r="I78" s="500"/>
      <c r="J78" s="500"/>
    </row>
    <row r="79" spans="1:11" ht="11.25" x14ac:dyDescent="0.25">
      <c r="A79" s="2722" t="s">
        <v>1831</v>
      </c>
      <c r="B79" s="500"/>
      <c r="C79" s="500"/>
      <c r="D79" s="500"/>
      <c r="E79" s="500"/>
      <c r="F79" s="2722" t="s">
        <v>1832</v>
      </c>
      <c r="G79" s="500"/>
      <c r="H79" s="500"/>
      <c r="I79" s="500"/>
      <c r="J79" s="500"/>
    </row>
    <row r="80" spans="1:11" ht="15.75" x14ac:dyDescent="0.25">
      <c r="A80" s="2723"/>
      <c r="B80" s="2724"/>
      <c r="C80" s="2725"/>
      <c r="D80" s="2725"/>
      <c r="E80" s="500"/>
      <c r="F80" s="2723"/>
      <c r="G80" s="2724"/>
      <c r="H80" s="2724"/>
      <c r="I80" s="2724"/>
      <c r="J80" s="2725"/>
    </row>
    <row r="81" spans="1:10" ht="15" x14ac:dyDescent="0.2">
      <c r="A81" s="2726" t="s">
        <v>1833</v>
      </c>
      <c r="B81" s="2727"/>
      <c r="C81" s="2728"/>
      <c r="D81" s="2729"/>
      <c r="E81" s="500"/>
      <c r="F81" s="2726" t="s">
        <v>1833</v>
      </c>
      <c r="G81" s="500"/>
      <c r="H81" s="2727"/>
      <c r="I81" s="2730"/>
      <c r="J81" s="2731"/>
    </row>
    <row r="82" spans="1:10" ht="15" x14ac:dyDescent="0.2">
      <c r="A82" s="2726" t="s">
        <v>1834</v>
      </c>
      <c r="B82" s="2727"/>
      <c r="C82" s="2728"/>
      <c r="D82" s="2729"/>
      <c r="E82" s="500"/>
      <c r="F82" s="2726" t="s">
        <v>1834</v>
      </c>
      <c r="G82" s="500"/>
      <c r="H82" s="2727"/>
      <c r="I82" s="2730"/>
      <c r="J82" s="2731"/>
    </row>
    <row r="83" spans="1:10" ht="15" x14ac:dyDescent="0.2">
      <c r="A83" s="2726" t="s">
        <v>1835</v>
      </c>
      <c r="B83" s="500"/>
      <c r="C83" s="2728"/>
      <c r="D83" s="2729"/>
      <c r="E83" s="500"/>
      <c r="F83" s="2726" t="s">
        <v>1835</v>
      </c>
      <c r="G83" s="500"/>
      <c r="H83" s="2727"/>
      <c r="I83" s="2730"/>
      <c r="J83" s="2731"/>
    </row>
    <row r="84" spans="1:10" ht="15" x14ac:dyDescent="0.2">
      <c r="A84" s="2732" t="s">
        <v>1836</v>
      </c>
      <c r="B84" s="500"/>
      <c r="C84" s="2728">
        <f>SUM(C81:C83)</f>
        <v>0</v>
      </c>
      <c r="D84" s="2729"/>
      <c r="E84" s="500"/>
      <c r="F84" s="2732" t="s">
        <v>1836</v>
      </c>
      <c r="G84" s="500"/>
      <c r="H84" s="2727"/>
      <c r="I84" s="2728">
        <f>SUM(I81:I83)</f>
        <v>0</v>
      </c>
      <c r="J84" s="2731"/>
    </row>
    <row r="85" spans="1:10" ht="15" x14ac:dyDescent="0.2">
      <c r="A85" s="2726" t="s">
        <v>1661</v>
      </c>
      <c r="B85" s="500"/>
      <c r="C85" s="2733"/>
      <c r="D85" s="2734"/>
      <c r="E85" s="500"/>
      <c r="F85" s="2726" t="s">
        <v>1661</v>
      </c>
      <c r="G85" s="500"/>
      <c r="H85" s="2727"/>
      <c r="I85" s="2733"/>
      <c r="J85" s="2731"/>
    </row>
    <row r="86" spans="1:10" ht="15" x14ac:dyDescent="0.2">
      <c r="A86" s="2732" t="s">
        <v>1837</v>
      </c>
      <c r="B86" s="500"/>
      <c r="C86" s="2728">
        <f>C84-C85</f>
        <v>0</v>
      </c>
      <c r="D86" s="2729"/>
      <c r="E86" s="500"/>
      <c r="F86" s="2732" t="s">
        <v>1837</v>
      </c>
      <c r="G86" s="500"/>
      <c r="H86" s="2727"/>
      <c r="I86" s="2728">
        <f>I84-I85</f>
        <v>0</v>
      </c>
      <c r="J86" s="2731"/>
    </row>
    <row r="87" spans="1:10" ht="15" x14ac:dyDescent="0.2">
      <c r="A87" s="2726"/>
      <c r="B87" s="500"/>
      <c r="C87" s="2728"/>
      <c r="D87" s="2729"/>
      <c r="E87" s="500"/>
      <c r="F87" s="2726"/>
      <c r="G87" s="500"/>
      <c r="H87" s="2727"/>
      <c r="I87" s="2728"/>
      <c r="J87" s="2731"/>
    </row>
    <row r="88" spans="1:10" ht="15" x14ac:dyDescent="0.2">
      <c r="A88" s="2726" t="s">
        <v>1838</v>
      </c>
      <c r="B88" s="500"/>
      <c r="C88" s="2728"/>
      <c r="D88" s="2729"/>
      <c r="E88" s="500"/>
      <c r="F88" s="2726" t="s">
        <v>1838</v>
      </c>
      <c r="G88" s="500"/>
      <c r="H88" s="2727"/>
      <c r="I88" s="2728"/>
      <c r="J88" s="2731"/>
    </row>
    <row r="89" spans="1:10" ht="15" x14ac:dyDescent="0.2">
      <c r="A89" s="2726" t="s">
        <v>1839</v>
      </c>
      <c r="B89" s="500"/>
      <c r="C89" s="2728"/>
      <c r="D89" s="2729"/>
      <c r="E89" s="500"/>
      <c r="F89" s="2726" t="s">
        <v>1839</v>
      </c>
      <c r="G89" s="500"/>
      <c r="H89" s="2727"/>
      <c r="I89" s="2728"/>
      <c r="J89" s="2731"/>
    </row>
    <row r="90" spans="1:10" ht="15" x14ac:dyDescent="0.2">
      <c r="A90" s="2735" t="s">
        <v>1840</v>
      </c>
      <c r="B90" s="733"/>
      <c r="C90" s="2736"/>
      <c r="D90" s="2737"/>
      <c r="E90" s="500"/>
      <c r="F90" s="2735" t="s">
        <v>1840</v>
      </c>
      <c r="G90" s="733"/>
      <c r="H90" s="2738"/>
      <c r="I90" s="2736"/>
      <c r="J90" s="2739"/>
    </row>
    <row r="91" spans="1:10" ht="11.25" x14ac:dyDescent="0.25">
      <c r="A91" s="500"/>
      <c r="B91" s="500"/>
      <c r="C91" s="500"/>
      <c r="D91" s="500"/>
      <c r="E91" s="500"/>
      <c r="F91" s="500"/>
      <c r="G91" s="500"/>
      <c r="H91" s="500"/>
      <c r="I91" s="500"/>
      <c r="J91" s="500"/>
    </row>
    <row r="92" spans="1:10" ht="11.25" x14ac:dyDescent="0.25">
      <c r="A92" s="2722" t="s">
        <v>1841</v>
      </c>
      <c r="B92" s="500"/>
      <c r="C92" s="500"/>
      <c r="D92" s="500"/>
      <c r="E92" s="500"/>
      <c r="F92" s="2722" t="s">
        <v>1842</v>
      </c>
      <c r="G92" s="500"/>
      <c r="H92" s="500"/>
      <c r="I92" s="500"/>
      <c r="J92" s="500"/>
    </row>
    <row r="93" spans="1:10" ht="15.75" x14ac:dyDescent="0.25">
      <c r="A93" s="2723"/>
      <c r="B93" s="2724"/>
      <c r="C93" s="2725"/>
      <c r="D93" s="2725"/>
      <c r="E93" s="500"/>
      <c r="F93" s="2723"/>
      <c r="G93" s="2724"/>
      <c r="H93" s="2724"/>
      <c r="I93" s="2724"/>
      <c r="J93" s="2725"/>
    </row>
    <row r="94" spans="1:10" ht="15" x14ac:dyDescent="0.2">
      <c r="A94" s="2726" t="s">
        <v>1833</v>
      </c>
      <c r="B94" s="2727"/>
      <c r="C94" s="2728"/>
      <c r="D94" s="2729"/>
      <c r="E94" s="500"/>
      <c r="F94" s="2726" t="s">
        <v>1833</v>
      </c>
      <c r="G94" s="500"/>
      <c r="H94" s="2727"/>
      <c r="I94" s="2730"/>
      <c r="J94" s="2731"/>
    </row>
    <row r="95" spans="1:10" ht="15" x14ac:dyDescent="0.2">
      <c r="A95" s="2726" t="s">
        <v>1834</v>
      </c>
      <c r="B95" s="2727"/>
      <c r="C95" s="2728"/>
      <c r="D95" s="2729"/>
      <c r="E95" s="500"/>
      <c r="F95" s="2726" t="s">
        <v>1834</v>
      </c>
      <c r="G95" s="500"/>
      <c r="H95" s="2727"/>
      <c r="I95" s="2730"/>
      <c r="J95" s="2731"/>
    </row>
    <row r="96" spans="1:10" ht="15" x14ac:dyDescent="0.2">
      <c r="A96" s="2726" t="s">
        <v>1835</v>
      </c>
      <c r="B96" s="500"/>
      <c r="C96" s="2728"/>
      <c r="D96" s="2729"/>
      <c r="E96" s="500"/>
      <c r="F96" s="2726" t="s">
        <v>1835</v>
      </c>
      <c r="G96" s="500"/>
      <c r="H96" s="2727"/>
      <c r="I96" s="2730"/>
      <c r="J96" s="2731"/>
    </row>
    <row r="97" spans="1:10" ht="15" x14ac:dyDescent="0.2">
      <c r="A97" s="2732" t="s">
        <v>1836</v>
      </c>
      <c r="B97" s="500"/>
      <c r="C97" s="2728">
        <f>SUM(C94:C96)</f>
        <v>0</v>
      </c>
      <c r="D97" s="2729"/>
      <c r="E97" s="500"/>
      <c r="F97" s="2732" t="s">
        <v>1836</v>
      </c>
      <c r="G97" s="500"/>
      <c r="H97" s="2727"/>
      <c r="I97" s="2728">
        <f>SUM(I94:I96)</f>
        <v>0</v>
      </c>
      <c r="J97" s="2731"/>
    </row>
    <row r="98" spans="1:10" ht="15" x14ac:dyDescent="0.2">
      <c r="A98" s="2726" t="s">
        <v>1661</v>
      </c>
      <c r="B98" s="500"/>
      <c r="C98" s="2733"/>
      <c r="D98" s="2734"/>
      <c r="E98" s="500"/>
      <c r="F98" s="2726" t="s">
        <v>1661</v>
      </c>
      <c r="G98" s="500"/>
      <c r="H98" s="2727"/>
      <c r="I98" s="2733"/>
      <c r="J98" s="2731"/>
    </row>
    <row r="99" spans="1:10" ht="15" x14ac:dyDescent="0.2">
      <c r="A99" s="2732" t="s">
        <v>1837</v>
      </c>
      <c r="B99" s="500"/>
      <c r="C99" s="2728">
        <f>C97-C98</f>
        <v>0</v>
      </c>
      <c r="D99" s="2729"/>
      <c r="E99" s="500"/>
      <c r="F99" s="2732" t="s">
        <v>1837</v>
      </c>
      <c r="G99" s="500"/>
      <c r="H99" s="2727"/>
      <c r="I99" s="2728">
        <f>I97-I98</f>
        <v>0</v>
      </c>
      <c r="J99" s="2731"/>
    </row>
    <row r="100" spans="1:10" ht="15" x14ac:dyDescent="0.2">
      <c r="A100" s="2726"/>
      <c r="B100" s="500"/>
      <c r="C100" s="2728"/>
      <c r="D100" s="2729"/>
      <c r="E100" s="500"/>
      <c r="F100" s="2726"/>
      <c r="G100" s="500"/>
      <c r="H100" s="2727"/>
      <c r="I100" s="2728"/>
      <c r="J100" s="2731"/>
    </row>
    <row r="101" spans="1:10" ht="15" x14ac:dyDescent="0.2">
      <c r="A101" s="2726" t="s">
        <v>1838</v>
      </c>
      <c r="B101" s="500"/>
      <c r="C101" s="2728"/>
      <c r="D101" s="2729"/>
      <c r="E101" s="500"/>
      <c r="F101" s="2726" t="s">
        <v>1838</v>
      </c>
      <c r="G101" s="500"/>
      <c r="H101" s="2727"/>
      <c r="I101" s="2728"/>
      <c r="J101" s="2731"/>
    </row>
    <row r="102" spans="1:10" ht="15" x14ac:dyDescent="0.2">
      <c r="A102" s="2726" t="s">
        <v>1839</v>
      </c>
      <c r="B102" s="500"/>
      <c r="C102" s="2728"/>
      <c r="D102" s="2729"/>
      <c r="E102" s="500"/>
      <c r="F102" s="2726" t="s">
        <v>1839</v>
      </c>
      <c r="G102" s="500"/>
      <c r="H102" s="2727"/>
      <c r="I102" s="2728"/>
      <c r="J102" s="2731"/>
    </row>
    <row r="103" spans="1:10" ht="15" x14ac:dyDescent="0.2">
      <c r="A103" s="2735" t="s">
        <v>1840</v>
      </c>
      <c r="B103" s="733"/>
      <c r="C103" s="2736"/>
      <c r="D103" s="2737"/>
      <c r="E103" s="500"/>
      <c r="F103" s="2735" t="s">
        <v>1840</v>
      </c>
      <c r="G103" s="733"/>
      <c r="H103" s="2738"/>
      <c r="I103" s="2736"/>
      <c r="J103" s="2739"/>
    </row>
    <row r="104" spans="1:10" ht="11.25" x14ac:dyDescent="0.25">
      <c r="A104" s="500"/>
      <c r="B104" s="500"/>
      <c r="C104" s="500"/>
      <c r="D104" s="500"/>
      <c r="E104" s="500"/>
      <c r="F104" s="500"/>
      <c r="G104" s="500"/>
      <c r="H104" s="500"/>
      <c r="I104" s="500"/>
      <c r="J104" s="500"/>
    </row>
    <row r="105" spans="1:10" ht="11.25" x14ac:dyDescent="0.25">
      <c r="A105" s="2722" t="s">
        <v>1843</v>
      </c>
      <c r="B105" s="500"/>
      <c r="C105" s="500"/>
      <c r="D105" s="500"/>
      <c r="E105" s="500"/>
      <c r="F105" s="2722" t="s">
        <v>1844</v>
      </c>
      <c r="G105" s="500"/>
      <c r="H105" s="500"/>
      <c r="I105" s="500"/>
      <c r="J105" s="500"/>
    </row>
    <row r="106" spans="1:10" ht="15.75" x14ac:dyDescent="0.25">
      <c r="A106" s="2723"/>
      <c r="B106" s="2724"/>
      <c r="C106" s="2725"/>
      <c r="D106" s="2725"/>
      <c r="E106" s="500"/>
      <c r="F106" s="2723"/>
      <c r="G106" s="2724"/>
      <c r="H106" s="2724"/>
      <c r="I106" s="2724"/>
      <c r="J106" s="2725"/>
    </row>
    <row r="107" spans="1:10" ht="15" x14ac:dyDescent="0.2">
      <c r="A107" s="2726" t="s">
        <v>1833</v>
      </c>
      <c r="B107" s="2727"/>
      <c r="C107" s="2728"/>
      <c r="D107" s="2729"/>
      <c r="E107" s="500"/>
      <c r="F107" s="2726" t="s">
        <v>1833</v>
      </c>
      <c r="G107" s="500"/>
      <c r="H107" s="2727"/>
      <c r="I107" s="2730"/>
      <c r="J107" s="2731"/>
    </row>
    <row r="108" spans="1:10" ht="15" x14ac:dyDescent="0.2">
      <c r="A108" s="2726" t="s">
        <v>1834</v>
      </c>
      <c r="B108" s="2727"/>
      <c r="C108" s="2728"/>
      <c r="D108" s="2729"/>
      <c r="E108" s="500"/>
      <c r="F108" s="2726" t="s">
        <v>1834</v>
      </c>
      <c r="G108" s="500"/>
      <c r="H108" s="2727"/>
      <c r="I108" s="2730"/>
      <c r="J108" s="2731"/>
    </row>
    <row r="109" spans="1:10" ht="15" x14ac:dyDescent="0.2">
      <c r="A109" s="2726" t="s">
        <v>1835</v>
      </c>
      <c r="B109" s="500"/>
      <c r="C109" s="2728"/>
      <c r="D109" s="2729"/>
      <c r="E109" s="500"/>
      <c r="F109" s="2726" t="s">
        <v>1835</v>
      </c>
      <c r="G109" s="500"/>
      <c r="H109" s="2727"/>
      <c r="I109" s="2730"/>
      <c r="J109" s="2731"/>
    </row>
    <row r="110" spans="1:10" ht="15" x14ac:dyDescent="0.2">
      <c r="A110" s="2732" t="s">
        <v>1836</v>
      </c>
      <c r="B110" s="500"/>
      <c r="C110" s="2728">
        <f>SUM(C107:C109)</f>
        <v>0</v>
      </c>
      <c r="D110" s="2729"/>
      <c r="E110" s="500"/>
      <c r="F110" s="2732" t="s">
        <v>1836</v>
      </c>
      <c r="G110" s="500"/>
      <c r="H110" s="2727"/>
      <c r="I110" s="2728">
        <f>SUM(I107:I109)</f>
        <v>0</v>
      </c>
      <c r="J110" s="2731"/>
    </row>
    <row r="111" spans="1:10" ht="15" x14ac:dyDescent="0.2">
      <c r="A111" s="2726" t="s">
        <v>1661</v>
      </c>
      <c r="B111" s="500"/>
      <c r="C111" s="2733"/>
      <c r="D111" s="2734"/>
      <c r="E111" s="500"/>
      <c r="F111" s="2726" t="s">
        <v>1661</v>
      </c>
      <c r="G111" s="500"/>
      <c r="H111" s="2727"/>
      <c r="I111" s="2733"/>
      <c r="J111" s="2731"/>
    </row>
    <row r="112" spans="1:10" ht="15" x14ac:dyDescent="0.2">
      <c r="A112" s="2732" t="s">
        <v>1837</v>
      </c>
      <c r="B112" s="500"/>
      <c r="C112" s="2728">
        <f>C110-C111</f>
        <v>0</v>
      </c>
      <c r="D112" s="2729"/>
      <c r="E112" s="500"/>
      <c r="F112" s="2732" t="s">
        <v>1837</v>
      </c>
      <c r="G112" s="500"/>
      <c r="H112" s="2727"/>
      <c r="I112" s="2728">
        <f>I110-I111</f>
        <v>0</v>
      </c>
      <c r="J112" s="2731"/>
    </row>
    <row r="113" spans="1:10" ht="15" x14ac:dyDescent="0.2">
      <c r="A113" s="2726"/>
      <c r="B113" s="500"/>
      <c r="C113" s="2728"/>
      <c r="D113" s="2729"/>
      <c r="E113" s="500"/>
      <c r="F113" s="2726"/>
      <c r="G113" s="500"/>
      <c r="H113" s="2727"/>
      <c r="I113" s="2728"/>
      <c r="J113" s="2731"/>
    </row>
    <row r="114" spans="1:10" ht="15" x14ac:dyDescent="0.2">
      <c r="A114" s="2726" t="s">
        <v>1838</v>
      </c>
      <c r="B114" s="500"/>
      <c r="C114" s="2728"/>
      <c r="D114" s="2729"/>
      <c r="E114" s="500"/>
      <c r="F114" s="2726" t="s">
        <v>1838</v>
      </c>
      <c r="G114" s="500"/>
      <c r="H114" s="2727"/>
      <c r="I114" s="2728"/>
      <c r="J114" s="2731"/>
    </row>
    <row r="115" spans="1:10" ht="15" x14ac:dyDescent="0.2">
      <c r="A115" s="2726" t="s">
        <v>1839</v>
      </c>
      <c r="B115" s="500"/>
      <c r="C115" s="2728"/>
      <c r="D115" s="2729"/>
      <c r="E115" s="500"/>
      <c r="F115" s="2726" t="s">
        <v>1839</v>
      </c>
      <c r="G115" s="500"/>
      <c r="H115" s="2727"/>
      <c r="I115" s="2728"/>
      <c r="J115" s="2731"/>
    </row>
    <row r="116" spans="1:10" ht="15" x14ac:dyDescent="0.2">
      <c r="A116" s="2735" t="s">
        <v>1840</v>
      </c>
      <c r="B116" s="733"/>
      <c r="C116" s="2736"/>
      <c r="D116" s="2737"/>
      <c r="E116" s="500"/>
      <c r="F116" s="2735" t="s">
        <v>1840</v>
      </c>
      <c r="G116" s="733"/>
      <c r="H116" s="2738"/>
      <c r="I116" s="2736"/>
      <c r="J116" s="2739"/>
    </row>
    <row r="117" spans="1:10" ht="11.25" x14ac:dyDescent="0.25">
      <c r="A117" s="500"/>
      <c r="B117" s="500"/>
      <c r="C117" s="500"/>
      <c r="D117" s="500"/>
      <c r="E117" s="500"/>
      <c r="F117" s="500"/>
      <c r="G117" s="500"/>
      <c r="H117" s="500"/>
      <c r="I117" s="500"/>
      <c r="J117" s="500"/>
    </row>
    <row r="118" spans="1:10" ht="11.25" x14ac:dyDescent="0.25">
      <c r="A118" s="2722" t="s">
        <v>1845</v>
      </c>
      <c r="B118" s="500"/>
      <c r="C118" s="500"/>
      <c r="D118" s="500"/>
      <c r="E118" s="500"/>
      <c r="F118" s="2722" t="s">
        <v>1846</v>
      </c>
      <c r="G118" s="500"/>
      <c r="H118" s="500"/>
      <c r="I118" s="500"/>
      <c r="J118" s="500"/>
    </row>
    <row r="119" spans="1:10" ht="15.75" x14ac:dyDescent="0.25">
      <c r="A119" s="2723"/>
      <c r="B119" s="2724"/>
      <c r="C119" s="2725"/>
      <c r="D119" s="2725"/>
      <c r="E119" s="500"/>
      <c r="F119" s="2723"/>
      <c r="G119" s="2724"/>
      <c r="H119" s="2724"/>
      <c r="I119" s="2724"/>
      <c r="J119" s="2725"/>
    </row>
    <row r="120" spans="1:10" ht="15" x14ac:dyDescent="0.2">
      <c r="A120" s="2726" t="s">
        <v>1833</v>
      </c>
      <c r="B120" s="2727"/>
      <c r="C120" s="2728"/>
      <c r="D120" s="2729"/>
      <c r="E120" s="500"/>
      <c r="F120" s="2726" t="s">
        <v>1833</v>
      </c>
      <c r="G120" s="500"/>
      <c r="H120" s="2727"/>
      <c r="I120" s="2730"/>
      <c r="J120" s="2731"/>
    </row>
    <row r="121" spans="1:10" ht="15" x14ac:dyDescent="0.2">
      <c r="A121" s="2726" t="s">
        <v>1834</v>
      </c>
      <c r="B121" s="2727"/>
      <c r="C121" s="2728"/>
      <c r="D121" s="2729"/>
      <c r="E121" s="500"/>
      <c r="F121" s="2726" t="s">
        <v>1834</v>
      </c>
      <c r="G121" s="500"/>
      <c r="H121" s="2727"/>
      <c r="I121" s="2730"/>
      <c r="J121" s="2731"/>
    </row>
    <row r="122" spans="1:10" ht="15" x14ac:dyDescent="0.2">
      <c r="A122" s="2726" t="s">
        <v>1835</v>
      </c>
      <c r="B122" s="500"/>
      <c r="C122" s="2728"/>
      <c r="D122" s="2729"/>
      <c r="E122" s="500"/>
      <c r="F122" s="2726" t="s">
        <v>1835</v>
      </c>
      <c r="G122" s="500"/>
      <c r="H122" s="2727"/>
      <c r="I122" s="2730"/>
      <c r="J122" s="2731"/>
    </row>
    <row r="123" spans="1:10" ht="15" x14ac:dyDescent="0.2">
      <c r="A123" s="2732" t="s">
        <v>1836</v>
      </c>
      <c r="B123" s="500"/>
      <c r="C123" s="2728">
        <f>SUM(C120:C122)</f>
        <v>0</v>
      </c>
      <c r="D123" s="2729"/>
      <c r="E123" s="500"/>
      <c r="F123" s="2732" t="s">
        <v>1836</v>
      </c>
      <c r="G123" s="500"/>
      <c r="H123" s="2727"/>
      <c r="I123" s="2728">
        <f>SUM(I120:I122)</f>
        <v>0</v>
      </c>
      <c r="J123" s="2731"/>
    </row>
    <row r="124" spans="1:10" ht="15" x14ac:dyDescent="0.2">
      <c r="A124" s="2726" t="s">
        <v>1661</v>
      </c>
      <c r="B124" s="500"/>
      <c r="C124" s="2733"/>
      <c r="D124" s="2734"/>
      <c r="E124" s="500"/>
      <c r="F124" s="2726" t="s">
        <v>1661</v>
      </c>
      <c r="G124" s="500"/>
      <c r="H124" s="2727"/>
      <c r="I124" s="2733"/>
      <c r="J124" s="2731"/>
    </row>
    <row r="125" spans="1:10" ht="15" x14ac:dyDescent="0.2">
      <c r="A125" s="2732" t="s">
        <v>1837</v>
      </c>
      <c r="B125" s="500"/>
      <c r="C125" s="2728">
        <f>C123-C124</f>
        <v>0</v>
      </c>
      <c r="D125" s="2729"/>
      <c r="E125" s="500"/>
      <c r="F125" s="2732" t="s">
        <v>1837</v>
      </c>
      <c r="G125" s="500"/>
      <c r="H125" s="2727"/>
      <c r="I125" s="2728">
        <f>I123-I124</f>
        <v>0</v>
      </c>
      <c r="J125" s="2731"/>
    </row>
    <row r="126" spans="1:10" ht="15" x14ac:dyDescent="0.2">
      <c r="A126" s="2726"/>
      <c r="B126" s="500"/>
      <c r="C126" s="2728"/>
      <c r="D126" s="2729"/>
      <c r="E126" s="500"/>
      <c r="F126" s="2726"/>
      <c r="G126" s="500"/>
      <c r="H126" s="2727"/>
      <c r="I126" s="2728"/>
      <c r="J126" s="2731"/>
    </row>
    <row r="127" spans="1:10" ht="15" x14ac:dyDescent="0.2">
      <c r="A127" s="2726" t="s">
        <v>1838</v>
      </c>
      <c r="B127" s="500"/>
      <c r="C127" s="2728"/>
      <c r="D127" s="2729"/>
      <c r="E127" s="500"/>
      <c r="F127" s="2726" t="s">
        <v>1838</v>
      </c>
      <c r="G127" s="500"/>
      <c r="H127" s="2727"/>
      <c r="I127" s="2728"/>
      <c r="J127" s="2731"/>
    </row>
    <row r="128" spans="1:10" ht="15" x14ac:dyDescent="0.2">
      <c r="A128" s="2726" t="s">
        <v>1839</v>
      </c>
      <c r="B128" s="500"/>
      <c r="C128" s="2728"/>
      <c r="D128" s="2729"/>
      <c r="E128" s="500"/>
      <c r="F128" s="2726" t="s">
        <v>1839</v>
      </c>
      <c r="G128" s="500"/>
      <c r="H128" s="2727"/>
      <c r="I128" s="2728"/>
      <c r="J128" s="2731"/>
    </row>
    <row r="129" spans="1:10" ht="15" x14ac:dyDescent="0.2">
      <c r="A129" s="2735" t="s">
        <v>1840</v>
      </c>
      <c r="B129" s="733"/>
      <c r="C129" s="2736"/>
      <c r="D129" s="2737"/>
      <c r="E129" s="500"/>
      <c r="F129" s="2735" t="s">
        <v>1840</v>
      </c>
      <c r="G129" s="733"/>
      <c r="H129" s="2738"/>
      <c r="I129" s="2736"/>
      <c r="J129" s="2739"/>
    </row>
    <row r="130" spans="1:10" ht="11.25" x14ac:dyDescent="0.25"/>
    <row r="131" spans="1:10" ht="11.25" x14ac:dyDescent="0.25"/>
    <row r="132" spans="1:10" ht="11.25" x14ac:dyDescent="0.25"/>
    <row r="133" spans="1:10" ht="11.25" x14ac:dyDescent="0.25"/>
    <row r="134" spans="1:10" ht="11.25" x14ac:dyDescent="0.25"/>
    <row r="135" spans="1:10" ht="11.25" x14ac:dyDescent="0.25"/>
    <row r="136" spans="1:10" ht="11.25" x14ac:dyDescent="0.25"/>
    <row r="137" spans="1:10" ht="11.25" x14ac:dyDescent="0.25"/>
    <row r="138" spans="1:10" ht="11.25" x14ac:dyDescent="0.25"/>
    <row r="139" spans="1:10" ht="11.25" x14ac:dyDescent="0.25"/>
    <row r="140" spans="1:10" ht="11.25" x14ac:dyDescent="0.25"/>
    <row r="141" spans="1:10" ht="11.25" x14ac:dyDescent="0.25"/>
    <row r="142" spans="1:10" ht="11.25" x14ac:dyDescent="0.25"/>
    <row r="143" spans="1:10" ht="11.25" x14ac:dyDescent="0.25"/>
    <row r="144" spans="1:10" ht="11.25" x14ac:dyDescent="0.25">
      <c r="H144" s="2249" t="s">
        <v>1847</v>
      </c>
      <c r="J144" s="2217" t="s">
        <v>1848</v>
      </c>
    </row>
    <row r="145" spans="1:11" ht="11.25" x14ac:dyDescent="0.25">
      <c r="H145" s="2740" t="s">
        <v>1849</v>
      </c>
      <c r="J145" s="2217" t="s">
        <v>1850</v>
      </c>
    </row>
    <row r="146" spans="1:11" ht="11.25" x14ac:dyDescent="0.25">
      <c r="H146" s="500" t="s">
        <v>1851</v>
      </c>
      <c r="J146" s="2741" t="s">
        <v>1852</v>
      </c>
    </row>
    <row r="147" spans="1:11" ht="11.25" x14ac:dyDescent="0.25">
      <c r="H147" s="2217" t="s">
        <v>1853</v>
      </c>
      <c r="J147" s="2741" t="s">
        <v>1854</v>
      </c>
    </row>
    <row r="148" spans="1:11" ht="12" x14ac:dyDescent="0.25">
      <c r="A148" s="2742"/>
      <c r="B148" s="2742"/>
      <c r="C148" s="2743"/>
      <c r="D148" s="2744"/>
      <c r="E148" s="2740"/>
      <c r="H148" s="2741" t="s">
        <v>1855</v>
      </c>
      <c r="J148" s="2741" t="s">
        <v>1856</v>
      </c>
      <c r="K148" s="2249"/>
    </row>
    <row r="149" spans="1:11" ht="12.75" x14ac:dyDescent="0.25">
      <c r="A149" s="2235"/>
      <c r="B149" s="2745"/>
      <c r="C149" s="2743"/>
      <c r="D149" s="2746"/>
      <c r="E149" s="2746"/>
      <c r="F149" s="664"/>
      <c r="H149" s="2217" t="s">
        <v>1857</v>
      </c>
      <c r="J149" s="2217" t="s">
        <v>1858</v>
      </c>
      <c r="K149" s="2741"/>
    </row>
    <row r="150" spans="1:11" ht="12" x14ac:dyDescent="0.25">
      <c r="B150" s="2742"/>
      <c r="C150" s="2743"/>
      <c r="F150" s="664"/>
      <c r="G150" s="2744"/>
      <c r="H150" s="2740" t="s">
        <v>1859</v>
      </c>
      <c r="I150" s="2747"/>
      <c r="J150" s="2217" t="s">
        <v>1860</v>
      </c>
    </row>
    <row r="151" spans="1:11" ht="12" x14ac:dyDescent="0.25">
      <c r="B151" s="2740"/>
      <c r="C151" s="2743"/>
      <c r="F151" s="664"/>
      <c r="G151" s="2744"/>
      <c r="H151" s="2217" t="s">
        <v>1861</v>
      </c>
      <c r="I151" s="2742"/>
      <c r="J151" s="2217" t="s">
        <v>1862</v>
      </c>
      <c r="K151" s="2740"/>
    </row>
    <row r="152" spans="1:11" ht="12" x14ac:dyDescent="0.25">
      <c r="B152" s="2740"/>
      <c r="C152" s="2743"/>
      <c r="F152" s="664"/>
      <c r="G152" s="2744"/>
      <c r="H152" s="2740" t="s">
        <v>1863</v>
      </c>
      <c r="I152" s="2744"/>
      <c r="J152" s="2217" t="s">
        <v>1864</v>
      </c>
      <c r="K152" s="2740"/>
    </row>
    <row r="153" spans="1:11" ht="12" x14ac:dyDescent="0.25">
      <c r="B153" s="2740"/>
      <c r="C153" s="2743"/>
      <c r="F153" s="664"/>
      <c r="G153" s="2744"/>
      <c r="I153" s="2744"/>
      <c r="J153" s="2217" t="s">
        <v>1865</v>
      </c>
      <c r="K153" s="2740"/>
    </row>
    <row r="154" spans="1:11" ht="12" x14ac:dyDescent="0.25">
      <c r="B154" s="2740"/>
      <c r="C154" s="2743"/>
      <c r="F154" s="664"/>
      <c r="G154" s="2744"/>
      <c r="I154" s="2744"/>
      <c r="J154" s="2741" t="s">
        <v>1866</v>
      </c>
    </row>
    <row r="155" spans="1:11" ht="12" x14ac:dyDescent="0.25">
      <c r="B155" s="2748"/>
      <c r="C155" s="2743"/>
      <c r="F155" s="664"/>
      <c r="G155" s="2744"/>
      <c r="H155" s="2744"/>
      <c r="I155" s="2744"/>
      <c r="J155" s="2741" t="s">
        <v>1867</v>
      </c>
    </row>
    <row r="156" spans="1:11" ht="12" x14ac:dyDescent="0.25">
      <c r="B156" s="2744"/>
      <c r="C156" s="2743"/>
      <c r="F156" s="664"/>
      <c r="G156" s="2742"/>
      <c r="H156" s="2249" t="s">
        <v>1868</v>
      </c>
      <c r="I156" s="2747"/>
      <c r="J156" s="2217" t="s">
        <v>1869</v>
      </c>
    </row>
    <row r="157" spans="1:11" ht="12" x14ac:dyDescent="0.25">
      <c r="B157" s="2744"/>
      <c r="C157" s="2743"/>
      <c r="F157" s="664"/>
      <c r="G157" s="2744"/>
      <c r="H157" s="2249" t="s">
        <v>1870</v>
      </c>
      <c r="I157" s="2747"/>
      <c r="J157" s="2741" t="s">
        <v>1871</v>
      </c>
    </row>
    <row r="158" spans="1:11" ht="12" x14ac:dyDescent="0.25">
      <c r="B158" s="2744"/>
      <c r="C158" s="2743"/>
      <c r="F158" s="664"/>
      <c r="G158" s="2744"/>
      <c r="H158" s="2249" t="s">
        <v>1872</v>
      </c>
      <c r="I158" s="2747"/>
      <c r="J158" s="2741" t="s">
        <v>1873</v>
      </c>
    </row>
    <row r="159" spans="1:11" ht="12" x14ac:dyDescent="0.25">
      <c r="B159" s="2742"/>
      <c r="C159" s="2743"/>
      <c r="F159" s="664"/>
      <c r="G159" s="2744"/>
      <c r="H159" s="2744"/>
      <c r="I159" s="2747"/>
      <c r="J159" s="2741" t="s">
        <v>1874</v>
      </c>
    </row>
    <row r="160" spans="1:11" ht="12" x14ac:dyDescent="0.25">
      <c r="B160" s="2742"/>
      <c r="C160" s="2743"/>
      <c r="F160" s="664"/>
      <c r="H160" s="2744" t="s">
        <v>1875</v>
      </c>
      <c r="I160" s="2747"/>
      <c r="J160" s="2741" t="s">
        <v>1876</v>
      </c>
    </row>
    <row r="161" spans="2:10" ht="12" x14ac:dyDescent="0.25">
      <c r="B161" s="2749"/>
      <c r="C161" s="664"/>
      <c r="F161" s="664"/>
      <c r="G161" s="664"/>
      <c r="H161" s="2742" t="s">
        <v>1877</v>
      </c>
      <c r="I161" s="2747"/>
      <c r="J161" s="2741" t="s">
        <v>1878</v>
      </c>
    </row>
    <row r="162" spans="2:10" ht="12" x14ac:dyDescent="0.25">
      <c r="H162" s="2747" t="s">
        <v>1879</v>
      </c>
      <c r="J162" s="2217" t="s">
        <v>1880</v>
      </c>
    </row>
    <row r="163" spans="2:10" ht="11.25" x14ac:dyDescent="0.25">
      <c r="H163" s="2217" t="s">
        <v>1881</v>
      </c>
      <c r="J163" s="2217" t="s">
        <v>1882</v>
      </c>
    </row>
    <row r="164" spans="2:10" ht="11.25" x14ac:dyDescent="0.25">
      <c r="H164" s="2217" t="s">
        <v>1883</v>
      </c>
      <c r="J164" s="2741" t="s">
        <v>1884</v>
      </c>
    </row>
    <row r="165" spans="2:10" ht="11.25" x14ac:dyDescent="0.25">
      <c r="H165" s="2217" t="s">
        <v>1885</v>
      </c>
      <c r="J165" s="2741" t="s">
        <v>1886</v>
      </c>
    </row>
    <row r="166" spans="2:10" ht="11.25" x14ac:dyDescent="0.25">
      <c r="J166" s="2217" t="s">
        <v>1887</v>
      </c>
    </row>
    <row r="167" spans="2:10" ht="11.25" x14ac:dyDescent="0.25">
      <c r="J167" s="2217" t="s">
        <v>1888</v>
      </c>
    </row>
    <row r="168" spans="2:10" ht="11.25" x14ac:dyDescent="0.25">
      <c r="J168" s="2741" t="s">
        <v>1889</v>
      </c>
    </row>
    <row r="169" spans="2:10" ht="11.25" x14ac:dyDescent="0.25">
      <c r="J169" s="2217" t="s">
        <v>1890</v>
      </c>
    </row>
    <row r="170" spans="2:10" ht="11.25" x14ac:dyDescent="0.25">
      <c r="J170" s="2217" t="s">
        <v>1891</v>
      </c>
    </row>
    <row r="171" spans="2:10" ht="11.25" x14ac:dyDescent="0.25">
      <c r="J171" s="2217" t="s">
        <v>1892</v>
      </c>
    </row>
    <row r="172" spans="2:10" ht="11.25" x14ac:dyDescent="0.25">
      <c r="J172" s="2217" t="s">
        <v>1893</v>
      </c>
    </row>
    <row r="173" spans="2:10" ht="11.25" x14ac:dyDescent="0.25">
      <c r="J173" s="2217" t="s">
        <v>1894</v>
      </c>
    </row>
    <row r="174" spans="2:10" ht="11.25" x14ac:dyDescent="0.25">
      <c r="J174" s="2217" t="s">
        <v>1895</v>
      </c>
    </row>
    <row r="175" spans="2:10" ht="11.25" x14ac:dyDescent="0.25">
      <c r="J175" s="2217" t="s">
        <v>1896</v>
      </c>
    </row>
    <row r="176" spans="2:10" ht="11.25" x14ac:dyDescent="0.25">
      <c r="J176" s="2217" t="s">
        <v>1897</v>
      </c>
    </row>
    <row r="177" spans="10:10" ht="11.25" x14ac:dyDescent="0.25">
      <c r="J177" s="2217" t="s">
        <v>1898</v>
      </c>
    </row>
    <row r="178" spans="10:10" ht="11.25" x14ac:dyDescent="0.25">
      <c r="J178" s="2217" t="s">
        <v>1899</v>
      </c>
    </row>
    <row r="179" spans="10:10" ht="11.25" x14ac:dyDescent="0.25">
      <c r="J179" s="2217" t="s">
        <v>1900</v>
      </c>
    </row>
    <row r="180" spans="10:10" ht="11.25" x14ac:dyDescent="0.25">
      <c r="J180" s="2217" t="s">
        <v>1901</v>
      </c>
    </row>
    <row r="181" spans="10:10" ht="11.25" x14ac:dyDescent="0.25">
      <c r="J181" s="2217" t="s">
        <v>1902</v>
      </c>
    </row>
    <row r="182" spans="10:10" ht="11.25" x14ac:dyDescent="0.25">
      <c r="J182" s="2217" t="s">
        <v>1903</v>
      </c>
    </row>
    <row r="183" spans="10:10" ht="11.25" x14ac:dyDescent="0.25">
      <c r="J183" s="2217" t="s">
        <v>1904</v>
      </c>
    </row>
    <row r="184" spans="10:10" ht="11.25" x14ac:dyDescent="0.25">
      <c r="J184" s="2740" t="s">
        <v>1905</v>
      </c>
    </row>
    <row r="185" spans="10:10" ht="11.25" x14ac:dyDescent="0.25">
      <c r="J185" s="2217" t="s">
        <v>1906</v>
      </c>
    </row>
    <row r="186" spans="10:10" ht="11.25" x14ac:dyDescent="0.25">
      <c r="J186" s="2217" t="s">
        <v>1907</v>
      </c>
    </row>
    <row r="187" spans="10:10" ht="11.25" x14ac:dyDescent="0.25">
      <c r="J187" s="2740" t="s">
        <v>1908</v>
      </c>
    </row>
    <row r="188" spans="10:10" ht="11.25" x14ac:dyDescent="0.25">
      <c r="J188" s="2217" t="s">
        <v>1909</v>
      </c>
    </row>
    <row r="189" spans="10:10" ht="11.25" x14ac:dyDescent="0.25">
      <c r="J189" s="2217" t="s">
        <v>1910</v>
      </c>
    </row>
    <row r="190" spans="10:10" ht="11.25" x14ac:dyDescent="0.25">
      <c r="J190" s="2741" t="s">
        <v>1911</v>
      </c>
    </row>
    <row r="191" spans="10:10" ht="11.25" x14ac:dyDescent="0.25">
      <c r="J191" s="2740" t="s">
        <v>1912</v>
      </c>
    </row>
    <row r="192" spans="10:10" ht="11.25" x14ac:dyDescent="0.25">
      <c r="J192" s="2740" t="s">
        <v>1913</v>
      </c>
    </row>
    <row r="193" spans="10:10" ht="11.25" x14ac:dyDescent="0.25">
      <c r="J193" s="2740" t="s">
        <v>1914</v>
      </c>
    </row>
    <row r="194" spans="10:10" ht="11.25" x14ac:dyDescent="0.25">
      <c r="J194" s="2740" t="s">
        <v>1915</v>
      </c>
    </row>
    <row r="195" spans="10:10" ht="11.25" x14ac:dyDescent="0.25">
      <c r="J195" s="2740" t="s">
        <v>1916</v>
      </c>
    </row>
    <row r="196" spans="10:10" ht="11.25" x14ac:dyDescent="0.25">
      <c r="J196" s="2740" t="s">
        <v>1917</v>
      </c>
    </row>
    <row r="197" spans="10:10" ht="11.25" x14ac:dyDescent="0.25">
      <c r="J197" s="2740" t="s">
        <v>1918</v>
      </c>
    </row>
    <row r="198" spans="10:10" ht="11.25" x14ac:dyDescent="0.25">
      <c r="J198" s="2217" t="s">
        <v>1919</v>
      </c>
    </row>
    <row r="199" spans="10:10" ht="11.25" x14ac:dyDescent="0.25">
      <c r="J199" s="2217" t="s">
        <v>1920</v>
      </c>
    </row>
    <row r="200" spans="10:10" ht="11.25" x14ac:dyDescent="0.25">
      <c r="J200" s="2217" t="s">
        <v>1921</v>
      </c>
    </row>
    <row r="201" spans="10:10" ht="11.25" x14ac:dyDescent="0.25">
      <c r="J201" s="2217" t="s">
        <v>1922</v>
      </c>
    </row>
    <row r="202" spans="10:10" ht="11.25" x14ac:dyDescent="0.25">
      <c r="J202" s="2741" t="s">
        <v>1923</v>
      </c>
    </row>
    <row r="203" spans="10:10" ht="11.25" x14ac:dyDescent="0.25">
      <c r="J203" s="2740" t="s">
        <v>1924</v>
      </c>
    </row>
    <row r="204" spans="10:10" ht="11.25" x14ac:dyDescent="0.25">
      <c r="J204" s="2249" t="s">
        <v>1925</v>
      </c>
    </row>
    <row r="205" spans="10:10" ht="11.25" x14ac:dyDescent="0.25">
      <c r="J205" s="2249" t="s">
        <v>1926</v>
      </c>
    </row>
    <row r="206" spans="10:10" ht="11.25" x14ac:dyDescent="0.25">
      <c r="J206" s="2249" t="s">
        <v>1927</v>
      </c>
    </row>
    <row r="207" spans="10:10" ht="11.25" x14ac:dyDescent="0.25">
      <c r="J207" s="2249" t="s">
        <v>1928</v>
      </c>
    </row>
    <row r="208" spans="10:10" ht="11.25" x14ac:dyDescent="0.25">
      <c r="J208" s="2249" t="s">
        <v>1929</v>
      </c>
    </row>
    <row r="209" spans="10:10" ht="11.25" x14ac:dyDescent="0.25">
      <c r="J209" s="2249" t="s">
        <v>1930</v>
      </c>
    </row>
    <row r="210" spans="10:10" ht="11.25" x14ac:dyDescent="0.25">
      <c r="J210" s="2249" t="s">
        <v>1931</v>
      </c>
    </row>
    <row r="211" spans="10:10" ht="11.25" x14ac:dyDescent="0.25">
      <c r="J211" s="2249" t="s">
        <v>1932</v>
      </c>
    </row>
    <row r="212" spans="10:10" ht="11.25" x14ac:dyDescent="0.25">
      <c r="J212" s="2249" t="s">
        <v>1933</v>
      </c>
    </row>
    <row r="213" spans="10:10" ht="11.25" x14ac:dyDescent="0.25">
      <c r="J213" s="2249" t="s">
        <v>1934</v>
      </c>
    </row>
    <row r="214" spans="10:10" ht="11.25" x14ac:dyDescent="0.25">
      <c r="J214" s="2249" t="s">
        <v>1935</v>
      </c>
    </row>
    <row r="215" spans="10:10" ht="11.25" x14ac:dyDescent="0.25">
      <c r="J215" s="2249" t="s">
        <v>1936</v>
      </c>
    </row>
    <row r="216" spans="10:10" ht="11.25" x14ac:dyDescent="0.25">
      <c r="J216" s="2249" t="s">
        <v>1937</v>
      </c>
    </row>
    <row r="217" spans="10:10" ht="11.25" x14ac:dyDescent="0.25">
      <c r="J217" s="2249" t="s">
        <v>1938</v>
      </c>
    </row>
    <row r="218" spans="10:10" ht="11.25" x14ac:dyDescent="0.25">
      <c r="J218" s="2249" t="s">
        <v>1939</v>
      </c>
    </row>
    <row r="219" spans="10:10" ht="11.25" x14ac:dyDescent="0.25">
      <c r="J219" s="2249" t="s">
        <v>1940</v>
      </c>
    </row>
    <row r="220" spans="10:10" ht="11.25" x14ac:dyDescent="0.25">
      <c r="J220" s="2249" t="s">
        <v>1941</v>
      </c>
    </row>
    <row r="221" spans="10:10" ht="11.25" x14ac:dyDescent="0.25">
      <c r="J221" s="2249" t="s">
        <v>1942</v>
      </c>
    </row>
    <row r="222" spans="10:10" ht="11.25" x14ac:dyDescent="0.25">
      <c r="J222" s="2249" t="s">
        <v>1943</v>
      </c>
    </row>
    <row r="223" spans="10:10" ht="11.25" x14ac:dyDescent="0.25">
      <c r="J223" s="2249" t="s">
        <v>1944</v>
      </c>
    </row>
    <row r="224" spans="10:10" ht="11.25" x14ac:dyDescent="0.25">
      <c r="J224" s="2217" t="s">
        <v>1945</v>
      </c>
    </row>
    <row r="225" spans="10:10" ht="11.25" x14ac:dyDescent="0.25">
      <c r="J225" s="2249" t="s">
        <v>1946</v>
      </c>
    </row>
    <row r="226" spans="10:10" ht="11.25" x14ac:dyDescent="0.25">
      <c r="J226" s="2249" t="s">
        <v>1947</v>
      </c>
    </row>
    <row r="227" spans="10:10" ht="11.25" x14ac:dyDescent="0.25">
      <c r="J227" s="2249" t="s">
        <v>1948</v>
      </c>
    </row>
    <row r="228" spans="10:10" ht="11.25" x14ac:dyDescent="0.25">
      <c r="J228" s="2249" t="s">
        <v>1949</v>
      </c>
    </row>
    <row r="229" spans="10:10" ht="11.25" x14ac:dyDescent="0.25">
      <c r="J229" s="2249" t="s">
        <v>1950</v>
      </c>
    </row>
    <row r="230" spans="10:10" ht="11.25" x14ac:dyDescent="0.25">
      <c r="J230" s="2249" t="s">
        <v>1951</v>
      </c>
    </row>
    <row r="231" spans="10:10" ht="11.25" x14ac:dyDescent="0.25">
      <c r="J231" s="2249" t="s">
        <v>1952</v>
      </c>
    </row>
    <row r="232" spans="10:10" ht="11.25" x14ac:dyDescent="0.25">
      <c r="J232" s="2249" t="s">
        <v>1953</v>
      </c>
    </row>
    <row r="233" spans="10:10" ht="11.25" x14ac:dyDescent="0.25">
      <c r="J233" s="2249" t="s">
        <v>1954</v>
      </c>
    </row>
    <row r="234" spans="10:10" ht="11.25" x14ac:dyDescent="0.25">
      <c r="J234" s="2249" t="s">
        <v>1955</v>
      </c>
    </row>
    <row r="235" spans="10:10" ht="11.25" x14ac:dyDescent="0.25">
      <c r="J235" s="2249" t="s">
        <v>1956</v>
      </c>
    </row>
    <row r="236" spans="10:10" ht="11.25" x14ac:dyDescent="0.25">
      <c r="J236" s="2217" t="s">
        <v>1957</v>
      </c>
    </row>
    <row r="237" spans="10:10" ht="11.25" x14ac:dyDescent="0.25">
      <c r="J237" s="2217" t="s">
        <v>1958</v>
      </c>
    </row>
    <row r="238" spans="10:10" ht="11.25" x14ac:dyDescent="0.25">
      <c r="J238" s="2217" t="s">
        <v>1959</v>
      </c>
    </row>
    <row r="239" spans="10:10" ht="11.25" x14ac:dyDescent="0.25">
      <c r="J239" s="2217" t="s">
        <v>1960</v>
      </c>
    </row>
    <row r="240" spans="10:10" ht="11.25" x14ac:dyDescent="0.25">
      <c r="J240" s="2217" t="s">
        <v>1961</v>
      </c>
    </row>
    <row r="241" spans="10:10" ht="11.25" x14ac:dyDescent="0.25">
      <c r="J241" s="2217" t="s">
        <v>1962</v>
      </c>
    </row>
    <row r="242" spans="10:10" ht="11.25" x14ac:dyDescent="0.25">
      <c r="J242" s="2217" t="s">
        <v>1963</v>
      </c>
    </row>
    <row r="243" spans="10:10" ht="11.25" x14ac:dyDescent="0.25">
      <c r="J243" s="2217" t="s">
        <v>1964</v>
      </c>
    </row>
    <row r="244" spans="10:10" ht="11.25" x14ac:dyDescent="0.25">
      <c r="J244" s="2217" t="s">
        <v>1965</v>
      </c>
    </row>
    <row r="245" spans="10:10" ht="11.25" x14ac:dyDescent="0.25">
      <c r="J245" s="2217" t="s">
        <v>1966</v>
      </c>
    </row>
    <row r="246" spans="10:10" ht="11.25" x14ac:dyDescent="0.25">
      <c r="J246" s="2217" t="s">
        <v>1967</v>
      </c>
    </row>
    <row r="247" spans="10:10" ht="11.25" x14ac:dyDescent="0.25">
      <c r="J247" s="2217" t="s">
        <v>1968</v>
      </c>
    </row>
    <row r="248" spans="10:10" ht="11.25" x14ac:dyDescent="0.25">
      <c r="J248" s="2217" t="s">
        <v>1969</v>
      </c>
    </row>
    <row r="249" spans="10:10" ht="11.25" x14ac:dyDescent="0.25">
      <c r="J249" s="2217" t="s">
        <v>1970</v>
      </c>
    </row>
    <row r="250" spans="10:10" ht="11.25" x14ac:dyDescent="0.25">
      <c r="J250" s="2217" t="s">
        <v>1971</v>
      </c>
    </row>
    <row r="251" spans="10:10" ht="11.25" x14ac:dyDescent="0.25">
      <c r="J251" s="2217" t="s">
        <v>1972</v>
      </c>
    </row>
    <row r="252" spans="10:10" ht="11.25" x14ac:dyDescent="0.25">
      <c r="J252" s="2217" t="s">
        <v>1973</v>
      </c>
    </row>
    <row r="253" spans="10:10" ht="11.25" x14ac:dyDescent="0.25">
      <c r="J253" s="2217" t="s">
        <v>1974</v>
      </c>
    </row>
    <row r="254" spans="10:10" ht="11.25" x14ac:dyDescent="0.25">
      <c r="J254" s="2217" t="s">
        <v>1975</v>
      </c>
    </row>
    <row r="255" spans="10:10" ht="11.25" x14ac:dyDescent="0.25">
      <c r="J255" s="2217" t="s">
        <v>1976</v>
      </c>
    </row>
    <row r="256" spans="10:10" ht="11.25" x14ac:dyDescent="0.25">
      <c r="J256" s="2217" t="s">
        <v>1977</v>
      </c>
    </row>
    <row r="257" spans="10:10" ht="11.25" x14ac:dyDescent="0.25">
      <c r="J257" s="2217" t="s">
        <v>1978</v>
      </c>
    </row>
    <row r="258" spans="10:10" ht="11.25" x14ac:dyDescent="0.25">
      <c r="J258" s="2217" t="s">
        <v>1979</v>
      </c>
    </row>
    <row r="259" spans="10:10" ht="11.25" x14ac:dyDescent="0.25">
      <c r="J259" s="2217" t="s">
        <v>1980</v>
      </c>
    </row>
    <row r="260" spans="10:10" ht="11.25" x14ac:dyDescent="0.25">
      <c r="J260" s="2217" t="s">
        <v>1981</v>
      </c>
    </row>
    <row r="261" spans="10:10" ht="11.25" x14ac:dyDescent="0.25">
      <c r="J261" s="2217" t="s">
        <v>1982</v>
      </c>
    </row>
    <row r="262" spans="10:10" ht="11.25" x14ac:dyDescent="0.25">
      <c r="J262" s="2217" t="s">
        <v>1983</v>
      </c>
    </row>
    <row r="263" spans="10:10" ht="11.25" x14ac:dyDescent="0.25">
      <c r="J263" s="2741" t="s">
        <v>1984</v>
      </c>
    </row>
    <row r="264" spans="10:10" ht="11.25" x14ac:dyDescent="0.25">
      <c r="J264" s="2741" t="s">
        <v>1985</v>
      </c>
    </row>
    <row r="265" spans="10:10" ht="11.25" x14ac:dyDescent="0.25">
      <c r="J265" s="2741" t="s">
        <v>1986</v>
      </c>
    </row>
    <row r="266" spans="10:10" ht="11.25" x14ac:dyDescent="0.25">
      <c r="J266" s="2741"/>
    </row>
    <row r="267" spans="10:10" ht="11.25" x14ac:dyDescent="0.25">
      <c r="J267" s="2741"/>
    </row>
    <row r="268" spans="10:10" ht="11.25" x14ac:dyDescent="0.25">
      <c r="J268" s="2741"/>
    </row>
    <row r="269" spans="10:10" ht="11.25" x14ac:dyDescent="0.25">
      <c r="J269" s="2741"/>
    </row>
    <row r="270" spans="10:10" ht="11.25" x14ac:dyDescent="0.25">
      <c r="J270" s="2741"/>
    </row>
    <row r="271" spans="10:10" ht="11.25" x14ac:dyDescent="0.25">
      <c r="J271" s="2741"/>
    </row>
    <row r="272" spans="10:10" ht="11.25" x14ac:dyDescent="0.25">
      <c r="J272" s="2741"/>
    </row>
    <row r="273" spans="8:10" ht="11.25" x14ac:dyDescent="0.25">
      <c r="J273" s="2741"/>
    </row>
    <row r="274" spans="8:10" ht="11.25" x14ac:dyDescent="0.25"/>
    <row r="275" spans="8:10" ht="11.25" x14ac:dyDescent="0.25">
      <c r="H275" s="2750"/>
      <c r="I275" s="2750"/>
      <c r="J275" s="2750"/>
    </row>
    <row r="276" spans="8:10" ht="11.25" x14ac:dyDescent="0.25">
      <c r="H276" s="2750"/>
      <c r="I276" s="2750"/>
      <c r="J276" s="2750"/>
    </row>
    <row r="277" spans="8:10" ht="11.25" x14ac:dyDescent="0.25">
      <c r="H277" s="2751"/>
      <c r="I277" s="2751"/>
      <c r="J277" s="2751"/>
    </row>
    <row r="278" spans="8:10" ht="11.25" x14ac:dyDescent="0.25">
      <c r="H278" s="2750"/>
      <c r="I278" s="2750"/>
      <c r="J278" s="2750"/>
    </row>
    <row r="279" spans="8:10" ht="11.25" x14ac:dyDescent="0.25">
      <c r="H279" s="2750"/>
      <c r="I279" s="2750"/>
      <c r="J279" s="2750"/>
    </row>
    <row r="280" spans="8:10" ht="11.25" x14ac:dyDescent="0.25"/>
    <row r="281" spans="8:10" ht="11.25" x14ac:dyDescent="0.25"/>
    <row r="282" spans="8:10" ht="11.25" x14ac:dyDescent="0.25"/>
    <row r="283" spans="8:10" ht="11.25" x14ac:dyDescent="0.25"/>
    <row r="284" spans="8:10" ht="11.25" x14ac:dyDescent="0.25"/>
    <row r="285" spans="8:10" ht="11.25" x14ac:dyDescent="0.25"/>
    <row r="286" spans="8:10" ht="11.25" x14ac:dyDescent="0.25"/>
    <row r="287" spans="8:10" ht="11.25" x14ac:dyDescent="0.25"/>
    <row r="288" spans="8:10"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spans="1:1" ht="11.25" x14ac:dyDescent="0.25"/>
    <row r="418" spans="1:1" ht="11.25" x14ac:dyDescent="0.25"/>
    <row r="419" spans="1:1" ht="11.25" x14ac:dyDescent="0.25"/>
    <row r="420" spans="1:1" ht="11.25" x14ac:dyDescent="0.25"/>
    <row r="421" spans="1:1" ht="11.25" x14ac:dyDescent="0.25">
      <c r="A421" s="2249"/>
    </row>
  </sheetData>
  <sheetProtection password="D5B5" sheet="1" objects="1" scenarios="1"/>
  <mergeCells count="1">
    <mergeCell ref="A77:B77"/>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4"/>
  <dimension ref="A1:J400"/>
  <sheetViews>
    <sheetView showGridLines="0" showRowColHeaders="0" workbookViewId="0"/>
  </sheetViews>
  <sheetFormatPr baseColWidth="10" defaultColWidth="8.85546875" defaultRowHeight="12.75" customHeight="1" zeroHeight="1" x14ac:dyDescent="0.2"/>
  <cols>
    <col min="1" max="1" width="5.7109375" style="2768" customWidth="1"/>
    <col min="2" max="2" width="43.5703125" style="2768" customWidth="1"/>
    <col min="3" max="3" width="33.7109375" style="2768" customWidth="1"/>
    <col min="4" max="9" width="7.5703125" style="2768" customWidth="1"/>
    <col min="10" max="10" width="22" style="2768" customWidth="1"/>
    <col min="11" max="11" width="5.85546875" style="2768" customWidth="1"/>
    <col min="12" max="253" width="9.85546875" style="2768" customWidth="1"/>
    <col min="254" max="254" width="4.5703125" style="2768" customWidth="1"/>
    <col min="255" max="255" width="2.140625" style="2768" customWidth="1"/>
    <col min="256" max="16384" width="8.85546875" style="2768"/>
  </cols>
  <sheetData>
    <row r="1" spans="1:10" s="2755" customFormat="1" ht="27.95" customHeight="1" x14ac:dyDescent="0.25">
      <c r="A1" s="2752"/>
      <c r="B1" s="2753"/>
      <c r="C1" s="2753"/>
      <c r="D1" s="2753"/>
      <c r="E1" s="2753"/>
      <c r="F1" s="2753"/>
      <c r="G1" s="2753"/>
      <c r="H1" s="2753"/>
      <c r="I1" s="2753"/>
      <c r="J1" s="2754" t="str">
        <f>Presentación!A5</f>
        <v>Prueba Da 27.08.23</v>
      </c>
    </row>
    <row r="2" spans="1:10" s="2755" customFormat="1" x14ac:dyDescent="0.25">
      <c r="A2" s="2756" t="s">
        <v>1987</v>
      </c>
      <c r="B2" s="2757" t="s">
        <v>1988</v>
      </c>
      <c r="J2" s="2758"/>
    </row>
    <row r="3" spans="1:10" s="2755" customFormat="1" x14ac:dyDescent="0.25">
      <c r="A3" s="2759" t="s">
        <v>1397</v>
      </c>
      <c r="B3" s="2760" t="s">
        <v>1989</v>
      </c>
      <c r="C3" s="2753"/>
      <c r="D3" s="2753"/>
      <c r="E3" s="2753"/>
      <c r="F3" s="2753"/>
      <c r="G3" s="2753"/>
      <c r="H3" s="2753"/>
      <c r="I3" s="2753"/>
      <c r="J3" s="2761"/>
    </row>
    <row r="4" spans="1:10" s="2755" customFormat="1" x14ac:dyDescent="0.25">
      <c r="A4" s="2756"/>
      <c r="B4" s="2757"/>
      <c r="J4" s="2758"/>
    </row>
    <row r="5" spans="1:10" s="2755" customFormat="1" x14ac:dyDescent="0.25">
      <c r="A5" s="2756"/>
      <c r="B5" s="2757"/>
      <c r="J5" s="2758"/>
    </row>
    <row r="6" spans="1:10" s="2755" customFormat="1" x14ac:dyDescent="0.25">
      <c r="A6" s="2756"/>
      <c r="B6" s="2757"/>
      <c r="J6" s="2758"/>
    </row>
    <row r="7" spans="1:10" s="2755" customFormat="1" x14ac:dyDescent="0.25">
      <c r="A7" s="2756"/>
      <c r="B7" s="2757"/>
      <c r="J7" s="2758"/>
    </row>
    <row r="8" spans="1:10" s="2755" customFormat="1" x14ac:dyDescent="0.25">
      <c r="A8" s="2756"/>
      <c r="B8" s="2757"/>
      <c r="J8" s="2758"/>
    </row>
    <row r="9" spans="1:10" s="2755" customFormat="1" x14ac:dyDescent="0.25">
      <c r="A9" s="2756"/>
      <c r="B9" s="2757"/>
      <c r="J9" s="2758"/>
    </row>
    <row r="10" spans="1:10" s="2755" customFormat="1" x14ac:dyDescent="0.25">
      <c r="A10" s="2756"/>
      <c r="B10" s="2757"/>
      <c r="J10" s="2758"/>
    </row>
    <row r="11" spans="1:10" s="2755" customFormat="1" x14ac:dyDescent="0.25">
      <c r="A11" s="2756"/>
      <c r="B11" s="2757"/>
      <c r="J11" s="2758"/>
    </row>
    <row r="12" spans="1:10" s="2755" customFormat="1" x14ac:dyDescent="0.25">
      <c r="A12" s="2756"/>
      <c r="B12" s="2757"/>
      <c r="J12" s="2758"/>
    </row>
    <row r="13" spans="1:10" s="2755" customFormat="1" x14ac:dyDescent="0.25">
      <c r="A13" s="2756"/>
      <c r="B13" s="2757"/>
      <c r="J13" s="2758"/>
    </row>
    <row r="14" spans="1:10" s="2755" customFormat="1" x14ac:dyDescent="0.25">
      <c r="A14" s="2756"/>
      <c r="B14" s="2757"/>
      <c r="J14" s="2758"/>
    </row>
    <row r="15" spans="1:10" s="2755" customFormat="1" x14ac:dyDescent="0.25">
      <c r="A15" s="2756"/>
      <c r="B15" s="2757"/>
      <c r="J15" s="2758"/>
    </row>
    <row r="16" spans="1:10" s="2755" customFormat="1" x14ac:dyDescent="0.25">
      <c r="A16" s="2756"/>
      <c r="B16" s="2757"/>
      <c r="J16" s="2758"/>
    </row>
    <row r="17" spans="1:10" s="2755" customFormat="1" x14ac:dyDescent="0.25">
      <c r="A17" s="2756"/>
      <c r="B17" s="2757"/>
      <c r="J17" s="2758"/>
    </row>
    <row r="18" spans="1:10" s="2755" customFormat="1" x14ac:dyDescent="0.25">
      <c r="A18" s="2756"/>
      <c r="B18" s="2757"/>
      <c r="J18" s="2758"/>
    </row>
    <row r="19" spans="1:10" s="2755" customFormat="1" x14ac:dyDescent="0.25">
      <c r="A19" s="2756"/>
      <c r="B19" s="2757"/>
      <c r="J19" s="2758"/>
    </row>
    <row r="20" spans="1:10" s="2755" customFormat="1" x14ac:dyDescent="0.25">
      <c r="A20" s="2756"/>
      <c r="B20" s="2757"/>
      <c r="J20" s="2758"/>
    </row>
    <row r="21" spans="1:10" s="2755" customFormat="1" x14ac:dyDescent="0.25">
      <c r="A21" s="2759" t="s">
        <v>1398</v>
      </c>
      <c r="B21" s="2760" t="s">
        <v>1990</v>
      </c>
      <c r="C21" s="2753"/>
      <c r="D21" s="2753"/>
      <c r="E21" s="2753"/>
      <c r="F21" s="2753"/>
      <c r="G21" s="2753"/>
      <c r="H21" s="2753"/>
      <c r="I21" s="2753"/>
      <c r="J21" s="2761"/>
    </row>
    <row r="22" spans="1:10" s="2755" customFormat="1" x14ac:dyDescent="0.25">
      <c r="A22" s="2756"/>
      <c r="B22" s="2757"/>
      <c r="J22" s="2758"/>
    </row>
    <row r="23" spans="1:10" s="2755" customFormat="1" x14ac:dyDescent="0.25">
      <c r="A23" s="2756"/>
      <c r="B23" s="2757"/>
      <c r="J23" s="2758"/>
    </row>
    <row r="24" spans="1:10" s="2755" customFormat="1" x14ac:dyDescent="0.25">
      <c r="A24" s="2756"/>
      <c r="B24" s="2757"/>
      <c r="J24" s="2758"/>
    </row>
    <row r="25" spans="1:10" s="2755" customFormat="1" x14ac:dyDescent="0.25">
      <c r="A25" s="2756"/>
      <c r="B25" s="2757"/>
      <c r="J25" s="2758"/>
    </row>
    <row r="26" spans="1:10" s="2755" customFormat="1" x14ac:dyDescent="0.25">
      <c r="A26" s="2756"/>
      <c r="B26" s="2757"/>
      <c r="J26" s="2758"/>
    </row>
    <row r="27" spans="1:10" s="2755" customFormat="1" x14ac:dyDescent="0.25">
      <c r="A27" s="2756"/>
      <c r="B27" s="2757"/>
      <c r="J27" s="2758"/>
    </row>
    <row r="28" spans="1:10" s="2755" customFormat="1" x14ac:dyDescent="0.25">
      <c r="A28" s="2756"/>
      <c r="B28" s="2757"/>
      <c r="J28" s="2758"/>
    </row>
    <row r="29" spans="1:10" s="2755" customFormat="1" x14ac:dyDescent="0.25">
      <c r="A29" s="2756"/>
      <c r="B29" s="2757"/>
      <c r="J29" s="2758"/>
    </row>
    <row r="30" spans="1:10" s="2755" customFormat="1" x14ac:dyDescent="0.25">
      <c r="A30" s="2756"/>
      <c r="B30" s="2757"/>
      <c r="J30" s="2758"/>
    </row>
    <row r="31" spans="1:10" s="2755" customFormat="1" x14ac:dyDescent="0.25">
      <c r="A31" s="2756"/>
      <c r="B31" s="2757"/>
      <c r="J31" s="2758"/>
    </row>
    <row r="32" spans="1:10" s="2755" customFormat="1" x14ac:dyDescent="0.25">
      <c r="A32" s="2756"/>
      <c r="B32" s="2757"/>
      <c r="J32" s="2758"/>
    </row>
    <row r="33" spans="1:10" s="2755" customFormat="1" x14ac:dyDescent="0.25">
      <c r="A33" s="2756"/>
      <c r="B33" s="2757"/>
      <c r="J33" s="2758"/>
    </row>
    <row r="34" spans="1:10" s="2755" customFormat="1" x14ac:dyDescent="0.25">
      <c r="A34" s="2756"/>
      <c r="B34" s="2757"/>
      <c r="J34" s="2758"/>
    </row>
    <row r="35" spans="1:10" s="2755" customFormat="1" x14ac:dyDescent="0.25">
      <c r="A35" s="2756"/>
      <c r="B35" s="2757"/>
      <c r="J35" s="2758"/>
    </row>
    <row r="36" spans="1:10" s="2755" customFormat="1" x14ac:dyDescent="0.25">
      <c r="A36" s="2756"/>
      <c r="B36" s="2757"/>
      <c r="J36" s="2758"/>
    </row>
    <row r="37" spans="1:10" s="2755" customFormat="1" x14ac:dyDescent="0.25">
      <c r="A37" s="2756"/>
      <c r="B37" s="2757"/>
      <c r="J37" s="2758"/>
    </row>
    <row r="38" spans="1:10" s="2755" customFormat="1" x14ac:dyDescent="0.25">
      <c r="A38" s="2756"/>
      <c r="B38" s="2757"/>
      <c r="J38" s="2758"/>
    </row>
    <row r="39" spans="1:10" s="2755" customFormat="1" x14ac:dyDescent="0.25">
      <c r="A39" s="2756"/>
      <c r="B39" s="2757"/>
      <c r="J39" s="2758"/>
    </row>
    <row r="40" spans="1:10" s="2755" customFormat="1" x14ac:dyDescent="0.25">
      <c r="A40" s="2756"/>
      <c r="B40" s="2757"/>
      <c r="J40" s="2758"/>
    </row>
    <row r="41" spans="1:10" s="2755" customFormat="1" x14ac:dyDescent="0.25">
      <c r="A41" s="2756"/>
      <c r="B41" s="2757"/>
      <c r="J41" s="2758"/>
    </row>
    <row r="42" spans="1:10" s="2755" customFormat="1" x14ac:dyDescent="0.25">
      <c r="A42" s="2756"/>
      <c r="B42" s="2757"/>
      <c r="J42" s="2758"/>
    </row>
    <row r="43" spans="1:10" s="2755" customFormat="1" x14ac:dyDescent="0.25">
      <c r="A43" s="2756"/>
      <c r="B43" s="2757"/>
      <c r="J43" s="2758"/>
    </row>
    <row r="44" spans="1:10" s="2755" customFormat="1" x14ac:dyDescent="0.25">
      <c r="A44" s="2756"/>
      <c r="B44" s="2757"/>
      <c r="J44" s="2758"/>
    </row>
    <row r="45" spans="1:10" s="2755" customFormat="1" x14ac:dyDescent="0.25">
      <c r="A45" s="2756"/>
      <c r="B45" s="2757"/>
      <c r="J45" s="2758"/>
    </row>
    <row r="46" spans="1:10" s="2755" customFormat="1" x14ac:dyDescent="0.25">
      <c r="A46" s="2756"/>
      <c r="B46" s="2757"/>
      <c r="J46" s="2758"/>
    </row>
    <row r="47" spans="1:10" s="2755" customFormat="1" x14ac:dyDescent="0.25">
      <c r="A47" s="2762" t="s">
        <v>1991</v>
      </c>
      <c r="B47" s="2760" t="s">
        <v>1992</v>
      </c>
      <c r="C47" s="2753"/>
      <c r="D47" s="2753"/>
      <c r="E47" s="2753"/>
      <c r="F47" s="2753"/>
      <c r="G47" s="2753"/>
      <c r="H47" s="2753"/>
      <c r="I47" s="2753"/>
      <c r="J47" s="2763"/>
    </row>
    <row r="48" spans="1:10" s="2755" customFormat="1" x14ac:dyDescent="0.25">
      <c r="A48" s="2756"/>
      <c r="B48" s="2757"/>
      <c r="J48" s="2758"/>
    </row>
    <row r="49" spans="1:10" s="2755" customFormat="1" x14ac:dyDescent="0.25">
      <c r="A49" s="2756"/>
      <c r="B49" s="2757"/>
      <c r="J49" s="2758"/>
    </row>
    <row r="50" spans="1:10" s="2755" customFormat="1" x14ac:dyDescent="0.25">
      <c r="A50" s="2756"/>
      <c r="B50" s="2757"/>
      <c r="J50" s="2758"/>
    </row>
    <row r="51" spans="1:10" s="2755" customFormat="1" x14ac:dyDescent="0.25">
      <c r="A51" s="2756"/>
      <c r="B51" s="2757"/>
      <c r="J51" s="2758"/>
    </row>
    <row r="52" spans="1:10" s="2755" customFormat="1" x14ac:dyDescent="0.25">
      <c r="A52" s="2756"/>
      <c r="B52" s="2757"/>
      <c r="J52" s="2758"/>
    </row>
    <row r="53" spans="1:10" s="2755" customFormat="1" x14ac:dyDescent="0.25">
      <c r="A53" s="2756"/>
      <c r="B53" s="2757"/>
      <c r="J53" s="2758"/>
    </row>
    <row r="54" spans="1:10" s="2755" customFormat="1" x14ac:dyDescent="0.25">
      <c r="A54" s="2756"/>
      <c r="B54" s="2757"/>
      <c r="J54" s="2758"/>
    </row>
    <row r="55" spans="1:10" s="2755" customFormat="1" x14ac:dyDescent="0.25">
      <c r="A55" s="2756"/>
      <c r="B55" s="2757"/>
      <c r="J55" s="2758"/>
    </row>
    <row r="56" spans="1:10" s="2755" customFormat="1" x14ac:dyDescent="0.25">
      <c r="A56" s="2756"/>
      <c r="B56" s="2757"/>
      <c r="J56" s="2758"/>
    </row>
    <row r="57" spans="1:10" s="2755" customFormat="1" x14ac:dyDescent="0.25">
      <c r="A57" s="2756"/>
      <c r="B57" s="2757"/>
      <c r="J57" s="2758"/>
    </row>
    <row r="58" spans="1:10" s="2755" customFormat="1" x14ac:dyDescent="0.25">
      <c r="A58" s="2756"/>
      <c r="B58" s="2757"/>
      <c r="J58" s="2758"/>
    </row>
    <row r="59" spans="1:10" s="2755" customFormat="1" x14ac:dyDescent="0.25">
      <c r="A59" s="2756"/>
      <c r="B59" s="2757"/>
      <c r="J59" s="2758"/>
    </row>
    <row r="60" spans="1:10" s="2755" customFormat="1" x14ac:dyDescent="0.25">
      <c r="A60" s="2756"/>
      <c r="B60" s="2757"/>
      <c r="J60" s="2758"/>
    </row>
    <row r="61" spans="1:10" s="2755" customFormat="1" x14ac:dyDescent="0.25">
      <c r="A61" s="2756"/>
      <c r="B61" s="2757"/>
      <c r="J61" s="2758"/>
    </row>
    <row r="62" spans="1:10" s="2755" customFormat="1" x14ac:dyDescent="0.25">
      <c r="A62" s="2756"/>
      <c r="B62" s="2757"/>
      <c r="J62" s="2758"/>
    </row>
    <row r="63" spans="1:10" s="2755" customFormat="1" x14ac:dyDescent="0.25">
      <c r="A63" s="2756"/>
      <c r="B63" s="2757"/>
      <c r="J63" s="2758"/>
    </row>
    <row r="64" spans="1:10" s="2755" customFormat="1" x14ac:dyDescent="0.25">
      <c r="A64" s="2756"/>
      <c r="B64" s="2757"/>
      <c r="J64" s="2758"/>
    </row>
    <row r="65" spans="1:10" s="2755" customFormat="1" x14ac:dyDescent="0.25">
      <c r="A65" s="2756"/>
      <c r="B65" s="2757"/>
      <c r="J65" s="2758"/>
    </row>
    <row r="66" spans="1:10" s="2755" customFormat="1" x14ac:dyDescent="0.25">
      <c r="A66" s="2756"/>
      <c r="B66" s="2757"/>
      <c r="J66" s="2758"/>
    </row>
    <row r="67" spans="1:10" s="2755" customFormat="1" x14ac:dyDescent="0.25">
      <c r="A67" s="2756"/>
      <c r="B67" s="2757"/>
      <c r="J67" s="2758"/>
    </row>
    <row r="68" spans="1:10" s="2755" customFormat="1" x14ac:dyDescent="0.25">
      <c r="A68" s="2756"/>
      <c r="B68" s="2757"/>
      <c r="J68" s="2758"/>
    </row>
    <row r="69" spans="1:10" s="2755" customFormat="1" x14ac:dyDescent="0.25">
      <c r="A69" s="2756"/>
      <c r="B69" s="2757"/>
      <c r="J69" s="2758"/>
    </row>
    <row r="70" spans="1:10" s="2755" customFormat="1" x14ac:dyDescent="0.25">
      <c r="A70" s="2756"/>
      <c r="B70" s="2757"/>
      <c r="J70" s="2758"/>
    </row>
    <row r="71" spans="1:10" s="2755" customFormat="1" x14ac:dyDescent="0.25">
      <c r="A71" s="2756"/>
      <c r="B71" s="2757"/>
      <c r="J71" s="2758"/>
    </row>
    <row r="72" spans="1:10" s="2755" customFormat="1" x14ac:dyDescent="0.25">
      <c r="A72" s="2756"/>
      <c r="B72" s="2757"/>
      <c r="J72" s="2758"/>
    </row>
    <row r="73" spans="1:10" s="2755" customFormat="1" x14ac:dyDescent="0.25">
      <c r="A73" s="2756"/>
      <c r="B73" s="2757"/>
      <c r="J73" s="2758"/>
    </row>
    <row r="74" spans="1:10" s="2755" customFormat="1" x14ac:dyDescent="0.25">
      <c r="A74" s="2756"/>
      <c r="B74" s="2757"/>
      <c r="J74" s="2758"/>
    </row>
    <row r="75" spans="1:10" s="2755" customFormat="1" x14ac:dyDescent="0.25">
      <c r="A75" s="2756"/>
      <c r="B75" s="2757"/>
      <c r="J75" s="2758"/>
    </row>
    <row r="76" spans="1:10" s="2755" customFormat="1" x14ac:dyDescent="0.25">
      <c r="A76" s="2756"/>
      <c r="B76" s="2757"/>
      <c r="J76" s="2758"/>
    </row>
    <row r="77" spans="1:10" s="2755" customFormat="1" x14ac:dyDescent="0.25">
      <c r="A77" s="2756"/>
      <c r="B77" s="2757"/>
      <c r="J77" s="2758"/>
    </row>
    <row r="78" spans="1:10" s="2755" customFormat="1" x14ac:dyDescent="0.25">
      <c r="A78" s="2756"/>
      <c r="B78" s="2757"/>
      <c r="J78" s="2758"/>
    </row>
    <row r="79" spans="1:10" s="2755" customFormat="1" x14ac:dyDescent="0.25">
      <c r="A79" s="2756"/>
      <c r="B79" s="2757"/>
      <c r="J79" s="2758"/>
    </row>
    <row r="80" spans="1:10" s="2755" customFormat="1" x14ac:dyDescent="0.25">
      <c r="A80" s="2756"/>
      <c r="B80" s="2757"/>
      <c r="J80" s="2758"/>
    </row>
    <row r="81" spans="1:10" s="2755" customFormat="1" x14ac:dyDescent="0.25">
      <c r="A81" s="2759" t="s">
        <v>1993</v>
      </c>
      <c r="B81" s="2760" t="s">
        <v>1994</v>
      </c>
      <c r="C81" s="2753"/>
      <c r="D81" s="2753"/>
      <c r="E81" s="2753"/>
      <c r="F81" s="2753"/>
      <c r="G81" s="2753"/>
      <c r="H81" s="2753"/>
      <c r="I81" s="2753"/>
      <c r="J81" s="2761"/>
    </row>
    <row r="82" spans="1:10" s="2755" customFormat="1" x14ac:dyDescent="0.25">
      <c r="A82" s="2756"/>
      <c r="B82" s="2757"/>
      <c r="J82" s="2758"/>
    </row>
    <row r="83" spans="1:10" s="2755" customFormat="1" x14ac:dyDescent="0.25">
      <c r="A83" s="2756"/>
      <c r="B83" s="2757"/>
      <c r="J83" s="2758"/>
    </row>
    <row r="84" spans="1:10" s="2755" customFormat="1" x14ac:dyDescent="0.25">
      <c r="A84" s="2756"/>
      <c r="B84" s="2757"/>
      <c r="J84" s="2758"/>
    </row>
    <row r="85" spans="1:10" s="2755" customFormat="1" x14ac:dyDescent="0.25">
      <c r="A85" s="2756"/>
      <c r="B85" s="2757"/>
      <c r="J85" s="2758"/>
    </row>
    <row r="86" spans="1:10" s="2755" customFormat="1" x14ac:dyDescent="0.25">
      <c r="A86" s="2756"/>
      <c r="B86" s="2757"/>
      <c r="J86" s="2758"/>
    </row>
    <row r="87" spans="1:10" s="2755" customFormat="1" x14ac:dyDescent="0.25">
      <c r="A87" s="2756"/>
      <c r="B87" s="2757"/>
      <c r="J87" s="2758"/>
    </row>
    <row r="88" spans="1:10" s="2755" customFormat="1" x14ac:dyDescent="0.25">
      <c r="A88" s="2756"/>
      <c r="B88" s="2757"/>
      <c r="J88" s="2758"/>
    </row>
    <row r="89" spans="1:10" s="2755" customFormat="1" x14ac:dyDescent="0.25">
      <c r="A89" s="2756"/>
      <c r="B89" s="2757"/>
      <c r="J89" s="2758"/>
    </row>
    <row r="90" spans="1:10" s="2755" customFormat="1" x14ac:dyDescent="0.25">
      <c r="A90" s="2756"/>
      <c r="B90" s="2757"/>
      <c r="J90" s="2758"/>
    </row>
    <row r="91" spans="1:10" s="2755" customFormat="1" x14ac:dyDescent="0.25">
      <c r="A91" s="2756"/>
      <c r="B91" s="2757"/>
      <c r="J91" s="2758"/>
    </row>
    <row r="92" spans="1:10" s="2755" customFormat="1" x14ac:dyDescent="0.25">
      <c r="A92" s="2756"/>
      <c r="B92" s="2757"/>
      <c r="J92" s="2758"/>
    </row>
    <row r="93" spans="1:10" s="2755" customFormat="1" x14ac:dyDescent="0.25">
      <c r="A93" s="2756"/>
      <c r="B93" s="2757"/>
      <c r="J93" s="2758"/>
    </row>
    <row r="94" spans="1:10" s="2755" customFormat="1" x14ac:dyDescent="0.25">
      <c r="A94" s="2756"/>
      <c r="B94" s="2757"/>
      <c r="J94" s="2758"/>
    </row>
    <row r="95" spans="1:10" s="2755" customFormat="1" x14ac:dyDescent="0.25">
      <c r="A95" s="2756"/>
      <c r="B95" s="2757"/>
      <c r="J95" s="2758"/>
    </row>
    <row r="96" spans="1:10" s="2755" customFormat="1" x14ac:dyDescent="0.25">
      <c r="A96" s="2756"/>
      <c r="B96" s="2757"/>
      <c r="J96" s="2758"/>
    </row>
    <row r="97" spans="1:10" s="2755" customFormat="1" x14ac:dyDescent="0.25">
      <c r="A97" s="2756"/>
      <c r="B97" s="2757"/>
      <c r="J97" s="2758"/>
    </row>
    <row r="98" spans="1:10" s="2755" customFormat="1" x14ac:dyDescent="0.25">
      <c r="A98" s="2756"/>
      <c r="B98" s="2757"/>
      <c r="J98" s="2758"/>
    </row>
    <row r="99" spans="1:10" s="2755" customFormat="1" x14ac:dyDescent="0.25">
      <c r="A99" s="2756"/>
      <c r="B99" s="2757"/>
      <c r="J99" s="2758"/>
    </row>
    <row r="100" spans="1:10" s="2755" customFormat="1" x14ac:dyDescent="0.25">
      <c r="A100" s="2756"/>
      <c r="B100" s="2757"/>
      <c r="J100" s="2758"/>
    </row>
    <row r="101" spans="1:10" s="2755" customFormat="1" x14ac:dyDescent="0.25">
      <c r="A101" s="2756"/>
      <c r="B101" s="2757"/>
      <c r="J101" s="2758"/>
    </row>
    <row r="102" spans="1:10" s="2755" customFormat="1" x14ac:dyDescent="0.25">
      <c r="A102" s="2756"/>
      <c r="B102" s="2757"/>
      <c r="J102" s="2758"/>
    </row>
    <row r="103" spans="1:10" s="2755" customFormat="1" x14ac:dyDescent="0.25">
      <c r="A103" s="2756"/>
      <c r="B103" s="2757"/>
      <c r="J103" s="2758"/>
    </row>
    <row r="104" spans="1:10" s="2755" customFormat="1" x14ac:dyDescent="0.25">
      <c r="A104" s="2756"/>
      <c r="B104" s="2757"/>
      <c r="J104" s="2758"/>
    </row>
    <row r="105" spans="1:10" s="2755" customFormat="1" x14ac:dyDescent="0.25">
      <c r="A105" s="2756"/>
      <c r="B105" s="2757"/>
      <c r="J105" s="2758"/>
    </row>
    <row r="106" spans="1:10" s="2755" customFormat="1" x14ac:dyDescent="0.25">
      <c r="A106" s="2756"/>
      <c r="B106" s="2757"/>
      <c r="J106" s="2758"/>
    </row>
    <row r="107" spans="1:10" s="2755" customFormat="1" x14ac:dyDescent="0.25">
      <c r="A107" s="2756"/>
      <c r="B107" s="2757"/>
      <c r="J107" s="2758"/>
    </row>
    <row r="108" spans="1:10" s="2755" customFormat="1" x14ac:dyDescent="0.25">
      <c r="A108" s="2756"/>
      <c r="B108" s="2757"/>
      <c r="J108" s="2758"/>
    </row>
    <row r="109" spans="1:10" s="2755" customFormat="1" x14ac:dyDescent="0.25">
      <c r="A109" s="2762" t="s">
        <v>1995</v>
      </c>
      <c r="B109" s="2760" t="s">
        <v>1996</v>
      </c>
      <c r="C109" s="2753"/>
      <c r="D109" s="2753"/>
      <c r="E109" s="2753"/>
      <c r="F109" s="2753"/>
      <c r="G109" s="2753"/>
      <c r="H109" s="2753"/>
      <c r="I109" s="2753"/>
      <c r="J109" s="2763"/>
    </row>
    <row r="110" spans="1:10" x14ac:dyDescent="0.2">
      <c r="A110" s="2764"/>
      <c r="B110" s="2765"/>
      <c r="C110" s="2766"/>
      <c r="D110" s="2766"/>
      <c r="E110" s="2766"/>
      <c r="F110" s="2766"/>
      <c r="G110" s="2766"/>
      <c r="H110" s="2766"/>
      <c r="I110" s="2766"/>
      <c r="J110" s="2767"/>
    </row>
    <row r="111" spans="1:10" x14ac:dyDescent="0.2">
      <c r="A111" s="2769"/>
      <c r="B111" s="2769"/>
      <c r="J111" s="2770"/>
    </row>
    <row r="112" spans="1:10" x14ac:dyDescent="0.2">
      <c r="A112" s="2769"/>
      <c r="B112" s="2769"/>
      <c r="J112" s="2770"/>
    </row>
    <row r="113" spans="1:10" x14ac:dyDescent="0.2">
      <c r="A113" s="2769"/>
      <c r="B113" s="2769"/>
      <c r="J113" s="2770"/>
    </row>
    <row r="114" spans="1:10" x14ac:dyDescent="0.2">
      <c r="A114" s="2764"/>
      <c r="B114" s="2771"/>
      <c r="J114" s="2770"/>
    </row>
    <row r="115" spans="1:10" x14ac:dyDescent="0.2">
      <c r="A115" s="2769"/>
      <c r="B115" s="2769"/>
      <c r="J115" s="2770"/>
    </row>
    <row r="116" spans="1:10" x14ac:dyDescent="0.2">
      <c r="A116" s="2769"/>
      <c r="B116" s="2769"/>
      <c r="J116" s="2770"/>
    </row>
    <row r="117" spans="1:10" x14ac:dyDescent="0.2">
      <c r="A117" s="2769"/>
      <c r="B117" s="2769"/>
      <c r="J117" s="2770"/>
    </row>
    <row r="118" spans="1:10" x14ac:dyDescent="0.2">
      <c r="A118" s="2764"/>
      <c r="B118" s="2771"/>
      <c r="J118" s="2770"/>
    </row>
    <row r="119" spans="1:10" x14ac:dyDescent="0.2">
      <c r="A119" s="2769"/>
      <c r="B119" s="2769"/>
      <c r="J119" s="2770"/>
    </row>
    <row r="120" spans="1:10" x14ac:dyDescent="0.2">
      <c r="A120" s="2769"/>
      <c r="B120" s="2769"/>
      <c r="J120" s="2770"/>
    </row>
    <row r="121" spans="1:10" x14ac:dyDescent="0.2">
      <c r="A121" s="2769"/>
      <c r="B121" s="2769"/>
      <c r="J121" s="2770"/>
    </row>
    <row r="122" spans="1:10" x14ac:dyDescent="0.2">
      <c r="A122" s="2769"/>
      <c r="B122" s="2769"/>
      <c r="J122" s="2770"/>
    </row>
    <row r="123" spans="1:10" x14ac:dyDescent="0.2">
      <c r="A123" s="2769"/>
      <c r="B123" s="2769"/>
      <c r="J123" s="2770"/>
    </row>
    <row r="124" spans="1:10" x14ac:dyDescent="0.2">
      <c r="A124" s="2769"/>
      <c r="B124" s="2769"/>
      <c r="J124" s="2770"/>
    </row>
    <row r="125" spans="1:10" x14ac:dyDescent="0.2">
      <c r="A125" s="2769"/>
      <c r="B125" s="2769"/>
      <c r="J125" s="2770"/>
    </row>
    <row r="126" spans="1:10" x14ac:dyDescent="0.2">
      <c r="A126" s="2769"/>
      <c r="B126" s="2769"/>
      <c r="J126" s="2770"/>
    </row>
    <row r="127" spans="1:10" x14ac:dyDescent="0.2">
      <c r="A127" s="2769"/>
      <c r="B127" s="2769"/>
      <c r="J127" s="2770"/>
    </row>
    <row r="128" spans="1:10" x14ac:dyDescent="0.2">
      <c r="A128" s="2769"/>
      <c r="B128" s="2769"/>
      <c r="J128" s="2770"/>
    </row>
    <row r="129" spans="1:10" x14ac:dyDescent="0.2">
      <c r="A129" s="2769"/>
      <c r="B129" s="2769"/>
      <c r="J129" s="2770"/>
    </row>
    <row r="130" spans="1:10" x14ac:dyDescent="0.2">
      <c r="A130" s="2769"/>
      <c r="B130" s="2769"/>
      <c r="J130" s="2770"/>
    </row>
    <row r="131" spans="1:10" x14ac:dyDescent="0.2">
      <c r="A131" s="2769"/>
      <c r="B131" s="2769"/>
      <c r="J131" s="2770"/>
    </row>
    <row r="132" spans="1:10" x14ac:dyDescent="0.2">
      <c r="A132" s="2769"/>
      <c r="B132" s="2769"/>
      <c r="J132" s="2770"/>
    </row>
    <row r="133" spans="1:10" x14ac:dyDescent="0.2">
      <c r="A133" s="2769"/>
      <c r="B133" s="2769"/>
      <c r="J133" s="2770"/>
    </row>
    <row r="134" spans="1:10" x14ac:dyDescent="0.2">
      <c r="A134" s="2769"/>
      <c r="B134" s="2769"/>
      <c r="J134" s="2770"/>
    </row>
    <row r="135" spans="1:10" x14ac:dyDescent="0.2">
      <c r="A135" s="2769"/>
      <c r="B135" s="2769"/>
      <c r="J135" s="2770"/>
    </row>
    <row r="136" spans="1:10" x14ac:dyDescent="0.2">
      <c r="A136" s="2769"/>
      <c r="B136" s="2769"/>
      <c r="J136" s="2770"/>
    </row>
    <row r="137" spans="1:10" x14ac:dyDescent="0.2">
      <c r="A137" s="2769"/>
      <c r="B137" s="2769"/>
      <c r="J137" s="2770"/>
    </row>
    <row r="138" spans="1:10" x14ac:dyDescent="0.2">
      <c r="A138" s="2769"/>
      <c r="B138" s="2769"/>
      <c r="J138" s="2770"/>
    </row>
    <row r="139" spans="1:10" x14ac:dyDescent="0.2">
      <c r="A139" s="2769"/>
      <c r="B139" s="2769"/>
      <c r="J139" s="2770"/>
    </row>
    <row r="140" spans="1:10" x14ac:dyDescent="0.2">
      <c r="A140" s="2764"/>
      <c r="B140" s="2771"/>
      <c r="J140" s="2770"/>
    </row>
    <row r="141" spans="1:10" x14ac:dyDescent="0.2">
      <c r="A141" s="2764"/>
      <c r="B141" s="2771"/>
      <c r="J141" s="2770"/>
    </row>
    <row r="142" spans="1:10" x14ac:dyDescent="0.2">
      <c r="A142" s="2764"/>
      <c r="B142" s="2771"/>
      <c r="J142" s="2770"/>
    </row>
    <row r="143" spans="1:10" x14ac:dyDescent="0.2">
      <c r="A143" s="2764"/>
      <c r="B143" s="2771"/>
      <c r="J143" s="2770"/>
    </row>
    <row r="144" spans="1:10" x14ac:dyDescent="0.2">
      <c r="A144" s="2764"/>
      <c r="B144" s="2771"/>
      <c r="J144" s="2770"/>
    </row>
    <row r="145" spans="1:10" x14ac:dyDescent="0.2">
      <c r="A145" s="2764"/>
      <c r="B145" s="2769"/>
      <c r="J145" s="2770"/>
    </row>
    <row r="146" spans="1:10" x14ac:dyDescent="0.2">
      <c r="A146" s="2764"/>
      <c r="B146" s="2769"/>
      <c r="J146" s="2770"/>
    </row>
    <row r="147" spans="1:10" x14ac:dyDescent="0.2">
      <c r="A147" s="2764"/>
      <c r="B147" s="2769"/>
      <c r="J147" s="2770"/>
    </row>
    <row r="148" spans="1:10" x14ac:dyDescent="0.2">
      <c r="A148" s="2769"/>
      <c r="B148" s="2769"/>
      <c r="J148" s="2770"/>
    </row>
    <row r="149" spans="1:10" x14ac:dyDescent="0.2">
      <c r="A149" s="2772"/>
      <c r="B149" s="2772"/>
      <c r="C149" s="2773"/>
      <c r="D149" s="2773"/>
      <c r="E149" s="2773"/>
      <c r="F149" s="2773"/>
      <c r="G149" s="2773"/>
      <c r="H149" s="2773"/>
      <c r="I149" s="2773"/>
      <c r="J149" s="2774"/>
    </row>
    <row r="150" spans="1:10" s="2755" customFormat="1" x14ac:dyDescent="0.25">
      <c r="A150" s="2762" t="s">
        <v>1997</v>
      </c>
      <c r="B150" s="2760" t="s">
        <v>1998</v>
      </c>
      <c r="C150" s="2753"/>
      <c r="D150" s="2753"/>
      <c r="E150" s="2753"/>
      <c r="F150" s="2753"/>
      <c r="G150" s="2753"/>
      <c r="H150" s="2753"/>
      <c r="I150" s="2753"/>
      <c r="J150" s="2763"/>
    </row>
    <row r="151" spans="1:10" x14ac:dyDescent="0.2">
      <c r="A151" s="2775"/>
      <c r="B151" s="2776"/>
      <c r="J151" s="2770"/>
    </row>
    <row r="152" spans="1:10" x14ac:dyDescent="0.2">
      <c r="A152" s="2777"/>
      <c r="B152" s="2778"/>
      <c r="J152" s="2770"/>
    </row>
    <row r="153" spans="1:10" x14ac:dyDescent="0.2">
      <c r="A153" s="2777"/>
      <c r="B153" s="2778"/>
      <c r="J153" s="2770"/>
    </row>
    <row r="154" spans="1:10" x14ac:dyDescent="0.2">
      <c r="A154" s="2777"/>
      <c r="B154" s="2778"/>
      <c r="J154" s="2770"/>
    </row>
    <row r="155" spans="1:10" x14ac:dyDescent="0.2">
      <c r="A155" s="2777"/>
      <c r="B155" s="2778"/>
      <c r="J155" s="2770"/>
    </row>
    <row r="156" spans="1:10" x14ac:dyDescent="0.2">
      <c r="A156" s="2777"/>
      <c r="B156" s="2778"/>
      <c r="J156" s="2770"/>
    </row>
    <row r="157" spans="1:10" x14ac:dyDescent="0.2">
      <c r="A157" s="2777"/>
      <c r="B157" s="2778"/>
      <c r="J157" s="2770"/>
    </row>
    <row r="158" spans="1:10" x14ac:dyDescent="0.2">
      <c r="A158" s="2777"/>
      <c r="B158" s="2778"/>
      <c r="J158" s="2770"/>
    </row>
    <row r="159" spans="1:10" x14ac:dyDescent="0.2">
      <c r="A159" s="2777"/>
      <c r="B159" s="2778"/>
      <c r="J159" s="2770"/>
    </row>
    <row r="160" spans="1:10" x14ac:dyDescent="0.2">
      <c r="A160" s="2777"/>
      <c r="B160" s="2778"/>
      <c r="J160" s="2770"/>
    </row>
    <row r="161" spans="1:10" s="2755" customFormat="1" x14ac:dyDescent="0.25">
      <c r="A161" s="2762" t="s">
        <v>1999</v>
      </c>
      <c r="B161" s="2760" t="s">
        <v>2000</v>
      </c>
      <c r="C161" s="2753"/>
      <c r="D161" s="2753"/>
      <c r="E161" s="2753"/>
      <c r="F161" s="2753"/>
      <c r="G161" s="2753"/>
      <c r="H161" s="2753"/>
      <c r="I161" s="2753"/>
      <c r="J161" s="2763"/>
    </row>
    <row r="162" spans="1:10" x14ac:dyDescent="0.2">
      <c r="A162" s="2777"/>
      <c r="B162" s="2778"/>
      <c r="J162" s="2770"/>
    </row>
    <row r="163" spans="1:10" x14ac:dyDescent="0.2">
      <c r="A163" s="2777"/>
      <c r="B163" s="2778"/>
      <c r="J163" s="2770"/>
    </row>
    <row r="164" spans="1:10" x14ac:dyDescent="0.2">
      <c r="A164" s="2777"/>
      <c r="B164" s="2778"/>
      <c r="J164" s="2770"/>
    </row>
    <row r="165" spans="1:10" x14ac:dyDescent="0.2">
      <c r="A165" s="2777"/>
      <c r="B165" s="2778"/>
      <c r="J165" s="2770"/>
    </row>
    <row r="166" spans="1:10" x14ac:dyDescent="0.2">
      <c r="A166" s="2777"/>
      <c r="B166" s="2778"/>
      <c r="J166" s="2770"/>
    </row>
    <row r="167" spans="1:10" x14ac:dyDescent="0.2">
      <c r="A167" s="2777"/>
      <c r="B167" s="2778"/>
      <c r="J167" s="2770"/>
    </row>
    <row r="168" spans="1:10" x14ac:dyDescent="0.2">
      <c r="A168" s="2777"/>
      <c r="B168" s="2778"/>
      <c r="J168" s="2770"/>
    </row>
    <row r="169" spans="1:10" x14ac:dyDescent="0.2">
      <c r="A169" s="2777"/>
      <c r="B169" s="2778"/>
      <c r="J169" s="2770"/>
    </row>
    <row r="170" spans="1:10" x14ac:dyDescent="0.2">
      <c r="A170" s="2777"/>
      <c r="B170" s="2778"/>
      <c r="J170" s="2770"/>
    </row>
    <row r="171" spans="1:10" x14ac:dyDescent="0.2">
      <c r="A171" s="2777"/>
      <c r="B171" s="2778"/>
      <c r="J171" s="2770"/>
    </row>
    <row r="172" spans="1:10" x14ac:dyDescent="0.2">
      <c r="A172" s="2777"/>
      <c r="B172" s="2778"/>
      <c r="J172" s="2770"/>
    </row>
    <row r="173" spans="1:10" x14ac:dyDescent="0.2">
      <c r="A173" s="2777"/>
      <c r="B173" s="2778"/>
      <c r="J173" s="2770"/>
    </row>
    <row r="174" spans="1:10" s="2755" customFormat="1" x14ac:dyDescent="0.25">
      <c r="A174" s="2762" t="s">
        <v>2001</v>
      </c>
      <c r="B174" s="2760" t="s">
        <v>2002</v>
      </c>
      <c r="C174" s="2753"/>
      <c r="D174" s="2753"/>
      <c r="E174" s="2753"/>
      <c r="F174" s="2753"/>
      <c r="G174" s="2753"/>
      <c r="H174" s="2753"/>
      <c r="I174" s="2753"/>
      <c r="J174" s="2763"/>
    </row>
    <row r="175" spans="1:10" x14ac:dyDescent="0.2">
      <c r="A175" s="2775"/>
      <c r="B175" s="2776"/>
      <c r="J175" s="2770"/>
    </row>
    <row r="176" spans="1:10" x14ac:dyDescent="0.2">
      <c r="A176" s="2775"/>
      <c r="B176" s="2776"/>
      <c r="J176" s="2770"/>
    </row>
    <row r="177" spans="1:10" x14ac:dyDescent="0.2">
      <c r="A177" s="2775"/>
      <c r="B177" s="2776"/>
      <c r="J177" s="2770"/>
    </row>
    <row r="178" spans="1:10" x14ac:dyDescent="0.2">
      <c r="A178" s="2775"/>
      <c r="J178" s="2770"/>
    </row>
    <row r="179" spans="1:10" x14ac:dyDescent="0.2">
      <c r="A179" s="2775"/>
      <c r="J179" s="2770"/>
    </row>
    <row r="180" spans="1:10" x14ac:dyDescent="0.2">
      <c r="A180" s="2777"/>
      <c r="B180" s="2778"/>
      <c r="J180" s="2770"/>
    </row>
    <row r="181" spans="1:10" x14ac:dyDescent="0.2">
      <c r="A181" s="2779"/>
      <c r="B181" s="2780"/>
      <c r="C181" s="2773"/>
      <c r="D181" s="2773"/>
      <c r="E181" s="2773"/>
      <c r="F181" s="2773"/>
      <c r="G181" s="2773"/>
      <c r="H181" s="2773"/>
      <c r="I181" s="2773"/>
      <c r="J181" s="2774"/>
    </row>
    <row r="182" spans="1:10" x14ac:dyDescent="0.2">
      <c r="A182" s="2759" t="s">
        <v>2003</v>
      </c>
      <c r="B182" s="2760" t="s">
        <v>2004</v>
      </c>
      <c r="C182" s="2753"/>
      <c r="D182" s="2753"/>
      <c r="E182" s="2753"/>
      <c r="F182" s="2753"/>
      <c r="G182" s="2753"/>
      <c r="H182" s="2753"/>
      <c r="I182" s="2753"/>
      <c r="J182" s="2763"/>
    </row>
    <row r="183" spans="1:10" x14ac:dyDescent="0.2">
      <c r="A183" s="2781"/>
      <c r="B183" s="2782"/>
      <c r="C183" s="2766"/>
      <c r="D183" s="2766"/>
      <c r="E183" s="2766"/>
      <c r="F183" s="2766"/>
      <c r="G183" s="2766"/>
      <c r="H183" s="2766"/>
      <c r="I183" s="2766"/>
      <c r="J183" s="2767"/>
    </row>
    <row r="184" spans="1:10" x14ac:dyDescent="0.2">
      <c r="A184" s="2783"/>
      <c r="B184" s="2769"/>
      <c r="J184" s="2770"/>
    </row>
    <row r="185" spans="1:10" x14ac:dyDescent="0.2">
      <c r="A185" s="2783"/>
      <c r="B185" s="2769"/>
      <c r="J185" s="2770"/>
    </row>
    <row r="186" spans="1:10" x14ac:dyDescent="0.2">
      <c r="A186" s="2783"/>
      <c r="B186" s="2769"/>
      <c r="J186" s="2770"/>
    </row>
    <row r="187" spans="1:10" x14ac:dyDescent="0.2">
      <c r="A187" s="2783"/>
      <c r="B187" s="2769"/>
      <c r="J187" s="2770"/>
    </row>
    <row r="188" spans="1:10" x14ac:dyDescent="0.2">
      <c r="A188" s="2783"/>
      <c r="B188" s="2769"/>
      <c r="J188" s="2770"/>
    </row>
    <row r="189" spans="1:10" x14ac:dyDescent="0.2">
      <c r="A189" s="2783"/>
      <c r="B189" s="2769"/>
      <c r="J189" s="2770"/>
    </row>
    <row r="190" spans="1:10" x14ac:dyDescent="0.2">
      <c r="A190" s="2783"/>
      <c r="B190" s="2769"/>
      <c r="J190" s="2770"/>
    </row>
    <row r="191" spans="1:10" x14ac:dyDescent="0.2">
      <c r="A191" s="2783"/>
      <c r="B191" s="2769"/>
      <c r="J191" s="2770"/>
    </row>
    <row r="192" spans="1:10" x14ac:dyDescent="0.2">
      <c r="A192" s="2783"/>
      <c r="B192" s="2769"/>
      <c r="J192" s="2770"/>
    </row>
    <row r="193" spans="1:10" x14ac:dyDescent="0.2">
      <c r="A193" s="2783"/>
      <c r="B193" s="2769"/>
      <c r="J193" s="2770"/>
    </row>
    <row r="194" spans="1:10" x14ac:dyDescent="0.2">
      <c r="A194" s="2783"/>
      <c r="B194" s="2769"/>
      <c r="J194" s="2770"/>
    </row>
    <row r="195" spans="1:10" x14ac:dyDescent="0.2">
      <c r="A195" s="2783"/>
      <c r="B195" s="2769"/>
      <c r="J195" s="2770"/>
    </row>
    <row r="196" spans="1:10" x14ac:dyDescent="0.2">
      <c r="A196" s="2783"/>
      <c r="B196" s="2769"/>
      <c r="J196" s="2770"/>
    </row>
    <row r="197" spans="1:10" x14ac:dyDescent="0.2">
      <c r="A197" s="2783"/>
      <c r="B197" s="2769"/>
      <c r="J197" s="2770"/>
    </row>
    <row r="198" spans="1:10" x14ac:dyDescent="0.2">
      <c r="A198" s="2783"/>
      <c r="B198" s="2769"/>
      <c r="J198" s="2770"/>
    </row>
    <row r="199" spans="1:10" x14ac:dyDescent="0.2">
      <c r="A199" s="2783"/>
      <c r="B199" s="2769"/>
      <c r="J199" s="2770"/>
    </row>
    <row r="200" spans="1:10" x14ac:dyDescent="0.2">
      <c r="A200" s="2783"/>
      <c r="B200" s="2769"/>
      <c r="J200" s="2770"/>
    </row>
    <row r="201" spans="1:10" x14ac:dyDescent="0.2">
      <c r="A201" s="2783"/>
      <c r="B201" s="2769"/>
      <c r="J201" s="2770"/>
    </row>
    <row r="202" spans="1:10" x14ac:dyDescent="0.2">
      <c r="A202" s="2783"/>
      <c r="B202" s="2769"/>
      <c r="J202" s="2770"/>
    </row>
    <row r="203" spans="1:10" x14ac:dyDescent="0.2">
      <c r="A203" s="2783"/>
      <c r="B203" s="2769"/>
      <c r="J203" s="2770"/>
    </row>
    <row r="204" spans="1:10" x14ac:dyDescent="0.2">
      <c r="A204" s="2784"/>
      <c r="B204" s="2772"/>
      <c r="C204" s="2773"/>
      <c r="D204" s="2773"/>
      <c r="E204" s="2773"/>
      <c r="F204" s="2773"/>
      <c r="G204" s="2773"/>
      <c r="H204" s="2773"/>
      <c r="I204" s="2773"/>
      <c r="J204" s="2774"/>
    </row>
    <row r="205" spans="1:10" x14ac:dyDescent="0.2">
      <c r="A205" s="2785"/>
      <c r="B205" s="2766"/>
      <c r="C205" s="2766"/>
      <c r="D205" s="2766"/>
      <c r="E205" s="2766"/>
      <c r="F205" s="2766"/>
      <c r="G205" s="2766"/>
      <c r="H205" s="2766"/>
      <c r="I205" s="2766"/>
      <c r="J205" s="2767"/>
    </row>
    <row r="206" spans="1:10" x14ac:dyDescent="0.2">
      <c r="A206" s="2769"/>
      <c r="J206" s="2770"/>
    </row>
    <row r="207" spans="1:10" x14ac:dyDescent="0.2">
      <c r="A207" s="2769"/>
      <c r="J207" s="2770"/>
    </row>
    <row r="208" spans="1:10" x14ac:dyDescent="0.2">
      <c r="A208" s="2769"/>
      <c r="J208" s="2770"/>
    </row>
    <row r="209" spans="1:10" x14ac:dyDescent="0.2">
      <c r="A209" s="2769"/>
      <c r="J209" s="2770"/>
    </row>
    <row r="210" spans="1:10" x14ac:dyDescent="0.2">
      <c r="A210" s="2769"/>
      <c r="J210" s="2770"/>
    </row>
    <row r="211" spans="1:10" x14ac:dyDescent="0.2">
      <c r="A211" s="2769"/>
      <c r="J211" s="2770"/>
    </row>
    <row r="212" spans="1:10" x14ac:dyDescent="0.2">
      <c r="A212" s="2769"/>
      <c r="J212" s="2770"/>
    </row>
    <row r="213" spans="1:10" x14ac:dyDescent="0.2">
      <c r="A213" s="2769"/>
      <c r="J213" s="2770"/>
    </row>
    <row r="214" spans="1:10" x14ac:dyDescent="0.2">
      <c r="A214" s="2772"/>
      <c r="B214" s="2773"/>
      <c r="C214" s="2773"/>
      <c r="D214" s="2773"/>
      <c r="E214" s="2773"/>
      <c r="F214" s="2773"/>
      <c r="G214" s="2773"/>
      <c r="H214" s="2773"/>
      <c r="I214" s="2773"/>
      <c r="J214" s="2774"/>
    </row>
    <row r="215" spans="1:10" x14ac:dyDescent="0.2"/>
    <row r="216" spans="1:10" x14ac:dyDescent="0.2"/>
    <row r="217" spans="1:10" x14ac:dyDescent="0.2"/>
    <row r="218" spans="1:10" x14ac:dyDescent="0.2"/>
    <row r="219" spans="1:10" x14ac:dyDescent="0.2"/>
    <row r="220" spans="1:10" x14ac:dyDescent="0.2"/>
    <row r="221" spans="1:10" x14ac:dyDescent="0.2"/>
    <row r="222" spans="1:10" x14ac:dyDescent="0.2"/>
    <row r="223" spans="1:10" x14ac:dyDescent="0.2"/>
    <row r="224" spans="1:10"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row r="324" x14ac:dyDescent="0.2"/>
    <row r="325" x14ac:dyDescent="0.2"/>
    <row r="326" x14ac:dyDescent="0.2"/>
    <row r="327" x14ac:dyDescent="0.2"/>
    <row r="328" x14ac:dyDescent="0.2"/>
    <row r="329" x14ac:dyDescent="0.2"/>
    <row r="330" x14ac:dyDescent="0.2"/>
    <row r="331" x14ac:dyDescent="0.2"/>
    <row r="332" x14ac:dyDescent="0.2"/>
    <row r="333" x14ac:dyDescent="0.2"/>
    <row r="334" x14ac:dyDescent="0.2"/>
    <row r="335" x14ac:dyDescent="0.2"/>
    <row r="336" x14ac:dyDescent="0.2"/>
    <row r="337" x14ac:dyDescent="0.2"/>
    <row r="338" x14ac:dyDescent="0.2"/>
    <row r="339" x14ac:dyDescent="0.2"/>
    <row r="340" x14ac:dyDescent="0.2"/>
    <row r="341" x14ac:dyDescent="0.2"/>
    <row r="342" x14ac:dyDescent="0.2"/>
    <row r="343" x14ac:dyDescent="0.2"/>
    <row r="344" x14ac:dyDescent="0.2"/>
    <row r="345" x14ac:dyDescent="0.2"/>
    <row r="346" x14ac:dyDescent="0.2"/>
    <row r="347" x14ac:dyDescent="0.2"/>
    <row r="348" x14ac:dyDescent="0.2"/>
    <row r="349" x14ac:dyDescent="0.2"/>
    <row r="350" x14ac:dyDescent="0.2"/>
    <row r="351" x14ac:dyDescent="0.2"/>
    <row r="352" x14ac:dyDescent="0.2"/>
    <row r="353" x14ac:dyDescent="0.2"/>
    <row r="354" x14ac:dyDescent="0.2"/>
    <row r="355" x14ac:dyDescent="0.2"/>
    <row r="356" x14ac:dyDescent="0.2"/>
    <row r="357" x14ac:dyDescent="0.2"/>
    <row r="358" x14ac:dyDescent="0.2"/>
    <row r="359" x14ac:dyDescent="0.2"/>
    <row r="360" x14ac:dyDescent="0.2"/>
    <row r="361" x14ac:dyDescent="0.2"/>
    <row r="362" x14ac:dyDescent="0.2"/>
    <row r="363" x14ac:dyDescent="0.2"/>
    <row r="364" x14ac:dyDescent="0.2"/>
    <row r="365" x14ac:dyDescent="0.2"/>
    <row r="366" x14ac:dyDescent="0.2"/>
    <row r="367" x14ac:dyDescent="0.2"/>
    <row r="368" x14ac:dyDescent="0.2"/>
    <row r="369" x14ac:dyDescent="0.2"/>
    <row r="370" x14ac:dyDescent="0.2"/>
    <row r="371" x14ac:dyDescent="0.2"/>
    <row r="372" x14ac:dyDescent="0.2"/>
    <row r="373" x14ac:dyDescent="0.2"/>
    <row r="374" x14ac:dyDescent="0.2"/>
    <row r="375" x14ac:dyDescent="0.2"/>
    <row r="376" x14ac:dyDescent="0.2"/>
    <row r="377" x14ac:dyDescent="0.2"/>
    <row r="378" x14ac:dyDescent="0.2"/>
    <row r="379" x14ac:dyDescent="0.2"/>
    <row r="380" x14ac:dyDescent="0.2"/>
    <row r="381" x14ac:dyDescent="0.2"/>
    <row r="382" x14ac:dyDescent="0.2"/>
    <row r="383" x14ac:dyDescent="0.2"/>
    <row r="384" x14ac:dyDescent="0.2"/>
    <row r="385" x14ac:dyDescent="0.2"/>
    <row r="386" x14ac:dyDescent="0.2"/>
    <row r="387" x14ac:dyDescent="0.2"/>
    <row r="388" x14ac:dyDescent="0.2"/>
    <row r="389" x14ac:dyDescent="0.2"/>
    <row r="390" x14ac:dyDescent="0.2"/>
    <row r="391" x14ac:dyDescent="0.2"/>
    <row r="392" x14ac:dyDescent="0.2"/>
    <row r="393" x14ac:dyDescent="0.2"/>
    <row r="394" x14ac:dyDescent="0.2"/>
    <row r="395" x14ac:dyDescent="0.2"/>
    <row r="396" x14ac:dyDescent="0.2"/>
    <row r="397" x14ac:dyDescent="0.2"/>
    <row r="398" x14ac:dyDescent="0.2"/>
    <row r="399" x14ac:dyDescent="0.2"/>
    <row r="400" x14ac:dyDescent="0.2"/>
  </sheetData>
  <sheetProtection password="D5B5" sheet="1" objects="1" scenarios="1"/>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45"/>
  <dimension ref="A1:AV950"/>
  <sheetViews>
    <sheetView showGridLines="0" showRowColHeaders="0" zoomScale="80" zoomScaleNormal="80" workbookViewId="0"/>
  </sheetViews>
  <sheetFormatPr baseColWidth="10" defaultRowHeight="12.75" customHeight="1" zeroHeight="1" x14ac:dyDescent="0.2"/>
  <cols>
    <col min="1" max="1" width="50.85546875" style="20" customWidth="1"/>
    <col min="2" max="2" width="17.85546875" style="20" customWidth="1"/>
    <col min="3" max="3" width="8.7109375" style="20" customWidth="1"/>
    <col min="4" max="4" width="17.85546875" style="20" customWidth="1"/>
    <col min="5" max="6" width="8.7109375" style="20" customWidth="1"/>
    <col min="7" max="7" width="17.85546875" style="20" customWidth="1"/>
    <col min="8" max="9" width="8.7109375" style="20" customWidth="1"/>
    <col min="10" max="10" width="17.85546875" style="20" customWidth="1"/>
    <col min="11" max="12" width="8.7109375" style="20" customWidth="1"/>
    <col min="13" max="13" width="17.85546875" style="20" customWidth="1"/>
    <col min="14" max="15" width="8.7109375" style="20" customWidth="1"/>
    <col min="16" max="16" width="17.85546875" style="20" customWidth="1"/>
    <col min="17" max="18" width="8.7109375" style="20" customWidth="1"/>
    <col min="19" max="19" width="17.85546875" style="20" customWidth="1"/>
    <col min="20" max="21" width="8.7109375" style="20" customWidth="1"/>
    <col min="22" max="22" width="17.85546875" style="20" customWidth="1"/>
    <col min="23" max="24" width="8.7109375" style="20" customWidth="1"/>
    <col min="25" max="25" width="17.85546875" style="20" customWidth="1"/>
    <col min="26" max="27" width="8.7109375" style="20" customWidth="1"/>
    <col min="28" max="28" width="17.85546875" style="20" customWidth="1"/>
    <col min="29" max="30" width="8.7109375" style="20" customWidth="1"/>
    <col min="31" max="31" width="17.85546875" style="20" customWidth="1"/>
    <col min="32" max="33" width="8.7109375" style="20" customWidth="1"/>
    <col min="34" max="34" width="17.85546875" style="20" customWidth="1"/>
    <col min="35" max="36" width="8.7109375" style="20" customWidth="1"/>
    <col min="37" max="37" width="17.85546875" style="20" customWidth="1"/>
    <col min="38" max="39" width="8.7109375" style="20" customWidth="1"/>
    <col min="40" max="40" width="17.85546875" style="20" customWidth="1"/>
    <col min="41" max="42" width="8.7109375" style="20" customWidth="1"/>
    <col min="43" max="43" width="17.85546875" style="20" customWidth="1"/>
    <col min="44" max="45" width="8.7109375" style="20" customWidth="1"/>
    <col min="46" max="46" width="17.85546875" style="20" customWidth="1"/>
    <col min="47" max="48" width="8.7109375" style="20" customWidth="1"/>
    <col min="49" max="256" width="10.85546875" style="20"/>
    <col min="257" max="257" width="50.85546875" style="20" customWidth="1"/>
    <col min="258" max="258" width="17.85546875" style="20" customWidth="1"/>
    <col min="259" max="259" width="8.7109375" style="20" customWidth="1"/>
    <col min="260" max="260" width="17.85546875" style="20" customWidth="1"/>
    <col min="261" max="262" width="8.7109375" style="20" customWidth="1"/>
    <col min="263" max="263" width="17.85546875" style="20" customWidth="1"/>
    <col min="264" max="265" width="8.7109375" style="20" customWidth="1"/>
    <col min="266" max="266" width="17.85546875" style="20" customWidth="1"/>
    <col min="267" max="268" width="8.7109375" style="20" customWidth="1"/>
    <col min="269" max="269" width="17.85546875" style="20" customWidth="1"/>
    <col min="270" max="271" width="8.7109375" style="20" customWidth="1"/>
    <col min="272" max="272" width="17.85546875" style="20" customWidth="1"/>
    <col min="273" max="274" width="8.7109375" style="20" customWidth="1"/>
    <col min="275" max="275" width="17.85546875" style="20" customWidth="1"/>
    <col min="276" max="277" width="8.7109375" style="20" customWidth="1"/>
    <col min="278" max="278" width="17.85546875" style="20" customWidth="1"/>
    <col min="279" max="280" width="8.7109375" style="20" customWidth="1"/>
    <col min="281" max="281" width="17.85546875" style="20" customWidth="1"/>
    <col min="282" max="283" width="8.7109375" style="20" customWidth="1"/>
    <col min="284" max="284" width="17.85546875" style="20" customWidth="1"/>
    <col min="285" max="286" width="8.7109375" style="20" customWidth="1"/>
    <col min="287" max="287" width="17.85546875" style="20" customWidth="1"/>
    <col min="288" max="289" width="8.7109375" style="20" customWidth="1"/>
    <col min="290" max="290" width="17.85546875" style="20" customWidth="1"/>
    <col min="291" max="292" width="8.7109375" style="20" customWidth="1"/>
    <col min="293" max="293" width="17.85546875" style="20" customWidth="1"/>
    <col min="294" max="295" width="8.7109375" style="20" customWidth="1"/>
    <col min="296" max="296" width="17.85546875" style="20" customWidth="1"/>
    <col min="297" max="298" width="8.7109375" style="20" customWidth="1"/>
    <col min="299" max="299" width="17.85546875" style="20" customWidth="1"/>
    <col min="300" max="301" width="8.7109375" style="20" customWidth="1"/>
    <col min="302" max="302" width="17.85546875" style="20" customWidth="1"/>
    <col min="303" max="304" width="8.7109375" style="20" customWidth="1"/>
    <col min="305" max="512" width="10.85546875" style="20"/>
    <col min="513" max="513" width="50.85546875" style="20" customWidth="1"/>
    <col min="514" max="514" width="17.85546875" style="20" customWidth="1"/>
    <col min="515" max="515" width="8.7109375" style="20" customWidth="1"/>
    <col min="516" max="516" width="17.85546875" style="20" customWidth="1"/>
    <col min="517" max="518" width="8.7109375" style="20" customWidth="1"/>
    <col min="519" max="519" width="17.85546875" style="20" customWidth="1"/>
    <col min="520" max="521" width="8.7109375" style="20" customWidth="1"/>
    <col min="522" max="522" width="17.85546875" style="20" customWidth="1"/>
    <col min="523" max="524" width="8.7109375" style="20" customWidth="1"/>
    <col min="525" max="525" width="17.85546875" style="20" customWidth="1"/>
    <col min="526" max="527" width="8.7109375" style="20" customWidth="1"/>
    <col min="528" max="528" width="17.85546875" style="20" customWidth="1"/>
    <col min="529" max="530" width="8.7109375" style="20" customWidth="1"/>
    <col min="531" max="531" width="17.85546875" style="20" customWidth="1"/>
    <col min="532" max="533" width="8.7109375" style="20" customWidth="1"/>
    <col min="534" max="534" width="17.85546875" style="20" customWidth="1"/>
    <col min="535" max="536" width="8.7109375" style="20" customWidth="1"/>
    <col min="537" max="537" width="17.85546875" style="20" customWidth="1"/>
    <col min="538" max="539" width="8.7109375" style="20" customWidth="1"/>
    <col min="540" max="540" width="17.85546875" style="20" customWidth="1"/>
    <col min="541" max="542" width="8.7109375" style="20" customWidth="1"/>
    <col min="543" max="543" width="17.85546875" style="20" customWidth="1"/>
    <col min="544" max="545" width="8.7109375" style="20" customWidth="1"/>
    <col min="546" max="546" width="17.85546875" style="20" customWidth="1"/>
    <col min="547" max="548" width="8.7109375" style="20" customWidth="1"/>
    <col min="549" max="549" width="17.85546875" style="20" customWidth="1"/>
    <col min="550" max="551" width="8.7109375" style="20" customWidth="1"/>
    <col min="552" max="552" width="17.85546875" style="20" customWidth="1"/>
    <col min="553" max="554" width="8.7109375" style="20" customWidth="1"/>
    <col min="555" max="555" width="17.85546875" style="20" customWidth="1"/>
    <col min="556" max="557" width="8.7109375" style="20" customWidth="1"/>
    <col min="558" max="558" width="17.85546875" style="20" customWidth="1"/>
    <col min="559" max="560" width="8.7109375" style="20" customWidth="1"/>
    <col min="561" max="768" width="10.85546875" style="20"/>
    <col min="769" max="769" width="50.85546875" style="20" customWidth="1"/>
    <col min="770" max="770" width="17.85546875" style="20" customWidth="1"/>
    <col min="771" max="771" width="8.7109375" style="20" customWidth="1"/>
    <col min="772" max="772" width="17.85546875" style="20" customWidth="1"/>
    <col min="773" max="774" width="8.7109375" style="20" customWidth="1"/>
    <col min="775" max="775" width="17.85546875" style="20" customWidth="1"/>
    <col min="776" max="777" width="8.7109375" style="20" customWidth="1"/>
    <col min="778" max="778" width="17.85546875" style="20" customWidth="1"/>
    <col min="779" max="780" width="8.7109375" style="20" customWidth="1"/>
    <col min="781" max="781" width="17.85546875" style="20" customWidth="1"/>
    <col min="782" max="783" width="8.7109375" style="20" customWidth="1"/>
    <col min="784" max="784" width="17.85546875" style="20" customWidth="1"/>
    <col min="785" max="786" width="8.7109375" style="20" customWidth="1"/>
    <col min="787" max="787" width="17.85546875" style="20" customWidth="1"/>
    <col min="788" max="789" width="8.7109375" style="20" customWidth="1"/>
    <col min="790" max="790" width="17.85546875" style="20" customWidth="1"/>
    <col min="791" max="792" width="8.7109375" style="20" customWidth="1"/>
    <col min="793" max="793" width="17.85546875" style="20" customWidth="1"/>
    <col min="794" max="795" width="8.7109375" style="20" customWidth="1"/>
    <col min="796" max="796" width="17.85546875" style="20" customWidth="1"/>
    <col min="797" max="798" width="8.7109375" style="20" customWidth="1"/>
    <col min="799" max="799" width="17.85546875" style="20" customWidth="1"/>
    <col min="800" max="801" width="8.7109375" style="20" customWidth="1"/>
    <col min="802" max="802" width="17.85546875" style="20" customWidth="1"/>
    <col min="803" max="804" width="8.7109375" style="20" customWidth="1"/>
    <col min="805" max="805" width="17.85546875" style="20" customWidth="1"/>
    <col min="806" max="807" width="8.7109375" style="20" customWidth="1"/>
    <col min="808" max="808" width="17.85546875" style="20" customWidth="1"/>
    <col min="809" max="810" width="8.7109375" style="20" customWidth="1"/>
    <col min="811" max="811" width="17.85546875" style="20" customWidth="1"/>
    <col min="812" max="813" width="8.7109375" style="20" customWidth="1"/>
    <col min="814" max="814" width="17.85546875" style="20" customWidth="1"/>
    <col min="815" max="816" width="8.7109375" style="20" customWidth="1"/>
    <col min="817" max="1024" width="10.85546875" style="20"/>
    <col min="1025" max="1025" width="50.85546875" style="20" customWidth="1"/>
    <col min="1026" max="1026" width="17.85546875" style="20" customWidth="1"/>
    <col min="1027" max="1027" width="8.7109375" style="20" customWidth="1"/>
    <col min="1028" max="1028" width="17.85546875" style="20" customWidth="1"/>
    <col min="1029" max="1030" width="8.7109375" style="20" customWidth="1"/>
    <col min="1031" max="1031" width="17.85546875" style="20" customWidth="1"/>
    <col min="1032" max="1033" width="8.7109375" style="20" customWidth="1"/>
    <col min="1034" max="1034" width="17.85546875" style="20" customWidth="1"/>
    <col min="1035" max="1036" width="8.7109375" style="20" customWidth="1"/>
    <col min="1037" max="1037" width="17.85546875" style="20" customWidth="1"/>
    <col min="1038" max="1039" width="8.7109375" style="20" customWidth="1"/>
    <col min="1040" max="1040" width="17.85546875" style="20" customWidth="1"/>
    <col min="1041" max="1042" width="8.7109375" style="20" customWidth="1"/>
    <col min="1043" max="1043" width="17.85546875" style="20" customWidth="1"/>
    <col min="1044" max="1045" width="8.7109375" style="20" customWidth="1"/>
    <col min="1046" max="1046" width="17.85546875" style="20" customWidth="1"/>
    <col min="1047" max="1048" width="8.7109375" style="20" customWidth="1"/>
    <col min="1049" max="1049" width="17.85546875" style="20" customWidth="1"/>
    <col min="1050" max="1051" width="8.7109375" style="20" customWidth="1"/>
    <col min="1052" max="1052" width="17.85546875" style="20" customWidth="1"/>
    <col min="1053" max="1054" width="8.7109375" style="20" customWidth="1"/>
    <col min="1055" max="1055" width="17.85546875" style="20" customWidth="1"/>
    <col min="1056" max="1057" width="8.7109375" style="20" customWidth="1"/>
    <col min="1058" max="1058" width="17.85546875" style="20" customWidth="1"/>
    <col min="1059" max="1060" width="8.7109375" style="20" customWidth="1"/>
    <col min="1061" max="1061" width="17.85546875" style="20" customWidth="1"/>
    <col min="1062" max="1063" width="8.7109375" style="20" customWidth="1"/>
    <col min="1064" max="1064" width="17.85546875" style="20" customWidth="1"/>
    <col min="1065" max="1066" width="8.7109375" style="20" customWidth="1"/>
    <col min="1067" max="1067" width="17.85546875" style="20" customWidth="1"/>
    <col min="1068" max="1069" width="8.7109375" style="20" customWidth="1"/>
    <col min="1070" max="1070" width="17.85546875" style="20" customWidth="1"/>
    <col min="1071" max="1072" width="8.7109375" style="20" customWidth="1"/>
    <col min="1073" max="1280" width="10.85546875" style="20"/>
    <col min="1281" max="1281" width="50.85546875" style="20" customWidth="1"/>
    <col min="1282" max="1282" width="17.85546875" style="20" customWidth="1"/>
    <col min="1283" max="1283" width="8.7109375" style="20" customWidth="1"/>
    <col min="1284" max="1284" width="17.85546875" style="20" customWidth="1"/>
    <col min="1285" max="1286" width="8.7109375" style="20" customWidth="1"/>
    <col min="1287" max="1287" width="17.85546875" style="20" customWidth="1"/>
    <col min="1288" max="1289" width="8.7109375" style="20" customWidth="1"/>
    <col min="1290" max="1290" width="17.85546875" style="20" customWidth="1"/>
    <col min="1291" max="1292" width="8.7109375" style="20" customWidth="1"/>
    <col min="1293" max="1293" width="17.85546875" style="20" customWidth="1"/>
    <col min="1294" max="1295" width="8.7109375" style="20" customWidth="1"/>
    <col min="1296" max="1296" width="17.85546875" style="20" customWidth="1"/>
    <col min="1297" max="1298" width="8.7109375" style="20" customWidth="1"/>
    <col min="1299" max="1299" width="17.85546875" style="20" customWidth="1"/>
    <col min="1300" max="1301" width="8.7109375" style="20" customWidth="1"/>
    <col min="1302" max="1302" width="17.85546875" style="20" customWidth="1"/>
    <col min="1303" max="1304" width="8.7109375" style="20" customWidth="1"/>
    <col min="1305" max="1305" width="17.85546875" style="20" customWidth="1"/>
    <col min="1306" max="1307" width="8.7109375" style="20" customWidth="1"/>
    <col min="1308" max="1308" width="17.85546875" style="20" customWidth="1"/>
    <col min="1309" max="1310" width="8.7109375" style="20" customWidth="1"/>
    <col min="1311" max="1311" width="17.85546875" style="20" customWidth="1"/>
    <col min="1312" max="1313" width="8.7109375" style="20" customWidth="1"/>
    <col min="1314" max="1314" width="17.85546875" style="20" customWidth="1"/>
    <col min="1315" max="1316" width="8.7109375" style="20" customWidth="1"/>
    <col min="1317" max="1317" width="17.85546875" style="20" customWidth="1"/>
    <col min="1318" max="1319" width="8.7109375" style="20" customWidth="1"/>
    <col min="1320" max="1320" width="17.85546875" style="20" customWidth="1"/>
    <col min="1321" max="1322" width="8.7109375" style="20" customWidth="1"/>
    <col min="1323" max="1323" width="17.85546875" style="20" customWidth="1"/>
    <col min="1324" max="1325" width="8.7109375" style="20" customWidth="1"/>
    <col min="1326" max="1326" width="17.85546875" style="20" customWidth="1"/>
    <col min="1327" max="1328" width="8.7109375" style="20" customWidth="1"/>
    <col min="1329" max="1536" width="10.85546875" style="20"/>
    <col min="1537" max="1537" width="50.85546875" style="20" customWidth="1"/>
    <col min="1538" max="1538" width="17.85546875" style="20" customWidth="1"/>
    <col min="1539" max="1539" width="8.7109375" style="20" customWidth="1"/>
    <col min="1540" max="1540" width="17.85546875" style="20" customWidth="1"/>
    <col min="1541" max="1542" width="8.7109375" style="20" customWidth="1"/>
    <col min="1543" max="1543" width="17.85546875" style="20" customWidth="1"/>
    <col min="1544" max="1545" width="8.7109375" style="20" customWidth="1"/>
    <col min="1546" max="1546" width="17.85546875" style="20" customWidth="1"/>
    <col min="1547" max="1548" width="8.7109375" style="20" customWidth="1"/>
    <col min="1549" max="1549" width="17.85546875" style="20" customWidth="1"/>
    <col min="1550" max="1551" width="8.7109375" style="20" customWidth="1"/>
    <col min="1552" max="1552" width="17.85546875" style="20" customWidth="1"/>
    <col min="1553" max="1554" width="8.7109375" style="20" customWidth="1"/>
    <col min="1555" max="1555" width="17.85546875" style="20" customWidth="1"/>
    <col min="1556" max="1557" width="8.7109375" style="20" customWidth="1"/>
    <col min="1558" max="1558" width="17.85546875" style="20" customWidth="1"/>
    <col min="1559" max="1560" width="8.7109375" style="20" customWidth="1"/>
    <col min="1561" max="1561" width="17.85546875" style="20" customWidth="1"/>
    <col min="1562" max="1563" width="8.7109375" style="20" customWidth="1"/>
    <col min="1564" max="1564" width="17.85546875" style="20" customWidth="1"/>
    <col min="1565" max="1566" width="8.7109375" style="20" customWidth="1"/>
    <col min="1567" max="1567" width="17.85546875" style="20" customWidth="1"/>
    <col min="1568" max="1569" width="8.7109375" style="20" customWidth="1"/>
    <col min="1570" max="1570" width="17.85546875" style="20" customWidth="1"/>
    <col min="1571" max="1572" width="8.7109375" style="20" customWidth="1"/>
    <col min="1573" max="1573" width="17.85546875" style="20" customWidth="1"/>
    <col min="1574" max="1575" width="8.7109375" style="20" customWidth="1"/>
    <col min="1576" max="1576" width="17.85546875" style="20" customWidth="1"/>
    <col min="1577" max="1578" width="8.7109375" style="20" customWidth="1"/>
    <col min="1579" max="1579" width="17.85546875" style="20" customWidth="1"/>
    <col min="1580" max="1581" width="8.7109375" style="20" customWidth="1"/>
    <col min="1582" max="1582" width="17.85546875" style="20" customWidth="1"/>
    <col min="1583" max="1584" width="8.7109375" style="20" customWidth="1"/>
    <col min="1585" max="1792" width="10.85546875" style="20"/>
    <col min="1793" max="1793" width="50.85546875" style="20" customWidth="1"/>
    <col min="1794" max="1794" width="17.85546875" style="20" customWidth="1"/>
    <col min="1795" max="1795" width="8.7109375" style="20" customWidth="1"/>
    <col min="1796" max="1796" width="17.85546875" style="20" customWidth="1"/>
    <col min="1797" max="1798" width="8.7109375" style="20" customWidth="1"/>
    <col min="1799" max="1799" width="17.85546875" style="20" customWidth="1"/>
    <col min="1800" max="1801" width="8.7109375" style="20" customWidth="1"/>
    <col min="1802" max="1802" width="17.85546875" style="20" customWidth="1"/>
    <col min="1803" max="1804" width="8.7109375" style="20" customWidth="1"/>
    <col min="1805" max="1805" width="17.85546875" style="20" customWidth="1"/>
    <col min="1806" max="1807" width="8.7109375" style="20" customWidth="1"/>
    <col min="1808" max="1808" width="17.85546875" style="20" customWidth="1"/>
    <col min="1809" max="1810" width="8.7109375" style="20" customWidth="1"/>
    <col min="1811" max="1811" width="17.85546875" style="20" customWidth="1"/>
    <col min="1812" max="1813" width="8.7109375" style="20" customWidth="1"/>
    <col min="1814" max="1814" width="17.85546875" style="20" customWidth="1"/>
    <col min="1815" max="1816" width="8.7109375" style="20" customWidth="1"/>
    <col min="1817" max="1817" width="17.85546875" style="20" customWidth="1"/>
    <col min="1818" max="1819" width="8.7109375" style="20" customWidth="1"/>
    <col min="1820" max="1820" width="17.85546875" style="20" customWidth="1"/>
    <col min="1821" max="1822" width="8.7109375" style="20" customWidth="1"/>
    <col min="1823" max="1823" width="17.85546875" style="20" customWidth="1"/>
    <col min="1824" max="1825" width="8.7109375" style="20" customWidth="1"/>
    <col min="1826" max="1826" width="17.85546875" style="20" customWidth="1"/>
    <col min="1827" max="1828" width="8.7109375" style="20" customWidth="1"/>
    <col min="1829" max="1829" width="17.85546875" style="20" customWidth="1"/>
    <col min="1830" max="1831" width="8.7109375" style="20" customWidth="1"/>
    <col min="1832" max="1832" width="17.85546875" style="20" customWidth="1"/>
    <col min="1833" max="1834" width="8.7109375" style="20" customWidth="1"/>
    <col min="1835" max="1835" width="17.85546875" style="20" customWidth="1"/>
    <col min="1836" max="1837" width="8.7109375" style="20" customWidth="1"/>
    <col min="1838" max="1838" width="17.85546875" style="20" customWidth="1"/>
    <col min="1839" max="1840" width="8.7109375" style="20" customWidth="1"/>
    <col min="1841" max="2048" width="10.85546875" style="20"/>
    <col min="2049" max="2049" width="50.85546875" style="20" customWidth="1"/>
    <col min="2050" max="2050" width="17.85546875" style="20" customWidth="1"/>
    <col min="2051" max="2051" width="8.7109375" style="20" customWidth="1"/>
    <col min="2052" max="2052" width="17.85546875" style="20" customWidth="1"/>
    <col min="2053" max="2054" width="8.7109375" style="20" customWidth="1"/>
    <col min="2055" max="2055" width="17.85546875" style="20" customWidth="1"/>
    <col min="2056" max="2057" width="8.7109375" style="20" customWidth="1"/>
    <col min="2058" max="2058" width="17.85546875" style="20" customWidth="1"/>
    <col min="2059" max="2060" width="8.7109375" style="20" customWidth="1"/>
    <col min="2061" max="2061" width="17.85546875" style="20" customWidth="1"/>
    <col min="2062" max="2063" width="8.7109375" style="20" customWidth="1"/>
    <col min="2064" max="2064" width="17.85546875" style="20" customWidth="1"/>
    <col min="2065" max="2066" width="8.7109375" style="20" customWidth="1"/>
    <col min="2067" max="2067" width="17.85546875" style="20" customWidth="1"/>
    <col min="2068" max="2069" width="8.7109375" style="20" customWidth="1"/>
    <col min="2070" max="2070" width="17.85546875" style="20" customWidth="1"/>
    <col min="2071" max="2072" width="8.7109375" style="20" customWidth="1"/>
    <col min="2073" max="2073" width="17.85546875" style="20" customWidth="1"/>
    <col min="2074" max="2075" width="8.7109375" style="20" customWidth="1"/>
    <col min="2076" max="2076" width="17.85546875" style="20" customWidth="1"/>
    <col min="2077" max="2078" width="8.7109375" style="20" customWidth="1"/>
    <col min="2079" max="2079" width="17.85546875" style="20" customWidth="1"/>
    <col min="2080" max="2081" width="8.7109375" style="20" customWidth="1"/>
    <col min="2082" max="2082" width="17.85546875" style="20" customWidth="1"/>
    <col min="2083" max="2084" width="8.7109375" style="20" customWidth="1"/>
    <col min="2085" max="2085" width="17.85546875" style="20" customWidth="1"/>
    <col min="2086" max="2087" width="8.7109375" style="20" customWidth="1"/>
    <col min="2088" max="2088" width="17.85546875" style="20" customWidth="1"/>
    <col min="2089" max="2090" width="8.7109375" style="20" customWidth="1"/>
    <col min="2091" max="2091" width="17.85546875" style="20" customWidth="1"/>
    <col min="2092" max="2093" width="8.7109375" style="20" customWidth="1"/>
    <col min="2094" max="2094" width="17.85546875" style="20" customWidth="1"/>
    <col min="2095" max="2096" width="8.7109375" style="20" customWidth="1"/>
    <col min="2097" max="2304" width="10.85546875" style="20"/>
    <col min="2305" max="2305" width="50.85546875" style="20" customWidth="1"/>
    <col min="2306" max="2306" width="17.85546875" style="20" customWidth="1"/>
    <col min="2307" max="2307" width="8.7109375" style="20" customWidth="1"/>
    <col min="2308" max="2308" width="17.85546875" style="20" customWidth="1"/>
    <col min="2309" max="2310" width="8.7109375" style="20" customWidth="1"/>
    <col min="2311" max="2311" width="17.85546875" style="20" customWidth="1"/>
    <col min="2312" max="2313" width="8.7109375" style="20" customWidth="1"/>
    <col min="2314" max="2314" width="17.85546875" style="20" customWidth="1"/>
    <col min="2315" max="2316" width="8.7109375" style="20" customWidth="1"/>
    <col min="2317" max="2317" width="17.85546875" style="20" customWidth="1"/>
    <col min="2318" max="2319" width="8.7109375" style="20" customWidth="1"/>
    <col min="2320" max="2320" width="17.85546875" style="20" customWidth="1"/>
    <col min="2321" max="2322" width="8.7109375" style="20" customWidth="1"/>
    <col min="2323" max="2323" width="17.85546875" style="20" customWidth="1"/>
    <col min="2324" max="2325" width="8.7109375" style="20" customWidth="1"/>
    <col min="2326" max="2326" width="17.85546875" style="20" customWidth="1"/>
    <col min="2327" max="2328" width="8.7109375" style="20" customWidth="1"/>
    <col min="2329" max="2329" width="17.85546875" style="20" customWidth="1"/>
    <col min="2330" max="2331" width="8.7109375" style="20" customWidth="1"/>
    <col min="2332" max="2332" width="17.85546875" style="20" customWidth="1"/>
    <col min="2333" max="2334" width="8.7109375" style="20" customWidth="1"/>
    <col min="2335" max="2335" width="17.85546875" style="20" customWidth="1"/>
    <col min="2336" max="2337" width="8.7109375" style="20" customWidth="1"/>
    <col min="2338" max="2338" width="17.85546875" style="20" customWidth="1"/>
    <col min="2339" max="2340" width="8.7109375" style="20" customWidth="1"/>
    <col min="2341" max="2341" width="17.85546875" style="20" customWidth="1"/>
    <col min="2342" max="2343" width="8.7109375" style="20" customWidth="1"/>
    <col min="2344" max="2344" width="17.85546875" style="20" customWidth="1"/>
    <col min="2345" max="2346" width="8.7109375" style="20" customWidth="1"/>
    <col min="2347" max="2347" width="17.85546875" style="20" customWidth="1"/>
    <col min="2348" max="2349" width="8.7109375" style="20" customWidth="1"/>
    <col min="2350" max="2350" width="17.85546875" style="20" customWidth="1"/>
    <col min="2351" max="2352" width="8.7109375" style="20" customWidth="1"/>
    <col min="2353" max="2560" width="10.85546875" style="20"/>
    <col min="2561" max="2561" width="50.85546875" style="20" customWidth="1"/>
    <col min="2562" max="2562" width="17.85546875" style="20" customWidth="1"/>
    <col min="2563" max="2563" width="8.7109375" style="20" customWidth="1"/>
    <col min="2564" max="2564" width="17.85546875" style="20" customWidth="1"/>
    <col min="2565" max="2566" width="8.7109375" style="20" customWidth="1"/>
    <col min="2567" max="2567" width="17.85546875" style="20" customWidth="1"/>
    <col min="2568" max="2569" width="8.7109375" style="20" customWidth="1"/>
    <col min="2570" max="2570" width="17.85546875" style="20" customWidth="1"/>
    <col min="2571" max="2572" width="8.7109375" style="20" customWidth="1"/>
    <col min="2573" max="2573" width="17.85546875" style="20" customWidth="1"/>
    <col min="2574" max="2575" width="8.7109375" style="20" customWidth="1"/>
    <col min="2576" max="2576" width="17.85546875" style="20" customWidth="1"/>
    <col min="2577" max="2578" width="8.7109375" style="20" customWidth="1"/>
    <col min="2579" max="2579" width="17.85546875" style="20" customWidth="1"/>
    <col min="2580" max="2581" width="8.7109375" style="20" customWidth="1"/>
    <col min="2582" max="2582" width="17.85546875" style="20" customWidth="1"/>
    <col min="2583" max="2584" width="8.7109375" style="20" customWidth="1"/>
    <col min="2585" max="2585" width="17.85546875" style="20" customWidth="1"/>
    <col min="2586" max="2587" width="8.7109375" style="20" customWidth="1"/>
    <col min="2588" max="2588" width="17.85546875" style="20" customWidth="1"/>
    <col min="2589" max="2590" width="8.7109375" style="20" customWidth="1"/>
    <col min="2591" max="2591" width="17.85546875" style="20" customWidth="1"/>
    <col min="2592" max="2593" width="8.7109375" style="20" customWidth="1"/>
    <col min="2594" max="2594" width="17.85546875" style="20" customWidth="1"/>
    <col min="2595" max="2596" width="8.7109375" style="20" customWidth="1"/>
    <col min="2597" max="2597" width="17.85546875" style="20" customWidth="1"/>
    <col min="2598" max="2599" width="8.7109375" style="20" customWidth="1"/>
    <col min="2600" max="2600" width="17.85546875" style="20" customWidth="1"/>
    <col min="2601" max="2602" width="8.7109375" style="20" customWidth="1"/>
    <col min="2603" max="2603" width="17.85546875" style="20" customWidth="1"/>
    <col min="2604" max="2605" width="8.7109375" style="20" customWidth="1"/>
    <col min="2606" max="2606" width="17.85546875" style="20" customWidth="1"/>
    <col min="2607" max="2608" width="8.7109375" style="20" customWidth="1"/>
    <col min="2609" max="2816" width="10.85546875" style="20"/>
    <col min="2817" max="2817" width="50.85546875" style="20" customWidth="1"/>
    <col min="2818" max="2818" width="17.85546875" style="20" customWidth="1"/>
    <col min="2819" max="2819" width="8.7109375" style="20" customWidth="1"/>
    <col min="2820" max="2820" width="17.85546875" style="20" customWidth="1"/>
    <col min="2821" max="2822" width="8.7109375" style="20" customWidth="1"/>
    <col min="2823" max="2823" width="17.85546875" style="20" customWidth="1"/>
    <col min="2824" max="2825" width="8.7109375" style="20" customWidth="1"/>
    <col min="2826" max="2826" width="17.85546875" style="20" customWidth="1"/>
    <col min="2827" max="2828" width="8.7109375" style="20" customWidth="1"/>
    <col min="2829" max="2829" width="17.85546875" style="20" customWidth="1"/>
    <col min="2830" max="2831" width="8.7109375" style="20" customWidth="1"/>
    <col min="2832" max="2832" width="17.85546875" style="20" customWidth="1"/>
    <col min="2833" max="2834" width="8.7109375" style="20" customWidth="1"/>
    <col min="2835" max="2835" width="17.85546875" style="20" customWidth="1"/>
    <col min="2836" max="2837" width="8.7109375" style="20" customWidth="1"/>
    <col min="2838" max="2838" width="17.85546875" style="20" customWidth="1"/>
    <col min="2839" max="2840" width="8.7109375" style="20" customWidth="1"/>
    <col min="2841" max="2841" width="17.85546875" style="20" customWidth="1"/>
    <col min="2842" max="2843" width="8.7109375" style="20" customWidth="1"/>
    <col min="2844" max="2844" width="17.85546875" style="20" customWidth="1"/>
    <col min="2845" max="2846" width="8.7109375" style="20" customWidth="1"/>
    <col min="2847" max="2847" width="17.85546875" style="20" customWidth="1"/>
    <col min="2848" max="2849" width="8.7109375" style="20" customWidth="1"/>
    <col min="2850" max="2850" width="17.85546875" style="20" customWidth="1"/>
    <col min="2851" max="2852" width="8.7109375" style="20" customWidth="1"/>
    <col min="2853" max="2853" width="17.85546875" style="20" customWidth="1"/>
    <col min="2854" max="2855" width="8.7109375" style="20" customWidth="1"/>
    <col min="2856" max="2856" width="17.85546875" style="20" customWidth="1"/>
    <col min="2857" max="2858" width="8.7109375" style="20" customWidth="1"/>
    <col min="2859" max="2859" width="17.85546875" style="20" customWidth="1"/>
    <col min="2860" max="2861" width="8.7109375" style="20" customWidth="1"/>
    <col min="2862" max="2862" width="17.85546875" style="20" customWidth="1"/>
    <col min="2863" max="2864" width="8.7109375" style="20" customWidth="1"/>
    <col min="2865" max="3072" width="10.85546875" style="20"/>
    <col min="3073" max="3073" width="50.85546875" style="20" customWidth="1"/>
    <col min="3074" max="3074" width="17.85546875" style="20" customWidth="1"/>
    <col min="3075" max="3075" width="8.7109375" style="20" customWidth="1"/>
    <col min="3076" max="3076" width="17.85546875" style="20" customWidth="1"/>
    <col min="3077" max="3078" width="8.7109375" style="20" customWidth="1"/>
    <col min="3079" max="3079" width="17.85546875" style="20" customWidth="1"/>
    <col min="3080" max="3081" width="8.7109375" style="20" customWidth="1"/>
    <col min="3082" max="3082" width="17.85546875" style="20" customWidth="1"/>
    <col min="3083" max="3084" width="8.7109375" style="20" customWidth="1"/>
    <col min="3085" max="3085" width="17.85546875" style="20" customWidth="1"/>
    <col min="3086" max="3087" width="8.7109375" style="20" customWidth="1"/>
    <col min="3088" max="3088" width="17.85546875" style="20" customWidth="1"/>
    <col min="3089" max="3090" width="8.7109375" style="20" customWidth="1"/>
    <col min="3091" max="3091" width="17.85546875" style="20" customWidth="1"/>
    <col min="3092" max="3093" width="8.7109375" style="20" customWidth="1"/>
    <col min="3094" max="3094" width="17.85546875" style="20" customWidth="1"/>
    <col min="3095" max="3096" width="8.7109375" style="20" customWidth="1"/>
    <col min="3097" max="3097" width="17.85546875" style="20" customWidth="1"/>
    <col min="3098" max="3099" width="8.7109375" style="20" customWidth="1"/>
    <col min="3100" max="3100" width="17.85546875" style="20" customWidth="1"/>
    <col min="3101" max="3102" width="8.7109375" style="20" customWidth="1"/>
    <col min="3103" max="3103" width="17.85546875" style="20" customWidth="1"/>
    <col min="3104" max="3105" width="8.7109375" style="20" customWidth="1"/>
    <col min="3106" max="3106" width="17.85546875" style="20" customWidth="1"/>
    <col min="3107" max="3108" width="8.7109375" style="20" customWidth="1"/>
    <col min="3109" max="3109" width="17.85546875" style="20" customWidth="1"/>
    <col min="3110" max="3111" width="8.7109375" style="20" customWidth="1"/>
    <col min="3112" max="3112" width="17.85546875" style="20" customWidth="1"/>
    <col min="3113" max="3114" width="8.7109375" style="20" customWidth="1"/>
    <col min="3115" max="3115" width="17.85546875" style="20" customWidth="1"/>
    <col min="3116" max="3117" width="8.7109375" style="20" customWidth="1"/>
    <col min="3118" max="3118" width="17.85546875" style="20" customWidth="1"/>
    <col min="3119" max="3120" width="8.7109375" style="20" customWidth="1"/>
    <col min="3121" max="3328" width="10.85546875" style="20"/>
    <col min="3329" max="3329" width="50.85546875" style="20" customWidth="1"/>
    <col min="3330" max="3330" width="17.85546875" style="20" customWidth="1"/>
    <col min="3331" max="3331" width="8.7109375" style="20" customWidth="1"/>
    <col min="3332" max="3332" width="17.85546875" style="20" customWidth="1"/>
    <col min="3333" max="3334" width="8.7109375" style="20" customWidth="1"/>
    <col min="3335" max="3335" width="17.85546875" style="20" customWidth="1"/>
    <col min="3336" max="3337" width="8.7109375" style="20" customWidth="1"/>
    <col min="3338" max="3338" width="17.85546875" style="20" customWidth="1"/>
    <col min="3339" max="3340" width="8.7109375" style="20" customWidth="1"/>
    <col min="3341" max="3341" width="17.85546875" style="20" customWidth="1"/>
    <col min="3342" max="3343" width="8.7109375" style="20" customWidth="1"/>
    <col min="3344" max="3344" width="17.85546875" style="20" customWidth="1"/>
    <col min="3345" max="3346" width="8.7109375" style="20" customWidth="1"/>
    <col min="3347" max="3347" width="17.85546875" style="20" customWidth="1"/>
    <col min="3348" max="3349" width="8.7109375" style="20" customWidth="1"/>
    <col min="3350" max="3350" width="17.85546875" style="20" customWidth="1"/>
    <col min="3351" max="3352" width="8.7109375" style="20" customWidth="1"/>
    <col min="3353" max="3353" width="17.85546875" style="20" customWidth="1"/>
    <col min="3354" max="3355" width="8.7109375" style="20" customWidth="1"/>
    <col min="3356" max="3356" width="17.85546875" style="20" customWidth="1"/>
    <col min="3357" max="3358" width="8.7109375" style="20" customWidth="1"/>
    <col min="3359" max="3359" width="17.85546875" style="20" customWidth="1"/>
    <col min="3360" max="3361" width="8.7109375" style="20" customWidth="1"/>
    <col min="3362" max="3362" width="17.85546875" style="20" customWidth="1"/>
    <col min="3363" max="3364" width="8.7109375" style="20" customWidth="1"/>
    <col min="3365" max="3365" width="17.85546875" style="20" customWidth="1"/>
    <col min="3366" max="3367" width="8.7109375" style="20" customWidth="1"/>
    <col min="3368" max="3368" width="17.85546875" style="20" customWidth="1"/>
    <col min="3369" max="3370" width="8.7109375" style="20" customWidth="1"/>
    <col min="3371" max="3371" width="17.85546875" style="20" customWidth="1"/>
    <col min="3372" max="3373" width="8.7109375" style="20" customWidth="1"/>
    <col min="3374" max="3374" width="17.85546875" style="20" customWidth="1"/>
    <col min="3375" max="3376" width="8.7109375" style="20" customWidth="1"/>
    <col min="3377" max="3584" width="10.85546875" style="20"/>
    <col min="3585" max="3585" width="50.85546875" style="20" customWidth="1"/>
    <col min="3586" max="3586" width="17.85546875" style="20" customWidth="1"/>
    <col min="3587" max="3587" width="8.7109375" style="20" customWidth="1"/>
    <col min="3588" max="3588" width="17.85546875" style="20" customWidth="1"/>
    <col min="3589" max="3590" width="8.7109375" style="20" customWidth="1"/>
    <col min="3591" max="3591" width="17.85546875" style="20" customWidth="1"/>
    <col min="3592" max="3593" width="8.7109375" style="20" customWidth="1"/>
    <col min="3594" max="3594" width="17.85546875" style="20" customWidth="1"/>
    <col min="3595" max="3596" width="8.7109375" style="20" customWidth="1"/>
    <col min="3597" max="3597" width="17.85546875" style="20" customWidth="1"/>
    <col min="3598" max="3599" width="8.7109375" style="20" customWidth="1"/>
    <col min="3600" max="3600" width="17.85546875" style="20" customWidth="1"/>
    <col min="3601" max="3602" width="8.7109375" style="20" customWidth="1"/>
    <col min="3603" max="3603" width="17.85546875" style="20" customWidth="1"/>
    <col min="3604" max="3605" width="8.7109375" style="20" customWidth="1"/>
    <col min="3606" max="3606" width="17.85546875" style="20" customWidth="1"/>
    <col min="3607" max="3608" width="8.7109375" style="20" customWidth="1"/>
    <col min="3609" max="3609" width="17.85546875" style="20" customWidth="1"/>
    <col min="3610" max="3611" width="8.7109375" style="20" customWidth="1"/>
    <col min="3612" max="3612" width="17.85546875" style="20" customWidth="1"/>
    <col min="3613" max="3614" width="8.7109375" style="20" customWidth="1"/>
    <col min="3615" max="3615" width="17.85546875" style="20" customWidth="1"/>
    <col min="3616" max="3617" width="8.7109375" style="20" customWidth="1"/>
    <col min="3618" max="3618" width="17.85546875" style="20" customWidth="1"/>
    <col min="3619" max="3620" width="8.7109375" style="20" customWidth="1"/>
    <col min="3621" max="3621" width="17.85546875" style="20" customWidth="1"/>
    <col min="3622" max="3623" width="8.7109375" style="20" customWidth="1"/>
    <col min="3624" max="3624" width="17.85546875" style="20" customWidth="1"/>
    <col min="3625" max="3626" width="8.7109375" style="20" customWidth="1"/>
    <col min="3627" max="3627" width="17.85546875" style="20" customWidth="1"/>
    <col min="3628" max="3629" width="8.7109375" style="20" customWidth="1"/>
    <col min="3630" max="3630" width="17.85546875" style="20" customWidth="1"/>
    <col min="3631" max="3632" width="8.7109375" style="20" customWidth="1"/>
    <col min="3633" max="3840" width="10.85546875" style="20"/>
    <col min="3841" max="3841" width="50.85546875" style="20" customWidth="1"/>
    <col min="3842" max="3842" width="17.85546875" style="20" customWidth="1"/>
    <col min="3843" max="3843" width="8.7109375" style="20" customWidth="1"/>
    <col min="3844" max="3844" width="17.85546875" style="20" customWidth="1"/>
    <col min="3845" max="3846" width="8.7109375" style="20" customWidth="1"/>
    <col min="3847" max="3847" width="17.85546875" style="20" customWidth="1"/>
    <col min="3848" max="3849" width="8.7109375" style="20" customWidth="1"/>
    <col min="3850" max="3850" width="17.85546875" style="20" customWidth="1"/>
    <col min="3851" max="3852" width="8.7109375" style="20" customWidth="1"/>
    <col min="3853" max="3853" width="17.85546875" style="20" customWidth="1"/>
    <col min="3854" max="3855" width="8.7109375" style="20" customWidth="1"/>
    <col min="3856" max="3856" width="17.85546875" style="20" customWidth="1"/>
    <col min="3857" max="3858" width="8.7109375" style="20" customWidth="1"/>
    <col min="3859" max="3859" width="17.85546875" style="20" customWidth="1"/>
    <col min="3860" max="3861" width="8.7109375" style="20" customWidth="1"/>
    <col min="3862" max="3862" width="17.85546875" style="20" customWidth="1"/>
    <col min="3863" max="3864" width="8.7109375" style="20" customWidth="1"/>
    <col min="3865" max="3865" width="17.85546875" style="20" customWidth="1"/>
    <col min="3866" max="3867" width="8.7109375" style="20" customWidth="1"/>
    <col min="3868" max="3868" width="17.85546875" style="20" customWidth="1"/>
    <col min="3869" max="3870" width="8.7109375" style="20" customWidth="1"/>
    <col min="3871" max="3871" width="17.85546875" style="20" customWidth="1"/>
    <col min="3872" max="3873" width="8.7109375" style="20" customWidth="1"/>
    <col min="3874" max="3874" width="17.85546875" style="20" customWidth="1"/>
    <col min="3875" max="3876" width="8.7109375" style="20" customWidth="1"/>
    <col min="3877" max="3877" width="17.85546875" style="20" customWidth="1"/>
    <col min="3878" max="3879" width="8.7109375" style="20" customWidth="1"/>
    <col min="3880" max="3880" width="17.85546875" style="20" customWidth="1"/>
    <col min="3881" max="3882" width="8.7109375" style="20" customWidth="1"/>
    <col min="3883" max="3883" width="17.85546875" style="20" customWidth="1"/>
    <col min="3884" max="3885" width="8.7109375" style="20" customWidth="1"/>
    <col min="3886" max="3886" width="17.85546875" style="20" customWidth="1"/>
    <col min="3887" max="3888" width="8.7109375" style="20" customWidth="1"/>
    <col min="3889" max="4096" width="10.85546875" style="20"/>
    <col min="4097" max="4097" width="50.85546875" style="20" customWidth="1"/>
    <col min="4098" max="4098" width="17.85546875" style="20" customWidth="1"/>
    <col min="4099" max="4099" width="8.7109375" style="20" customWidth="1"/>
    <col min="4100" max="4100" width="17.85546875" style="20" customWidth="1"/>
    <col min="4101" max="4102" width="8.7109375" style="20" customWidth="1"/>
    <col min="4103" max="4103" width="17.85546875" style="20" customWidth="1"/>
    <col min="4104" max="4105" width="8.7109375" style="20" customWidth="1"/>
    <col min="4106" max="4106" width="17.85546875" style="20" customWidth="1"/>
    <col min="4107" max="4108" width="8.7109375" style="20" customWidth="1"/>
    <col min="4109" max="4109" width="17.85546875" style="20" customWidth="1"/>
    <col min="4110" max="4111" width="8.7109375" style="20" customWidth="1"/>
    <col min="4112" max="4112" width="17.85546875" style="20" customWidth="1"/>
    <col min="4113" max="4114" width="8.7109375" style="20" customWidth="1"/>
    <col min="4115" max="4115" width="17.85546875" style="20" customWidth="1"/>
    <col min="4116" max="4117" width="8.7109375" style="20" customWidth="1"/>
    <col min="4118" max="4118" width="17.85546875" style="20" customWidth="1"/>
    <col min="4119" max="4120" width="8.7109375" style="20" customWidth="1"/>
    <col min="4121" max="4121" width="17.85546875" style="20" customWidth="1"/>
    <col min="4122" max="4123" width="8.7109375" style="20" customWidth="1"/>
    <col min="4124" max="4124" width="17.85546875" style="20" customWidth="1"/>
    <col min="4125" max="4126" width="8.7109375" style="20" customWidth="1"/>
    <col min="4127" max="4127" width="17.85546875" style="20" customWidth="1"/>
    <col min="4128" max="4129" width="8.7109375" style="20" customWidth="1"/>
    <col min="4130" max="4130" width="17.85546875" style="20" customWidth="1"/>
    <col min="4131" max="4132" width="8.7109375" style="20" customWidth="1"/>
    <col min="4133" max="4133" width="17.85546875" style="20" customWidth="1"/>
    <col min="4134" max="4135" width="8.7109375" style="20" customWidth="1"/>
    <col min="4136" max="4136" width="17.85546875" style="20" customWidth="1"/>
    <col min="4137" max="4138" width="8.7109375" style="20" customWidth="1"/>
    <col min="4139" max="4139" width="17.85546875" style="20" customWidth="1"/>
    <col min="4140" max="4141" width="8.7109375" style="20" customWidth="1"/>
    <col min="4142" max="4142" width="17.85546875" style="20" customWidth="1"/>
    <col min="4143" max="4144" width="8.7109375" style="20" customWidth="1"/>
    <col min="4145" max="4352" width="10.85546875" style="20"/>
    <col min="4353" max="4353" width="50.85546875" style="20" customWidth="1"/>
    <col min="4354" max="4354" width="17.85546875" style="20" customWidth="1"/>
    <col min="4355" max="4355" width="8.7109375" style="20" customWidth="1"/>
    <col min="4356" max="4356" width="17.85546875" style="20" customWidth="1"/>
    <col min="4357" max="4358" width="8.7109375" style="20" customWidth="1"/>
    <col min="4359" max="4359" width="17.85546875" style="20" customWidth="1"/>
    <col min="4360" max="4361" width="8.7109375" style="20" customWidth="1"/>
    <col min="4362" max="4362" width="17.85546875" style="20" customWidth="1"/>
    <col min="4363" max="4364" width="8.7109375" style="20" customWidth="1"/>
    <col min="4365" max="4365" width="17.85546875" style="20" customWidth="1"/>
    <col min="4366" max="4367" width="8.7109375" style="20" customWidth="1"/>
    <col min="4368" max="4368" width="17.85546875" style="20" customWidth="1"/>
    <col min="4369" max="4370" width="8.7109375" style="20" customWidth="1"/>
    <col min="4371" max="4371" width="17.85546875" style="20" customWidth="1"/>
    <col min="4372" max="4373" width="8.7109375" style="20" customWidth="1"/>
    <col min="4374" max="4374" width="17.85546875" style="20" customWidth="1"/>
    <col min="4375" max="4376" width="8.7109375" style="20" customWidth="1"/>
    <col min="4377" max="4377" width="17.85546875" style="20" customWidth="1"/>
    <col min="4378" max="4379" width="8.7109375" style="20" customWidth="1"/>
    <col min="4380" max="4380" width="17.85546875" style="20" customWidth="1"/>
    <col min="4381" max="4382" width="8.7109375" style="20" customWidth="1"/>
    <col min="4383" max="4383" width="17.85546875" style="20" customWidth="1"/>
    <col min="4384" max="4385" width="8.7109375" style="20" customWidth="1"/>
    <col min="4386" max="4386" width="17.85546875" style="20" customWidth="1"/>
    <col min="4387" max="4388" width="8.7109375" style="20" customWidth="1"/>
    <col min="4389" max="4389" width="17.85546875" style="20" customWidth="1"/>
    <col min="4390" max="4391" width="8.7109375" style="20" customWidth="1"/>
    <col min="4392" max="4392" width="17.85546875" style="20" customWidth="1"/>
    <col min="4393" max="4394" width="8.7109375" style="20" customWidth="1"/>
    <col min="4395" max="4395" width="17.85546875" style="20" customWidth="1"/>
    <col min="4396" max="4397" width="8.7109375" style="20" customWidth="1"/>
    <col min="4398" max="4398" width="17.85546875" style="20" customWidth="1"/>
    <col min="4399" max="4400" width="8.7109375" style="20" customWidth="1"/>
    <col min="4401" max="4608" width="10.85546875" style="20"/>
    <col min="4609" max="4609" width="50.85546875" style="20" customWidth="1"/>
    <col min="4610" max="4610" width="17.85546875" style="20" customWidth="1"/>
    <col min="4611" max="4611" width="8.7109375" style="20" customWidth="1"/>
    <col min="4612" max="4612" width="17.85546875" style="20" customWidth="1"/>
    <col min="4613" max="4614" width="8.7109375" style="20" customWidth="1"/>
    <col min="4615" max="4615" width="17.85546875" style="20" customWidth="1"/>
    <col min="4616" max="4617" width="8.7109375" style="20" customWidth="1"/>
    <col min="4618" max="4618" width="17.85546875" style="20" customWidth="1"/>
    <col min="4619" max="4620" width="8.7109375" style="20" customWidth="1"/>
    <col min="4621" max="4621" width="17.85546875" style="20" customWidth="1"/>
    <col min="4622" max="4623" width="8.7109375" style="20" customWidth="1"/>
    <col min="4624" max="4624" width="17.85546875" style="20" customWidth="1"/>
    <col min="4625" max="4626" width="8.7109375" style="20" customWidth="1"/>
    <col min="4627" max="4627" width="17.85546875" style="20" customWidth="1"/>
    <col min="4628" max="4629" width="8.7109375" style="20" customWidth="1"/>
    <col min="4630" max="4630" width="17.85546875" style="20" customWidth="1"/>
    <col min="4631" max="4632" width="8.7109375" style="20" customWidth="1"/>
    <col min="4633" max="4633" width="17.85546875" style="20" customWidth="1"/>
    <col min="4634" max="4635" width="8.7109375" style="20" customWidth="1"/>
    <col min="4636" max="4636" width="17.85546875" style="20" customWidth="1"/>
    <col min="4637" max="4638" width="8.7109375" style="20" customWidth="1"/>
    <col min="4639" max="4639" width="17.85546875" style="20" customWidth="1"/>
    <col min="4640" max="4641" width="8.7109375" style="20" customWidth="1"/>
    <col min="4642" max="4642" width="17.85546875" style="20" customWidth="1"/>
    <col min="4643" max="4644" width="8.7109375" style="20" customWidth="1"/>
    <col min="4645" max="4645" width="17.85546875" style="20" customWidth="1"/>
    <col min="4646" max="4647" width="8.7109375" style="20" customWidth="1"/>
    <col min="4648" max="4648" width="17.85546875" style="20" customWidth="1"/>
    <col min="4649" max="4650" width="8.7109375" style="20" customWidth="1"/>
    <col min="4651" max="4651" width="17.85546875" style="20" customWidth="1"/>
    <col min="4652" max="4653" width="8.7109375" style="20" customWidth="1"/>
    <col min="4654" max="4654" width="17.85546875" style="20" customWidth="1"/>
    <col min="4655" max="4656" width="8.7109375" style="20" customWidth="1"/>
    <col min="4657" max="4864" width="10.85546875" style="20"/>
    <col min="4865" max="4865" width="50.85546875" style="20" customWidth="1"/>
    <col min="4866" max="4866" width="17.85546875" style="20" customWidth="1"/>
    <col min="4867" max="4867" width="8.7109375" style="20" customWidth="1"/>
    <col min="4868" max="4868" width="17.85546875" style="20" customWidth="1"/>
    <col min="4869" max="4870" width="8.7109375" style="20" customWidth="1"/>
    <col min="4871" max="4871" width="17.85546875" style="20" customWidth="1"/>
    <col min="4872" max="4873" width="8.7109375" style="20" customWidth="1"/>
    <col min="4874" max="4874" width="17.85546875" style="20" customWidth="1"/>
    <col min="4875" max="4876" width="8.7109375" style="20" customWidth="1"/>
    <col min="4877" max="4877" width="17.85546875" style="20" customWidth="1"/>
    <col min="4878" max="4879" width="8.7109375" style="20" customWidth="1"/>
    <col min="4880" max="4880" width="17.85546875" style="20" customWidth="1"/>
    <col min="4881" max="4882" width="8.7109375" style="20" customWidth="1"/>
    <col min="4883" max="4883" width="17.85546875" style="20" customWidth="1"/>
    <col min="4884" max="4885" width="8.7109375" style="20" customWidth="1"/>
    <col min="4886" max="4886" width="17.85546875" style="20" customWidth="1"/>
    <col min="4887" max="4888" width="8.7109375" style="20" customWidth="1"/>
    <col min="4889" max="4889" width="17.85546875" style="20" customWidth="1"/>
    <col min="4890" max="4891" width="8.7109375" style="20" customWidth="1"/>
    <col min="4892" max="4892" width="17.85546875" style="20" customWidth="1"/>
    <col min="4893" max="4894" width="8.7109375" style="20" customWidth="1"/>
    <col min="4895" max="4895" width="17.85546875" style="20" customWidth="1"/>
    <col min="4896" max="4897" width="8.7109375" style="20" customWidth="1"/>
    <col min="4898" max="4898" width="17.85546875" style="20" customWidth="1"/>
    <col min="4899" max="4900" width="8.7109375" style="20" customWidth="1"/>
    <col min="4901" max="4901" width="17.85546875" style="20" customWidth="1"/>
    <col min="4902" max="4903" width="8.7109375" style="20" customWidth="1"/>
    <col min="4904" max="4904" width="17.85546875" style="20" customWidth="1"/>
    <col min="4905" max="4906" width="8.7109375" style="20" customWidth="1"/>
    <col min="4907" max="4907" width="17.85546875" style="20" customWidth="1"/>
    <col min="4908" max="4909" width="8.7109375" style="20" customWidth="1"/>
    <col min="4910" max="4910" width="17.85546875" style="20" customWidth="1"/>
    <col min="4911" max="4912" width="8.7109375" style="20" customWidth="1"/>
    <col min="4913" max="5120" width="10.85546875" style="20"/>
    <col min="5121" max="5121" width="50.85546875" style="20" customWidth="1"/>
    <col min="5122" max="5122" width="17.85546875" style="20" customWidth="1"/>
    <col min="5123" max="5123" width="8.7109375" style="20" customWidth="1"/>
    <col min="5124" max="5124" width="17.85546875" style="20" customWidth="1"/>
    <col min="5125" max="5126" width="8.7109375" style="20" customWidth="1"/>
    <col min="5127" max="5127" width="17.85546875" style="20" customWidth="1"/>
    <col min="5128" max="5129" width="8.7109375" style="20" customWidth="1"/>
    <col min="5130" max="5130" width="17.85546875" style="20" customWidth="1"/>
    <col min="5131" max="5132" width="8.7109375" style="20" customWidth="1"/>
    <col min="5133" max="5133" width="17.85546875" style="20" customWidth="1"/>
    <col min="5134" max="5135" width="8.7109375" style="20" customWidth="1"/>
    <col min="5136" max="5136" width="17.85546875" style="20" customWidth="1"/>
    <col min="5137" max="5138" width="8.7109375" style="20" customWidth="1"/>
    <col min="5139" max="5139" width="17.85546875" style="20" customWidth="1"/>
    <col min="5140" max="5141" width="8.7109375" style="20" customWidth="1"/>
    <col min="5142" max="5142" width="17.85546875" style="20" customWidth="1"/>
    <col min="5143" max="5144" width="8.7109375" style="20" customWidth="1"/>
    <col min="5145" max="5145" width="17.85546875" style="20" customWidth="1"/>
    <col min="5146" max="5147" width="8.7109375" style="20" customWidth="1"/>
    <col min="5148" max="5148" width="17.85546875" style="20" customWidth="1"/>
    <col min="5149" max="5150" width="8.7109375" style="20" customWidth="1"/>
    <col min="5151" max="5151" width="17.85546875" style="20" customWidth="1"/>
    <col min="5152" max="5153" width="8.7109375" style="20" customWidth="1"/>
    <col min="5154" max="5154" width="17.85546875" style="20" customWidth="1"/>
    <col min="5155" max="5156" width="8.7109375" style="20" customWidth="1"/>
    <col min="5157" max="5157" width="17.85546875" style="20" customWidth="1"/>
    <col min="5158" max="5159" width="8.7109375" style="20" customWidth="1"/>
    <col min="5160" max="5160" width="17.85546875" style="20" customWidth="1"/>
    <col min="5161" max="5162" width="8.7109375" style="20" customWidth="1"/>
    <col min="5163" max="5163" width="17.85546875" style="20" customWidth="1"/>
    <col min="5164" max="5165" width="8.7109375" style="20" customWidth="1"/>
    <col min="5166" max="5166" width="17.85546875" style="20" customWidth="1"/>
    <col min="5167" max="5168" width="8.7109375" style="20" customWidth="1"/>
    <col min="5169" max="5376" width="10.85546875" style="20"/>
    <col min="5377" max="5377" width="50.85546875" style="20" customWidth="1"/>
    <col min="5378" max="5378" width="17.85546875" style="20" customWidth="1"/>
    <col min="5379" max="5379" width="8.7109375" style="20" customWidth="1"/>
    <col min="5380" max="5380" width="17.85546875" style="20" customWidth="1"/>
    <col min="5381" max="5382" width="8.7109375" style="20" customWidth="1"/>
    <col min="5383" max="5383" width="17.85546875" style="20" customWidth="1"/>
    <col min="5384" max="5385" width="8.7109375" style="20" customWidth="1"/>
    <col min="5386" max="5386" width="17.85546875" style="20" customWidth="1"/>
    <col min="5387" max="5388" width="8.7109375" style="20" customWidth="1"/>
    <col min="5389" max="5389" width="17.85546875" style="20" customWidth="1"/>
    <col min="5390" max="5391" width="8.7109375" style="20" customWidth="1"/>
    <col min="5392" max="5392" width="17.85546875" style="20" customWidth="1"/>
    <col min="5393" max="5394" width="8.7109375" style="20" customWidth="1"/>
    <col min="5395" max="5395" width="17.85546875" style="20" customWidth="1"/>
    <col min="5396" max="5397" width="8.7109375" style="20" customWidth="1"/>
    <col min="5398" max="5398" width="17.85546875" style="20" customWidth="1"/>
    <col min="5399" max="5400" width="8.7109375" style="20" customWidth="1"/>
    <col min="5401" max="5401" width="17.85546875" style="20" customWidth="1"/>
    <col min="5402" max="5403" width="8.7109375" style="20" customWidth="1"/>
    <col min="5404" max="5404" width="17.85546875" style="20" customWidth="1"/>
    <col min="5405" max="5406" width="8.7109375" style="20" customWidth="1"/>
    <col min="5407" max="5407" width="17.85546875" style="20" customWidth="1"/>
    <col min="5408" max="5409" width="8.7109375" style="20" customWidth="1"/>
    <col min="5410" max="5410" width="17.85546875" style="20" customWidth="1"/>
    <col min="5411" max="5412" width="8.7109375" style="20" customWidth="1"/>
    <col min="5413" max="5413" width="17.85546875" style="20" customWidth="1"/>
    <col min="5414" max="5415" width="8.7109375" style="20" customWidth="1"/>
    <col min="5416" max="5416" width="17.85546875" style="20" customWidth="1"/>
    <col min="5417" max="5418" width="8.7109375" style="20" customWidth="1"/>
    <col min="5419" max="5419" width="17.85546875" style="20" customWidth="1"/>
    <col min="5420" max="5421" width="8.7109375" style="20" customWidth="1"/>
    <col min="5422" max="5422" width="17.85546875" style="20" customWidth="1"/>
    <col min="5423" max="5424" width="8.7109375" style="20" customWidth="1"/>
    <col min="5425" max="5632" width="10.85546875" style="20"/>
    <col min="5633" max="5633" width="50.85546875" style="20" customWidth="1"/>
    <col min="5634" max="5634" width="17.85546875" style="20" customWidth="1"/>
    <col min="5635" max="5635" width="8.7109375" style="20" customWidth="1"/>
    <col min="5636" max="5636" width="17.85546875" style="20" customWidth="1"/>
    <col min="5637" max="5638" width="8.7109375" style="20" customWidth="1"/>
    <col min="5639" max="5639" width="17.85546875" style="20" customWidth="1"/>
    <col min="5640" max="5641" width="8.7109375" style="20" customWidth="1"/>
    <col min="5642" max="5642" width="17.85546875" style="20" customWidth="1"/>
    <col min="5643" max="5644" width="8.7109375" style="20" customWidth="1"/>
    <col min="5645" max="5645" width="17.85546875" style="20" customWidth="1"/>
    <col min="5646" max="5647" width="8.7109375" style="20" customWidth="1"/>
    <col min="5648" max="5648" width="17.85546875" style="20" customWidth="1"/>
    <col min="5649" max="5650" width="8.7109375" style="20" customWidth="1"/>
    <col min="5651" max="5651" width="17.85546875" style="20" customWidth="1"/>
    <col min="5652" max="5653" width="8.7109375" style="20" customWidth="1"/>
    <col min="5654" max="5654" width="17.85546875" style="20" customWidth="1"/>
    <col min="5655" max="5656" width="8.7109375" style="20" customWidth="1"/>
    <col min="5657" max="5657" width="17.85546875" style="20" customWidth="1"/>
    <col min="5658" max="5659" width="8.7109375" style="20" customWidth="1"/>
    <col min="5660" max="5660" width="17.85546875" style="20" customWidth="1"/>
    <col min="5661" max="5662" width="8.7109375" style="20" customWidth="1"/>
    <col min="5663" max="5663" width="17.85546875" style="20" customWidth="1"/>
    <col min="5664" max="5665" width="8.7109375" style="20" customWidth="1"/>
    <col min="5666" max="5666" width="17.85546875" style="20" customWidth="1"/>
    <col min="5667" max="5668" width="8.7109375" style="20" customWidth="1"/>
    <col min="5669" max="5669" width="17.85546875" style="20" customWidth="1"/>
    <col min="5670" max="5671" width="8.7109375" style="20" customWidth="1"/>
    <col min="5672" max="5672" width="17.85546875" style="20" customWidth="1"/>
    <col min="5673" max="5674" width="8.7109375" style="20" customWidth="1"/>
    <col min="5675" max="5675" width="17.85546875" style="20" customWidth="1"/>
    <col min="5676" max="5677" width="8.7109375" style="20" customWidth="1"/>
    <col min="5678" max="5678" width="17.85546875" style="20" customWidth="1"/>
    <col min="5679" max="5680" width="8.7109375" style="20" customWidth="1"/>
    <col min="5681" max="5888" width="10.85546875" style="20"/>
    <col min="5889" max="5889" width="50.85546875" style="20" customWidth="1"/>
    <col min="5890" max="5890" width="17.85546875" style="20" customWidth="1"/>
    <col min="5891" max="5891" width="8.7109375" style="20" customWidth="1"/>
    <col min="5892" max="5892" width="17.85546875" style="20" customWidth="1"/>
    <col min="5893" max="5894" width="8.7109375" style="20" customWidth="1"/>
    <col min="5895" max="5895" width="17.85546875" style="20" customWidth="1"/>
    <col min="5896" max="5897" width="8.7109375" style="20" customWidth="1"/>
    <col min="5898" max="5898" width="17.85546875" style="20" customWidth="1"/>
    <col min="5899" max="5900" width="8.7109375" style="20" customWidth="1"/>
    <col min="5901" max="5901" width="17.85546875" style="20" customWidth="1"/>
    <col min="5902" max="5903" width="8.7109375" style="20" customWidth="1"/>
    <col min="5904" max="5904" width="17.85546875" style="20" customWidth="1"/>
    <col min="5905" max="5906" width="8.7109375" style="20" customWidth="1"/>
    <col min="5907" max="5907" width="17.85546875" style="20" customWidth="1"/>
    <col min="5908" max="5909" width="8.7109375" style="20" customWidth="1"/>
    <col min="5910" max="5910" width="17.85546875" style="20" customWidth="1"/>
    <col min="5911" max="5912" width="8.7109375" style="20" customWidth="1"/>
    <col min="5913" max="5913" width="17.85546875" style="20" customWidth="1"/>
    <col min="5914" max="5915" width="8.7109375" style="20" customWidth="1"/>
    <col min="5916" max="5916" width="17.85546875" style="20" customWidth="1"/>
    <col min="5917" max="5918" width="8.7109375" style="20" customWidth="1"/>
    <col min="5919" max="5919" width="17.85546875" style="20" customWidth="1"/>
    <col min="5920" max="5921" width="8.7109375" style="20" customWidth="1"/>
    <col min="5922" max="5922" width="17.85546875" style="20" customWidth="1"/>
    <col min="5923" max="5924" width="8.7109375" style="20" customWidth="1"/>
    <col min="5925" max="5925" width="17.85546875" style="20" customWidth="1"/>
    <col min="5926" max="5927" width="8.7109375" style="20" customWidth="1"/>
    <col min="5928" max="5928" width="17.85546875" style="20" customWidth="1"/>
    <col min="5929" max="5930" width="8.7109375" style="20" customWidth="1"/>
    <col min="5931" max="5931" width="17.85546875" style="20" customWidth="1"/>
    <col min="5932" max="5933" width="8.7109375" style="20" customWidth="1"/>
    <col min="5934" max="5934" width="17.85546875" style="20" customWidth="1"/>
    <col min="5935" max="5936" width="8.7109375" style="20" customWidth="1"/>
    <col min="5937" max="6144" width="10.85546875" style="20"/>
    <col min="6145" max="6145" width="50.85546875" style="20" customWidth="1"/>
    <col min="6146" max="6146" width="17.85546875" style="20" customWidth="1"/>
    <col min="6147" max="6147" width="8.7109375" style="20" customWidth="1"/>
    <col min="6148" max="6148" width="17.85546875" style="20" customWidth="1"/>
    <col min="6149" max="6150" width="8.7109375" style="20" customWidth="1"/>
    <col min="6151" max="6151" width="17.85546875" style="20" customWidth="1"/>
    <col min="6152" max="6153" width="8.7109375" style="20" customWidth="1"/>
    <col min="6154" max="6154" width="17.85546875" style="20" customWidth="1"/>
    <col min="6155" max="6156" width="8.7109375" style="20" customWidth="1"/>
    <col min="6157" max="6157" width="17.85546875" style="20" customWidth="1"/>
    <col min="6158" max="6159" width="8.7109375" style="20" customWidth="1"/>
    <col min="6160" max="6160" width="17.85546875" style="20" customWidth="1"/>
    <col min="6161" max="6162" width="8.7109375" style="20" customWidth="1"/>
    <col min="6163" max="6163" width="17.85546875" style="20" customWidth="1"/>
    <col min="6164" max="6165" width="8.7109375" style="20" customWidth="1"/>
    <col min="6166" max="6166" width="17.85546875" style="20" customWidth="1"/>
    <col min="6167" max="6168" width="8.7109375" style="20" customWidth="1"/>
    <col min="6169" max="6169" width="17.85546875" style="20" customWidth="1"/>
    <col min="6170" max="6171" width="8.7109375" style="20" customWidth="1"/>
    <col min="6172" max="6172" width="17.85546875" style="20" customWidth="1"/>
    <col min="6173" max="6174" width="8.7109375" style="20" customWidth="1"/>
    <col min="6175" max="6175" width="17.85546875" style="20" customWidth="1"/>
    <col min="6176" max="6177" width="8.7109375" style="20" customWidth="1"/>
    <col min="6178" max="6178" width="17.85546875" style="20" customWidth="1"/>
    <col min="6179" max="6180" width="8.7109375" style="20" customWidth="1"/>
    <col min="6181" max="6181" width="17.85546875" style="20" customWidth="1"/>
    <col min="6182" max="6183" width="8.7109375" style="20" customWidth="1"/>
    <col min="6184" max="6184" width="17.85546875" style="20" customWidth="1"/>
    <col min="6185" max="6186" width="8.7109375" style="20" customWidth="1"/>
    <col min="6187" max="6187" width="17.85546875" style="20" customWidth="1"/>
    <col min="6188" max="6189" width="8.7109375" style="20" customWidth="1"/>
    <col min="6190" max="6190" width="17.85546875" style="20" customWidth="1"/>
    <col min="6191" max="6192" width="8.7109375" style="20" customWidth="1"/>
    <col min="6193" max="6400" width="10.85546875" style="20"/>
    <col min="6401" max="6401" width="50.85546875" style="20" customWidth="1"/>
    <col min="6402" max="6402" width="17.85546875" style="20" customWidth="1"/>
    <col min="6403" max="6403" width="8.7109375" style="20" customWidth="1"/>
    <col min="6404" max="6404" width="17.85546875" style="20" customWidth="1"/>
    <col min="6405" max="6406" width="8.7109375" style="20" customWidth="1"/>
    <col min="6407" max="6407" width="17.85546875" style="20" customWidth="1"/>
    <col min="6408" max="6409" width="8.7109375" style="20" customWidth="1"/>
    <col min="6410" max="6410" width="17.85546875" style="20" customWidth="1"/>
    <col min="6411" max="6412" width="8.7109375" style="20" customWidth="1"/>
    <col min="6413" max="6413" width="17.85546875" style="20" customWidth="1"/>
    <col min="6414" max="6415" width="8.7109375" style="20" customWidth="1"/>
    <col min="6416" max="6416" width="17.85546875" style="20" customWidth="1"/>
    <col min="6417" max="6418" width="8.7109375" style="20" customWidth="1"/>
    <col min="6419" max="6419" width="17.85546875" style="20" customWidth="1"/>
    <col min="6420" max="6421" width="8.7109375" style="20" customWidth="1"/>
    <col min="6422" max="6422" width="17.85546875" style="20" customWidth="1"/>
    <col min="6423" max="6424" width="8.7109375" style="20" customWidth="1"/>
    <col min="6425" max="6425" width="17.85546875" style="20" customWidth="1"/>
    <col min="6426" max="6427" width="8.7109375" style="20" customWidth="1"/>
    <col min="6428" max="6428" width="17.85546875" style="20" customWidth="1"/>
    <col min="6429" max="6430" width="8.7109375" style="20" customWidth="1"/>
    <col min="6431" max="6431" width="17.85546875" style="20" customWidth="1"/>
    <col min="6432" max="6433" width="8.7109375" style="20" customWidth="1"/>
    <col min="6434" max="6434" width="17.85546875" style="20" customWidth="1"/>
    <col min="6435" max="6436" width="8.7109375" style="20" customWidth="1"/>
    <col min="6437" max="6437" width="17.85546875" style="20" customWidth="1"/>
    <col min="6438" max="6439" width="8.7109375" style="20" customWidth="1"/>
    <col min="6440" max="6440" width="17.85546875" style="20" customWidth="1"/>
    <col min="6441" max="6442" width="8.7109375" style="20" customWidth="1"/>
    <col min="6443" max="6443" width="17.85546875" style="20" customWidth="1"/>
    <col min="6444" max="6445" width="8.7109375" style="20" customWidth="1"/>
    <col min="6446" max="6446" width="17.85546875" style="20" customWidth="1"/>
    <col min="6447" max="6448" width="8.7109375" style="20" customWidth="1"/>
    <col min="6449" max="6656" width="10.85546875" style="20"/>
    <col min="6657" max="6657" width="50.85546875" style="20" customWidth="1"/>
    <col min="6658" max="6658" width="17.85546875" style="20" customWidth="1"/>
    <col min="6659" max="6659" width="8.7109375" style="20" customWidth="1"/>
    <col min="6660" max="6660" width="17.85546875" style="20" customWidth="1"/>
    <col min="6661" max="6662" width="8.7109375" style="20" customWidth="1"/>
    <col min="6663" max="6663" width="17.85546875" style="20" customWidth="1"/>
    <col min="6664" max="6665" width="8.7109375" style="20" customWidth="1"/>
    <col min="6666" max="6666" width="17.85546875" style="20" customWidth="1"/>
    <col min="6667" max="6668" width="8.7109375" style="20" customWidth="1"/>
    <col min="6669" max="6669" width="17.85546875" style="20" customWidth="1"/>
    <col min="6670" max="6671" width="8.7109375" style="20" customWidth="1"/>
    <col min="6672" max="6672" width="17.85546875" style="20" customWidth="1"/>
    <col min="6673" max="6674" width="8.7109375" style="20" customWidth="1"/>
    <col min="6675" max="6675" width="17.85546875" style="20" customWidth="1"/>
    <col min="6676" max="6677" width="8.7109375" style="20" customWidth="1"/>
    <col min="6678" max="6678" width="17.85546875" style="20" customWidth="1"/>
    <col min="6679" max="6680" width="8.7109375" style="20" customWidth="1"/>
    <col min="6681" max="6681" width="17.85546875" style="20" customWidth="1"/>
    <col min="6682" max="6683" width="8.7109375" style="20" customWidth="1"/>
    <col min="6684" max="6684" width="17.85546875" style="20" customWidth="1"/>
    <col min="6685" max="6686" width="8.7109375" style="20" customWidth="1"/>
    <col min="6687" max="6687" width="17.85546875" style="20" customWidth="1"/>
    <col min="6688" max="6689" width="8.7109375" style="20" customWidth="1"/>
    <col min="6690" max="6690" width="17.85546875" style="20" customWidth="1"/>
    <col min="6691" max="6692" width="8.7109375" style="20" customWidth="1"/>
    <col min="6693" max="6693" width="17.85546875" style="20" customWidth="1"/>
    <col min="6694" max="6695" width="8.7109375" style="20" customWidth="1"/>
    <col min="6696" max="6696" width="17.85546875" style="20" customWidth="1"/>
    <col min="6697" max="6698" width="8.7109375" style="20" customWidth="1"/>
    <col min="6699" max="6699" width="17.85546875" style="20" customWidth="1"/>
    <col min="6700" max="6701" width="8.7109375" style="20" customWidth="1"/>
    <col min="6702" max="6702" width="17.85546875" style="20" customWidth="1"/>
    <col min="6703" max="6704" width="8.7109375" style="20" customWidth="1"/>
    <col min="6705" max="6912" width="10.85546875" style="20"/>
    <col min="6913" max="6913" width="50.85546875" style="20" customWidth="1"/>
    <col min="6914" max="6914" width="17.85546875" style="20" customWidth="1"/>
    <col min="6915" max="6915" width="8.7109375" style="20" customWidth="1"/>
    <col min="6916" max="6916" width="17.85546875" style="20" customWidth="1"/>
    <col min="6917" max="6918" width="8.7109375" style="20" customWidth="1"/>
    <col min="6919" max="6919" width="17.85546875" style="20" customWidth="1"/>
    <col min="6920" max="6921" width="8.7109375" style="20" customWidth="1"/>
    <col min="6922" max="6922" width="17.85546875" style="20" customWidth="1"/>
    <col min="6923" max="6924" width="8.7109375" style="20" customWidth="1"/>
    <col min="6925" max="6925" width="17.85546875" style="20" customWidth="1"/>
    <col min="6926" max="6927" width="8.7109375" style="20" customWidth="1"/>
    <col min="6928" max="6928" width="17.85546875" style="20" customWidth="1"/>
    <col min="6929" max="6930" width="8.7109375" style="20" customWidth="1"/>
    <col min="6931" max="6931" width="17.85546875" style="20" customWidth="1"/>
    <col min="6932" max="6933" width="8.7109375" style="20" customWidth="1"/>
    <col min="6934" max="6934" width="17.85546875" style="20" customWidth="1"/>
    <col min="6935" max="6936" width="8.7109375" style="20" customWidth="1"/>
    <col min="6937" max="6937" width="17.85546875" style="20" customWidth="1"/>
    <col min="6938" max="6939" width="8.7109375" style="20" customWidth="1"/>
    <col min="6940" max="6940" width="17.85546875" style="20" customWidth="1"/>
    <col min="6941" max="6942" width="8.7109375" style="20" customWidth="1"/>
    <col min="6943" max="6943" width="17.85546875" style="20" customWidth="1"/>
    <col min="6944" max="6945" width="8.7109375" style="20" customWidth="1"/>
    <col min="6946" max="6946" width="17.85546875" style="20" customWidth="1"/>
    <col min="6947" max="6948" width="8.7109375" style="20" customWidth="1"/>
    <col min="6949" max="6949" width="17.85546875" style="20" customWidth="1"/>
    <col min="6950" max="6951" width="8.7109375" style="20" customWidth="1"/>
    <col min="6952" max="6952" width="17.85546875" style="20" customWidth="1"/>
    <col min="6953" max="6954" width="8.7109375" style="20" customWidth="1"/>
    <col min="6955" max="6955" width="17.85546875" style="20" customWidth="1"/>
    <col min="6956" max="6957" width="8.7109375" style="20" customWidth="1"/>
    <col min="6958" max="6958" width="17.85546875" style="20" customWidth="1"/>
    <col min="6959" max="6960" width="8.7109375" style="20" customWidth="1"/>
    <col min="6961" max="7168" width="10.85546875" style="20"/>
    <col min="7169" max="7169" width="50.85546875" style="20" customWidth="1"/>
    <col min="7170" max="7170" width="17.85546875" style="20" customWidth="1"/>
    <col min="7171" max="7171" width="8.7109375" style="20" customWidth="1"/>
    <col min="7172" max="7172" width="17.85546875" style="20" customWidth="1"/>
    <col min="7173" max="7174" width="8.7109375" style="20" customWidth="1"/>
    <col min="7175" max="7175" width="17.85546875" style="20" customWidth="1"/>
    <col min="7176" max="7177" width="8.7109375" style="20" customWidth="1"/>
    <col min="7178" max="7178" width="17.85546875" style="20" customWidth="1"/>
    <col min="7179" max="7180" width="8.7109375" style="20" customWidth="1"/>
    <col min="7181" max="7181" width="17.85546875" style="20" customWidth="1"/>
    <col min="7182" max="7183" width="8.7109375" style="20" customWidth="1"/>
    <col min="7184" max="7184" width="17.85546875" style="20" customWidth="1"/>
    <col min="7185" max="7186" width="8.7109375" style="20" customWidth="1"/>
    <col min="7187" max="7187" width="17.85546875" style="20" customWidth="1"/>
    <col min="7188" max="7189" width="8.7109375" style="20" customWidth="1"/>
    <col min="7190" max="7190" width="17.85546875" style="20" customWidth="1"/>
    <col min="7191" max="7192" width="8.7109375" style="20" customWidth="1"/>
    <col min="7193" max="7193" width="17.85546875" style="20" customWidth="1"/>
    <col min="7194" max="7195" width="8.7109375" style="20" customWidth="1"/>
    <col min="7196" max="7196" width="17.85546875" style="20" customWidth="1"/>
    <col min="7197" max="7198" width="8.7109375" style="20" customWidth="1"/>
    <col min="7199" max="7199" width="17.85546875" style="20" customWidth="1"/>
    <col min="7200" max="7201" width="8.7109375" style="20" customWidth="1"/>
    <col min="7202" max="7202" width="17.85546875" style="20" customWidth="1"/>
    <col min="7203" max="7204" width="8.7109375" style="20" customWidth="1"/>
    <col min="7205" max="7205" width="17.85546875" style="20" customWidth="1"/>
    <col min="7206" max="7207" width="8.7109375" style="20" customWidth="1"/>
    <col min="7208" max="7208" width="17.85546875" style="20" customWidth="1"/>
    <col min="7209" max="7210" width="8.7109375" style="20" customWidth="1"/>
    <col min="7211" max="7211" width="17.85546875" style="20" customWidth="1"/>
    <col min="7212" max="7213" width="8.7109375" style="20" customWidth="1"/>
    <col min="7214" max="7214" width="17.85546875" style="20" customWidth="1"/>
    <col min="7215" max="7216" width="8.7109375" style="20" customWidth="1"/>
    <col min="7217" max="7424" width="10.85546875" style="20"/>
    <col min="7425" max="7425" width="50.85546875" style="20" customWidth="1"/>
    <col min="7426" max="7426" width="17.85546875" style="20" customWidth="1"/>
    <col min="7427" max="7427" width="8.7109375" style="20" customWidth="1"/>
    <col min="7428" max="7428" width="17.85546875" style="20" customWidth="1"/>
    <col min="7429" max="7430" width="8.7109375" style="20" customWidth="1"/>
    <col min="7431" max="7431" width="17.85546875" style="20" customWidth="1"/>
    <col min="7432" max="7433" width="8.7109375" style="20" customWidth="1"/>
    <col min="7434" max="7434" width="17.85546875" style="20" customWidth="1"/>
    <col min="7435" max="7436" width="8.7109375" style="20" customWidth="1"/>
    <col min="7437" max="7437" width="17.85546875" style="20" customWidth="1"/>
    <col min="7438" max="7439" width="8.7109375" style="20" customWidth="1"/>
    <col min="7440" max="7440" width="17.85546875" style="20" customWidth="1"/>
    <col min="7441" max="7442" width="8.7109375" style="20" customWidth="1"/>
    <col min="7443" max="7443" width="17.85546875" style="20" customWidth="1"/>
    <col min="7444" max="7445" width="8.7109375" style="20" customWidth="1"/>
    <col min="7446" max="7446" width="17.85546875" style="20" customWidth="1"/>
    <col min="7447" max="7448" width="8.7109375" style="20" customWidth="1"/>
    <col min="7449" max="7449" width="17.85546875" style="20" customWidth="1"/>
    <col min="7450" max="7451" width="8.7109375" style="20" customWidth="1"/>
    <col min="7452" max="7452" width="17.85546875" style="20" customWidth="1"/>
    <col min="7453" max="7454" width="8.7109375" style="20" customWidth="1"/>
    <col min="7455" max="7455" width="17.85546875" style="20" customWidth="1"/>
    <col min="7456" max="7457" width="8.7109375" style="20" customWidth="1"/>
    <col min="7458" max="7458" width="17.85546875" style="20" customWidth="1"/>
    <col min="7459" max="7460" width="8.7109375" style="20" customWidth="1"/>
    <col min="7461" max="7461" width="17.85546875" style="20" customWidth="1"/>
    <col min="7462" max="7463" width="8.7109375" style="20" customWidth="1"/>
    <col min="7464" max="7464" width="17.85546875" style="20" customWidth="1"/>
    <col min="7465" max="7466" width="8.7109375" style="20" customWidth="1"/>
    <col min="7467" max="7467" width="17.85546875" style="20" customWidth="1"/>
    <col min="7468" max="7469" width="8.7109375" style="20" customWidth="1"/>
    <col min="7470" max="7470" width="17.85546875" style="20" customWidth="1"/>
    <col min="7471" max="7472" width="8.7109375" style="20" customWidth="1"/>
    <col min="7473" max="7680" width="10.85546875" style="20"/>
    <col min="7681" max="7681" width="50.85546875" style="20" customWidth="1"/>
    <col min="7682" max="7682" width="17.85546875" style="20" customWidth="1"/>
    <col min="7683" max="7683" width="8.7109375" style="20" customWidth="1"/>
    <col min="7684" max="7684" width="17.85546875" style="20" customWidth="1"/>
    <col min="7685" max="7686" width="8.7109375" style="20" customWidth="1"/>
    <col min="7687" max="7687" width="17.85546875" style="20" customWidth="1"/>
    <col min="7688" max="7689" width="8.7109375" style="20" customWidth="1"/>
    <col min="7690" max="7690" width="17.85546875" style="20" customWidth="1"/>
    <col min="7691" max="7692" width="8.7109375" style="20" customWidth="1"/>
    <col min="7693" max="7693" width="17.85546875" style="20" customWidth="1"/>
    <col min="7694" max="7695" width="8.7109375" style="20" customWidth="1"/>
    <col min="7696" max="7696" width="17.85546875" style="20" customWidth="1"/>
    <col min="7697" max="7698" width="8.7109375" style="20" customWidth="1"/>
    <col min="7699" max="7699" width="17.85546875" style="20" customWidth="1"/>
    <col min="7700" max="7701" width="8.7109375" style="20" customWidth="1"/>
    <col min="7702" max="7702" width="17.85546875" style="20" customWidth="1"/>
    <col min="7703" max="7704" width="8.7109375" style="20" customWidth="1"/>
    <col min="7705" max="7705" width="17.85546875" style="20" customWidth="1"/>
    <col min="7706" max="7707" width="8.7109375" style="20" customWidth="1"/>
    <col min="7708" max="7708" width="17.85546875" style="20" customWidth="1"/>
    <col min="7709" max="7710" width="8.7109375" style="20" customWidth="1"/>
    <col min="7711" max="7711" width="17.85546875" style="20" customWidth="1"/>
    <col min="7712" max="7713" width="8.7109375" style="20" customWidth="1"/>
    <col min="7714" max="7714" width="17.85546875" style="20" customWidth="1"/>
    <col min="7715" max="7716" width="8.7109375" style="20" customWidth="1"/>
    <col min="7717" max="7717" width="17.85546875" style="20" customWidth="1"/>
    <col min="7718" max="7719" width="8.7109375" style="20" customWidth="1"/>
    <col min="7720" max="7720" width="17.85546875" style="20" customWidth="1"/>
    <col min="7721" max="7722" width="8.7109375" style="20" customWidth="1"/>
    <col min="7723" max="7723" width="17.85546875" style="20" customWidth="1"/>
    <col min="7724" max="7725" width="8.7109375" style="20" customWidth="1"/>
    <col min="7726" max="7726" width="17.85546875" style="20" customWidth="1"/>
    <col min="7727" max="7728" width="8.7109375" style="20" customWidth="1"/>
    <col min="7729" max="7936" width="10.85546875" style="20"/>
    <col min="7937" max="7937" width="50.85546875" style="20" customWidth="1"/>
    <col min="7938" max="7938" width="17.85546875" style="20" customWidth="1"/>
    <col min="7939" max="7939" width="8.7109375" style="20" customWidth="1"/>
    <col min="7940" max="7940" width="17.85546875" style="20" customWidth="1"/>
    <col min="7941" max="7942" width="8.7109375" style="20" customWidth="1"/>
    <col min="7943" max="7943" width="17.85546875" style="20" customWidth="1"/>
    <col min="7944" max="7945" width="8.7109375" style="20" customWidth="1"/>
    <col min="7946" max="7946" width="17.85546875" style="20" customWidth="1"/>
    <col min="7947" max="7948" width="8.7109375" style="20" customWidth="1"/>
    <col min="7949" max="7949" width="17.85546875" style="20" customWidth="1"/>
    <col min="7950" max="7951" width="8.7109375" style="20" customWidth="1"/>
    <col min="7952" max="7952" width="17.85546875" style="20" customWidth="1"/>
    <col min="7953" max="7954" width="8.7109375" style="20" customWidth="1"/>
    <col min="7955" max="7955" width="17.85546875" style="20" customWidth="1"/>
    <col min="7956" max="7957" width="8.7109375" style="20" customWidth="1"/>
    <col min="7958" max="7958" width="17.85546875" style="20" customWidth="1"/>
    <col min="7959" max="7960" width="8.7109375" style="20" customWidth="1"/>
    <col min="7961" max="7961" width="17.85546875" style="20" customWidth="1"/>
    <col min="7962" max="7963" width="8.7109375" style="20" customWidth="1"/>
    <col min="7964" max="7964" width="17.85546875" style="20" customWidth="1"/>
    <col min="7965" max="7966" width="8.7109375" style="20" customWidth="1"/>
    <col min="7967" max="7967" width="17.85546875" style="20" customWidth="1"/>
    <col min="7968" max="7969" width="8.7109375" style="20" customWidth="1"/>
    <col min="7970" max="7970" width="17.85546875" style="20" customWidth="1"/>
    <col min="7971" max="7972" width="8.7109375" style="20" customWidth="1"/>
    <col min="7973" max="7973" width="17.85546875" style="20" customWidth="1"/>
    <col min="7974" max="7975" width="8.7109375" style="20" customWidth="1"/>
    <col min="7976" max="7976" width="17.85546875" style="20" customWidth="1"/>
    <col min="7977" max="7978" width="8.7109375" style="20" customWidth="1"/>
    <col min="7979" max="7979" width="17.85546875" style="20" customWidth="1"/>
    <col min="7980" max="7981" width="8.7109375" style="20" customWidth="1"/>
    <col min="7982" max="7982" width="17.85546875" style="20" customWidth="1"/>
    <col min="7983" max="7984" width="8.7109375" style="20" customWidth="1"/>
    <col min="7985" max="8192" width="10.85546875" style="20"/>
    <col min="8193" max="8193" width="50.85546875" style="20" customWidth="1"/>
    <col min="8194" max="8194" width="17.85546875" style="20" customWidth="1"/>
    <col min="8195" max="8195" width="8.7109375" style="20" customWidth="1"/>
    <col min="8196" max="8196" width="17.85546875" style="20" customWidth="1"/>
    <col min="8197" max="8198" width="8.7109375" style="20" customWidth="1"/>
    <col min="8199" max="8199" width="17.85546875" style="20" customWidth="1"/>
    <col min="8200" max="8201" width="8.7109375" style="20" customWidth="1"/>
    <col min="8202" max="8202" width="17.85546875" style="20" customWidth="1"/>
    <col min="8203" max="8204" width="8.7109375" style="20" customWidth="1"/>
    <col min="8205" max="8205" width="17.85546875" style="20" customWidth="1"/>
    <col min="8206" max="8207" width="8.7109375" style="20" customWidth="1"/>
    <col min="8208" max="8208" width="17.85546875" style="20" customWidth="1"/>
    <col min="8209" max="8210" width="8.7109375" style="20" customWidth="1"/>
    <col min="8211" max="8211" width="17.85546875" style="20" customWidth="1"/>
    <col min="8212" max="8213" width="8.7109375" style="20" customWidth="1"/>
    <col min="8214" max="8214" width="17.85546875" style="20" customWidth="1"/>
    <col min="8215" max="8216" width="8.7109375" style="20" customWidth="1"/>
    <col min="8217" max="8217" width="17.85546875" style="20" customWidth="1"/>
    <col min="8218" max="8219" width="8.7109375" style="20" customWidth="1"/>
    <col min="8220" max="8220" width="17.85546875" style="20" customWidth="1"/>
    <col min="8221" max="8222" width="8.7109375" style="20" customWidth="1"/>
    <col min="8223" max="8223" width="17.85546875" style="20" customWidth="1"/>
    <col min="8224" max="8225" width="8.7109375" style="20" customWidth="1"/>
    <col min="8226" max="8226" width="17.85546875" style="20" customWidth="1"/>
    <col min="8227" max="8228" width="8.7109375" style="20" customWidth="1"/>
    <col min="8229" max="8229" width="17.85546875" style="20" customWidth="1"/>
    <col min="8230" max="8231" width="8.7109375" style="20" customWidth="1"/>
    <col min="8232" max="8232" width="17.85546875" style="20" customWidth="1"/>
    <col min="8233" max="8234" width="8.7109375" style="20" customWidth="1"/>
    <col min="8235" max="8235" width="17.85546875" style="20" customWidth="1"/>
    <col min="8236" max="8237" width="8.7109375" style="20" customWidth="1"/>
    <col min="8238" max="8238" width="17.85546875" style="20" customWidth="1"/>
    <col min="8239" max="8240" width="8.7109375" style="20" customWidth="1"/>
    <col min="8241" max="8448" width="10.85546875" style="20"/>
    <col min="8449" max="8449" width="50.85546875" style="20" customWidth="1"/>
    <col min="8450" max="8450" width="17.85546875" style="20" customWidth="1"/>
    <col min="8451" max="8451" width="8.7109375" style="20" customWidth="1"/>
    <col min="8452" max="8452" width="17.85546875" style="20" customWidth="1"/>
    <col min="8453" max="8454" width="8.7109375" style="20" customWidth="1"/>
    <col min="8455" max="8455" width="17.85546875" style="20" customWidth="1"/>
    <col min="8456" max="8457" width="8.7109375" style="20" customWidth="1"/>
    <col min="8458" max="8458" width="17.85546875" style="20" customWidth="1"/>
    <col min="8459" max="8460" width="8.7109375" style="20" customWidth="1"/>
    <col min="8461" max="8461" width="17.85546875" style="20" customWidth="1"/>
    <col min="8462" max="8463" width="8.7109375" style="20" customWidth="1"/>
    <col min="8464" max="8464" width="17.85546875" style="20" customWidth="1"/>
    <col min="8465" max="8466" width="8.7109375" style="20" customWidth="1"/>
    <col min="8467" max="8467" width="17.85546875" style="20" customWidth="1"/>
    <col min="8468" max="8469" width="8.7109375" style="20" customWidth="1"/>
    <col min="8470" max="8470" width="17.85546875" style="20" customWidth="1"/>
    <col min="8471" max="8472" width="8.7109375" style="20" customWidth="1"/>
    <col min="8473" max="8473" width="17.85546875" style="20" customWidth="1"/>
    <col min="8474" max="8475" width="8.7109375" style="20" customWidth="1"/>
    <col min="8476" max="8476" width="17.85546875" style="20" customWidth="1"/>
    <col min="8477" max="8478" width="8.7109375" style="20" customWidth="1"/>
    <col min="8479" max="8479" width="17.85546875" style="20" customWidth="1"/>
    <col min="8480" max="8481" width="8.7109375" style="20" customWidth="1"/>
    <col min="8482" max="8482" width="17.85546875" style="20" customWidth="1"/>
    <col min="8483" max="8484" width="8.7109375" style="20" customWidth="1"/>
    <col min="8485" max="8485" width="17.85546875" style="20" customWidth="1"/>
    <col min="8486" max="8487" width="8.7109375" style="20" customWidth="1"/>
    <col min="8488" max="8488" width="17.85546875" style="20" customWidth="1"/>
    <col min="8489" max="8490" width="8.7109375" style="20" customWidth="1"/>
    <col min="8491" max="8491" width="17.85546875" style="20" customWidth="1"/>
    <col min="8492" max="8493" width="8.7109375" style="20" customWidth="1"/>
    <col min="8494" max="8494" width="17.85546875" style="20" customWidth="1"/>
    <col min="8495" max="8496" width="8.7109375" style="20" customWidth="1"/>
    <col min="8497" max="8704" width="10.85546875" style="20"/>
    <col min="8705" max="8705" width="50.85546875" style="20" customWidth="1"/>
    <col min="8706" max="8706" width="17.85546875" style="20" customWidth="1"/>
    <col min="8707" max="8707" width="8.7109375" style="20" customWidth="1"/>
    <col min="8708" max="8708" width="17.85546875" style="20" customWidth="1"/>
    <col min="8709" max="8710" width="8.7109375" style="20" customWidth="1"/>
    <col min="8711" max="8711" width="17.85546875" style="20" customWidth="1"/>
    <col min="8712" max="8713" width="8.7109375" style="20" customWidth="1"/>
    <col min="8714" max="8714" width="17.85546875" style="20" customWidth="1"/>
    <col min="8715" max="8716" width="8.7109375" style="20" customWidth="1"/>
    <col min="8717" max="8717" width="17.85546875" style="20" customWidth="1"/>
    <col min="8718" max="8719" width="8.7109375" style="20" customWidth="1"/>
    <col min="8720" max="8720" width="17.85546875" style="20" customWidth="1"/>
    <col min="8721" max="8722" width="8.7109375" style="20" customWidth="1"/>
    <col min="8723" max="8723" width="17.85546875" style="20" customWidth="1"/>
    <col min="8724" max="8725" width="8.7109375" style="20" customWidth="1"/>
    <col min="8726" max="8726" width="17.85546875" style="20" customWidth="1"/>
    <col min="8727" max="8728" width="8.7109375" style="20" customWidth="1"/>
    <col min="8729" max="8729" width="17.85546875" style="20" customWidth="1"/>
    <col min="8730" max="8731" width="8.7109375" style="20" customWidth="1"/>
    <col min="8732" max="8732" width="17.85546875" style="20" customWidth="1"/>
    <col min="8733" max="8734" width="8.7109375" style="20" customWidth="1"/>
    <col min="8735" max="8735" width="17.85546875" style="20" customWidth="1"/>
    <col min="8736" max="8737" width="8.7109375" style="20" customWidth="1"/>
    <col min="8738" max="8738" width="17.85546875" style="20" customWidth="1"/>
    <col min="8739" max="8740" width="8.7109375" style="20" customWidth="1"/>
    <col min="8741" max="8741" width="17.85546875" style="20" customWidth="1"/>
    <col min="8742" max="8743" width="8.7109375" style="20" customWidth="1"/>
    <col min="8744" max="8744" width="17.85546875" style="20" customWidth="1"/>
    <col min="8745" max="8746" width="8.7109375" style="20" customWidth="1"/>
    <col min="8747" max="8747" width="17.85546875" style="20" customWidth="1"/>
    <col min="8748" max="8749" width="8.7109375" style="20" customWidth="1"/>
    <col min="8750" max="8750" width="17.85546875" style="20" customWidth="1"/>
    <col min="8751" max="8752" width="8.7109375" style="20" customWidth="1"/>
    <col min="8753" max="8960" width="10.85546875" style="20"/>
    <col min="8961" max="8961" width="50.85546875" style="20" customWidth="1"/>
    <col min="8962" max="8962" width="17.85546875" style="20" customWidth="1"/>
    <col min="8963" max="8963" width="8.7109375" style="20" customWidth="1"/>
    <col min="8964" max="8964" width="17.85546875" style="20" customWidth="1"/>
    <col min="8965" max="8966" width="8.7109375" style="20" customWidth="1"/>
    <col min="8967" max="8967" width="17.85546875" style="20" customWidth="1"/>
    <col min="8968" max="8969" width="8.7109375" style="20" customWidth="1"/>
    <col min="8970" max="8970" width="17.85546875" style="20" customWidth="1"/>
    <col min="8971" max="8972" width="8.7109375" style="20" customWidth="1"/>
    <col min="8973" max="8973" width="17.85546875" style="20" customWidth="1"/>
    <col min="8974" max="8975" width="8.7109375" style="20" customWidth="1"/>
    <col min="8976" max="8976" width="17.85546875" style="20" customWidth="1"/>
    <col min="8977" max="8978" width="8.7109375" style="20" customWidth="1"/>
    <col min="8979" max="8979" width="17.85546875" style="20" customWidth="1"/>
    <col min="8980" max="8981" width="8.7109375" style="20" customWidth="1"/>
    <col min="8982" max="8982" width="17.85546875" style="20" customWidth="1"/>
    <col min="8983" max="8984" width="8.7109375" style="20" customWidth="1"/>
    <col min="8985" max="8985" width="17.85546875" style="20" customWidth="1"/>
    <col min="8986" max="8987" width="8.7109375" style="20" customWidth="1"/>
    <col min="8988" max="8988" width="17.85546875" style="20" customWidth="1"/>
    <col min="8989" max="8990" width="8.7109375" style="20" customWidth="1"/>
    <col min="8991" max="8991" width="17.85546875" style="20" customWidth="1"/>
    <col min="8992" max="8993" width="8.7109375" style="20" customWidth="1"/>
    <col min="8994" max="8994" width="17.85546875" style="20" customWidth="1"/>
    <col min="8995" max="8996" width="8.7109375" style="20" customWidth="1"/>
    <col min="8997" max="8997" width="17.85546875" style="20" customWidth="1"/>
    <col min="8998" max="8999" width="8.7109375" style="20" customWidth="1"/>
    <col min="9000" max="9000" width="17.85546875" style="20" customWidth="1"/>
    <col min="9001" max="9002" width="8.7109375" style="20" customWidth="1"/>
    <col min="9003" max="9003" width="17.85546875" style="20" customWidth="1"/>
    <col min="9004" max="9005" width="8.7109375" style="20" customWidth="1"/>
    <col min="9006" max="9006" width="17.85546875" style="20" customWidth="1"/>
    <col min="9007" max="9008" width="8.7109375" style="20" customWidth="1"/>
    <col min="9009" max="9216" width="10.85546875" style="20"/>
    <col min="9217" max="9217" width="50.85546875" style="20" customWidth="1"/>
    <col min="9218" max="9218" width="17.85546875" style="20" customWidth="1"/>
    <col min="9219" max="9219" width="8.7109375" style="20" customWidth="1"/>
    <col min="9220" max="9220" width="17.85546875" style="20" customWidth="1"/>
    <col min="9221" max="9222" width="8.7109375" style="20" customWidth="1"/>
    <col min="9223" max="9223" width="17.85546875" style="20" customWidth="1"/>
    <col min="9224" max="9225" width="8.7109375" style="20" customWidth="1"/>
    <col min="9226" max="9226" width="17.85546875" style="20" customWidth="1"/>
    <col min="9227" max="9228" width="8.7109375" style="20" customWidth="1"/>
    <col min="9229" max="9229" width="17.85546875" style="20" customWidth="1"/>
    <col min="9230" max="9231" width="8.7109375" style="20" customWidth="1"/>
    <col min="9232" max="9232" width="17.85546875" style="20" customWidth="1"/>
    <col min="9233" max="9234" width="8.7109375" style="20" customWidth="1"/>
    <col min="9235" max="9235" width="17.85546875" style="20" customWidth="1"/>
    <col min="9236" max="9237" width="8.7109375" style="20" customWidth="1"/>
    <col min="9238" max="9238" width="17.85546875" style="20" customWidth="1"/>
    <col min="9239" max="9240" width="8.7109375" style="20" customWidth="1"/>
    <col min="9241" max="9241" width="17.85546875" style="20" customWidth="1"/>
    <col min="9242" max="9243" width="8.7109375" style="20" customWidth="1"/>
    <col min="9244" max="9244" width="17.85546875" style="20" customWidth="1"/>
    <col min="9245" max="9246" width="8.7109375" style="20" customWidth="1"/>
    <col min="9247" max="9247" width="17.85546875" style="20" customWidth="1"/>
    <col min="9248" max="9249" width="8.7109375" style="20" customWidth="1"/>
    <col min="9250" max="9250" width="17.85546875" style="20" customWidth="1"/>
    <col min="9251" max="9252" width="8.7109375" style="20" customWidth="1"/>
    <col min="9253" max="9253" width="17.85546875" style="20" customWidth="1"/>
    <col min="9254" max="9255" width="8.7109375" style="20" customWidth="1"/>
    <col min="9256" max="9256" width="17.85546875" style="20" customWidth="1"/>
    <col min="9257" max="9258" width="8.7109375" style="20" customWidth="1"/>
    <col min="9259" max="9259" width="17.85546875" style="20" customWidth="1"/>
    <col min="9260" max="9261" width="8.7109375" style="20" customWidth="1"/>
    <col min="9262" max="9262" width="17.85546875" style="20" customWidth="1"/>
    <col min="9263" max="9264" width="8.7109375" style="20" customWidth="1"/>
    <col min="9265" max="9472" width="10.85546875" style="20"/>
    <col min="9473" max="9473" width="50.85546875" style="20" customWidth="1"/>
    <col min="9474" max="9474" width="17.85546875" style="20" customWidth="1"/>
    <col min="9475" max="9475" width="8.7109375" style="20" customWidth="1"/>
    <col min="9476" max="9476" width="17.85546875" style="20" customWidth="1"/>
    <col min="9477" max="9478" width="8.7109375" style="20" customWidth="1"/>
    <col min="9479" max="9479" width="17.85546875" style="20" customWidth="1"/>
    <col min="9480" max="9481" width="8.7109375" style="20" customWidth="1"/>
    <col min="9482" max="9482" width="17.85546875" style="20" customWidth="1"/>
    <col min="9483" max="9484" width="8.7109375" style="20" customWidth="1"/>
    <col min="9485" max="9485" width="17.85546875" style="20" customWidth="1"/>
    <col min="9486" max="9487" width="8.7109375" style="20" customWidth="1"/>
    <col min="9488" max="9488" width="17.85546875" style="20" customWidth="1"/>
    <col min="9489" max="9490" width="8.7109375" style="20" customWidth="1"/>
    <col min="9491" max="9491" width="17.85546875" style="20" customWidth="1"/>
    <col min="9492" max="9493" width="8.7109375" style="20" customWidth="1"/>
    <col min="9494" max="9494" width="17.85546875" style="20" customWidth="1"/>
    <col min="9495" max="9496" width="8.7109375" style="20" customWidth="1"/>
    <col min="9497" max="9497" width="17.85546875" style="20" customWidth="1"/>
    <col min="9498" max="9499" width="8.7109375" style="20" customWidth="1"/>
    <col min="9500" max="9500" width="17.85546875" style="20" customWidth="1"/>
    <col min="9501" max="9502" width="8.7109375" style="20" customWidth="1"/>
    <col min="9503" max="9503" width="17.85546875" style="20" customWidth="1"/>
    <col min="9504" max="9505" width="8.7109375" style="20" customWidth="1"/>
    <col min="9506" max="9506" width="17.85546875" style="20" customWidth="1"/>
    <col min="9507" max="9508" width="8.7109375" style="20" customWidth="1"/>
    <col min="9509" max="9509" width="17.85546875" style="20" customWidth="1"/>
    <col min="9510" max="9511" width="8.7109375" style="20" customWidth="1"/>
    <col min="9512" max="9512" width="17.85546875" style="20" customWidth="1"/>
    <col min="9513" max="9514" width="8.7109375" style="20" customWidth="1"/>
    <col min="9515" max="9515" width="17.85546875" style="20" customWidth="1"/>
    <col min="9516" max="9517" width="8.7109375" style="20" customWidth="1"/>
    <col min="9518" max="9518" width="17.85546875" style="20" customWidth="1"/>
    <col min="9519" max="9520" width="8.7109375" style="20" customWidth="1"/>
    <col min="9521" max="9728" width="10.85546875" style="20"/>
    <col min="9729" max="9729" width="50.85546875" style="20" customWidth="1"/>
    <col min="9730" max="9730" width="17.85546875" style="20" customWidth="1"/>
    <col min="9731" max="9731" width="8.7109375" style="20" customWidth="1"/>
    <col min="9732" max="9732" width="17.85546875" style="20" customWidth="1"/>
    <col min="9733" max="9734" width="8.7109375" style="20" customWidth="1"/>
    <col min="9735" max="9735" width="17.85546875" style="20" customWidth="1"/>
    <col min="9736" max="9737" width="8.7109375" style="20" customWidth="1"/>
    <col min="9738" max="9738" width="17.85546875" style="20" customWidth="1"/>
    <col min="9739" max="9740" width="8.7109375" style="20" customWidth="1"/>
    <col min="9741" max="9741" width="17.85546875" style="20" customWidth="1"/>
    <col min="9742" max="9743" width="8.7109375" style="20" customWidth="1"/>
    <col min="9744" max="9744" width="17.85546875" style="20" customWidth="1"/>
    <col min="9745" max="9746" width="8.7109375" style="20" customWidth="1"/>
    <col min="9747" max="9747" width="17.85546875" style="20" customWidth="1"/>
    <col min="9748" max="9749" width="8.7109375" style="20" customWidth="1"/>
    <col min="9750" max="9750" width="17.85546875" style="20" customWidth="1"/>
    <col min="9751" max="9752" width="8.7109375" style="20" customWidth="1"/>
    <col min="9753" max="9753" width="17.85546875" style="20" customWidth="1"/>
    <col min="9754" max="9755" width="8.7109375" style="20" customWidth="1"/>
    <col min="9756" max="9756" width="17.85546875" style="20" customWidth="1"/>
    <col min="9757" max="9758" width="8.7109375" style="20" customWidth="1"/>
    <col min="9759" max="9759" width="17.85546875" style="20" customWidth="1"/>
    <col min="9760" max="9761" width="8.7109375" style="20" customWidth="1"/>
    <col min="9762" max="9762" width="17.85546875" style="20" customWidth="1"/>
    <col min="9763" max="9764" width="8.7109375" style="20" customWidth="1"/>
    <col min="9765" max="9765" width="17.85546875" style="20" customWidth="1"/>
    <col min="9766" max="9767" width="8.7109375" style="20" customWidth="1"/>
    <col min="9768" max="9768" width="17.85546875" style="20" customWidth="1"/>
    <col min="9769" max="9770" width="8.7109375" style="20" customWidth="1"/>
    <col min="9771" max="9771" width="17.85546875" style="20" customWidth="1"/>
    <col min="9772" max="9773" width="8.7109375" style="20" customWidth="1"/>
    <col min="9774" max="9774" width="17.85546875" style="20" customWidth="1"/>
    <col min="9775" max="9776" width="8.7109375" style="20" customWidth="1"/>
    <col min="9777" max="9984" width="10.85546875" style="20"/>
    <col min="9985" max="9985" width="50.85546875" style="20" customWidth="1"/>
    <col min="9986" max="9986" width="17.85546875" style="20" customWidth="1"/>
    <col min="9987" max="9987" width="8.7109375" style="20" customWidth="1"/>
    <col min="9988" max="9988" width="17.85546875" style="20" customWidth="1"/>
    <col min="9989" max="9990" width="8.7109375" style="20" customWidth="1"/>
    <col min="9991" max="9991" width="17.85546875" style="20" customWidth="1"/>
    <col min="9992" max="9993" width="8.7109375" style="20" customWidth="1"/>
    <col min="9994" max="9994" width="17.85546875" style="20" customWidth="1"/>
    <col min="9995" max="9996" width="8.7109375" style="20" customWidth="1"/>
    <col min="9997" max="9997" width="17.85546875" style="20" customWidth="1"/>
    <col min="9998" max="9999" width="8.7109375" style="20" customWidth="1"/>
    <col min="10000" max="10000" width="17.85546875" style="20" customWidth="1"/>
    <col min="10001" max="10002" width="8.7109375" style="20" customWidth="1"/>
    <col min="10003" max="10003" width="17.85546875" style="20" customWidth="1"/>
    <col min="10004" max="10005" width="8.7109375" style="20" customWidth="1"/>
    <col min="10006" max="10006" width="17.85546875" style="20" customWidth="1"/>
    <col min="10007" max="10008" width="8.7109375" style="20" customWidth="1"/>
    <col min="10009" max="10009" width="17.85546875" style="20" customWidth="1"/>
    <col min="10010" max="10011" width="8.7109375" style="20" customWidth="1"/>
    <col min="10012" max="10012" width="17.85546875" style="20" customWidth="1"/>
    <col min="10013" max="10014" width="8.7109375" style="20" customWidth="1"/>
    <col min="10015" max="10015" width="17.85546875" style="20" customWidth="1"/>
    <col min="10016" max="10017" width="8.7109375" style="20" customWidth="1"/>
    <col min="10018" max="10018" width="17.85546875" style="20" customWidth="1"/>
    <col min="10019" max="10020" width="8.7109375" style="20" customWidth="1"/>
    <col min="10021" max="10021" width="17.85546875" style="20" customWidth="1"/>
    <col min="10022" max="10023" width="8.7109375" style="20" customWidth="1"/>
    <col min="10024" max="10024" width="17.85546875" style="20" customWidth="1"/>
    <col min="10025" max="10026" width="8.7109375" style="20" customWidth="1"/>
    <col min="10027" max="10027" width="17.85546875" style="20" customWidth="1"/>
    <col min="10028" max="10029" width="8.7109375" style="20" customWidth="1"/>
    <col min="10030" max="10030" width="17.85546875" style="20" customWidth="1"/>
    <col min="10031" max="10032" width="8.7109375" style="20" customWidth="1"/>
    <col min="10033" max="10240" width="10.85546875" style="20"/>
    <col min="10241" max="10241" width="50.85546875" style="20" customWidth="1"/>
    <col min="10242" max="10242" width="17.85546875" style="20" customWidth="1"/>
    <col min="10243" max="10243" width="8.7109375" style="20" customWidth="1"/>
    <col min="10244" max="10244" width="17.85546875" style="20" customWidth="1"/>
    <col min="10245" max="10246" width="8.7109375" style="20" customWidth="1"/>
    <col min="10247" max="10247" width="17.85546875" style="20" customWidth="1"/>
    <col min="10248" max="10249" width="8.7109375" style="20" customWidth="1"/>
    <col min="10250" max="10250" width="17.85546875" style="20" customWidth="1"/>
    <col min="10251" max="10252" width="8.7109375" style="20" customWidth="1"/>
    <col min="10253" max="10253" width="17.85546875" style="20" customWidth="1"/>
    <col min="10254" max="10255" width="8.7109375" style="20" customWidth="1"/>
    <col min="10256" max="10256" width="17.85546875" style="20" customWidth="1"/>
    <col min="10257" max="10258" width="8.7109375" style="20" customWidth="1"/>
    <col min="10259" max="10259" width="17.85546875" style="20" customWidth="1"/>
    <col min="10260" max="10261" width="8.7109375" style="20" customWidth="1"/>
    <col min="10262" max="10262" width="17.85546875" style="20" customWidth="1"/>
    <col min="10263" max="10264" width="8.7109375" style="20" customWidth="1"/>
    <col min="10265" max="10265" width="17.85546875" style="20" customWidth="1"/>
    <col min="10266" max="10267" width="8.7109375" style="20" customWidth="1"/>
    <col min="10268" max="10268" width="17.85546875" style="20" customWidth="1"/>
    <col min="10269" max="10270" width="8.7109375" style="20" customWidth="1"/>
    <col min="10271" max="10271" width="17.85546875" style="20" customWidth="1"/>
    <col min="10272" max="10273" width="8.7109375" style="20" customWidth="1"/>
    <col min="10274" max="10274" width="17.85546875" style="20" customWidth="1"/>
    <col min="10275" max="10276" width="8.7109375" style="20" customWidth="1"/>
    <col min="10277" max="10277" width="17.85546875" style="20" customWidth="1"/>
    <col min="10278" max="10279" width="8.7109375" style="20" customWidth="1"/>
    <col min="10280" max="10280" width="17.85546875" style="20" customWidth="1"/>
    <col min="10281" max="10282" width="8.7109375" style="20" customWidth="1"/>
    <col min="10283" max="10283" width="17.85546875" style="20" customWidth="1"/>
    <col min="10284" max="10285" width="8.7109375" style="20" customWidth="1"/>
    <col min="10286" max="10286" width="17.85546875" style="20" customWidth="1"/>
    <col min="10287" max="10288" width="8.7109375" style="20" customWidth="1"/>
    <col min="10289" max="10496" width="10.85546875" style="20"/>
    <col min="10497" max="10497" width="50.85546875" style="20" customWidth="1"/>
    <col min="10498" max="10498" width="17.85546875" style="20" customWidth="1"/>
    <col min="10499" max="10499" width="8.7109375" style="20" customWidth="1"/>
    <col min="10500" max="10500" width="17.85546875" style="20" customWidth="1"/>
    <col min="10501" max="10502" width="8.7109375" style="20" customWidth="1"/>
    <col min="10503" max="10503" width="17.85546875" style="20" customWidth="1"/>
    <col min="10504" max="10505" width="8.7109375" style="20" customWidth="1"/>
    <col min="10506" max="10506" width="17.85546875" style="20" customWidth="1"/>
    <col min="10507" max="10508" width="8.7109375" style="20" customWidth="1"/>
    <col min="10509" max="10509" width="17.85546875" style="20" customWidth="1"/>
    <col min="10510" max="10511" width="8.7109375" style="20" customWidth="1"/>
    <col min="10512" max="10512" width="17.85546875" style="20" customWidth="1"/>
    <col min="10513" max="10514" width="8.7109375" style="20" customWidth="1"/>
    <col min="10515" max="10515" width="17.85546875" style="20" customWidth="1"/>
    <col min="10516" max="10517" width="8.7109375" style="20" customWidth="1"/>
    <col min="10518" max="10518" width="17.85546875" style="20" customWidth="1"/>
    <col min="10519" max="10520" width="8.7109375" style="20" customWidth="1"/>
    <col min="10521" max="10521" width="17.85546875" style="20" customWidth="1"/>
    <col min="10522" max="10523" width="8.7109375" style="20" customWidth="1"/>
    <col min="10524" max="10524" width="17.85546875" style="20" customWidth="1"/>
    <col min="10525" max="10526" width="8.7109375" style="20" customWidth="1"/>
    <col min="10527" max="10527" width="17.85546875" style="20" customWidth="1"/>
    <col min="10528" max="10529" width="8.7109375" style="20" customWidth="1"/>
    <col min="10530" max="10530" width="17.85546875" style="20" customWidth="1"/>
    <col min="10531" max="10532" width="8.7109375" style="20" customWidth="1"/>
    <col min="10533" max="10533" width="17.85546875" style="20" customWidth="1"/>
    <col min="10534" max="10535" width="8.7109375" style="20" customWidth="1"/>
    <col min="10536" max="10536" width="17.85546875" style="20" customWidth="1"/>
    <col min="10537" max="10538" width="8.7109375" style="20" customWidth="1"/>
    <col min="10539" max="10539" width="17.85546875" style="20" customWidth="1"/>
    <col min="10540" max="10541" width="8.7109375" style="20" customWidth="1"/>
    <col min="10542" max="10542" width="17.85546875" style="20" customWidth="1"/>
    <col min="10543" max="10544" width="8.7109375" style="20" customWidth="1"/>
    <col min="10545" max="10752" width="10.85546875" style="20"/>
    <col min="10753" max="10753" width="50.85546875" style="20" customWidth="1"/>
    <col min="10754" max="10754" width="17.85546875" style="20" customWidth="1"/>
    <col min="10755" max="10755" width="8.7109375" style="20" customWidth="1"/>
    <col min="10756" max="10756" width="17.85546875" style="20" customWidth="1"/>
    <col min="10757" max="10758" width="8.7109375" style="20" customWidth="1"/>
    <col min="10759" max="10759" width="17.85546875" style="20" customWidth="1"/>
    <col min="10760" max="10761" width="8.7109375" style="20" customWidth="1"/>
    <col min="10762" max="10762" width="17.85546875" style="20" customWidth="1"/>
    <col min="10763" max="10764" width="8.7109375" style="20" customWidth="1"/>
    <col min="10765" max="10765" width="17.85546875" style="20" customWidth="1"/>
    <col min="10766" max="10767" width="8.7109375" style="20" customWidth="1"/>
    <col min="10768" max="10768" width="17.85546875" style="20" customWidth="1"/>
    <col min="10769" max="10770" width="8.7109375" style="20" customWidth="1"/>
    <col min="10771" max="10771" width="17.85546875" style="20" customWidth="1"/>
    <col min="10772" max="10773" width="8.7109375" style="20" customWidth="1"/>
    <col min="10774" max="10774" width="17.85546875" style="20" customWidth="1"/>
    <col min="10775" max="10776" width="8.7109375" style="20" customWidth="1"/>
    <col min="10777" max="10777" width="17.85546875" style="20" customWidth="1"/>
    <col min="10778" max="10779" width="8.7109375" style="20" customWidth="1"/>
    <col min="10780" max="10780" width="17.85546875" style="20" customWidth="1"/>
    <col min="10781" max="10782" width="8.7109375" style="20" customWidth="1"/>
    <col min="10783" max="10783" width="17.85546875" style="20" customWidth="1"/>
    <col min="10784" max="10785" width="8.7109375" style="20" customWidth="1"/>
    <col min="10786" max="10786" width="17.85546875" style="20" customWidth="1"/>
    <col min="10787" max="10788" width="8.7109375" style="20" customWidth="1"/>
    <col min="10789" max="10789" width="17.85546875" style="20" customWidth="1"/>
    <col min="10790" max="10791" width="8.7109375" style="20" customWidth="1"/>
    <col min="10792" max="10792" width="17.85546875" style="20" customWidth="1"/>
    <col min="10793" max="10794" width="8.7109375" style="20" customWidth="1"/>
    <col min="10795" max="10795" width="17.85546875" style="20" customWidth="1"/>
    <col min="10796" max="10797" width="8.7109375" style="20" customWidth="1"/>
    <col min="10798" max="10798" width="17.85546875" style="20" customWidth="1"/>
    <col min="10799" max="10800" width="8.7109375" style="20" customWidth="1"/>
    <col min="10801" max="11008" width="10.85546875" style="20"/>
    <col min="11009" max="11009" width="50.85546875" style="20" customWidth="1"/>
    <col min="11010" max="11010" width="17.85546875" style="20" customWidth="1"/>
    <col min="11011" max="11011" width="8.7109375" style="20" customWidth="1"/>
    <col min="11012" max="11012" width="17.85546875" style="20" customWidth="1"/>
    <col min="11013" max="11014" width="8.7109375" style="20" customWidth="1"/>
    <col min="11015" max="11015" width="17.85546875" style="20" customWidth="1"/>
    <col min="11016" max="11017" width="8.7109375" style="20" customWidth="1"/>
    <col min="11018" max="11018" width="17.85546875" style="20" customWidth="1"/>
    <col min="11019" max="11020" width="8.7109375" style="20" customWidth="1"/>
    <col min="11021" max="11021" width="17.85546875" style="20" customWidth="1"/>
    <col min="11022" max="11023" width="8.7109375" style="20" customWidth="1"/>
    <col min="11024" max="11024" width="17.85546875" style="20" customWidth="1"/>
    <col min="11025" max="11026" width="8.7109375" style="20" customWidth="1"/>
    <col min="11027" max="11027" width="17.85546875" style="20" customWidth="1"/>
    <col min="11028" max="11029" width="8.7109375" style="20" customWidth="1"/>
    <col min="11030" max="11030" width="17.85546875" style="20" customWidth="1"/>
    <col min="11031" max="11032" width="8.7109375" style="20" customWidth="1"/>
    <col min="11033" max="11033" width="17.85546875" style="20" customWidth="1"/>
    <col min="11034" max="11035" width="8.7109375" style="20" customWidth="1"/>
    <col min="11036" max="11036" width="17.85546875" style="20" customWidth="1"/>
    <col min="11037" max="11038" width="8.7109375" style="20" customWidth="1"/>
    <col min="11039" max="11039" width="17.85546875" style="20" customWidth="1"/>
    <col min="11040" max="11041" width="8.7109375" style="20" customWidth="1"/>
    <col min="11042" max="11042" width="17.85546875" style="20" customWidth="1"/>
    <col min="11043" max="11044" width="8.7109375" style="20" customWidth="1"/>
    <col min="11045" max="11045" width="17.85546875" style="20" customWidth="1"/>
    <col min="11046" max="11047" width="8.7109375" style="20" customWidth="1"/>
    <col min="11048" max="11048" width="17.85546875" style="20" customWidth="1"/>
    <col min="11049" max="11050" width="8.7109375" style="20" customWidth="1"/>
    <col min="11051" max="11051" width="17.85546875" style="20" customWidth="1"/>
    <col min="11052" max="11053" width="8.7109375" style="20" customWidth="1"/>
    <col min="11054" max="11054" width="17.85546875" style="20" customWidth="1"/>
    <col min="11055" max="11056" width="8.7109375" style="20" customWidth="1"/>
    <col min="11057" max="11264" width="10.85546875" style="20"/>
    <col min="11265" max="11265" width="50.85546875" style="20" customWidth="1"/>
    <col min="11266" max="11266" width="17.85546875" style="20" customWidth="1"/>
    <col min="11267" max="11267" width="8.7109375" style="20" customWidth="1"/>
    <col min="11268" max="11268" width="17.85546875" style="20" customWidth="1"/>
    <col min="11269" max="11270" width="8.7109375" style="20" customWidth="1"/>
    <col min="11271" max="11271" width="17.85546875" style="20" customWidth="1"/>
    <col min="11272" max="11273" width="8.7109375" style="20" customWidth="1"/>
    <col min="11274" max="11274" width="17.85546875" style="20" customWidth="1"/>
    <col min="11275" max="11276" width="8.7109375" style="20" customWidth="1"/>
    <col min="11277" max="11277" width="17.85546875" style="20" customWidth="1"/>
    <col min="11278" max="11279" width="8.7109375" style="20" customWidth="1"/>
    <col min="11280" max="11280" width="17.85546875" style="20" customWidth="1"/>
    <col min="11281" max="11282" width="8.7109375" style="20" customWidth="1"/>
    <col min="11283" max="11283" width="17.85546875" style="20" customWidth="1"/>
    <col min="11284" max="11285" width="8.7109375" style="20" customWidth="1"/>
    <col min="11286" max="11286" width="17.85546875" style="20" customWidth="1"/>
    <col min="11287" max="11288" width="8.7109375" style="20" customWidth="1"/>
    <col min="11289" max="11289" width="17.85546875" style="20" customWidth="1"/>
    <col min="11290" max="11291" width="8.7109375" style="20" customWidth="1"/>
    <col min="11292" max="11292" width="17.85546875" style="20" customWidth="1"/>
    <col min="11293" max="11294" width="8.7109375" style="20" customWidth="1"/>
    <col min="11295" max="11295" width="17.85546875" style="20" customWidth="1"/>
    <col min="11296" max="11297" width="8.7109375" style="20" customWidth="1"/>
    <col min="11298" max="11298" width="17.85546875" style="20" customWidth="1"/>
    <col min="11299" max="11300" width="8.7109375" style="20" customWidth="1"/>
    <col min="11301" max="11301" width="17.85546875" style="20" customWidth="1"/>
    <col min="11302" max="11303" width="8.7109375" style="20" customWidth="1"/>
    <col min="11304" max="11304" width="17.85546875" style="20" customWidth="1"/>
    <col min="11305" max="11306" width="8.7109375" style="20" customWidth="1"/>
    <col min="11307" max="11307" width="17.85546875" style="20" customWidth="1"/>
    <col min="11308" max="11309" width="8.7109375" style="20" customWidth="1"/>
    <col min="11310" max="11310" width="17.85546875" style="20" customWidth="1"/>
    <col min="11311" max="11312" width="8.7109375" style="20" customWidth="1"/>
    <col min="11313" max="11520" width="10.85546875" style="20"/>
    <col min="11521" max="11521" width="50.85546875" style="20" customWidth="1"/>
    <col min="11522" max="11522" width="17.85546875" style="20" customWidth="1"/>
    <col min="11523" max="11523" width="8.7109375" style="20" customWidth="1"/>
    <col min="11524" max="11524" width="17.85546875" style="20" customWidth="1"/>
    <col min="11525" max="11526" width="8.7109375" style="20" customWidth="1"/>
    <col min="11527" max="11527" width="17.85546875" style="20" customWidth="1"/>
    <col min="11528" max="11529" width="8.7109375" style="20" customWidth="1"/>
    <col min="11530" max="11530" width="17.85546875" style="20" customWidth="1"/>
    <col min="11531" max="11532" width="8.7109375" style="20" customWidth="1"/>
    <col min="11533" max="11533" width="17.85546875" style="20" customWidth="1"/>
    <col min="11534" max="11535" width="8.7109375" style="20" customWidth="1"/>
    <col min="11536" max="11536" width="17.85546875" style="20" customWidth="1"/>
    <col min="11537" max="11538" width="8.7109375" style="20" customWidth="1"/>
    <col min="11539" max="11539" width="17.85546875" style="20" customWidth="1"/>
    <col min="11540" max="11541" width="8.7109375" style="20" customWidth="1"/>
    <col min="11542" max="11542" width="17.85546875" style="20" customWidth="1"/>
    <col min="11543" max="11544" width="8.7109375" style="20" customWidth="1"/>
    <col min="11545" max="11545" width="17.85546875" style="20" customWidth="1"/>
    <col min="11546" max="11547" width="8.7109375" style="20" customWidth="1"/>
    <col min="11548" max="11548" width="17.85546875" style="20" customWidth="1"/>
    <col min="11549" max="11550" width="8.7109375" style="20" customWidth="1"/>
    <col min="11551" max="11551" width="17.85546875" style="20" customWidth="1"/>
    <col min="11552" max="11553" width="8.7109375" style="20" customWidth="1"/>
    <col min="11554" max="11554" width="17.85546875" style="20" customWidth="1"/>
    <col min="11555" max="11556" width="8.7109375" style="20" customWidth="1"/>
    <col min="11557" max="11557" width="17.85546875" style="20" customWidth="1"/>
    <col min="11558" max="11559" width="8.7109375" style="20" customWidth="1"/>
    <col min="11560" max="11560" width="17.85546875" style="20" customWidth="1"/>
    <col min="11561" max="11562" width="8.7109375" style="20" customWidth="1"/>
    <col min="11563" max="11563" width="17.85546875" style="20" customWidth="1"/>
    <col min="11564" max="11565" width="8.7109375" style="20" customWidth="1"/>
    <col min="11566" max="11566" width="17.85546875" style="20" customWidth="1"/>
    <col min="11567" max="11568" width="8.7109375" style="20" customWidth="1"/>
    <col min="11569" max="11776" width="10.85546875" style="20"/>
    <col min="11777" max="11777" width="50.85546875" style="20" customWidth="1"/>
    <col min="11778" max="11778" width="17.85546875" style="20" customWidth="1"/>
    <col min="11779" max="11779" width="8.7109375" style="20" customWidth="1"/>
    <col min="11780" max="11780" width="17.85546875" style="20" customWidth="1"/>
    <col min="11781" max="11782" width="8.7109375" style="20" customWidth="1"/>
    <col min="11783" max="11783" width="17.85546875" style="20" customWidth="1"/>
    <col min="11784" max="11785" width="8.7109375" style="20" customWidth="1"/>
    <col min="11786" max="11786" width="17.85546875" style="20" customWidth="1"/>
    <col min="11787" max="11788" width="8.7109375" style="20" customWidth="1"/>
    <col min="11789" max="11789" width="17.85546875" style="20" customWidth="1"/>
    <col min="11790" max="11791" width="8.7109375" style="20" customWidth="1"/>
    <col min="11792" max="11792" width="17.85546875" style="20" customWidth="1"/>
    <col min="11793" max="11794" width="8.7109375" style="20" customWidth="1"/>
    <col min="11795" max="11795" width="17.85546875" style="20" customWidth="1"/>
    <col min="11796" max="11797" width="8.7109375" style="20" customWidth="1"/>
    <col min="11798" max="11798" width="17.85546875" style="20" customWidth="1"/>
    <col min="11799" max="11800" width="8.7109375" style="20" customWidth="1"/>
    <col min="11801" max="11801" width="17.85546875" style="20" customWidth="1"/>
    <col min="11802" max="11803" width="8.7109375" style="20" customWidth="1"/>
    <col min="11804" max="11804" width="17.85546875" style="20" customWidth="1"/>
    <col min="11805" max="11806" width="8.7109375" style="20" customWidth="1"/>
    <col min="11807" max="11807" width="17.85546875" style="20" customWidth="1"/>
    <col min="11808" max="11809" width="8.7109375" style="20" customWidth="1"/>
    <col min="11810" max="11810" width="17.85546875" style="20" customWidth="1"/>
    <col min="11811" max="11812" width="8.7109375" style="20" customWidth="1"/>
    <col min="11813" max="11813" width="17.85546875" style="20" customWidth="1"/>
    <col min="11814" max="11815" width="8.7109375" style="20" customWidth="1"/>
    <col min="11816" max="11816" width="17.85546875" style="20" customWidth="1"/>
    <col min="11817" max="11818" width="8.7109375" style="20" customWidth="1"/>
    <col min="11819" max="11819" width="17.85546875" style="20" customWidth="1"/>
    <col min="11820" max="11821" width="8.7109375" style="20" customWidth="1"/>
    <col min="11822" max="11822" width="17.85546875" style="20" customWidth="1"/>
    <col min="11823" max="11824" width="8.7109375" style="20" customWidth="1"/>
    <col min="11825" max="12032" width="10.85546875" style="20"/>
    <col min="12033" max="12033" width="50.85546875" style="20" customWidth="1"/>
    <col min="12034" max="12034" width="17.85546875" style="20" customWidth="1"/>
    <col min="12035" max="12035" width="8.7109375" style="20" customWidth="1"/>
    <col min="12036" max="12036" width="17.85546875" style="20" customWidth="1"/>
    <col min="12037" max="12038" width="8.7109375" style="20" customWidth="1"/>
    <col min="12039" max="12039" width="17.85546875" style="20" customWidth="1"/>
    <col min="12040" max="12041" width="8.7109375" style="20" customWidth="1"/>
    <col min="12042" max="12042" width="17.85546875" style="20" customWidth="1"/>
    <col min="12043" max="12044" width="8.7109375" style="20" customWidth="1"/>
    <col min="12045" max="12045" width="17.85546875" style="20" customWidth="1"/>
    <col min="12046" max="12047" width="8.7109375" style="20" customWidth="1"/>
    <col min="12048" max="12048" width="17.85546875" style="20" customWidth="1"/>
    <col min="12049" max="12050" width="8.7109375" style="20" customWidth="1"/>
    <col min="12051" max="12051" width="17.85546875" style="20" customWidth="1"/>
    <col min="12052" max="12053" width="8.7109375" style="20" customWidth="1"/>
    <col min="12054" max="12054" width="17.85546875" style="20" customWidth="1"/>
    <col min="12055" max="12056" width="8.7109375" style="20" customWidth="1"/>
    <col min="12057" max="12057" width="17.85546875" style="20" customWidth="1"/>
    <col min="12058" max="12059" width="8.7109375" style="20" customWidth="1"/>
    <col min="12060" max="12060" width="17.85546875" style="20" customWidth="1"/>
    <col min="12061" max="12062" width="8.7109375" style="20" customWidth="1"/>
    <col min="12063" max="12063" width="17.85546875" style="20" customWidth="1"/>
    <col min="12064" max="12065" width="8.7109375" style="20" customWidth="1"/>
    <col min="12066" max="12066" width="17.85546875" style="20" customWidth="1"/>
    <col min="12067" max="12068" width="8.7109375" style="20" customWidth="1"/>
    <col min="12069" max="12069" width="17.85546875" style="20" customWidth="1"/>
    <col min="12070" max="12071" width="8.7109375" style="20" customWidth="1"/>
    <col min="12072" max="12072" width="17.85546875" style="20" customWidth="1"/>
    <col min="12073" max="12074" width="8.7109375" style="20" customWidth="1"/>
    <col min="12075" max="12075" width="17.85546875" style="20" customWidth="1"/>
    <col min="12076" max="12077" width="8.7109375" style="20" customWidth="1"/>
    <col min="12078" max="12078" width="17.85546875" style="20" customWidth="1"/>
    <col min="12079" max="12080" width="8.7109375" style="20" customWidth="1"/>
    <col min="12081" max="12288" width="10.85546875" style="20"/>
    <col min="12289" max="12289" width="50.85546875" style="20" customWidth="1"/>
    <col min="12290" max="12290" width="17.85546875" style="20" customWidth="1"/>
    <col min="12291" max="12291" width="8.7109375" style="20" customWidth="1"/>
    <col min="12292" max="12292" width="17.85546875" style="20" customWidth="1"/>
    <col min="12293" max="12294" width="8.7109375" style="20" customWidth="1"/>
    <col min="12295" max="12295" width="17.85546875" style="20" customWidth="1"/>
    <col min="12296" max="12297" width="8.7109375" style="20" customWidth="1"/>
    <col min="12298" max="12298" width="17.85546875" style="20" customWidth="1"/>
    <col min="12299" max="12300" width="8.7109375" style="20" customWidth="1"/>
    <col min="12301" max="12301" width="17.85546875" style="20" customWidth="1"/>
    <col min="12302" max="12303" width="8.7109375" style="20" customWidth="1"/>
    <col min="12304" max="12304" width="17.85546875" style="20" customWidth="1"/>
    <col min="12305" max="12306" width="8.7109375" style="20" customWidth="1"/>
    <col min="12307" max="12307" width="17.85546875" style="20" customWidth="1"/>
    <col min="12308" max="12309" width="8.7109375" style="20" customWidth="1"/>
    <col min="12310" max="12310" width="17.85546875" style="20" customWidth="1"/>
    <col min="12311" max="12312" width="8.7109375" style="20" customWidth="1"/>
    <col min="12313" max="12313" width="17.85546875" style="20" customWidth="1"/>
    <col min="12314" max="12315" width="8.7109375" style="20" customWidth="1"/>
    <col min="12316" max="12316" width="17.85546875" style="20" customWidth="1"/>
    <col min="12317" max="12318" width="8.7109375" style="20" customWidth="1"/>
    <col min="12319" max="12319" width="17.85546875" style="20" customWidth="1"/>
    <col min="12320" max="12321" width="8.7109375" style="20" customWidth="1"/>
    <col min="12322" max="12322" width="17.85546875" style="20" customWidth="1"/>
    <col min="12323" max="12324" width="8.7109375" style="20" customWidth="1"/>
    <col min="12325" max="12325" width="17.85546875" style="20" customWidth="1"/>
    <col min="12326" max="12327" width="8.7109375" style="20" customWidth="1"/>
    <col min="12328" max="12328" width="17.85546875" style="20" customWidth="1"/>
    <col min="12329" max="12330" width="8.7109375" style="20" customWidth="1"/>
    <col min="12331" max="12331" width="17.85546875" style="20" customWidth="1"/>
    <col min="12332" max="12333" width="8.7109375" style="20" customWidth="1"/>
    <col min="12334" max="12334" width="17.85546875" style="20" customWidth="1"/>
    <col min="12335" max="12336" width="8.7109375" style="20" customWidth="1"/>
    <col min="12337" max="12544" width="10.85546875" style="20"/>
    <col min="12545" max="12545" width="50.85546875" style="20" customWidth="1"/>
    <col min="12546" max="12546" width="17.85546875" style="20" customWidth="1"/>
    <col min="12547" max="12547" width="8.7109375" style="20" customWidth="1"/>
    <col min="12548" max="12548" width="17.85546875" style="20" customWidth="1"/>
    <col min="12549" max="12550" width="8.7109375" style="20" customWidth="1"/>
    <col min="12551" max="12551" width="17.85546875" style="20" customWidth="1"/>
    <col min="12552" max="12553" width="8.7109375" style="20" customWidth="1"/>
    <col min="12554" max="12554" width="17.85546875" style="20" customWidth="1"/>
    <col min="12555" max="12556" width="8.7109375" style="20" customWidth="1"/>
    <col min="12557" max="12557" width="17.85546875" style="20" customWidth="1"/>
    <col min="12558" max="12559" width="8.7109375" style="20" customWidth="1"/>
    <col min="12560" max="12560" width="17.85546875" style="20" customWidth="1"/>
    <col min="12561" max="12562" width="8.7109375" style="20" customWidth="1"/>
    <col min="12563" max="12563" width="17.85546875" style="20" customWidth="1"/>
    <col min="12564" max="12565" width="8.7109375" style="20" customWidth="1"/>
    <col min="12566" max="12566" width="17.85546875" style="20" customWidth="1"/>
    <col min="12567" max="12568" width="8.7109375" style="20" customWidth="1"/>
    <col min="12569" max="12569" width="17.85546875" style="20" customWidth="1"/>
    <col min="12570" max="12571" width="8.7109375" style="20" customWidth="1"/>
    <col min="12572" max="12572" width="17.85546875" style="20" customWidth="1"/>
    <col min="12573" max="12574" width="8.7109375" style="20" customWidth="1"/>
    <col min="12575" max="12575" width="17.85546875" style="20" customWidth="1"/>
    <col min="12576" max="12577" width="8.7109375" style="20" customWidth="1"/>
    <col min="12578" max="12578" width="17.85546875" style="20" customWidth="1"/>
    <col min="12579" max="12580" width="8.7109375" style="20" customWidth="1"/>
    <col min="12581" max="12581" width="17.85546875" style="20" customWidth="1"/>
    <col min="12582" max="12583" width="8.7109375" style="20" customWidth="1"/>
    <col min="12584" max="12584" width="17.85546875" style="20" customWidth="1"/>
    <col min="12585" max="12586" width="8.7109375" style="20" customWidth="1"/>
    <col min="12587" max="12587" width="17.85546875" style="20" customWidth="1"/>
    <col min="12588" max="12589" width="8.7109375" style="20" customWidth="1"/>
    <col min="12590" max="12590" width="17.85546875" style="20" customWidth="1"/>
    <col min="12591" max="12592" width="8.7109375" style="20" customWidth="1"/>
    <col min="12593" max="12800" width="10.85546875" style="20"/>
    <col min="12801" max="12801" width="50.85546875" style="20" customWidth="1"/>
    <col min="12802" max="12802" width="17.85546875" style="20" customWidth="1"/>
    <col min="12803" max="12803" width="8.7109375" style="20" customWidth="1"/>
    <col min="12804" max="12804" width="17.85546875" style="20" customWidth="1"/>
    <col min="12805" max="12806" width="8.7109375" style="20" customWidth="1"/>
    <col min="12807" max="12807" width="17.85546875" style="20" customWidth="1"/>
    <col min="12808" max="12809" width="8.7109375" style="20" customWidth="1"/>
    <col min="12810" max="12810" width="17.85546875" style="20" customWidth="1"/>
    <col min="12811" max="12812" width="8.7109375" style="20" customWidth="1"/>
    <col min="12813" max="12813" width="17.85546875" style="20" customWidth="1"/>
    <col min="12814" max="12815" width="8.7109375" style="20" customWidth="1"/>
    <col min="12816" max="12816" width="17.85546875" style="20" customWidth="1"/>
    <col min="12817" max="12818" width="8.7109375" style="20" customWidth="1"/>
    <col min="12819" max="12819" width="17.85546875" style="20" customWidth="1"/>
    <col min="12820" max="12821" width="8.7109375" style="20" customWidth="1"/>
    <col min="12822" max="12822" width="17.85546875" style="20" customWidth="1"/>
    <col min="12823" max="12824" width="8.7109375" style="20" customWidth="1"/>
    <col min="12825" max="12825" width="17.85546875" style="20" customWidth="1"/>
    <col min="12826" max="12827" width="8.7109375" style="20" customWidth="1"/>
    <col min="12828" max="12828" width="17.85546875" style="20" customWidth="1"/>
    <col min="12829" max="12830" width="8.7109375" style="20" customWidth="1"/>
    <col min="12831" max="12831" width="17.85546875" style="20" customWidth="1"/>
    <col min="12832" max="12833" width="8.7109375" style="20" customWidth="1"/>
    <col min="12834" max="12834" width="17.85546875" style="20" customWidth="1"/>
    <col min="12835" max="12836" width="8.7109375" style="20" customWidth="1"/>
    <col min="12837" max="12837" width="17.85546875" style="20" customWidth="1"/>
    <col min="12838" max="12839" width="8.7109375" style="20" customWidth="1"/>
    <col min="12840" max="12840" width="17.85546875" style="20" customWidth="1"/>
    <col min="12841" max="12842" width="8.7109375" style="20" customWidth="1"/>
    <col min="12843" max="12843" width="17.85546875" style="20" customWidth="1"/>
    <col min="12844" max="12845" width="8.7109375" style="20" customWidth="1"/>
    <col min="12846" max="12846" width="17.85546875" style="20" customWidth="1"/>
    <col min="12847" max="12848" width="8.7109375" style="20" customWidth="1"/>
    <col min="12849" max="13056" width="10.85546875" style="20"/>
    <col min="13057" max="13057" width="50.85546875" style="20" customWidth="1"/>
    <col min="13058" max="13058" width="17.85546875" style="20" customWidth="1"/>
    <col min="13059" max="13059" width="8.7109375" style="20" customWidth="1"/>
    <col min="13060" max="13060" width="17.85546875" style="20" customWidth="1"/>
    <col min="13061" max="13062" width="8.7109375" style="20" customWidth="1"/>
    <col min="13063" max="13063" width="17.85546875" style="20" customWidth="1"/>
    <col min="13064" max="13065" width="8.7109375" style="20" customWidth="1"/>
    <col min="13066" max="13066" width="17.85546875" style="20" customWidth="1"/>
    <col min="13067" max="13068" width="8.7109375" style="20" customWidth="1"/>
    <col min="13069" max="13069" width="17.85546875" style="20" customWidth="1"/>
    <col min="13070" max="13071" width="8.7109375" style="20" customWidth="1"/>
    <col min="13072" max="13072" width="17.85546875" style="20" customWidth="1"/>
    <col min="13073" max="13074" width="8.7109375" style="20" customWidth="1"/>
    <col min="13075" max="13075" width="17.85546875" style="20" customWidth="1"/>
    <col min="13076" max="13077" width="8.7109375" style="20" customWidth="1"/>
    <col min="13078" max="13078" width="17.85546875" style="20" customWidth="1"/>
    <col min="13079" max="13080" width="8.7109375" style="20" customWidth="1"/>
    <col min="13081" max="13081" width="17.85546875" style="20" customWidth="1"/>
    <col min="13082" max="13083" width="8.7109375" style="20" customWidth="1"/>
    <col min="13084" max="13084" width="17.85546875" style="20" customWidth="1"/>
    <col min="13085" max="13086" width="8.7109375" style="20" customWidth="1"/>
    <col min="13087" max="13087" width="17.85546875" style="20" customWidth="1"/>
    <col min="13088" max="13089" width="8.7109375" style="20" customWidth="1"/>
    <col min="13090" max="13090" width="17.85546875" style="20" customWidth="1"/>
    <col min="13091" max="13092" width="8.7109375" style="20" customWidth="1"/>
    <col min="13093" max="13093" width="17.85546875" style="20" customWidth="1"/>
    <col min="13094" max="13095" width="8.7109375" style="20" customWidth="1"/>
    <col min="13096" max="13096" width="17.85546875" style="20" customWidth="1"/>
    <col min="13097" max="13098" width="8.7109375" style="20" customWidth="1"/>
    <col min="13099" max="13099" width="17.85546875" style="20" customWidth="1"/>
    <col min="13100" max="13101" width="8.7109375" style="20" customWidth="1"/>
    <col min="13102" max="13102" width="17.85546875" style="20" customWidth="1"/>
    <col min="13103" max="13104" width="8.7109375" style="20" customWidth="1"/>
    <col min="13105" max="13312" width="10.85546875" style="20"/>
    <col min="13313" max="13313" width="50.85546875" style="20" customWidth="1"/>
    <col min="13314" max="13314" width="17.85546875" style="20" customWidth="1"/>
    <col min="13315" max="13315" width="8.7109375" style="20" customWidth="1"/>
    <col min="13316" max="13316" width="17.85546875" style="20" customWidth="1"/>
    <col min="13317" max="13318" width="8.7109375" style="20" customWidth="1"/>
    <col min="13319" max="13319" width="17.85546875" style="20" customWidth="1"/>
    <col min="13320" max="13321" width="8.7109375" style="20" customWidth="1"/>
    <col min="13322" max="13322" width="17.85546875" style="20" customWidth="1"/>
    <col min="13323" max="13324" width="8.7109375" style="20" customWidth="1"/>
    <col min="13325" max="13325" width="17.85546875" style="20" customWidth="1"/>
    <col min="13326" max="13327" width="8.7109375" style="20" customWidth="1"/>
    <col min="13328" max="13328" width="17.85546875" style="20" customWidth="1"/>
    <col min="13329" max="13330" width="8.7109375" style="20" customWidth="1"/>
    <col min="13331" max="13331" width="17.85546875" style="20" customWidth="1"/>
    <col min="13332" max="13333" width="8.7109375" style="20" customWidth="1"/>
    <col min="13334" max="13334" width="17.85546875" style="20" customWidth="1"/>
    <col min="13335" max="13336" width="8.7109375" style="20" customWidth="1"/>
    <col min="13337" max="13337" width="17.85546875" style="20" customWidth="1"/>
    <col min="13338" max="13339" width="8.7109375" style="20" customWidth="1"/>
    <col min="13340" max="13340" width="17.85546875" style="20" customWidth="1"/>
    <col min="13341" max="13342" width="8.7109375" style="20" customWidth="1"/>
    <col min="13343" max="13343" width="17.85546875" style="20" customWidth="1"/>
    <col min="13344" max="13345" width="8.7109375" style="20" customWidth="1"/>
    <col min="13346" max="13346" width="17.85546875" style="20" customWidth="1"/>
    <col min="13347" max="13348" width="8.7109375" style="20" customWidth="1"/>
    <col min="13349" max="13349" width="17.85546875" style="20" customWidth="1"/>
    <col min="13350" max="13351" width="8.7109375" style="20" customWidth="1"/>
    <col min="13352" max="13352" width="17.85546875" style="20" customWidth="1"/>
    <col min="13353" max="13354" width="8.7109375" style="20" customWidth="1"/>
    <col min="13355" max="13355" width="17.85546875" style="20" customWidth="1"/>
    <col min="13356" max="13357" width="8.7109375" style="20" customWidth="1"/>
    <col min="13358" max="13358" width="17.85546875" style="20" customWidth="1"/>
    <col min="13359" max="13360" width="8.7109375" style="20" customWidth="1"/>
    <col min="13361" max="13568" width="10.85546875" style="20"/>
    <col min="13569" max="13569" width="50.85546875" style="20" customWidth="1"/>
    <col min="13570" max="13570" width="17.85546875" style="20" customWidth="1"/>
    <col min="13571" max="13571" width="8.7109375" style="20" customWidth="1"/>
    <col min="13572" max="13572" width="17.85546875" style="20" customWidth="1"/>
    <col min="13573" max="13574" width="8.7109375" style="20" customWidth="1"/>
    <col min="13575" max="13575" width="17.85546875" style="20" customWidth="1"/>
    <col min="13576" max="13577" width="8.7109375" style="20" customWidth="1"/>
    <col min="13578" max="13578" width="17.85546875" style="20" customWidth="1"/>
    <col min="13579" max="13580" width="8.7109375" style="20" customWidth="1"/>
    <col min="13581" max="13581" width="17.85546875" style="20" customWidth="1"/>
    <col min="13582" max="13583" width="8.7109375" style="20" customWidth="1"/>
    <col min="13584" max="13584" width="17.85546875" style="20" customWidth="1"/>
    <col min="13585" max="13586" width="8.7109375" style="20" customWidth="1"/>
    <col min="13587" max="13587" width="17.85546875" style="20" customWidth="1"/>
    <col min="13588" max="13589" width="8.7109375" style="20" customWidth="1"/>
    <col min="13590" max="13590" width="17.85546875" style="20" customWidth="1"/>
    <col min="13591" max="13592" width="8.7109375" style="20" customWidth="1"/>
    <col min="13593" max="13593" width="17.85546875" style="20" customWidth="1"/>
    <col min="13594" max="13595" width="8.7109375" style="20" customWidth="1"/>
    <col min="13596" max="13596" width="17.85546875" style="20" customWidth="1"/>
    <col min="13597" max="13598" width="8.7109375" style="20" customWidth="1"/>
    <col min="13599" max="13599" width="17.85546875" style="20" customWidth="1"/>
    <col min="13600" max="13601" width="8.7109375" style="20" customWidth="1"/>
    <col min="13602" max="13602" width="17.85546875" style="20" customWidth="1"/>
    <col min="13603" max="13604" width="8.7109375" style="20" customWidth="1"/>
    <col min="13605" max="13605" width="17.85546875" style="20" customWidth="1"/>
    <col min="13606" max="13607" width="8.7109375" style="20" customWidth="1"/>
    <col min="13608" max="13608" width="17.85546875" style="20" customWidth="1"/>
    <col min="13609" max="13610" width="8.7109375" style="20" customWidth="1"/>
    <col min="13611" max="13611" width="17.85546875" style="20" customWidth="1"/>
    <col min="13612" max="13613" width="8.7109375" style="20" customWidth="1"/>
    <col min="13614" max="13614" width="17.85546875" style="20" customWidth="1"/>
    <col min="13615" max="13616" width="8.7109375" style="20" customWidth="1"/>
    <col min="13617" max="13824" width="10.85546875" style="20"/>
    <col min="13825" max="13825" width="50.85546875" style="20" customWidth="1"/>
    <col min="13826" max="13826" width="17.85546875" style="20" customWidth="1"/>
    <col min="13827" max="13827" width="8.7109375" style="20" customWidth="1"/>
    <col min="13828" max="13828" width="17.85546875" style="20" customWidth="1"/>
    <col min="13829" max="13830" width="8.7109375" style="20" customWidth="1"/>
    <col min="13831" max="13831" width="17.85546875" style="20" customWidth="1"/>
    <col min="13832" max="13833" width="8.7109375" style="20" customWidth="1"/>
    <col min="13834" max="13834" width="17.85546875" style="20" customWidth="1"/>
    <col min="13835" max="13836" width="8.7109375" style="20" customWidth="1"/>
    <col min="13837" max="13837" width="17.85546875" style="20" customWidth="1"/>
    <col min="13838" max="13839" width="8.7109375" style="20" customWidth="1"/>
    <col min="13840" max="13840" width="17.85546875" style="20" customWidth="1"/>
    <col min="13841" max="13842" width="8.7109375" style="20" customWidth="1"/>
    <col min="13843" max="13843" width="17.85546875" style="20" customWidth="1"/>
    <col min="13844" max="13845" width="8.7109375" style="20" customWidth="1"/>
    <col min="13846" max="13846" width="17.85546875" style="20" customWidth="1"/>
    <col min="13847" max="13848" width="8.7109375" style="20" customWidth="1"/>
    <col min="13849" max="13849" width="17.85546875" style="20" customWidth="1"/>
    <col min="13850" max="13851" width="8.7109375" style="20" customWidth="1"/>
    <col min="13852" max="13852" width="17.85546875" style="20" customWidth="1"/>
    <col min="13853" max="13854" width="8.7109375" style="20" customWidth="1"/>
    <col min="13855" max="13855" width="17.85546875" style="20" customWidth="1"/>
    <col min="13856" max="13857" width="8.7109375" style="20" customWidth="1"/>
    <col min="13858" max="13858" width="17.85546875" style="20" customWidth="1"/>
    <col min="13859" max="13860" width="8.7109375" style="20" customWidth="1"/>
    <col min="13861" max="13861" width="17.85546875" style="20" customWidth="1"/>
    <col min="13862" max="13863" width="8.7109375" style="20" customWidth="1"/>
    <col min="13864" max="13864" width="17.85546875" style="20" customWidth="1"/>
    <col min="13865" max="13866" width="8.7109375" style="20" customWidth="1"/>
    <col min="13867" max="13867" width="17.85546875" style="20" customWidth="1"/>
    <col min="13868" max="13869" width="8.7109375" style="20" customWidth="1"/>
    <col min="13870" max="13870" width="17.85546875" style="20" customWidth="1"/>
    <col min="13871" max="13872" width="8.7109375" style="20" customWidth="1"/>
    <col min="13873" max="14080" width="10.85546875" style="20"/>
    <col min="14081" max="14081" width="50.85546875" style="20" customWidth="1"/>
    <col min="14082" max="14082" width="17.85546875" style="20" customWidth="1"/>
    <col min="14083" max="14083" width="8.7109375" style="20" customWidth="1"/>
    <col min="14084" max="14084" width="17.85546875" style="20" customWidth="1"/>
    <col min="14085" max="14086" width="8.7109375" style="20" customWidth="1"/>
    <col min="14087" max="14087" width="17.85546875" style="20" customWidth="1"/>
    <col min="14088" max="14089" width="8.7109375" style="20" customWidth="1"/>
    <col min="14090" max="14090" width="17.85546875" style="20" customWidth="1"/>
    <col min="14091" max="14092" width="8.7109375" style="20" customWidth="1"/>
    <col min="14093" max="14093" width="17.85546875" style="20" customWidth="1"/>
    <col min="14094" max="14095" width="8.7109375" style="20" customWidth="1"/>
    <col min="14096" max="14096" width="17.85546875" style="20" customWidth="1"/>
    <col min="14097" max="14098" width="8.7109375" style="20" customWidth="1"/>
    <col min="14099" max="14099" width="17.85546875" style="20" customWidth="1"/>
    <col min="14100" max="14101" width="8.7109375" style="20" customWidth="1"/>
    <col min="14102" max="14102" width="17.85546875" style="20" customWidth="1"/>
    <col min="14103" max="14104" width="8.7109375" style="20" customWidth="1"/>
    <col min="14105" max="14105" width="17.85546875" style="20" customWidth="1"/>
    <col min="14106" max="14107" width="8.7109375" style="20" customWidth="1"/>
    <col min="14108" max="14108" width="17.85546875" style="20" customWidth="1"/>
    <col min="14109" max="14110" width="8.7109375" style="20" customWidth="1"/>
    <col min="14111" max="14111" width="17.85546875" style="20" customWidth="1"/>
    <col min="14112" max="14113" width="8.7109375" style="20" customWidth="1"/>
    <col min="14114" max="14114" width="17.85546875" style="20" customWidth="1"/>
    <col min="14115" max="14116" width="8.7109375" style="20" customWidth="1"/>
    <col min="14117" max="14117" width="17.85546875" style="20" customWidth="1"/>
    <col min="14118" max="14119" width="8.7109375" style="20" customWidth="1"/>
    <col min="14120" max="14120" width="17.85546875" style="20" customWidth="1"/>
    <col min="14121" max="14122" width="8.7109375" style="20" customWidth="1"/>
    <col min="14123" max="14123" width="17.85546875" style="20" customWidth="1"/>
    <col min="14124" max="14125" width="8.7109375" style="20" customWidth="1"/>
    <col min="14126" max="14126" width="17.85546875" style="20" customWidth="1"/>
    <col min="14127" max="14128" width="8.7109375" style="20" customWidth="1"/>
    <col min="14129" max="14336" width="10.85546875" style="20"/>
    <col min="14337" max="14337" width="50.85546875" style="20" customWidth="1"/>
    <col min="14338" max="14338" width="17.85546875" style="20" customWidth="1"/>
    <col min="14339" max="14339" width="8.7109375" style="20" customWidth="1"/>
    <col min="14340" max="14340" width="17.85546875" style="20" customWidth="1"/>
    <col min="14341" max="14342" width="8.7109375" style="20" customWidth="1"/>
    <col min="14343" max="14343" width="17.85546875" style="20" customWidth="1"/>
    <col min="14344" max="14345" width="8.7109375" style="20" customWidth="1"/>
    <col min="14346" max="14346" width="17.85546875" style="20" customWidth="1"/>
    <col min="14347" max="14348" width="8.7109375" style="20" customWidth="1"/>
    <col min="14349" max="14349" width="17.85546875" style="20" customWidth="1"/>
    <col min="14350" max="14351" width="8.7109375" style="20" customWidth="1"/>
    <col min="14352" max="14352" width="17.85546875" style="20" customWidth="1"/>
    <col min="14353" max="14354" width="8.7109375" style="20" customWidth="1"/>
    <col min="14355" max="14355" width="17.85546875" style="20" customWidth="1"/>
    <col min="14356" max="14357" width="8.7109375" style="20" customWidth="1"/>
    <col min="14358" max="14358" width="17.85546875" style="20" customWidth="1"/>
    <col min="14359" max="14360" width="8.7109375" style="20" customWidth="1"/>
    <col min="14361" max="14361" width="17.85546875" style="20" customWidth="1"/>
    <col min="14362" max="14363" width="8.7109375" style="20" customWidth="1"/>
    <col min="14364" max="14364" width="17.85546875" style="20" customWidth="1"/>
    <col min="14365" max="14366" width="8.7109375" style="20" customWidth="1"/>
    <col min="14367" max="14367" width="17.85546875" style="20" customWidth="1"/>
    <col min="14368" max="14369" width="8.7109375" style="20" customWidth="1"/>
    <col min="14370" max="14370" width="17.85546875" style="20" customWidth="1"/>
    <col min="14371" max="14372" width="8.7109375" style="20" customWidth="1"/>
    <col min="14373" max="14373" width="17.85546875" style="20" customWidth="1"/>
    <col min="14374" max="14375" width="8.7109375" style="20" customWidth="1"/>
    <col min="14376" max="14376" width="17.85546875" style="20" customWidth="1"/>
    <col min="14377" max="14378" width="8.7109375" style="20" customWidth="1"/>
    <col min="14379" max="14379" width="17.85546875" style="20" customWidth="1"/>
    <col min="14380" max="14381" width="8.7109375" style="20" customWidth="1"/>
    <col min="14382" max="14382" width="17.85546875" style="20" customWidth="1"/>
    <col min="14383" max="14384" width="8.7109375" style="20" customWidth="1"/>
    <col min="14385" max="14592" width="10.85546875" style="20"/>
    <col min="14593" max="14593" width="50.85546875" style="20" customWidth="1"/>
    <col min="14594" max="14594" width="17.85546875" style="20" customWidth="1"/>
    <col min="14595" max="14595" width="8.7109375" style="20" customWidth="1"/>
    <col min="14596" max="14596" width="17.85546875" style="20" customWidth="1"/>
    <col min="14597" max="14598" width="8.7109375" style="20" customWidth="1"/>
    <col min="14599" max="14599" width="17.85546875" style="20" customWidth="1"/>
    <col min="14600" max="14601" width="8.7109375" style="20" customWidth="1"/>
    <col min="14602" max="14602" width="17.85546875" style="20" customWidth="1"/>
    <col min="14603" max="14604" width="8.7109375" style="20" customWidth="1"/>
    <col min="14605" max="14605" width="17.85546875" style="20" customWidth="1"/>
    <col min="14606" max="14607" width="8.7109375" style="20" customWidth="1"/>
    <col min="14608" max="14608" width="17.85546875" style="20" customWidth="1"/>
    <col min="14609" max="14610" width="8.7109375" style="20" customWidth="1"/>
    <col min="14611" max="14611" width="17.85546875" style="20" customWidth="1"/>
    <col min="14612" max="14613" width="8.7109375" style="20" customWidth="1"/>
    <col min="14614" max="14614" width="17.85546875" style="20" customWidth="1"/>
    <col min="14615" max="14616" width="8.7109375" style="20" customWidth="1"/>
    <col min="14617" max="14617" width="17.85546875" style="20" customWidth="1"/>
    <col min="14618" max="14619" width="8.7109375" style="20" customWidth="1"/>
    <col min="14620" max="14620" width="17.85546875" style="20" customWidth="1"/>
    <col min="14621" max="14622" width="8.7109375" style="20" customWidth="1"/>
    <col min="14623" max="14623" width="17.85546875" style="20" customWidth="1"/>
    <col min="14624" max="14625" width="8.7109375" style="20" customWidth="1"/>
    <col min="14626" max="14626" width="17.85546875" style="20" customWidth="1"/>
    <col min="14627" max="14628" width="8.7109375" style="20" customWidth="1"/>
    <col min="14629" max="14629" width="17.85546875" style="20" customWidth="1"/>
    <col min="14630" max="14631" width="8.7109375" style="20" customWidth="1"/>
    <col min="14632" max="14632" width="17.85546875" style="20" customWidth="1"/>
    <col min="14633" max="14634" width="8.7109375" style="20" customWidth="1"/>
    <col min="14635" max="14635" width="17.85546875" style="20" customWidth="1"/>
    <col min="14636" max="14637" width="8.7109375" style="20" customWidth="1"/>
    <col min="14638" max="14638" width="17.85546875" style="20" customWidth="1"/>
    <col min="14639" max="14640" width="8.7109375" style="20" customWidth="1"/>
    <col min="14641" max="14848" width="10.85546875" style="20"/>
    <col min="14849" max="14849" width="50.85546875" style="20" customWidth="1"/>
    <col min="14850" max="14850" width="17.85546875" style="20" customWidth="1"/>
    <col min="14851" max="14851" width="8.7109375" style="20" customWidth="1"/>
    <col min="14852" max="14852" width="17.85546875" style="20" customWidth="1"/>
    <col min="14853" max="14854" width="8.7109375" style="20" customWidth="1"/>
    <col min="14855" max="14855" width="17.85546875" style="20" customWidth="1"/>
    <col min="14856" max="14857" width="8.7109375" style="20" customWidth="1"/>
    <col min="14858" max="14858" width="17.85546875" style="20" customWidth="1"/>
    <col min="14859" max="14860" width="8.7109375" style="20" customWidth="1"/>
    <col min="14861" max="14861" width="17.85546875" style="20" customWidth="1"/>
    <col min="14862" max="14863" width="8.7109375" style="20" customWidth="1"/>
    <col min="14864" max="14864" width="17.85546875" style="20" customWidth="1"/>
    <col min="14865" max="14866" width="8.7109375" style="20" customWidth="1"/>
    <col min="14867" max="14867" width="17.85546875" style="20" customWidth="1"/>
    <col min="14868" max="14869" width="8.7109375" style="20" customWidth="1"/>
    <col min="14870" max="14870" width="17.85546875" style="20" customWidth="1"/>
    <col min="14871" max="14872" width="8.7109375" style="20" customWidth="1"/>
    <col min="14873" max="14873" width="17.85546875" style="20" customWidth="1"/>
    <col min="14874" max="14875" width="8.7109375" style="20" customWidth="1"/>
    <col min="14876" max="14876" width="17.85546875" style="20" customWidth="1"/>
    <col min="14877" max="14878" width="8.7109375" style="20" customWidth="1"/>
    <col min="14879" max="14879" width="17.85546875" style="20" customWidth="1"/>
    <col min="14880" max="14881" width="8.7109375" style="20" customWidth="1"/>
    <col min="14882" max="14882" width="17.85546875" style="20" customWidth="1"/>
    <col min="14883" max="14884" width="8.7109375" style="20" customWidth="1"/>
    <col min="14885" max="14885" width="17.85546875" style="20" customWidth="1"/>
    <col min="14886" max="14887" width="8.7109375" style="20" customWidth="1"/>
    <col min="14888" max="14888" width="17.85546875" style="20" customWidth="1"/>
    <col min="14889" max="14890" width="8.7109375" style="20" customWidth="1"/>
    <col min="14891" max="14891" width="17.85546875" style="20" customWidth="1"/>
    <col min="14892" max="14893" width="8.7109375" style="20" customWidth="1"/>
    <col min="14894" max="14894" width="17.85546875" style="20" customWidth="1"/>
    <col min="14895" max="14896" width="8.7109375" style="20" customWidth="1"/>
    <col min="14897" max="15104" width="10.85546875" style="20"/>
    <col min="15105" max="15105" width="50.85546875" style="20" customWidth="1"/>
    <col min="15106" max="15106" width="17.85546875" style="20" customWidth="1"/>
    <col min="15107" max="15107" width="8.7109375" style="20" customWidth="1"/>
    <col min="15108" max="15108" width="17.85546875" style="20" customWidth="1"/>
    <col min="15109" max="15110" width="8.7109375" style="20" customWidth="1"/>
    <col min="15111" max="15111" width="17.85546875" style="20" customWidth="1"/>
    <col min="15112" max="15113" width="8.7109375" style="20" customWidth="1"/>
    <col min="15114" max="15114" width="17.85546875" style="20" customWidth="1"/>
    <col min="15115" max="15116" width="8.7109375" style="20" customWidth="1"/>
    <col min="15117" max="15117" width="17.85546875" style="20" customWidth="1"/>
    <col min="15118" max="15119" width="8.7109375" style="20" customWidth="1"/>
    <col min="15120" max="15120" width="17.85546875" style="20" customWidth="1"/>
    <col min="15121" max="15122" width="8.7109375" style="20" customWidth="1"/>
    <col min="15123" max="15123" width="17.85546875" style="20" customWidth="1"/>
    <col min="15124" max="15125" width="8.7109375" style="20" customWidth="1"/>
    <col min="15126" max="15126" width="17.85546875" style="20" customWidth="1"/>
    <col min="15127" max="15128" width="8.7109375" style="20" customWidth="1"/>
    <col min="15129" max="15129" width="17.85546875" style="20" customWidth="1"/>
    <col min="15130" max="15131" width="8.7109375" style="20" customWidth="1"/>
    <col min="15132" max="15132" width="17.85546875" style="20" customWidth="1"/>
    <col min="15133" max="15134" width="8.7109375" style="20" customWidth="1"/>
    <col min="15135" max="15135" width="17.85546875" style="20" customWidth="1"/>
    <col min="15136" max="15137" width="8.7109375" style="20" customWidth="1"/>
    <col min="15138" max="15138" width="17.85546875" style="20" customWidth="1"/>
    <col min="15139" max="15140" width="8.7109375" style="20" customWidth="1"/>
    <col min="15141" max="15141" width="17.85546875" style="20" customWidth="1"/>
    <col min="15142" max="15143" width="8.7109375" style="20" customWidth="1"/>
    <col min="15144" max="15144" width="17.85546875" style="20" customWidth="1"/>
    <col min="15145" max="15146" width="8.7109375" style="20" customWidth="1"/>
    <col min="15147" max="15147" width="17.85546875" style="20" customWidth="1"/>
    <col min="15148" max="15149" width="8.7109375" style="20" customWidth="1"/>
    <col min="15150" max="15150" width="17.85546875" style="20" customWidth="1"/>
    <col min="15151" max="15152" width="8.7109375" style="20" customWidth="1"/>
    <col min="15153" max="15360" width="10.85546875" style="20"/>
    <col min="15361" max="15361" width="50.85546875" style="20" customWidth="1"/>
    <col min="15362" max="15362" width="17.85546875" style="20" customWidth="1"/>
    <col min="15363" max="15363" width="8.7109375" style="20" customWidth="1"/>
    <col min="15364" max="15364" width="17.85546875" style="20" customWidth="1"/>
    <col min="15365" max="15366" width="8.7109375" style="20" customWidth="1"/>
    <col min="15367" max="15367" width="17.85546875" style="20" customWidth="1"/>
    <col min="15368" max="15369" width="8.7109375" style="20" customWidth="1"/>
    <col min="15370" max="15370" width="17.85546875" style="20" customWidth="1"/>
    <col min="15371" max="15372" width="8.7109375" style="20" customWidth="1"/>
    <col min="15373" max="15373" width="17.85546875" style="20" customWidth="1"/>
    <col min="15374" max="15375" width="8.7109375" style="20" customWidth="1"/>
    <col min="15376" max="15376" width="17.85546875" style="20" customWidth="1"/>
    <col min="15377" max="15378" width="8.7109375" style="20" customWidth="1"/>
    <col min="15379" max="15379" width="17.85546875" style="20" customWidth="1"/>
    <col min="15380" max="15381" width="8.7109375" style="20" customWidth="1"/>
    <col min="15382" max="15382" width="17.85546875" style="20" customWidth="1"/>
    <col min="15383" max="15384" width="8.7109375" style="20" customWidth="1"/>
    <col min="15385" max="15385" width="17.85546875" style="20" customWidth="1"/>
    <col min="15386" max="15387" width="8.7109375" style="20" customWidth="1"/>
    <col min="15388" max="15388" width="17.85546875" style="20" customWidth="1"/>
    <col min="15389" max="15390" width="8.7109375" style="20" customWidth="1"/>
    <col min="15391" max="15391" width="17.85546875" style="20" customWidth="1"/>
    <col min="15392" max="15393" width="8.7109375" style="20" customWidth="1"/>
    <col min="15394" max="15394" width="17.85546875" style="20" customWidth="1"/>
    <col min="15395" max="15396" width="8.7109375" style="20" customWidth="1"/>
    <col min="15397" max="15397" width="17.85546875" style="20" customWidth="1"/>
    <col min="15398" max="15399" width="8.7109375" style="20" customWidth="1"/>
    <col min="15400" max="15400" width="17.85546875" style="20" customWidth="1"/>
    <col min="15401" max="15402" width="8.7109375" style="20" customWidth="1"/>
    <col min="15403" max="15403" width="17.85546875" style="20" customWidth="1"/>
    <col min="15404" max="15405" width="8.7109375" style="20" customWidth="1"/>
    <col min="15406" max="15406" width="17.85546875" style="20" customWidth="1"/>
    <col min="15407" max="15408" width="8.7109375" style="20" customWidth="1"/>
    <col min="15409" max="15616" width="10.85546875" style="20"/>
    <col min="15617" max="15617" width="50.85546875" style="20" customWidth="1"/>
    <col min="15618" max="15618" width="17.85546875" style="20" customWidth="1"/>
    <col min="15619" max="15619" width="8.7109375" style="20" customWidth="1"/>
    <col min="15620" max="15620" width="17.85546875" style="20" customWidth="1"/>
    <col min="15621" max="15622" width="8.7109375" style="20" customWidth="1"/>
    <col min="15623" max="15623" width="17.85546875" style="20" customWidth="1"/>
    <col min="15624" max="15625" width="8.7109375" style="20" customWidth="1"/>
    <col min="15626" max="15626" width="17.85546875" style="20" customWidth="1"/>
    <col min="15627" max="15628" width="8.7109375" style="20" customWidth="1"/>
    <col min="15629" max="15629" width="17.85546875" style="20" customWidth="1"/>
    <col min="15630" max="15631" width="8.7109375" style="20" customWidth="1"/>
    <col min="15632" max="15632" width="17.85546875" style="20" customWidth="1"/>
    <col min="15633" max="15634" width="8.7109375" style="20" customWidth="1"/>
    <col min="15635" max="15635" width="17.85546875" style="20" customWidth="1"/>
    <col min="15636" max="15637" width="8.7109375" style="20" customWidth="1"/>
    <col min="15638" max="15638" width="17.85546875" style="20" customWidth="1"/>
    <col min="15639" max="15640" width="8.7109375" style="20" customWidth="1"/>
    <col min="15641" max="15641" width="17.85546875" style="20" customWidth="1"/>
    <col min="15642" max="15643" width="8.7109375" style="20" customWidth="1"/>
    <col min="15644" max="15644" width="17.85546875" style="20" customWidth="1"/>
    <col min="15645" max="15646" width="8.7109375" style="20" customWidth="1"/>
    <col min="15647" max="15647" width="17.85546875" style="20" customWidth="1"/>
    <col min="15648" max="15649" width="8.7109375" style="20" customWidth="1"/>
    <col min="15650" max="15650" width="17.85546875" style="20" customWidth="1"/>
    <col min="15651" max="15652" width="8.7109375" style="20" customWidth="1"/>
    <col min="15653" max="15653" width="17.85546875" style="20" customWidth="1"/>
    <col min="15654" max="15655" width="8.7109375" style="20" customWidth="1"/>
    <col min="15656" max="15656" width="17.85546875" style="20" customWidth="1"/>
    <col min="15657" max="15658" width="8.7109375" style="20" customWidth="1"/>
    <col min="15659" max="15659" width="17.85546875" style="20" customWidth="1"/>
    <col min="15660" max="15661" width="8.7109375" style="20" customWidth="1"/>
    <col min="15662" max="15662" width="17.85546875" style="20" customWidth="1"/>
    <col min="15663" max="15664" width="8.7109375" style="20" customWidth="1"/>
    <col min="15665" max="15872" width="10.85546875" style="20"/>
    <col min="15873" max="15873" width="50.85546875" style="20" customWidth="1"/>
    <col min="15874" max="15874" width="17.85546875" style="20" customWidth="1"/>
    <col min="15875" max="15875" width="8.7109375" style="20" customWidth="1"/>
    <col min="15876" max="15876" width="17.85546875" style="20" customWidth="1"/>
    <col min="15877" max="15878" width="8.7109375" style="20" customWidth="1"/>
    <col min="15879" max="15879" width="17.85546875" style="20" customWidth="1"/>
    <col min="15880" max="15881" width="8.7109375" style="20" customWidth="1"/>
    <col min="15882" max="15882" width="17.85546875" style="20" customWidth="1"/>
    <col min="15883" max="15884" width="8.7109375" style="20" customWidth="1"/>
    <col min="15885" max="15885" width="17.85546875" style="20" customWidth="1"/>
    <col min="15886" max="15887" width="8.7109375" style="20" customWidth="1"/>
    <col min="15888" max="15888" width="17.85546875" style="20" customWidth="1"/>
    <col min="15889" max="15890" width="8.7109375" style="20" customWidth="1"/>
    <col min="15891" max="15891" width="17.85546875" style="20" customWidth="1"/>
    <col min="15892" max="15893" width="8.7109375" style="20" customWidth="1"/>
    <col min="15894" max="15894" width="17.85546875" style="20" customWidth="1"/>
    <col min="15895" max="15896" width="8.7109375" style="20" customWidth="1"/>
    <col min="15897" max="15897" width="17.85546875" style="20" customWidth="1"/>
    <col min="15898" max="15899" width="8.7109375" style="20" customWidth="1"/>
    <col min="15900" max="15900" width="17.85546875" style="20" customWidth="1"/>
    <col min="15901" max="15902" width="8.7109375" style="20" customWidth="1"/>
    <col min="15903" max="15903" width="17.85546875" style="20" customWidth="1"/>
    <col min="15904" max="15905" width="8.7109375" style="20" customWidth="1"/>
    <col min="15906" max="15906" width="17.85546875" style="20" customWidth="1"/>
    <col min="15907" max="15908" width="8.7109375" style="20" customWidth="1"/>
    <col min="15909" max="15909" width="17.85546875" style="20" customWidth="1"/>
    <col min="15910" max="15911" width="8.7109375" style="20" customWidth="1"/>
    <col min="15912" max="15912" width="17.85546875" style="20" customWidth="1"/>
    <col min="15913" max="15914" width="8.7109375" style="20" customWidth="1"/>
    <col min="15915" max="15915" width="17.85546875" style="20" customWidth="1"/>
    <col min="15916" max="15917" width="8.7109375" style="20" customWidth="1"/>
    <col min="15918" max="15918" width="17.85546875" style="20" customWidth="1"/>
    <col min="15919" max="15920" width="8.7109375" style="20" customWidth="1"/>
    <col min="15921" max="16128" width="10.85546875" style="20"/>
    <col min="16129" max="16129" width="50.85546875" style="20" customWidth="1"/>
    <col min="16130" max="16130" width="17.85546875" style="20" customWidth="1"/>
    <col min="16131" max="16131" width="8.7109375" style="20" customWidth="1"/>
    <col min="16132" max="16132" width="17.85546875" style="20" customWidth="1"/>
    <col min="16133" max="16134" width="8.7109375" style="20" customWidth="1"/>
    <col min="16135" max="16135" width="17.85546875" style="20" customWidth="1"/>
    <col min="16136" max="16137" width="8.7109375" style="20" customWidth="1"/>
    <col min="16138" max="16138" width="17.85546875" style="20" customWidth="1"/>
    <col min="16139" max="16140" width="8.7109375" style="20" customWidth="1"/>
    <col min="16141" max="16141" width="17.85546875" style="20" customWidth="1"/>
    <col min="16142" max="16143" width="8.7109375" style="20" customWidth="1"/>
    <col min="16144" max="16144" width="17.85546875" style="20" customWidth="1"/>
    <col min="16145" max="16146" width="8.7109375" style="20" customWidth="1"/>
    <col min="16147" max="16147" width="17.85546875" style="20" customWidth="1"/>
    <col min="16148" max="16149" width="8.7109375" style="20" customWidth="1"/>
    <col min="16150" max="16150" width="17.85546875" style="20" customWidth="1"/>
    <col min="16151" max="16152" width="8.7109375" style="20" customWidth="1"/>
    <col min="16153" max="16153" width="17.85546875" style="20" customWidth="1"/>
    <col min="16154" max="16155" width="8.7109375" style="20" customWidth="1"/>
    <col min="16156" max="16156" width="17.85546875" style="20" customWidth="1"/>
    <col min="16157" max="16158" width="8.7109375" style="20" customWidth="1"/>
    <col min="16159" max="16159" width="17.85546875" style="20" customWidth="1"/>
    <col min="16160" max="16161" width="8.7109375" style="20" customWidth="1"/>
    <col min="16162" max="16162" width="17.85546875" style="20" customWidth="1"/>
    <col min="16163" max="16164" width="8.7109375" style="20" customWidth="1"/>
    <col min="16165" max="16165" width="17.85546875" style="20" customWidth="1"/>
    <col min="16166" max="16167" width="8.7109375" style="20" customWidth="1"/>
    <col min="16168" max="16168" width="17.85546875" style="20" customWidth="1"/>
    <col min="16169" max="16170" width="8.7109375" style="20" customWidth="1"/>
    <col min="16171" max="16171" width="17.85546875" style="20" customWidth="1"/>
    <col min="16172" max="16173" width="8.7109375" style="20" customWidth="1"/>
    <col min="16174" max="16174" width="17.85546875" style="20" customWidth="1"/>
    <col min="16175" max="16176" width="8.7109375" style="20" customWidth="1"/>
    <col min="16177" max="16384" width="10.85546875" style="20"/>
  </cols>
  <sheetData>
    <row r="1" spans="1:48" x14ac:dyDescent="0.2">
      <c r="A1" s="2786" t="s">
        <v>2005</v>
      </c>
      <c r="B1" s="2787"/>
      <c r="C1" s="2787"/>
      <c r="D1" s="2787"/>
      <c r="E1" s="2788"/>
    </row>
    <row r="2" spans="1:48" x14ac:dyDescent="0.2">
      <c r="A2" s="2789"/>
      <c r="B2" s="2790" t="s">
        <v>2006</v>
      </c>
      <c r="C2" s="21"/>
      <c r="D2" s="21"/>
      <c r="E2" s="2791"/>
    </row>
    <row r="3" spans="1:48" x14ac:dyDescent="0.2">
      <c r="A3" s="2792" t="s">
        <v>2007</v>
      </c>
      <c r="B3" s="2793" t="s">
        <v>2008</v>
      </c>
      <c r="C3" s="2793" t="s">
        <v>2009</v>
      </c>
      <c r="D3" s="21"/>
      <c r="E3" s="2791"/>
    </row>
    <row r="4" spans="1:48" x14ac:dyDescent="0.2">
      <c r="A4" s="2794"/>
      <c r="B4" s="2795"/>
      <c r="C4" s="2796"/>
      <c r="D4" s="21"/>
      <c r="E4" s="2791"/>
    </row>
    <row r="5" spans="1:48" x14ac:dyDescent="0.2">
      <c r="A5" s="2797"/>
      <c r="B5" s="2798"/>
      <c r="C5" s="2799"/>
      <c r="D5" s="21"/>
      <c r="E5" s="2791"/>
    </row>
    <row r="6" spans="1:48" x14ac:dyDescent="0.2">
      <c r="A6" s="2797"/>
      <c r="B6" s="2798"/>
      <c r="C6" s="2799"/>
      <c r="D6" s="21"/>
      <c r="E6" s="2791"/>
    </row>
    <row r="7" spans="1:48" x14ac:dyDescent="0.2">
      <c r="A7" s="2800"/>
      <c r="B7" s="2801"/>
      <c r="C7" s="2802"/>
      <c r="D7" s="21"/>
      <c r="E7" s="2791"/>
    </row>
    <row r="8" spans="1:48" ht="13.5" thickBot="1" x14ac:dyDescent="0.25">
      <c r="A8" s="2803"/>
      <c r="B8" s="2804"/>
      <c r="C8" s="2804"/>
      <c r="D8" s="2804"/>
      <c r="E8" s="2805"/>
    </row>
    <row r="9" spans="1:48" x14ac:dyDescent="0.2"/>
    <row r="10" spans="1:48" ht="18" x14ac:dyDescent="0.2">
      <c r="A10" s="2806" t="str">
        <f>C326</f>
        <v>PROYECTO Prueba Da 27.08.23 - FLUJO DE CAJA PROYECTADO</v>
      </c>
      <c r="B10" s="2807"/>
      <c r="C10" s="2807"/>
      <c r="D10" s="2807"/>
      <c r="E10" s="2807"/>
      <c r="F10" s="2807"/>
      <c r="G10" s="2807"/>
      <c r="H10" s="2807"/>
      <c r="I10" s="2807"/>
      <c r="J10" s="2807"/>
      <c r="K10" s="2807"/>
      <c r="L10" s="2807"/>
      <c r="M10" s="2807"/>
      <c r="N10" s="2807"/>
      <c r="O10" s="2807"/>
      <c r="P10" s="2807"/>
      <c r="Q10" s="2807"/>
      <c r="R10" s="2807"/>
      <c r="S10" s="2807"/>
      <c r="T10" s="2807"/>
      <c r="U10" s="2807"/>
      <c r="V10" s="2807"/>
      <c r="W10" s="2807"/>
      <c r="X10" s="2807"/>
      <c r="Y10" s="2807"/>
      <c r="Z10" s="2807"/>
      <c r="AA10" s="2807"/>
      <c r="AB10" s="2807"/>
      <c r="AC10" s="2807"/>
      <c r="AD10" s="2807"/>
      <c r="AE10" s="2807"/>
      <c r="AF10" s="2807"/>
      <c r="AG10" s="2807"/>
    </row>
    <row r="11" spans="1:48" ht="15.75" x14ac:dyDescent="0.2">
      <c r="A11" s="2808" t="s">
        <v>536</v>
      </c>
      <c r="B11" s="2809">
        <f ca="1">YEAR(NOW())</f>
        <v>2023</v>
      </c>
      <c r="C11" s="2810" t="s">
        <v>1258</v>
      </c>
      <c r="D11" s="2809">
        <f ca="1">B11+1</f>
        <v>2024</v>
      </c>
      <c r="E11" s="2811" t="s">
        <v>1258</v>
      </c>
      <c r="F11" s="2810" t="s">
        <v>1259</v>
      </c>
      <c r="G11" s="2809">
        <f ca="1">D11+1</f>
        <v>2025</v>
      </c>
      <c r="H11" s="2811" t="s">
        <v>1258</v>
      </c>
      <c r="I11" s="2810" t="s">
        <v>1259</v>
      </c>
      <c r="J11" s="2809">
        <f ca="1">G11+1</f>
        <v>2026</v>
      </c>
      <c r="K11" s="2811" t="s">
        <v>1258</v>
      </c>
      <c r="L11" s="2810" t="s">
        <v>1259</v>
      </c>
      <c r="M11" s="2809">
        <f ca="1">J11+1</f>
        <v>2027</v>
      </c>
      <c r="N11" s="2811" t="s">
        <v>1258</v>
      </c>
      <c r="O11" s="2810" t="s">
        <v>1259</v>
      </c>
      <c r="P11" s="2809">
        <f ca="1">M11+1</f>
        <v>2028</v>
      </c>
      <c r="Q11" s="2811" t="s">
        <v>1258</v>
      </c>
      <c r="R11" s="2810" t="s">
        <v>1259</v>
      </c>
      <c r="S11" s="2809">
        <f ca="1">P11+1</f>
        <v>2029</v>
      </c>
      <c r="T11" s="2811" t="s">
        <v>1258</v>
      </c>
      <c r="U11" s="2810" t="s">
        <v>1259</v>
      </c>
      <c r="V11" s="2809">
        <f ca="1">S11+1</f>
        <v>2030</v>
      </c>
      <c r="W11" s="2811" t="s">
        <v>1258</v>
      </c>
      <c r="X11" s="2810" t="s">
        <v>1259</v>
      </c>
      <c r="Y11" s="2809">
        <f ca="1">V11+1</f>
        <v>2031</v>
      </c>
      <c r="Z11" s="2811" t="s">
        <v>1258</v>
      </c>
      <c r="AA11" s="2810" t="s">
        <v>1259</v>
      </c>
      <c r="AB11" s="2809">
        <f ca="1">Y11+1</f>
        <v>2032</v>
      </c>
      <c r="AC11" s="2811" t="s">
        <v>1258</v>
      </c>
      <c r="AD11" s="2810" t="s">
        <v>1259</v>
      </c>
      <c r="AE11" s="2809">
        <f ca="1">AB11+1</f>
        <v>2033</v>
      </c>
      <c r="AF11" s="2811" t="s">
        <v>1258</v>
      </c>
      <c r="AG11" s="2810" t="s">
        <v>1259</v>
      </c>
      <c r="AH11" s="2809">
        <f ca="1">AE11+1</f>
        <v>2034</v>
      </c>
      <c r="AI11" s="2811" t="s">
        <v>1258</v>
      </c>
      <c r="AJ11" s="2810" t="s">
        <v>1259</v>
      </c>
      <c r="AK11" s="2809">
        <f ca="1">AH11+1</f>
        <v>2035</v>
      </c>
      <c r="AL11" s="2811" t="s">
        <v>1258</v>
      </c>
      <c r="AM11" s="2810" t="s">
        <v>1259</v>
      </c>
      <c r="AN11" s="2809">
        <f ca="1">AK11+1</f>
        <v>2036</v>
      </c>
      <c r="AO11" s="2811" t="s">
        <v>1258</v>
      </c>
      <c r="AP11" s="2810" t="s">
        <v>1259</v>
      </c>
      <c r="AQ11" s="2809">
        <f ca="1">AN11+1</f>
        <v>2037</v>
      </c>
      <c r="AR11" s="2811" t="s">
        <v>1258</v>
      </c>
      <c r="AS11" s="2810" t="s">
        <v>1259</v>
      </c>
      <c r="AT11" s="2809">
        <f ca="1">AQ11+1</f>
        <v>2038</v>
      </c>
      <c r="AU11" s="2811" t="s">
        <v>1258</v>
      </c>
      <c r="AV11" s="2810" t="s">
        <v>1259</v>
      </c>
    </row>
    <row r="12" spans="1:48" ht="15" x14ac:dyDescent="0.2">
      <c r="A12" s="2812" t="s">
        <v>2010</v>
      </c>
      <c r="B12" s="2813">
        <f>B208</f>
        <v>0</v>
      </c>
      <c r="C12" s="2814" t="str">
        <f>IF(B$12=0,"",ABS(B12)/B$12)</f>
        <v/>
      </c>
      <c r="D12" s="2813">
        <f>B12*(1+D208)</f>
        <v>0</v>
      </c>
      <c r="E12" s="2815" t="str">
        <f>IF(D$12=0,"",ABS(D12)/D$12)</f>
        <v/>
      </c>
      <c r="F12" s="2814" t="str">
        <f>IF(B12=0,"",IF(ABS((D12/B12)-1)&gt;10000%,"N/A",(D12/B12)-1))</f>
        <v/>
      </c>
      <c r="G12" s="2813">
        <f>D12*(1+G208)</f>
        <v>0</v>
      </c>
      <c r="H12" s="2815" t="str">
        <f>IF(G$12=0,"",ABS(G12)/G$12)</f>
        <v/>
      </c>
      <c r="I12" s="2814" t="str">
        <f>IF(D12=0,"",IF(ABS((G12/D12)-1)&gt;10000%,"N/A",(G12/D12)-1))</f>
        <v/>
      </c>
      <c r="J12" s="2813">
        <f>G12*(1+J208)</f>
        <v>0</v>
      </c>
      <c r="K12" s="2815" t="str">
        <f>IF(J$12=0,"",ABS(J12)/J$12)</f>
        <v/>
      </c>
      <c r="L12" s="2814" t="str">
        <f>IF(G12=0,"",IF(ABS((J12/G12)-1)&gt;10000%,"N/A",(J12/G12)-1))</f>
        <v/>
      </c>
      <c r="M12" s="2813">
        <f>J12*(1+M208)</f>
        <v>0</v>
      </c>
      <c r="N12" s="2815" t="str">
        <f>IF(M$12=0,"",ABS(M12)/M$12)</f>
        <v/>
      </c>
      <c r="O12" s="2814" t="str">
        <f>IF(J12=0,"",IF(ABS((M12/J12)-1)&gt;10000%,"N/A",(M12/J12)-1))</f>
        <v/>
      </c>
      <c r="P12" s="2813">
        <f>M12*(1+P208)</f>
        <v>0</v>
      </c>
      <c r="Q12" s="2815" t="str">
        <f>IF(P$12=0,"",ABS(P12)/P$12)</f>
        <v/>
      </c>
      <c r="R12" s="2814" t="str">
        <f>IF(M12=0,"",IF(ABS((P12/M12)-1)&gt;10000%,"N/A",(P12/M12)-1))</f>
        <v/>
      </c>
      <c r="S12" s="2813">
        <f>P12*(1+S208)</f>
        <v>0</v>
      </c>
      <c r="T12" s="2815" t="str">
        <f>IF(S$12=0,"",ABS(S12)/S$12)</f>
        <v/>
      </c>
      <c r="U12" s="2814" t="str">
        <f>IF(P12=0,"",IF(ABS((S12/P12)-1)&gt;10000%,"N/A",(S12/P12)-1))</f>
        <v/>
      </c>
      <c r="V12" s="2813">
        <f>S12*(1+V208)</f>
        <v>0</v>
      </c>
      <c r="W12" s="2815" t="str">
        <f>IF(V$12=0,"",ABS(V12)/V$12)</f>
        <v/>
      </c>
      <c r="X12" s="2814" t="str">
        <f>IF(S12=0,"",IF(ABS((V12/S12)-1)&gt;10000%,"N/A",(V12/S12)-1))</f>
        <v/>
      </c>
      <c r="Y12" s="2813">
        <f>V12*(1+Y208)</f>
        <v>0</v>
      </c>
      <c r="Z12" s="2815" t="str">
        <f>IF(Y$12=0,"",ABS(Y12)/Y$12)</f>
        <v/>
      </c>
      <c r="AA12" s="2814" t="str">
        <f>IF(V12=0,"",IF(ABS((Y12/V12)-1)&gt;10000%,"N/A",(Y12/V12)-1))</f>
        <v/>
      </c>
      <c r="AB12" s="2813">
        <f>Y12*(1+AB208)</f>
        <v>0</v>
      </c>
      <c r="AC12" s="2815" t="str">
        <f>IF(AB$12=0,"",ABS(AB12)/AB$12)</f>
        <v/>
      </c>
      <c r="AD12" s="2814" t="str">
        <f>IF(Y12=0,"",IF(ABS((AB12/Y12)-1)&gt;10000%,"N/A",(AB12/Y12)-1))</f>
        <v/>
      </c>
      <c r="AE12" s="2813">
        <f>AB12*(1+AE208)</f>
        <v>0</v>
      </c>
      <c r="AF12" s="2815" t="str">
        <f>IF(AE$12=0,"",ABS(AE12)/AE$12)</f>
        <v/>
      </c>
      <c r="AG12" s="2814" t="str">
        <f>IF(AB12=0,"",IF(ABS((AE12/AB12)-1)&gt;10000%,"N/A",(AE12/AB12)-1))</f>
        <v/>
      </c>
      <c r="AH12" s="2813">
        <f>AE12*(1+AH208)</f>
        <v>0</v>
      </c>
      <c r="AI12" s="2815" t="str">
        <f>IF(AH$12=0,"",ABS(AH12)/AH$12)</f>
        <v/>
      </c>
      <c r="AJ12" s="2814" t="str">
        <f>IF(AE12=0,"",IF(ABS((AH12/AE12)-1)&gt;10000%,"N/A",(AH12/AE12)-1))</f>
        <v/>
      </c>
      <c r="AK12" s="2813">
        <f>AH12*(1+AK208)</f>
        <v>0</v>
      </c>
      <c r="AL12" s="2815" t="str">
        <f>IF(AK$12=0,"",ABS(AK12)/AK$12)</f>
        <v/>
      </c>
      <c r="AM12" s="2814" t="str">
        <f>IF(AH12=0,"",IF(ABS((AK12/AH12)-1)&gt;10000%,"N/A",(AK12/AH12)-1))</f>
        <v/>
      </c>
      <c r="AN12" s="2813">
        <f>AK12*(1+AN208)</f>
        <v>0</v>
      </c>
      <c r="AO12" s="2815" t="str">
        <f>IF(AN$12=0,"",ABS(AN12)/AN$12)</f>
        <v/>
      </c>
      <c r="AP12" s="2814" t="str">
        <f>IF(AK12=0,"",IF(ABS((AN12/AK12)-1)&gt;10000%,"N/A",(AN12/AK12)-1))</f>
        <v/>
      </c>
      <c r="AQ12" s="2813">
        <f>AN12*(1+AQ208)</f>
        <v>0</v>
      </c>
      <c r="AR12" s="2815" t="str">
        <f>IF(AQ$12=0,"",ABS(AQ12)/AQ$12)</f>
        <v/>
      </c>
      <c r="AS12" s="2814" t="str">
        <f>IF(AN12=0,"",IF(ABS((AQ12/AN12)-1)&gt;10000%,"N/A",(AQ12/AN12)-1))</f>
        <v/>
      </c>
      <c r="AT12" s="2813">
        <f>AQ12*(1+AT208)</f>
        <v>0</v>
      </c>
      <c r="AU12" s="2815" t="str">
        <f>IF(AT$12=0,"",ABS(AT12)/AT$12)</f>
        <v/>
      </c>
      <c r="AV12" s="2814" t="str">
        <f>IF(AQ12=0,"",IF(ABS((AT12/AQ12)-1)&gt;10000%,"N/A",(AT12/AQ12)-1))</f>
        <v/>
      </c>
    </row>
    <row r="13" spans="1:48" ht="15" x14ac:dyDescent="0.2">
      <c r="A13" s="2816" t="s">
        <v>2011</v>
      </c>
      <c r="B13" s="2813">
        <f>-(B12*(1-B209))</f>
        <v>0</v>
      </c>
      <c r="C13" s="2814" t="str">
        <f>IF(B$12=0,"",ABS(B13)/B$12)</f>
        <v/>
      </c>
      <c r="D13" s="2813">
        <f>-(D12*(1-D209))</f>
        <v>0</v>
      </c>
      <c r="E13" s="2815" t="str">
        <f>IF(D$12=0,"",ABS(D13)/D$12)</f>
        <v/>
      </c>
      <c r="F13" s="2814" t="str">
        <f>IF(B13=0,"",IF(ABS((D13/B13)-1)&gt;10000%,"N/A",(D13/B13)-1))</f>
        <v/>
      </c>
      <c r="G13" s="2813">
        <f>-(G12*(1-G209))</f>
        <v>0</v>
      </c>
      <c r="H13" s="2815" t="str">
        <f>IF(G$12=0,"",ABS(G13)/G$12)</f>
        <v/>
      </c>
      <c r="I13" s="2814" t="str">
        <f>IF(D13=0,"",IF(ABS((G13/D13)-1)&gt;10000%,"N/A",(G13/D13)-1))</f>
        <v/>
      </c>
      <c r="J13" s="2813">
        <f>-(J12*(1-J209))</f>
        <v>0</v>
      </c>
      <c r="K13" s="2815" t="str">
        <f>IF(J$12=0,"",ABS(J13)/J$12)</f>
        <v/>
      </c>
      <c r="L13" s="2814" t="str">
        <f>IF(G13=0,"",IF(ABS((J13/G13)-1)&gt;10000%,"N/A",(J13/G13)-1))</f>
        <v/>
      </c>
      <c r="M13" s="2813">
        <f>-(M12*(1-M209))</f>
        <v>0</v>
      </c>
      <c r="N13" s="2815" t="str">
        <f>IF(M$12=0,"",ABS(M13)/M$12)</f>
        <v/>
      </c>
      <c r="O13" s="2814" t="str">
        <f>IF(J13=0,"",IF(ABS((M13/J13)-1)&gt;10000%,"N/A",(M13/J13)-1))</f>
        <v/>
      </c>
      <c r="P13" s="2813">
        <f>-(P12*(1-P209))</f>
        <v>0</v>
      </c>
      <c r="Q13" s="2815" t="str">
        <f>IF(P$12=0,"",ABS(P13)/P$12)</f>
        <v/>
      </c>
      <c r="R13" s="2814" t="str">
        <f>IF(M13=0,"",IF(ABS((P13/M13)-1)&gt;10000%,"N/A",(P13/M13)-1))</f>
        <v/>
      </c>
      <c r="S13" s="2813">
        <f>-(S12*(1-S209))</f>
        <v>0</v>
      </c>
      <c r="T13" s="2815" t="str">
        <f>IF(S$12=0,"",ABS(S13)/S$12)</f>
        <v/>
      </c>
      <c r="U13" s="2814" t="str">
        <f>IF(P13=0,"",IF(ABS((S13/P13)-1)&gt;10000%,"N/A",(S13/P13)-1))</f>
        <v/>
      </c>
      <c r="V13" s="2813">
        <f>-(V12*(1-V209))</f>
        <v>0</v>
      </c>
      <c r="W13" s="2815" t="str">
        <f>IF(V$12=0,"",ABS(V13)/V$12)</f>
        <v/>
      </c>
      <c r="X13" s="2814" t="str">
        <f>IF(S13=0,"",IF(ABS((V13/S13)-1)&gt;10000%,"N/A",(V13/S13)-1))</f>
        <v/>
      </c>
      <c r="Y13" s="2813">
        <f>-(Y12*(1-Y209))</f>
        <v>0</v>
      </c>
      <c r="Z13" s="2815" t="str">
        <f>IF(Y$12=0,"",ABS(Y13)/Y$12)</f>
        <v/>
      </c>
      <c r="AA13" s="2814" t="str">
        <f>IF(V13=0,"",IF(ABS((Y13/V13)-1)&gt;10000%,"N/A",(Y13/V13)-1))</f>
        <v/>
      </c>
      <c r="AB13" s="2813">
        <f>-(AB12*(1-AB209))</f>
        <v>0</v>
      </c>
      <c r="AC13" s="2815" t="str">
        <f>IF(AB$12=0,"",ABS(AB13)/AB$12)</f>
        <v/>
      </c>
      <c r="AD13" s="2814" t="str">
        <f>IF(Y13=0,"",IF(ABS((AB13/Y13)-1)&gt;10000%,"N/A",(AB13/Y13)-1))</f>
        <v/>
      </c>
      <c r="AE13" s="2813">
        <f>-(AE12*(1-AE209))</f>
        <v>0</v>
      </c>
      <c r="AF13" s="2815" t="str">
        <f>IF(AE$12=0,"",ABS(AE13)/AE$12)</f>
        <v/>
      </c>
      <c r="AG13" s="2814" t="str">
        <f>IF(AB13=0,"",IF(ABS((AE13/AB13)-1)&gt;10000%,"N/A",(AE13/AB13)-1))</f>
        <v/>
      </c>
      <c r="AH13" s="2813">
        <f>-(AH12*(1-AH209))</f>
        <v>0</v>
      </c>
      <c r="AI13" s="2815" t="str">
        <f>IF(AH$12=0,"",ABS(AH13)/AH$12)</f>
        <v/>
      </c>
      <c r="AJ13" s="2814" t="str">
        <f>IF(AE13=0,"",IF(ABS((AH13/AE13)-1)&gt;10000%,"N/A",(AH13/AE13)-1))</f>
        <v/>
      </c>
      <c r="AK13" s="2813">
        <f>-(AK12*(1-AK209))</f>
        <v>0</v>
      </c>
      <c r="AL13" s="2815" t="str">
        <f>IF(AK$12=0,"",ABS(AK13)/AK$12)</f>
        <v/>
      </c>
      <c r="AM13" s="2814" t="str">
        <f>IF(AH13=0,"",IF(ABS((AK13/AH13)-1)&gt;10000%,"N/A",(AK13/AH13)-1))</f>
        <v/>
      </c>
      <c r="AN13" s="2813">
        <f>-(AN12*(1-AN209))</f>
        <v>0</v>
      </c>
      <c r="AO13" s="2815" t="str">
        <f>IF(AN$12=0,"",ABS(AN13)/AN$12)</f>
        <v/>
      </c>
      <c r="AP13" s="2814" t="str">
        <f>IF(AK13=0,"",IF(ABS((AN13/AK13)-1)&gt;10000%,"N/A",(AN13/AK13)-1))</f>
        <v/>
      </c>
      <c r="AQ13" s="2813">
        <f>-(AQ12*(1-AQ209))</f>
        <v>0</v>
      </c>
      <c r="AR13" s="2815" t="str">
        <f>IF(AQ$12=0,"",ABS(AQ13)/AQ$12)</f>
        <v/>
      </c>
      <c r="AS13" s="2814" t="str">
        <f>IF(AN13=0,"",IF(ABS((AQ13/AN13)-1)&gt;10000%,"N/A",(AQ13/AN13)-1))</f>
        <v/>
      </c>
      <c r="AT13" s="2813">
        <f>-(AT12*(1-AT209))</f>
        <v>0</v>
      </c>
      <c r="AU13" s="2815" t="str">
        <f>IF(AT$12=0,"",ABS(AT13)/AT$12)</f>
        <v/>
      </c>
      <c r="AV13" s="2814" t="str">
        <f>IF(AQ13=0,"",IF(ABS((AT13/AQ13)-1)&gt;10000%,"N/A",(AT13/AQ13)-1))</f>
        <v/>
      </c>
    </row>
    <row r="14" spans="1:48" ht="15" x14ac:dyDescent="0.2">
      <c r="A14" s="2816" t="s">
        <v>2012</v>
      </c>
      <c r="B14" s="2813">
        <f>-B13*B210</f>
        <v>0</v>
      </c>
      <c r="C14" s="2814" t="str">
        <f>IF(B$12=0,"",ABS(B14)/B$12)</f>
        <v/>
      </c>
      <c r="D14" s="2813">
        <f>-D13*D210</f>
        <v>0</v>
      </c>
      <c r="E14" s="2815" t="str">
        <f>IF(D$12=0,"",ABS(D14)/D$12)</f>
        <v/>
      </c>
      <c r="F14" s="2814" t="str">
        <f>IF(B14=0,"",IF(ABS((D14/B14)-1)&gt;10000%,"N/A",(D14/B14)-1))</f>
        <v/>
      </c>
      <c r="G14" s="2813">
        <f>-G13*G210</f>
        <v>0</v>
      </c>
      <c r="H14" s="2815" t="str">
        <f>IF(G$12=0,"",ABS(G14)/G$12)</f>
        <v/>
      </c>
      <c r="I14" s="2814" t="str">
        <f>IF(D14=0,"",IF(ABS((G14/D14)-1)&gt;10000%,"N/A",(G14/D14)-1))</f>
        <v/>
      </c>
      <c r="J14" s="2813">
        <f>-J13*J210</f>
        <v>0</v>
      </c>
      <c r="K14" s="2815" t="str">
        <f>IF(J$12=0,"",ABS(J14)/J$12)</f>
        <v/>
      </c>
      <c r="L14" s="2814" t="str">
        <f>IF(G14=0,"",IF(ABS((J14/G14)-1)&gt;10000%,"N/A",(J14/G14)-1))</f>
        <v/>
      </c>
      <c r="M14" s="2813">
        <f>-M13*M210</f>
        <v>0</v>
      </c>
      <c r="N14" s="2815" t="str">
        <f>IF(M$12=0,"",ABS(M14)/M$12)</f>
        <v/>
      </c>
      <c r="O14" s="2814" t="str">
        <f>IF(J14=0,"",IF(ABS((M14/J14)-1)&gt;10000%,"N/A",(M14/J14)-1))</f>
        <v/>
      </c>
      <c r="P14" s="2813">
        <f>-P13*P210</f>
        <v>0</v>
      </c>
      <c r="Q14" s="2815" t="str">
        <f>IF(P$12=0,"",ABS(P14)/P$12)</f>
        <v/>
      </c>
      <c r="R14" s="2814" t="str">
        <f>IF(M14=0,"",IF(ABS((P14/M14)-1)&gt;10000%,"N/A",(P14/M14)-1))</f>
        <v/>
      </c>
      <c r="S14" s="2813">
        <f>-S13*S210</f>
        <v>0</v>
      </c>
      <c r="T14" s="2815" t="str">
        <f>IF(S$12=0,"",ABS(S14)/S$12)</f>
        <v/>
      </c>
      <c r="U14" s="2814" t="str">
        <f>IF(P14=0,"",IF(ABS((S14/P14)-1)&gt;10000%,"N/A",(S14/P14)-1))</f>
        <v/>
      </c>
      <c r="V14" s="2813">
        <f>-V13*V210</f>
        <v>0</v>
      </c>
      <c r="W14" s="2815" t="str">
        <f>IF(V$12=0,"",ABS(V14)/V$12)</f>
        <v/>
      </c>
      <c r="X14" s="2814" t="str">
        <f>IF(S14=0,"",IF(ABS((V14/S14)-1)&gt;10000%,"N/A",(V14/S14)-1))</f>
        <v/>
      </c>
      <c r="Y14" s="2813">
        <f>-Y13*Y210</f>
        <v>0</v>
      </c>
      <c r="Z14" s="2815" t="str">
        <f>IF(Y$12=0,"",ABS(Y14)/Y$12)</f>
        <v/>
      </c>
      <c r="AA14" s="2814" t="str">
        <f>IF(V14=0,"",IF(ABS((Y14/V14)-1)&gt;10000%,"N/A",(Y14/V14)-1))</f>
        <v/>
      </c>
      <c r="AB14" s="2813">
        <f>-AB13*AB210</f>
        <v>0</v>
      </c>
      <c r="AC14" s="2815" t="str">
        <f>IF(AB$12=0,"",ABS(AB14)/AB$12)</f>
        <v/>
      </c>
      <c r="AD14" s="2814" t="str">
        <f>IF(Y14=0,"",IF(ABS((AB14/Y14)-1)&gt;10000%,"N/A",(AB14/Y14)-1))</f>
        <v/>
      </c>
      <c r="AE14" s="2813">
        <f>-AE13*AE210</f>
        <v>0</v>
      </c>
      <c r="AF14" s="2815" t="str">
        <f>IF(AE$12=0,"",ABS(AE14)/AE$12)</f>
        <v/>
      </c>
      <c r="AG14" s="2814" t="str">
        <f>IF(AB14=0,"",IF(ABS((AE14/AB14)-1)&gt;10000%,"N/A",(AE14/AB14)-1))</f>
        <v/>
      </c>
      <c r="AH14" s="2813">
        <f>-AH13*AH210</f>
        <v>0</v>
      </c>
      <c r="AI14" s="2815" t="str">
        <f>IF(AH$12=0,"",ABS(AH14)/AH$12)</f>
        <v/>
      </c>
      <c r="AJ14" s="2814" t="str">
        <f>IF(AE14=0,"",IF(ABS((AH14/AE14)-1)&gt;10000%,"N/A",(AH14/AE14)-1))</f>
        <v/>
      </c>
      <c r="AK14" s="2813">
        <f>-AK13*AK210</f>
        <v>0</v>
      </c>
      <c r="AL14" s="2815" t="str">
        <f>IF(AK$12=0,"",ABS(AK14)/AK$12)</f>
        <v/>
      </c>
      <c r="AM14" s="2814" t="str">
        <f>IF(AH14=0,"",IF(ABS((AK14/AH14)-1)&gt;10000%,"N/A",(AK14/AH14)-1))</f>
        <v/>
      </c>
      <c r="AN14" s="2813">
        <f>-AN13*AN210</f>
        <v>0</v>
      </c>
      <c r="AO14" s="2815" t="str">
        <f>IF(AN$12=0,"",ABS(AN14)/AN$12)</f>
        <v/>
      </c>
      <c r="AP14" s="2814" t="str">
        <f>IF(AK14=0,"",IF(ABS((AN14/AK14)-1)&gt;10000%,"N/A",(AN14/AK14)-1))</f>
        <v/>
      </c>
      <c r="AQ14" s="2813">
        <f>-AQ13*AQ210</f>
        <v>0</v>
      </c>
      <c r="AR14" s="2815" t="str">
        <f>IF(AQ$12=0,"",ABS(AQ14)/AQ$12)</f>
        <v/>
      </c>
      <c r="AS14" s="2814" t="str">
        <f>IF(AN14=0,"",IF(ABS((AQ14/AN14)-1)&gt;10000%,"N/A",(AQ14/AN14)-1))</f>
        <v/>
      </c>
      <c r="AT14" s="2813">
        <f>-AT13*AT210</f>
        <v>0</v>
      </c>
      <c r="AU14" s="2815" t="str">
        <f>IF(AT$12=0,"",ABS(AT14)/AT$12)</f>
        <v/>
      </c>
      <c r="AV14" s="2814" t="str">
        <f>IF(AQ14=0,"",IF(ABS((AT14/AQ14)-1)&gt;10000%,"N/A",(AT14/AQ14)-1))</f>
        <v/>
      </c>
    </row>
    <row r="15" spans="1:48" x14ac:dyDescent="0.2">
      <c r="A15" s="2817"/>
      <c r="B15" s="2818"/>
      <c r="C15" s="2819"/>
      <c r="D15" s="2818"/>
      <c r="E15" s="2820"/>
      <c r="F15" s="2819"/>
      <c r="G15" s="2818"/>
      <c r="H15" s="2820"/>
      <c r="I15" s="2819"/>
      <c r="J15" s="2818"/>
      <c r="K15" s="2820"/>
      <c r="L15" s="2819"/>
      <c r="M15" s="2818"/>
      <c r="N15" s="2820"/>
      <c r="O15" s="2819"/>
      <c r="P15" s="2818"/>
      <c r="Q15" s="2820"/>
      <c r="R15" s="2819"/>
      <c r="S15" s="2818"/>
      <c r="T15" s="2820"/>
      <c r="U15" s="2819"/>
      <c r="V15" s="2818"/>
      <c r="W15" s="2820"/>
      <c r="X15" s="2819"/>
      <c r="Y15" s="2818"/>
      <c r="Z15" s="2820"/>
      <c r="AA15" s="2819"/>
      <c r="AB15" s="2818"/>
      <c r="AC15" s="2820"/>
      <c r="AD15" s="2819"/>
      <c r="AE15" s="2818"/>
      <c r="AF15" s="2820"/>
      <c r="AG15" s="2819"/>
      <c r="AH15" s="2818"/>
      <c r="AI15" s="2820"/>
      <c r="AJ15" s="2819"/>
      <c r="AK15" s="2818"/>
      <c r="AL15" s="2820"/>
      <c r="AM15" s="2819"/>
      <c r="AN15" s="2818"/>
      <c r="AO15" s="2820"/>
      <c r="AP15" s="2819"/>
      <c r="AQ15" s="2818"/>
      <c r="AR15" s="2820"/>
      <c r="AS15" s="2819"/>
      <c r="AT15" s="2818"/>
      <c r="AU15" s="2820"/>
      <c r="AV15" s="2819"/>
    </row>
    <row r="16" spans="1:48" ht="15" x14ac:dyDescent="0.2">
      <c r="A16" s="2821" t="s">
        <v>881</v>
      </c>
      <c r="B16" s="2822">
        <f>SUM(B12:B14)</f>
        <v>0</v>
      </c>
      <c r="C16" s="2823" t="str">
        <f>IF(B$12=0,"",ABS(B16)/B$12)</f>
        <v/>
      </c>
      <c r="D16" s="2822">
        <f>SUM(D12:D14)</f>
        <v>0</v>
      </c>
      <c r="E16" s="2824" t="str">
        <f>IF(D$12=0,"",ABS(D16)/D$12)</f>
        <v/>
      </c>
      <c r="F16" s="2823" t="str">
        <f>IF(B16=0,"",IF(ABS((D16/B16)-1)&gt;10000%,"N/A",(D16/B16)-1))</f>
        <v/>
      </c>
      <c r="G16" s="2822">
        <f>SUM(G12:G14)</f>
        <v>0</v>
      </c>
      <c r="H16" s="2824" t="str">
        <f>IF(G$12=0,"",ABS(G16)/G$12)</f>
        <v/>
      </c>
      <c r="I16" s="2823" t="str">
        <f>IF(D16=0,"",IF(ABS((G16/D16)-1)&gt;10000%,"N/A",(G16/D16)-1))</f>
        <v/>
      </c>
      <c r="J16" s="2822">
        <f>SUM(J12:J14)</f>
        <v>0</v>
      </c>
      <c r="K16" s="2824" t="str">
        <f>IF(J$12=0,"",ABS(J16)/J$12)</f>
        <v/>
      </c>
      <c r="L16" s="2823" t="str">
        <f>IF(G16=0,"",IF(ABS((J16/G16)-1)&gt;10000%,"N/A",(J16/G16)-1))</f>
        <v/>
      </c>
      <c r="M16" s="2822">
        <f>SUM(M12:M14)</f>
        <v>0</v>
      </c>
      <c r="N16" s="2824" t="str">
        <f>IF(M$12=0,"",ABS(M16)/M$12)</f>
        <v/>
      </c>
      <c r="O16" s="2823" t="str">
        <f>IF(J16=0,"",IF(ABS((M16/J16)-1)&gt;10000%,"N/A",(M16/J16)-1))</f>
        <v/>
      </c>
      <c r="P16" s="2822">
        <f>SUM(P12:P14)</f>
        <v>0</v>
      </c>
      <c r="Q16" s="2824" t="str">
        <f>IF(P$12=0,"",ABS(P16)/P$12)</f>
        <v/>
      </c>
      <c r="R16" s="2823" t="str">
        <f>IF(M16=0,"",IF(ABS((P16/M16)-1)&gt;10000%,"N/A",(P16/M16)-1))</f>
        <v/>
      </c>
      <c r="S16" s="2822">
        <f>SUM(S12:S14)</f>
        <v>0</v>
      </c>
      <c r="T16" s="2824" t="str">
        <f>IF(S$12=0,"",ABS(S16)/S$12)</f>
        <v/>
      </c>
      <c r="U16" s="2823" t="str">
        <f>IF(P16=0,"",IF(ABS((S16/P16)-1)&gt;10000%,"N/A",(S16/P16)-1))</f>
        <v/>
      </c>
      <c r="V16" s="2822">
        <f>SUM(V12:V14)</f>
        <v>0</v>
      </c>
      <c r="W16" s="2824" t="str">
        <f>IF(V$12=0,"",ABS(V16)/V$12)</f>
        <v/>
      </c>
      <c r="X16" s="2823" t="str">
        <f>IF(S16=0,"",IF(ABS((V16/S16)-1)&gt;10000%,"N/A",(V16/S16)-1))</f>
        <v/>
      </c>
      <c r="Y16" s="2822">
        <f>SUM(Y12:Y14)</f>
        <v>0</v>
      </c>
      <c r="Z16" s="2824" t="str">
        <f>IF(Y$12=0,"",ABS(Y16)/Y$12)</f>
        <v/>
      </c>
      <c r="AA16" s="2823" t="str">
        <f>IF(V16=0,"",IF(ABS((Y16/V16)-1)&gt;10000%,"N/A",(Y16/V16)-1))</f>
        <v/>
      </c>
      <c r="AB16" s="2822">
        <f>SUM(AB12:AB14)</f>
        <v>0</v>
      </c>
      <c r="AC16" s="2824" t="str">
        <f>IF(AB$12=0,"",ABS(AB16)/AB$12)</f>
        <v/>
      </c>
      <c r="AD16" s="2823" t="str">
        <f>IF(Y16=0,"",IF(ABS((AB16/Y16)-1)&gt;10000%,"N/A",(AB16/Y16)-1))</f>
        <v/>
      </c>
      <c r="AE16" s="2822">
        <f>SUM(AE12:AE14)</f>
        <v>0</v>
      </c>
      <c r="AF16" s="2824" t="str">
        <f>IF(AE$12=0,"",ABS(AE16)/AE$12)</f>
        <v/>
      </c>
      <c r="AG16" s="2823" t="str">
        <f>IF(AB16=0,"",IF(ABS((AE16/AB16)-1)&gt;10000%,"N/A",(AE16/AB16)-1))</f>
        <v/>
      </c>
      <c r="AH16" s="2822">
        <f>SUM(AH12:AH14)</f>
        <v>0</v>
      </c>
      <c r="AI16" s="2824" t="str">
        <f>IF(AH$12=0,"",ABS(AH16)/AH$12)</f>
        <v/>
      </c>
      <c r="AJ16" s="2823" t="str">
        <f>IF(AE16=0,"",IF(ABS((AH16/AE16)-1)&gt;10000%,"N/A",(AH16/AE16)-1))</f>
        <v/>
      </c>
      <c r="AK16" s="2822">
        <f>SUM(AK12:AK14)</f>
        <v>0</v>
      </c>
      <c r="AL16" s="2824" t="str">
        <f>IF(AK$12=0,"",ABS(AK16)/AK$12)</f>
        <v/>
      </c>
      <c r="AM16" s="2823" t="str">
        <f>IF(AH16=0,"",IF(ABS((AK16/AH16)-1)&gt;10000%,"N/A",(AK16/AH16)-1))</f>
        <v/>
      </c>
      <c r="AN16" s="2822">
        <f>SUM(AN12:AN14)</f>
        <v>0</v>
      </c>
      <c r="AO16" s="2824" t="str">
        <f>IF(AN$12=0,"",ABS(AN16)/AN$12)</f>
        <v/>
      </c>
      <c r="AP16" s="2823" t="str">
        <f>IF(AK16=0,"",IF(ABS((AN16/AK16)-1)&gt;10000%,"N/A",(AN16/AK16)-1))</f>
        <v/>
      </c>
      <c r="AQ16" s="2822">
        <f>SUM(AQ12:AQ14)</f>
        <v>0</v>
      </c>
      <c r="AR16" s="2824" t="str">
        <f>IF(AQ$12=0,"",ABS(AQ16)/AQ$12)</f>
        <v/>
      </c>
      <c r="AS16" s="2823" t="str">
        <f>IF(AN16=0,"",IF(ABS((AQ16/AN16)-1)&gt;10000%,"N/A",(AQ16/AN16)-1))</f>
        <v/>
      </c>
      <c r="AT16" s="2822">
        <f>SUM(AT12:AT14)</f>
        <v>0</v>
      </c>
      <c r="AU16" s="2824" t="str">
        <f>IF(AT$12=0,"",ABS(AT16)/AT$12)</f>
        <v/>
      </c>
      <c r="AV16" s="2823" t="str">
        <f>IF(AQ16=0,"",IF(ABS((AT16/AQ16)-1)&gt;10000%,"N/A",(AT16/AQ16)-1))</f>
        <v/>
      </c>
    </row>
    <row r="17" spans="1:48" x14ac:dyDescent="0.2">
      <c r="A17" s="2817"/>
      <c r="B17" s="2818"/>
      <c r="C17" s="2819"/>
      <c r="D17" s="2818"/>
      <c r="E17" s="2820"/>
      <c r="F17" s="2819"/>
      <c r="G17" s="2818"/>
      <c r="H17" s="2820"/>
      <c r="I17" s="2819"/>
      <c r="J17" s="2818"/>
      <c r="K17" s="2820"/>
      <c r="L17" s="2819"/>
      <c r="M17" s="2818"/>
      <c r="N17" s="2820"/>
      <c r="O17" s="2819"/>
      <c r="P17" s="2818"/>
      <c r="Q17" s="2820"/>
      <c r="R17" s="2819"/>
      <c r="S17" s="2818"/>
      <c r="T17" s="2820"/>
      <c r="U17" s="2819"/>
      <c r="V17" s="2818"/>
      <c r="W17" s="2820"/>
      <c r="X17" s="2819"/>
      <c r="Y17" s="2818"/>
      <c r="Z17" s="2820"/>
      <c r="AA17" s="2819"/>
      <c r="AB17" s="2818"/>
      <c r="AC17" s="2820"/>
      <c r="AD17" s="2819"/>
      <c r="AE17" s="2818"/>
      <c r="AF17" s="2820"/>
      <c r="AG17" s="2819"/>
      <c r="AH17" s="2818"/>
      <c r="AI17" s="2820"/>
      <c r="AJ17" s="2819"/>
      <c r="AK17" s="2818"/>
      <c r="AL17" s="2820"/>
      <c r="AM17" s="2819"/>
      <c r="AN17" s="2818"/>
      <c r="AO17" s="2820"/>
      <c r="AP17" s="2819"/>
      <c r="AQ17" s="2818"/>
      <c r="AR17" s="2820"/>
      <c r="AS17" s="2819"/>
      <c r="AT17" s="2818"/>
      <c r="AU17" s="2820"/>
      <c r="AV17" s="2819"/>
    </row>
    <row r="18" spans="1:48" ht="15" x14ac:dyDescent="0.2">
      <c r="A18" s="2816" t="s">
        <v>2013</v>
      </c>
      <c r="B18" s="2813">
        <f>-(B12*B211)</f>
        <v>0</v>
      </c>
      <c r="C18" s="2814" t="str">
        <f>IF(B$12=0,"",ABS(B18)/B$12)</f>
        <v/>
      </c>
      <c r="D18" s="2813">
        <f>-(D12*D211)</f>
        <v>0</v>
      </c>
      <c r="E18" s="2815" t="str">
        <f>IF(D$12=0,"",ABS(D18)/D$12)</f>
        <v/>
      </c>
      <c r="F18" s="2814" t="str">
        <f>IF(B18=0,"",IF(ABS((D18/B18)-1)&gt;10000%,"N/A",(D18/B18)-1))</f>
        <v/>
      </c>
      <c r="G18" s="2813">
        <f>-(G12*G211)</f>
        <v>0</v>
      </c>
      <c r="H18" s="2815" t="str">
        <f>IF(G$12=0,"",ABS(G18)/G$12)</f>
        <v/>
      </c>
      <c r="I18" s="2814" t="str">
        <f>IF(D18=0,"",IF(ABS((G18/D18)-1)&gt;10000%,"N/A",(G18/D18)-1))</f>
        <v/>
      </c>
      <c r="J18" s="2813">
        <f>-(J12*J211)</f>
        <v>0</v>
      </c>
      <c r="K18" s="2815" t="str">
        <f>IF(J$12=0,"",ABS(J18)/J$12)</f>
        <v/>
      </c>
      <c r="L18" s="2814" t="str">
        <f>IF(G18=0,"",IF(ABS((J18/G18)-1)&gt;10000%,"N/A",(J18/G18)-1))</f>
        <v/>
      </c>
      <c r="M18" s="2813">
        <f>-(M12*M211)</f>
        <v>0</v>
      </c>
      <c r="N18" s="2815" t="str">
        <f>IF(M$12=0,"",ABS(M18)/M$12)</f>
        <v/>
      </c>
      <c r="O18" s="2814" t="str">
        <f>IF(J18=0,"",IF(ABS((M18/J18)-1)&gt;10000%,"N/A",(M18/J18)-1))</f>
        <v/>
      </c>
      <c r="P18" s="2813">
        <f>-(P12*P211)</f>
        <v>0</v>
      </c>
      <c r="Q18" s="2815" t="str">
        <f>IF(P$12=0,"",ABS(P18)/P$12)</f>
        <v/>
      </c>
      <c r="R18" s="2814" t="str">
        <f>IF(M18=0,"",IF(ABS((P18/M18)-1)&gt;10000%,"N/A",(P18/M18)-1))</f>
        <v/>
      </c>
      <c r="S18" s="2813">
        <f>-(S12*S211)</f>
        <v>0</v>
      </c>
      <c r="T18" s="2815" t="str">
        <f>IF(S$12=0,"",ABS(S18)/S$12)</f>
        <v/>
      </c>
      <c r="U18" s="2814" t="str">
        <f>IF(P18=0,"",IF(ABS((S18/P18)-1)&gt;10000%,"N/A",(S18/P18)-1))</f>
        <v/>
      </c>
      <c r="V18" s="2813">
        <f>-(V12*V211)</f>
        <v>0</v>
      </c>
      <c r="W18" s="2815" t="str">
        <f>IF(V$12=0,"",ABS(V18)/V$12)</f>
        <v/>
      </c>
      <c r="X18" s="2814" t="str">
        <f>IF(S18=0,"",IF(ABS((V18/S18)-1)&gt;10000%,"N/A",(V18/S18)-1))</f>
        <v/>
      </c>
      <c r="Y18" s="2813">
        <f>-(Y12*Y211)</f>
        <v>0</v>
      </c>
      <c r="Z18" s="2815" t="str">
        <f>IF(Y$12=0,"",ABS(Y18)/Y$12)</f>
        <v/>
      </c>
      <c r="AA18" s="2814" t="str">
        <f>IF(V18=0,"",IF(ABS((Y18/V18)-1)&gt;10000%,"N/A",(Y18/V18)-1))</f>
        <v/>
      </c>
      <c r="AB18" s="2813">
        <f>-(AB12*AB211)</f>
        <v>0</v>
      </c>
      <c r="AC18" s="2815" t="str">
        <f>IF(AB$12=0,"",ABS(AB18)/AB$12)</f>
        <v/>
      </c>
      <c r="AD18" s="2814" t="str">
        <f>IF(Y18=0,"",IF(ABS((AB18/Y18)-1)&gt;10000%,"N/A",(AB18/Y18)-1))</f>
        <v/>
      </c>
      <c r="AE18" s="2813">
        <f>-(AE12*AE211)</f>
        <v>0</v>
      </c>
      <c r="AF18" s="2815" t="str">
        <f>IF(AE$12=0,"",ABS(AE18)/AE$12)</f>
        <v/>
      </c>
      <c r="AG18" s="2814" t="str">
        <f>IF(AB18=0,"",IF(ABS((AE18/AB18)-1)&gt;10000%,"N/A",(AE18/AB18)-1))</f>
        <v/>
      </c>
      <c r="AH18" s="2813">
        <f>-(AH12*AH211)</f>
        <v>0</v>
      </c>
      <c r="AI18" s="2815" t="str">
        <f>IF(AH$12=0,"",ABS(AH18)/AH$12)</f>
        <v/>
      </c>
      <c r="AJ18" s="2814" t="str">
        <f>IF(AE18=0,"",IF(ABS((AH18/AE18)-1)&gt;10000%,"N/A",(AH18/AE18)-1))</f>
        <v/>
      </c>
      <c r="AK18" s="2813">
        <f>-(AK12*AK211)</f>
        <v>0</v>
      </c>
      <c r="AL18" s="2815" t="str">
        <f>IF(AK$12=0,"",ABS(AK18)/AK$12)</f>
        <v/>
      </c>
      <c r="AM18" s="2814" t="str">
        <f>IF(AH18=0,"",IF(ABS((AK18/AH18)-1)&gt;10000%,"N/A",(AK18/AH18)-1))</f>
        <v/>
      </c>
      <c r="AN18" s="2813">
        <f>-(AN12*AN211)</f>
        <v>0</v>
      </c>
      <c r="AO18" s="2815" t="str">
        <f>IF(AN$12=0,"",ABS(AN18)/AN$12)</f>
        <v/>
      </c>
      <c r="AP18" s="2814" t="str">
        <f>IF(AK18=0,"",IF(ABS((AN18/AK18)-1)&gt;10000%,"N/A",(AN18/AK18)-1))</f>
        <v/>
      </c>
      <c r="AQ18" s="2813">
        <f>-(AQ12*AQ211)</f>
        <v>0</v>
      </c>
      <c r="AR18" s="2815" t="str">
        <f>IF(AQ$12=0,"",ABS(AQ18)/AQ$12)</f>
        <v/>
      </c>
      <c r="AS18" s="2814" t="str">
        <f>IF(AN18=0,"",IF(ABS((AQ18/AN18)-1)&gt;10000%,"N/A",(AQ18/AN18)-1))</f>
        <v/>
      </c>
      <c r="AT18" s="2813">
        <f>-(AT12*AT211)</f>
        <v>0</v>
      </c>
      <c r="AU18" s="2815" t="str">
        <f>IF(AT$12=0,"",ABS(AT18)/AT$12)</f>
        <v/>
      </c>
      <c r="AV18" s="2814" t="str">
        <f>IF(AQ18=0,"",IF(ABS((AT18/AQ18)-1)&gt;10000%,"N/A",(AT18/AQ18)-1))</f>
        <v/>
      </c>
    </row>
    <row r="19" spans="1:48" ht="15" x14ac:dyDescent="0.2">
      <c r="A19" s="2816" t="s">
        <v>2014</v>
      </c>
      <c r="B19" s="2813">
        <f>-(B12*B212)</f>
        <v>0</v>
      </c>
      <c r="C19" s="2814" t="str">
        <f>IF(B$12=0,"",ABS(B19)/B$12)</f>
        <v/>
      </c>
      <c r="D19" s="2813">
        <f>-(D12*D212)</f>
        <v>0</v>
      </c>
      <c r="E19" s="2815" t="str">
        <f>IF(D$12=0,"",ABS(D19)/D$12)</f>
        <v/>
      </c>
      <c r="F19" s="2814" t="str">
        <f>IF(B19=0,"",IF(ABS((D19/B19)-1)&gt;10000%,"N/A",(D19/B19)-1))</f>
        <v/>
      </c>
      <c r="G19" s="2813">
        <f>-(G12*G212)</f>
        <v>0</v>
      </c>
      <c r="H19" s="2815" t="str">
        <f>IF(G$12=0,"",ABS(G19)/G$12)</f>
        <v/>
      </c>
      <c r="I19" s="2814" t="str">
        <f>IF(D19=0,"",IF(ABS((G19/D19)-1)&gt;10000%,"N/A",(G19/D19)-1))</f>
        <v/>
      </c>
      <c r="J19" s="2813">
        <f>-(J12*J212)</f>
        <v>0</v>
      </c>
      <c r="K19" s="2815" t="str">
        <f>IF(J$12=0,"",ABS(J19)/J$12)</f>
        <v/>
      </c>
      <c r="L19" s="2814" t="str">
        <f>IF(G19=0,"",IF(ABS((J19/G19)-1)&gt;10000%,"N/A",(J19/G19)-1))</f>
        <v/>
      </c>
      <c r="M19" s="2813">
        <f>-(M12*M212)</f>
        <v>0</v>
      </c>
      <c r="N19" s="2815" t="str">
        <f>IF(M$12=0,"",ABS(M19)/M$12)</f>
        <v/>
      </c>
      <c r="O19" s="2814" t="str">
        <f>IF(J19=0,"",IF(ABS((M19/J19)-1)&gt;10000%,"N/A",(M19/J19)-1))</f>
        <v/>
      </c>
      <c r="P19" s="2813">
        <f>-(P12*P212)</f>
        <v>0</v>
      </c>
      <c r="Q19" s="2815" t="str">
        <f>IF(P$12=0,"",ABS(P19)/P$12)</f>
        <v/>
      </c>
      <c r="R19" s="2814" t="str">
        <f>IF(M19=0,"",IF(ABS((P19/M19)-1)&gt;10000%,"N/A",(P19/M19)-1))</f>
        <v/>
      </c>
      <c r="S19" s="2813">
        <f>-(S12*S212)</f>
        <v>0</v>
      </c>
      <c r="T19" s="2815" t="str">
        <f>IF(S$12=0,"",ABS(S19)/S$12)</f>
        <v/>
      </c>
      <c r="U19" s="2814" t="str">
        <f>IF(P19=0,"",IF(ABS((S19/P19)-1)&gt;10000%,"N/A",(S19/P19)-1))</f>
        <v/>
      </c>
      <c r="V19" s="2813">
        <f>-(V12*V212)</f>
        <v>0</v>
      </c>
      <c r="W19" s="2815" t="str">
        <f>IF(V$12=0,"",ABS(V19)/V$12)</f>
        <v/>
      </c>
      <c r="X19" s="2814" t="str">
        <f>IF(S19=0,"",IF(ABS((V19/S19)-1)&gt;10000%,"N/A",(V19/S19)-1))</f>
        <v/>
      </c>
      <c r="Y19" s="2813">
        <f>-(Y12*Y212)</f>
        <v>0</v>
      </c>
      <c r="Z19" s="2815" t="str">
        <f>IF(Y$12=0,"",ABS(Y19)/Y$12)</f>
        <v/>
      </c>
      <c r="AA19" s="2814" t="str">
        <f>IF(V19=0,"",IF(ABS((Y19/V19)-1)&gt;10000%,"N/A",(Y19/V19)-1))</f>
        <v/>
      </c>
      <c r="AB19" s="2813">
        <f>-(AB12*AB212)</f>
        <v>0</v>
      </c>
      <c r="AC19" s="2815" t="str">
        <f>IF(AB$12=0,"",ABS(AB19)/AB$12)</f>
        <v/>
      </c>
      <c r="AD19" s="2814" t="str">
        <f>IF(Y19=0,"",IF(ABS((AB19/Y19)-1)&gt;10000%,"N/A",(AB19/Y19)-1))</f>
        <v/>
      </c>
      <c r="AE19" s="2813">
        <f>-(AE12*AE212)</f>
        <v>0</v>
      </c>
      <c r="AF19" s="2815" t="str">
        <f>IF(AE$12=0,"",ABS(AE19)/AE$12)</f>
        <v/>
      </c>
      <c r="AG19" s="2814" t="str">
        <f>IF(AB19=0,"",IF(ABS((AE19/AB19)-1)&gt;10000%,"N/A",(AE19/AB19)-1))</f>
        <v/>
      </c>
      <c r="AH19" s="2813">
        <f>-(AH12*AH212)</f>
        <v>0</v>
      </c>
      <c r="AI19" s="2815" t="str">
        <f>IF(AH$12=0,"",ABS(AH19)/AH$12)</f>
        <v/>
      </c>
      <c r="AJ19" s="2814" t="str">
        <f>IF(AE19=0,"",IF(ABS((AH19/AE19)-1)&gt;10000%,"N/A",(AH19/AE19)-1))</f>
        <v/>
      </c>
      <c r="AK19" s="2813">
        <f>-(AK12*AK212)</f>
        <v>0</v>
      </c>
      <c r="AL19" s="2815" t="str">
        <f>IF(AK$12=0,"",ABS(AK19)/AK$12)</f>
        <v/>
      </c>
      <c r="AM19" s="2814" t="str">
        <f>IF(AH19=0,"",IF(ABS((AK19/AH19)-1)&gt;10000%,"N/A",(AK19/AH19)-1))</f>
        <v/>
      </c>
      <c r="AN19" s="2813">
        <f>-(AN12*AN212)</f>
        <v>0</v>
      </c>
      <c r="AO19" s="2815" t="str">
        <f>IF(AN$12=0,"",ABS(AN19)/AN$12)</f>
        <v/>
      </c>
      <c r="AP19" s="2814" t="str">
        <f>IF(AK19=0,"",IF(ABS((AN19/AK19)-1)&gt;10000%,"N/A",(AN19/AK19)-1))</f>
        <v/>
      </c>
      <c r="AQ19" s="2813">
        <f>-(AQ12*AQ212)</f>
        <v>0</v>
      </c>
      <c r="AR19" s="2815" t="str">
        <f>IF(AQ$12=0,"",ABS(AQ19)/AQ$12)</f>
        <v/>
      </c>
      <c r="AS19" s="2814" t="str">
        <f>IF(AN19=0,"",IF(ABS((AQ19/AN19)-1)&gt;10000%,"N/A",(AQ19/AN19)-1))</f>
        <v/>
      </c>
      <c r="AT19" s="2813">
        <f>-(AT12*AT212)</f>
        <v>0</v>
      </c>
      <c r="AU19" s="2815" t="str">
        <f>IF(AT$12=0,"",ABS(AT19)/AT$12)</f>
        <v/>
      </c>
      <c r="AV19" s="2814" t="str">
        <f>IF(AQ19=0,"",IF(ABS((AT19/AQ19)-1)&gt;10000%,"N/A",(AT19/AQ19)-1))</f>
        <v/>
      </c>
    </row>
    <row r="20" spans="1:48" x14ac:dyDescent="0.2">
      <c r="A20" s="2817"/>
      <c r="B20" s="2818"/>
      <c r="C20" s="2819"/>
      <c r="D20" s="2818"/>
      <c r="E20" s="2820"/>
      <c r="F20" s="2819"/>
      <c r="G20" s="2818"/>
      <c r="H20" s="2820"/>
      <c r="I20" s="2819"/>
      <c r="J20" s="2818"/>
      <c r="K20" s="2820"/>
      <c r="L20" s="2819"/>
      <c r="M20" s="2818"/>
      <c r="N20" s="2820"/>
      <c r="O20" s="2819"/>
      <c r="P20" s="2818"/>
      <c r="Q20" s="2820"/>
      <c r="R20" s="2819"/>
      <c r="S20" s="2818"/>
      <c r="T20" s="2820"/>
      <c r="U20" s="2819"/>
      <c r="V20" s="2818"/>
      <c r="W20" s="2820"/>
      <c r="X20" s="2819"/>
      <c r="Y20" s="2818"/>
      <c r="Z20" s="2820"/>
      <c r="AA20" s="2819"/>
      <c r="AB20" s="2818"/>
      <c r="AC20" s="2820"/>
      <c r="AD20" s="2819"/>
      <c r="AE20" s="2818"/>
      <c r="AF20" s="2820"/>
      <c r="AG20" s="2819"/>
      <c r="AH20" s="2818"/>
      <c r="AI20" s="2820"/>
      <c r="AJ20" s="2819"/>
      <c r="AK20" s="2818"/>
      <c r="AL20" s="2820"/>
      <c r="AM20" s="2819"/>
      <c r="AN20" s="2818"/>
      <c r="AO20" s="2820"/>
      <c r="AP20" s="2819"/>
      <c r="AQ20" s="2818"/>
      <c r="AR20" s="2820"/>
      <c r="AS20" s="2819"/>
      <c r="AT20" s="2818"/>
      <c r="AU20" s="2820"/>
      <c r="AV20" s="2819"/>
    </row>
    <row r="21" spans="1:48" ht="15" x14ac:dyDescent="0.2">
      <c r="A21" s="2821" t="s">
        <v>2015</v>
      </c>
      <c r="B21" s="2822">
        <f>SUM(B16,B18:B19)</f>
        <v>0</v>
      </c>
      <c r="C21" s="2823" t="str">
        <f>IF(B$12=0,"",ABS(B21)/B$12)</f>
        <v/>
      </c>
      <c r="D21" s="2822">
        <f>SUM(D16,D18:D19)</f>
        <v>0</v>
      </c>
      <c r="E21" s="2824" t="str">
        <f>IF(D$12=0,"",ABS(D21)/D$12)</f>
        <v/>
      </c>
      <c r="F21" s="2823" t="str">
        <f>IF(B21=0,"",IF(ABS((D21/B21)-1)&gt;10000%,"N/A",(D21/B21)-1))</f>
        <v/>
      </c>
      <c r="G21" s="2822">
        <f>SUM(G16,G18:G19)</f>
        <v>0</v>
      </c>
      <c r="H21" s="2824" t="str">
        <f>IF(G$12=0,"",ABS(G21)/G$12)</f>
        <v/>
      </c>
      <c r="I21" s="2823" t="str">
        <f>IF(D21=0,"",IF(ABS((G21/D21)-1)&gt;10000%,"N/A",(G21/D21)-1))</f>
        <v/>
      </c>
      <c r="J21" s="2822">
        <f>SUM(J16,J18:J19)</f>
        <v>0</v>
      </c>
      <c r="K21" s="2824" t="str">
        <f>IF(J$12=0,"",ABS(J21)/J$12)</f>
        <v/>
      </c>
      <c r="L21" s="2823" t="str">
        <f>IF(G21=0,"",IF(ABS((J21/G21)-1)&gt;10000%,"N/A",(J21/G21)-1))</f>
        <v/>
      </c>
      <c r="M21" s="2822">
        <f>SUM(M16,M18:M19)</f>
        <v>0</v>
      </c>
      <c r="N21" s="2824" t="str">
        <f>IF(M$12=0,"",ABS(M21)/M$12)</f>
        <v/>
      </c>
      <c r="O21" s="2823" t="str">
        <f>IF(J21=0,"",IF(ABS((M21/J21)-1)&gt;10000%,"N/A",(M21/J21)-1))</f>
        <v/>
      </c>
      <c r="P21" s="2825">
        <f>SUM(P16,P18:P19)</f>
        <v>0</v>
      </c>
      <c r="Q21" s="2824" t="str">
        <f>IF(P$12=0,"",ABS(P21)/P$12)</f>
        <v/>
      </c>
      <c r="R21" s="2823" t="str">
        <f>IF(M21=0,"",IF(ABS((P21/M21)-1)&gt;10000%,"N/A",(P21/M21)-1))</f>
        <v/>
      </c>
      <c r="S21" s="2822">
        <f>SUM(S16,S18:S19)</f>
        <v>0</v>
      </c>
      <c r="T21" s="2824" t="str">
        <f>IF(S$12=0,"",ABS(S21)/S$12)</f>
        <v/>
      </c>
      <c r="U21" s="2823" t="str">
        <f>IF(P21=0,"",IF(ABS((S21/P21)-1)&gt;10000%,"N/A",(S21/P21)-1))</f>
        <v/>
      </c>
      <c r="V21" s="2822">
        <f>SUM(V16,V18:V19)</f>
        <v>0</v>
      </c>
      <c r="W21" s="2824" t="str">
        <f>IF(V$12=0,"",ABS(V21)/V$12)</f>
        <v/>
      </c>
      <c r="X21" s="2823" t="str">
        <f>IF(S21=0,"",IF(ABS((V21/S21)-1)&gt;10000%,"N/A",(V21/S21)-1))</f>
        <v/>
      </c>
      <c r="Y21" s="2822">
        <f>SUM(Y16,Y18:Y19)</f>
        <v>0</v>
      </c>
      <c r="Z21" s="2824" t="str">
        <f>IF(Y$12=0,"",ABS(Y21)/Y$12)</f>
        <v/>
      </c>
      <c r="AA21" s="2823" t="str">
        <f>IF(V21=0,"",IF(ABS((Y21/V21)-1)&gt;10000%,"N/A",(Y21/V21)-1))</f>
        <v/>
      </c>
      <c r="AB21" s="2822">
        <f>SUM(AB16,AB18:AB19)</f>
        <v>0</v>
      </c>
      <c r="AC21" s="2824" t="str">
        <f>IF(AB$12=0,"",ABS(AB21)/AB$12)</f>
        <v/>
      </c>
      <c r="AD21" s="2823" t="str">
        <f>IF(Y21=0,"",IF(ABS((AB21/Y21)-1)&gt;10000%,"N/A",(AB21/Y21)-1))</f>
        <v/>
      </c>
      <c r="AE21" s="2822">
        <f>SUM(AE16,AE18:AE19)</f>
        <v>0</v>
      </c>
      <c r="AF21" s="2824" t="str">
        <f>IF(AE$12=0,"",ABS(AE21)/AE$12)</f>
        <v/>
      </c>
      <c r="AG21" s="2823" t="str">
        <f>IF(AB21=0,"",IF(ABS((AE21/AB21)-1)&gt;10000%,"N/A",(AE21/AB21)-1))</f>
        <v/>
      </c>
      <c r="AH21" s="2822">
        <f>SUM(AH16,AH18:AH19)</f>
        <v>0</v>
      </c>
      <c r="AI21" s="2824" t="str">
        <f>IF(AH$12=0,"",ABS(AH21)/AH$12)</f>
        <v/>
      </c>
      <c r="AJ21" s="2823" t="str">
        <f>IF(AE21=0,"",IF(ABS((AH21/AE21)-1)&gt;10000%,"N/A",(AH21/AE21)-1))</f>
        <v/>
      </c>
      <c r="AK21" s="2822">
        <f>SUM(AK16,AK18:AK19)</f>
        <v>0</v>
      </c>
      <c r="AL21" s="2824" t="str">
        <f>IF(AK$12=0,"",ABS(AK21)/AK$12)</f>
        <v/>
      </c>
      <c r="AM21" s="2823" t="str">
        <f>IF(AH21=0,"",IF(ABS((AK21/AH21)-1)&gt;10000%,"N/A",(AK21/AH21)-1))</f>
        <v/>
      </c>
      <c r="AN21" s="2822">
        <f>SUM(AN16,AN18:AN19)</f>
        <v>0</v>
      </c>
      <c r="AO21" s="2824" t="str">
        <f>IF(AN$12=0,"",ABS(AN21)/AN$12)</f>
        <v/>
      </c>
      <c r="AP21" s="2823" t="str">
        <f>IF(AK21=0,"",IF(ABS((AN21/AK21)-1)&gt;10000%,"N/A",(AN21/AK21)-1))</f>
        <v/>
      </c>
      <c r="AQ21" s="2822">
        <f>SUM(AQ16,AQ18:AQ19)</f>
        <v>0</v>
      </c>
      <c r="AR21" s="2824" t="str">
        <f>IF(AQ$12=0,"",ABS(AQ21)/AQ$12)</f>
        <v/>
      </c>
      <c r="AS21" s="2823" t="str">
        <f>IF(AN21=0,"",IF(ABS((AQ21/AN21)-1)&gt;10000%,"N/A",(AQ21/AN21)-1))</f>
        <v/>
      </c>
      <c r="AT21" s="2822">
        <f>SUM(AT16,AT18:AT19)</f>
        <v>0</v>
      </c>
      <c r="AU21" s="2824" t="str">
        <f>IF(AT$12=0,"",ABS(AT21)/AT$12)</f>
        <v/>
      </c>
      <c r="AV21" s="2823" t="str">
        <f>IF(AQ21=0,"",IF(ABS((AT21/AQ21)-1)&gt;10000%,"N/A",(AT21/AQ21)-1))</f>
        <v/>
      </c>
    </row>
    <row r="22" spans="1:48" x14ac:dyDescent="0.2">
      <c r="A22" s="2817"/>
      <c r="B22" s="2818"/>
      <c r="C22" s="2819"/>
      <c r="D22" s="2818"/>
      <c r="E22" s="2820"/>
      <c r="F22" s="2819"/>
      <c r="G22" s="2818"/>
      <c r="H22" s="2820"/>
      <c r="I22" s="2819"/>
      <c r="J22" s="2818"/>
      <c r="K22" s="2820"/>
      <c r="L22" s="2819"/>
      <c r="M22" s="2818"/>
      <c r="N22" s="2820"/>
      <c r="O22" s="2819"/>
      <c r="P22" s="2818"/>
      <c r="Q22" s="2820"/>
      <c r="R22" s="2819"/>
      <c r="S22" s="2818"/>
      <c r="T22" s="2820"/>
      <c r="U22" s="2819"/>
      <c r="V22" s="2818"/>
      <c r="W22" s="2820"/>
      <c r="X22" s="2819"/>
      <c r="Y22" s="2818"/>
      <c r="Z22" s="2820"/>
      <c r="AA22" s="2819"/>
      <c r="AB22" s="2818"/>
      <c r="AC22" s="2820"/>
      <c r="AD22" s="2819"/>
      <c r="AE22" s="2818"/>
      <c r="AF22" s="2820"/>
      <c r="AG22" s="2819"/>
      <c r="AH22" s="2818"/>
      <c r="AI22" s="2820"/>
      <c r="AJ22" s="2819"/>
      <c r="AK22" s="2818"/>
      <c r="AL22" s="2820"/>
      <c r="AM22" s="2819"/>
      <c r="AN22" s="2818"/>
      <c r="AO22" s="2820"/>
      <c r="AP22" s="2819"/>
      <c r="AQ22" s="2818"/>
      <c r="AR22" s="2820"/>
      <c r="AS22" s="2819"/>
      <c r="AT22" s="2818"/>
      <c r="AU22" s="2820"/>
      <c r="AV22" s="2819"/>
    </row>
    <row r="23" spans="1:48" ht="15" x14ac:dyDescent="0.2">
      <c r="A23" s="2816" t="s">
        <v>2016</v>
      </c>
      <c r="B23" s="2813">
        <f>-B216</f>
        <v>0</v>
      </c>
      <c r="C23" s="2814" t="str">
        <f>IF(B$12=0,"",ABS(B23)/B$12)</f>
        <v/>
      </c>
      <c r="D23" s="2813">
        <f>-D216</f>
        <v>0</v>
      </c>
      <c r="E23" s="2815" t="str">
        <f>IF(D$12=0,"",ABS(D23)/D$12)</f>
        <v/>
      </c>
      <c r="F23" s="2814" t="str">
        <f>IF(B23=0,"",IF(ABS((D23/B23)-1)&gt;10000%,"N/A",(D23/B23)-1))</f>
        <v/>
      </c>
      <c r="G23" s="2813">
        <f>-G216</f>
        <v>0</v>
      </c>
      <c r="H23" s="2815" t="str">
        <f>IF(G$12=0,"",ABS(G23)/G$12)</f>
        <v/>
      </c>
      <c r="I23" s="2814" t="str">
        <f>IF(D23=0,"",IF(ABS((G23/D23)-1)&gt;10000%,"N/A",(G23/D23)-1))</f>
        <v/>
      </c>
      <c r="J23" s="2813">
        <f>-J216</f>
        <v>0</v>
      </c>
      <c r="K23" s="2815" t="str">
        <f>IF(J$12=0,"",ABS(J23)/J$12)</f>
        <v/>
      </c>
      <c r="L23" s="2814" t="str">
        <f>IF(G23=0,"",IF(ABS((J23/G23)-1)&gt;10000%,"N/A",(J23/G23)-1))</f>
        <v/>
      </c>
      <c r="M23" s="2813">
        <f>-M216</f>
        <v>0</v>
      </c>
      <c r="N23" s="2815" t="str">
        <f>IF(M$12=0,"",ABS(M23)/M$12)</f>
        <v/>
      </c>
      <c r="O23" s="2814" t="str">
        <f>IF(J23=0,"",IF(ABS((M23/J23)-1)&gt;10000%,"N/A",(M23/J23)-1))</f>
        <v/>
      </c>
      <c r="P23" s="2813">
        <f>-P216</f>
        <v>0</v>
      </c>
      <c r="Q23" s="2815" t="str">
        <f>IF(P$12=0,"",ABS(P23)/P$12)</f>
        <v/>
      </c>
      <c r="R23" s="2814" t="str">
        <f>IF(M23=0,"",IF(ABS((P23/M23)-1)&gt;10000%,"N/A",(P23/M23)-1))</f>
        <v/>
      </c>
      <c r="S23" s="2813">
        <f>-S216</f>
        <v>0</v>
      </c>
      <c r="T23" s="2815" t="str">
        <f>IF(S$12=0,"",ABS(S23)/S$12)</f>
        <v/>
      </c>
      <c r="U23" s="2814" t="str">
        <f>IF(P23=0,"",IF(ABS((S23/P23)-1)&gt;10000%,"N/A",(S23/P23)-1))</f>
        <v/>
      </c>
      <c r="V23" s="2813">
        <f>-V216</f>
        <v>0</v>
      </c>
      <c r="W23" s="2815" t="str">
        <f>IF(V$12=0,"",ABS(V23)/V$12)</f>
        <v/>
      </c>
      <c r="X23" s="2814" t="str">
        <f>IF(S23=0,"",IF(ABS((V23/S23)-1)&gt;10000%,"N/A",(V23/S23)-1))</f>
        <v/>
      </c>
      <c r="Y23" s="2813">
        <f>-Y216</f>
        <v>0</v>
      </c>
      <c r="Z23" s="2815" t="str">
        <f>IF(Y$12=0,"",ABS(Y23)/Y$12)</f>
        <v/>
      </c>
      <c r="AA23" s="2814" t="str">
        <f>IF(V23=0,"",IF(ABS((Y23/V23)-1)&gt;10000%,"N/A",(Y23/V23)-1))</f>
        <v/>
      </c>
      <c r="AB23" s="2813">
        <f>-AB216</f>
        <v>0</v>
      </c>
      <c r="AC23" s="2815" t="str">
        <f>IF(AB$12=0,"",ABS(AB23)/AB$12)</f>
        <v/>
      </c>
      <c r="AD23" s="2814" t="str">
        <f>IF(Y23=0,"",IF(ABS((AB23/Y23)-1)&gt;10000%,"N/A",(AB23/Y23)-1))</f>
        <v/>
      </c>
      <c r="AE23" s="2813">
        <f>-AE216</f>
        <v>0</v>
      </c>
      <c r="AF23" s="2815" t="str">
        <f>IF(AE$12=0,"",ABS(AE23)/AE$12)</f>
        <v/>
      </c>
      <c r="AG23" s="2814" t="str">
        <f>IF(AB23=0,"",IF(ABS((AE23/AB23)-1)&gt;10000%,"N/A",(AE23/AB23)-1))</f>
        <v/>
      </c>
      <c r="AH23" s="2813">
        <f>-AH216</f>
        <v>0</v>
      </c>
      <c r="AI23" s="2815" t="str">
        <f>IF(AH$12=0,"",ABS(AH23)/AH$12)</f>
        <v/>
      </c>
      <c r="AJ23" s="2814" t="str">
        <f>IF(AE23=0,"",IF(ABS((AH23/AE23)-1)&gt;10000%,"N/A",(AH23/AE23)-1))</f>
        <v/>
      </c>
      <c r="AK23" s="2813">
        <f>-AK216</f>
        <v>0</v>
      </c>
      <c r="AL23" s="2815" t="str">
        <f>IF(AK$12=0,"",ABS(AK23)/AK$12)</f>
        <v/>
      </c>
      <c r="AM23" s="2814" t="str">
        <f>IF(AH23=0,"",IF(ABS((AK23/AH23)-1)&gt;10000%,"N/A",(AK23/AH23)-1))</f>
        <v/>
      </c>
      <c r="AN23" s="2813">
        <f>-AN216</f>
        <v>0</v>
      </c>
      <c r="AO23" s="2815" t="str">
        <f>IF(AN$12=0,"",ABS(AN23)/AN$12)</f>
        <v/>
      </c>
      <c r="AP23" s="2814" t="str">
        <f>IF(AK23=0,"",IF(ABS((AN23/AK23)-1)&gt;10000%,"N/A",(AN23/AK23)-1))</f>
        <v/>
      </c>
      <c r="AQ23" s="2813">
        <f>-AQ216</f>
        <v>0</v>
      </c>
      <c r="AR23" s="2815" t="str">
        <f>IF(AQ$12=0,"",ABS(AQ23)/AQ$12)</f>
        <v/>
      </c>
      <c r="AS23" s="2814" t="str">
        <f>IF(AN23=0,"",IF(ABS((AQ23/AN23)-1)&gt;10000%,"N/A",(AQ23/AN23)-1))</f>
        <v/>
      </c>
      <c r="AT23" s="2813">
        <f>-AT216</f>
        <v>0</v>
      </c>
      <c r="AU23" s="2815" t="str">
        <f>IF(AT$12=0,"",ABS(AT23)/AT$12)</f>
        <v/>
      </c>
      <c r="AV23" s="2814" t="str">
        <f>IF(AQ23=0,"",IF(ABS((AT23/AQ23)-1)&gt;10000%,"N/A",(AT23/AQ23)-1))</f>
        <v/>
      </c>
    </row>
    <row r="24" spans="1:48" ht="15" x14ac:dyDescent="0.2">
      <c r="A24" s="2816" t="s">
        <v>2017</v>
      </c>
      <c r="B24" s="2813">
        <f>B12*B217</f>
        <v>0</v>
      </c>
      <c r="C24" s="2814" t="str">
        <f>IF(B$12=0,"",ABS(B24)/B$12)</f>
        <v/>
      </c>
      <c r="D24" s="2813">
        <f>D12*D217</f>
        <v>0</v>
      </c>
      <c r="E24" s="2815" t="str">
        <f>IF(D$12=0,"",ABS(D24)/D$12)</f>
        <v/>
      </c>
      <c r="F24" s="2814" t="str">
        <f>IF(B24=0,"",IF(ABS((D24/B24)-1)&gt;10000%,"N/A",(D24/B24)-1))</f>
        <v/>
      </c>
      <c r="G24" s="2813">
        <f>G12*G217</f>
        <v>0</v>
      </c>
      <c r="H24" s="2815" t="str">
        <f>IF(G$12=0,"",ABS(G24)/G$12)</f>
        <v/>
      </c>
      <c r="I24" s="2814" t="str">
        <f>IF(D24=0,"",IF(ABS((G24/D24)-1)&gt;10000%,"N/A",(G24/D24)-1))</f>
        <v/>
      </c>
      <c r="J24" s="2813">
        <f>J12*J217</f>
        <v>0</v>
      </c>
      <c r="K24" s="2815" t="str">
        <f>IF(J$12=0,"",ABS(J24)/J$12)</f>
        <v/>
      </c>
      <c r="L24" s="2814" t="str">
        <f>IF(G24=0,"",IF(ABS((J24/G24)-1)&gt;10000%,"N/A",(J24/G24)-1))</f>
        <v/>
      </c>
      <c r="M24" s="2813">
        <f>M12*M217</f>
        <v>0</v>
      </c>
      <c r="N24" s="2815" t="str">
        <f>IF(M$12=0,"",ABS(M24)/M$12)</f>
        <v/>
      </c>
      <c r="O24" s="2814" t="str">
        <f>IF(J24=0,"",IF(ABS((M24/J24)-1)&gt;10000%,"N/A",(M24/J24)-1))</f>
        <v/>
      </c>
      <c r="P24" s="2813">
        <f>P12*P217</f>
        <v>0</v>
      </c>
      <c r="Q24" s="2815" t="str">
        <f>IF(P$12=0,"",ABS(P24)/P$12)</f>
        <v/>
      </c>
      <c r="R24" s="2814" t="str">
        <f>IF(M24=0,"",IF(ABS((P24/M24)-1)&gt;10000%,"N/A",(P24/M24)-1))</f>
        <v/>
      </c>
      <c r="S24" s="2813">
        <f>S12*S217</f>
        <v>0</v>
      </c>
      <c r="T24" s="2815" t="str">
        <f>IF(S$12=0,"",ABS(S24)/S$12)</f>
        <v/>
      </c>
      <c r="U24" s="2814" t="str">
        <f>IF(P24=0,"",IF(ABS((S24/P24)-1)&gt;10000%,"N/A",(S24/P24)-1))</f>
        <v/>
      </c>
      <c r="V24" s="2813">
        <f>V12*V217</f>
        <v>0</v>
      </c>
      <c r="W24" s="2815" t="str">
        <f>IF(V$12=0,"",ABS(V24)/V$12)</f>
        <v/>
      </c>
      <c r="X24" s="2814" t="str">
        <f>IF(S24=0,"",IF(ABS((V24/S24)-1)&gt;10000%,"N/A",(V24/S24)-1))</f>
        <v/>
      </c>
      <c r="Y24" s="2813">
        <f>Y12*Y217</f>
        <v>0</v>
      </c>
      <c r="Z24" s="2815" t="str">
        <f>IF(Y$12=0,"",ABS(Y24)/Y$12)</f>
        <v/>
      </c>
      <c r="AA24" s="2814" t="str">
        <f>IF(V24=0,"",IF(ABS((Y24/V24)-1)&gt;10000%,"N/A",(Y24/V24)-1))</f>
        <v/>
      </c>
      <c r="AB24" s="2813">
        <f>AB12*AB217</f>
        <v>0</v>
      </c>
      <c r="AC24" s="2815" t="str">
        <f>IF(AB$12=0,"",ABS(AB24)/AB$12)</f>
        <v/>
      </c>
      <c r="AD24" s="2814" t="str">
        <f>IF(Y24=0,"",IF(ABS((AB24/Y24)-1)&gt;10000%,"N/A",(AB24/Y24)-1))</f>
        <v/>
      </c>
      <c r="AE24" s="2813">
        <f>AE12*AE217</f>
        <v>0</v>
      </c>
      <c r="AF24" s="2815" t="str">
        <f>IF(AE$12=0,"",ABS(AE24)/AE$12)</f>
        <v/>
      </c>
      <c r="AG24" s="2814" t="str">
        <f>IF(AB24=0,"",IF(ABS((AE24/AB24)-1)&gt;10000%,"N/A",(AE24/AB24)-1))</f>
        <v/>
      </c>
      <c r="AH24" s="2813">
        <f>AH12*AH217</f>
        <v>0</v>
      </c>
      <c r="AI24" s="2815" t="str">
        <f>IF(AH$12=0,"",ABS(AH24)/AH$12)</f>
        <v/>
      </c>
      <c r="AJ24" s="2814" t="str">
        <f>IF(AE24=0,"",IF(ABS((AH24/AE24)-1)&gt;10000%,"N/A",(AH24/AE24)-1))</f>
        <v/>
      </c>
      <c r="AK24" s="2813">
        <f>AK12*AK217</f>
        <v>0</v>
      </c>
      <c r="AL24" s="2815" t="str">
        <f>IF(AK$12=0,"",ABS(AK24)/AK$12)</f>
        <v/>
      </c>
      <c r="AM24" s="2814" t="str">
        <f>IF(AH24=0,"",IF(ABS((AK24/AH24)-1)&gt;10000%,"N/A",(AK24/AH24)-1))</f>
        <v/>
      </c>
      <c r="AN24" s="2813">
        <f>AN12*AN217</f>
        <v>0</v>
      </c>
      <c r="AO24" s="2815" t="str">
        <f>IF(AN$12=0,"",ABS(AN24)/AN$12)</f>
        <v/>
      </c>
      <c r="AP24" s="2814" t="str">
        <f>IF(AK24=0,"",IF(ABS((AN24/AK24)-1)&gt;10000%,"N/A",(AN24/AK24)-1))</f>
        <v/>
      </c>
      <c r="AQ24" s="2813">
        <f>AQ12*AQ217</f>
        <v>0</v>
      </c>
      <c r="AR24" s="2815" t="str">
        <f>IF(AQ$12=0,"",ABS(AQ24)/AQ$12)</f>
        <v/>
      </c>
      <c r="AS24" s="2814" t="str">
        <f>IF(AN24=0,"",IF(ABS((AQ24/AN24)-1)&gt;10000%,"N/A",(AQ24/AN24)-1))</f>
        <v/>
      </c>
      <c r="AT24" s="2813">
        <f>AT12*AT217</f>
        <v>0</v>
      </c>
      <c r="AU24" s="2815" t="str">
        <f>IF(AT$12=0,"",ABS(AT24)/AT$12)</f>
        <v/>
      </c>
      <c r="AV24" s="2814" t="str">
        <f>IF(AQ24=0,"",IF(ABS((AT24/AQ24)-1)&gt;10000%,"N/A",(AT24/AQ24)-1))</f>
        <v/>
      </c>
    </row>
    <row r="25" spans="1:48" ht="15" x14ac:dyDescent="0.2">
      <c r="A25" s="2816" t="s">
        <v>2018</v>
      </c>
      <c r="B25" s="2813">
        <f>B218</f>
        <v>0</v>
      </c>
      <c r="C25" s="2814" t="str">
        <f>IF(B$12=0,"",ABS(B25)/B$12)</f>
        <v/>
      </c>
      <c r="D25" s="2813">
        <f>D218</f>
        <v>0</v>
      </c>
      <c r="E25" s="2815" t="str">
        <f>IF(D$12=0,"",ABS(D25)/D$12)</f>
        <v/>
      </c>
      <c r="F25" s="2814" t="str">
        <f>IF(B25=0,"",IF(ABS((D25/B25)-1)&gt;10000%,"N/A",(D25/B25)-1))</f>
        <v/>
      </c>
      <c r="G25" s="2813">
        <f>G218</f>
        <v>0</v>
      </c>
      <c r="H25" s="2815" t="str">
        <f>IF(G$12=0,"",ABS(G25)/G$12)</f>
        <v/>
      </c>
      <c r="I25" s="2814" t="str">
        <f>IF(D25=0,"",IF(ABS((G25/D25)-1)&gt;10000%,"N/A",(G25/D25)-1))</f>
        <v/>
      </c>
      <c r="J25" s="2813">
        <f>J218</f>
        <v>0</v>
      </c>
      <c r="K25" s="2815" t="str">
        <f>IF(J$12=0,"",ABS(J25)/J$12)</f>
        <v/>
      </c>
      <c r="L25" s="2814" t="str">
        <f>IF(G25=0,"",IF(ABS((J25/G25)-1)&gt;10000%,"N/A",(J25/G25)-1))</f>
        <v/>
      </c>
      <c r="M25" s="2813">
        <f>M218</f>
        <v>0</v>
      </c>
      <c r="N25" s="2815" t="str">
        <f>IF(M$12=0,"",ABS(M25)/M$12)</f>
        <v/>
      </c>
      <c r="O25" s="2814" t="str">
        <f>IF(J25=0,"",IF(ABS((M25/J25)-1)&gt;10000%,"N/A",(M25/J25)-1))</f>
        <v/>
      </c>
      <c r="P25" s="2813">
        <f>P218</f>
        <v>0</v>
      </c>
      <c r="Q25" s="2815" t="str">
        <f>IF(P$12=0,"",ABS(P25)/P$12)</f>
        <v/>
      </c>
      <c r="R25" s="2814" t="str">
        <f>IF(M25=0,"",IF(ABS((P25/M25)-1)&gt;10000%,"N/A",(P25/M25)-1))</f>
        <v/>
      </c>
      <c r="S25" s="2813">
        <f>S218</f>
        <v>0</v>
      </c>
      <c r="T25" s="2815" t="str">
        <f>IF(S$12=0,"",ABS(S25)/S$12)</f>
        <v/>
      </c>
      <c r="U25" s="2814" t="str">
        <f>IF(P25=0,"",IF(ABS((S25/P25)-1)&gt;10000%,"N/A",(S25/P25)-1))</f>
        <v/>
      </c>
      <c r="V25" s="2813">
        <f>V218</f>
        <v>0</v>
      </c>
      <c r="W25" s="2815" t="str">
        <f>IF(V$12=0,"",ABS(V25)/V$12)</f>
        <v/>
      </c>
      <c r="X25" s="2814" t="str">
        <f>IF(S25=0,"",IF(ABS((V25/S25)-1)&gt;10000%,"N/A",(V25/S25)-1))</f>
        <v/>
      </c>
      <c r="Y25" s="2813">
        <f>Y218</f>
        <v>0</v>
      </c>
      <c r="Z25" s="2815" t="str">
        <f>IF(Y$12=0,"",ABS(Y25)/Y$12)</f>
        <v/>
      </c>
      <c r="AA25" s="2814" t="str">
        <f>IF(V25=0,"",IF(ABS((Y25/V25)-1)&gt;10000%,"N/A",(Y25/V25)-1))</f>
        <v/>
      </c>
      <c r="AB25" s="2813">
        <f>AB218</f>
        <v>0</v>
      </c>
      <c r="AC25" s="2815" t="str">
        <f>IF(AB$12=0,"",ABS(AB25)/AB$12)</f>
        <v/>
      </c>
      <c r="AD25" s="2814" t="str">
        <f>IF(Y25=0,"",IF(ABS((AB25/Y25)-1)&gt;10000%,"N/A",(AB25/Y25)-1))</f>
        <v/>
      </c>
      <c r="AE25" s="2813">
        <f>AE218</f>
        <v>0</v>
      </c>
      <c r="AF25" s="2815" t="str">
        <f>IF(AE$12=0,"",ABS(AE25)/AE$12)</f>
        <v/>
      </c>
      <c r="AG25" s="2814" t="str">
        <f>IF(AB25=0,"",IF(ABS((AE25/AB25)-1)&gt;10000%,"N/A",(AE25/AB25)-1))</f>
        <v/>
      </c>
      <c r="AH25" s="2813">
        <f>AH218</f>
        <v>0</v>
      </c>
      <c r="AI25" s="2815" t="str">
        <f>IF(AH$12=0,"",ABS(AH25)/AH$12)</f>
        <v/>
      </c>
      <c r="AJ25" s="2814" t="str">
        <f>IF(AE25=0,"",IF(ABS((AH25/AE25)-1)&gt;10000%,"N/A",(AH25/AE25)-1))</f>
        <v/>
      </c>
      <c r="AK25" s="2813">
        <f>AK218</f>
        <v>0</v>
      </c>
      <c r="AL25" s="2815" t="str">
        <f>IF(AK$12=0,"",ABS(AK25)/AK$12)</f>
        <v/>
      </c>
      <c r="AM25" s="2814" t="str">
        <f>IF(AH25=0,"",IF(ABS((AK25/AH25)-1)&gt;10000%,"N/A",(AK25/AH25)-1))</f>
        <v/>
      </c>
      <c r="AN25" s="2813">
        <f>AN218</f>
        <v>0</v>
      </c>
      <c r="AO25" s="2815" t="str">
        <f>IF(AN$12=0,"",ABS(AN25)/AN$12)</f>
        <v/>
      </c>
      <c r="AP25" s="2814" t="str">
        <f>IF(AK25=0,"",IF(ABS((AN25/AK25)-1)&gt;10000%,"N/A",(AN25/AK25)-1))</f>
        <v/>
      </c>
      <c r="AQ25" s="2813">
        <f>AQ218</f>
        <v>0</v>
      </c>
      <c r="AR25" s="2815" t="str">
        <f>IF(AQ$12=0,"",ABS(AQ25)/AQ$12)</f>
        <v/>
      </c>
      <c r="AS25" s="2814" t="str">
        <f>IF(AN25=0,"",IF(ABS((AQ25/AN25)-1)&gt;10000%,"N/A",(AQ25/AN25)-1))</f>
        <v/>
      </c>
      <c r="AT25" s="2813">
        <f>AT218</f>
        <v>0</v>
      </c>
      <c r="AU25" s="2815" t="str">
        <f>IF(AT$12=0,"",ABS(AT25)/AT$12)</f>
        <v/>
      </c>
      <c r="AV25" s="2814" t="str">
        <f>IF(AQ25=0,"",IF(ABS((AT25/AQ25)-1)&gt;10000%,"N/A",(AT25/AQ25)-1))</f>
        <v/>
      </c>
    </row>
    <row r="26" spans="1:48" x14ac:dyDescent="0.2">
      <c r="A26" s="2817"/>
      <c r="B26" s="2818"/>
      <c r="C26" s="2819"/>
      <c r="D26" s="2818"/>
      <c r="E26" s="2820"/>
      <c r="F26" s="2819"/>
      <c r="G26" s="2818"/>
      <c r="H26" s="2820"/>
      <c r="I26" s="2819"/>
      <c r="J26" s="2818"/>
      <c r="K26" s="2820"/>
      <c r="L26" s="2819"/>
      <c r="M26" s="2818"/>
      <c r="N26" s="2820"/>
      <c r="O26" s="2819"/>
      <c r="P26" s="2818"/>
      <c r="Q26" s="2820"/>
      <c r="R26" s="2819"/>
      <c r="S26" s="2818"/>
      <c r="T26" s="2820"/>
      <c r="U26" s="2819"/>
      <c r="V26" s="2818"/>
      <c r="W26" s="2820"/>
      <c r="X26" s="2819"/>
      <c r="Y26" s="2818"/>
      <c r="Z26" s="2820"/>
      <c r="AA26" s="2819"/>
      <c r="AB26" s="2818"/>
      <c r="AC26" s="2820"/>
      <c r="AD26" s="2819"/>
      <c r="AE26" s="2818"/>
      <c r="AF26" s="2820"/>
      <c r="AG26" s="2819"/>
      <c r="AH26" s="2818"/>
      <c r="AI26" s="2820"/>
      <c r="AJ26" s="2819"/>
      <c r="AK26" s="2818"/>
      <c r="AL26" s="2820"/>
      <c r="AM26" s="2819"/>
      <c r="AN26" s="2818"/>
      <c r="AO26" s="2820"/>
      <c r="AP26" s="2819"/>
      <c r="AQ26" s="2818"/>
      <c r="AR26" s="2820"/>
      <c r="AS26" s="2819"/>
      <c r="AT26" s="2818"/>
      <c r="AU26" s="2820"/>
      <c r="AV26" s="2819"/>
    </row>
    <row r="27" spans="1:48" ht="15" x14ac:dyDescent="0.2">
      <c r="A27" s="2821" t="s">
        <v>2019</v>
      </c>
      <c r="B27" s="2822">
        <f>SUM(B21,B23:B25)</f>
        <v>0</v>
      </c>
      <c r="C27" s="2823" t="str">
        <f>IF(B$12=0,"",ABS(B27)/B$12)</f>
        <v/>
      </c>
      <c r="D27" s="2822">
        <f>SUM(D21,D23:D25)</f>
        <v>0</v>
      </c>
      <c r="E27" s="2824" t="str">
        <f>IF(D$12=0,"",ABS(D27)/D$12)</f>
        <v/>
      </c>
      <c r="F27" s="2823" t="str">
        <f>IF(B27=0,"",IF(ABS((D27/B27)-1)&gt;10000%,"N/A",(D27/B27)-1))</f>
        <v/>
      </c>
      <c r="G27" s="2822">
        <f>SUM(G21,G23:G25)</f>
        <v>0</v>
      </c>
      <c r="H27" s="2824" t="str">
        <f>IF(G$12=0,"",ABS(G27)/G$12)</f>
        <v/>
      </c>
      <c r="I27" s="2823" t="str">
        <f>IF(D27=0,"",IF(ABS((G27/D27)-1)&gt;10000%,"N/A",(G27/D27)-1))</f>
        <v/>
      </c>
      <c r="J27" s="2822">
        <f>SUM(J21,J23:J25)</f>
        <v>0</v>
      </c>
      <c r="K27" s="2824" t="str">
        <f>IF(J$12=0,"",ABS(J27)/J$12)</f>
        <v/>
      </c>
      <c r="L27" s="2823" t="str">
        <f>IF(G27=0,"",IF(ABS((J27/G27)-1)&gt;10000%,"N/A",(J27/G27)-1))</f>
        <v/>
      </c>
      <c r="M27" s="2822">
        <f>SUM(M21,M23:M25)</f>
        <v>0</v>
      </c>
      <c r="N27" s="2824" t="str">
        <f>IF(M$12=0,"",ABS(M27)/M$12)</f>
        <v/>
      </c>
      <c r="O27" s="2823" t="str">
        <f>IF(J27=0,"",IF(ABS((M27/J27)-1)&gt;10000%,"N/A",(M27/J27)-1))</f>
        <v/>
      </c>
      <c r="P27" s="2822">
        <f>SUM(P21,P23:P25)</f>
        <v>0</v>
      </c>
      <c r="Q27" s="2824" t="str">
        <f>IF(P$12=0,"",ABS(P27)/P$12)</f>
        <v/>
      </c>
      <c r="R27" s="2823" t="str">
        <f>IF(M27=0,"",IF(ABS((P27/M27)-1)&gt;10000%,"N/A",(P27/M27)-1))</f>
        <v/>
      </c>
      <c r="S27" s="2822">
        <f>SUM(S21,S23:S25)</f>
        <v>0</v>
      </c>
      <c r="T27" s="2824" t="str">
        <f>IF(S$12=0,"",ABS(S27)/S$12)</f>
        <v/>
      </c>
      <c r="U27" s="2823" t="str">
        <f>IF(P27=0,"",IF(ABS((S27/P27)-1)&gt;10000%,"N/A",(S27/P27)-1))</f>
        <v/>
      </c>
      <c r="V27" s="2822">
        <f>SUM(V21,V23:V25)</f>
        <v>0</v>
      </c>
      <c r="W27" s="2824" t="str">
        <f>IF(V$12=0,"",ABS(V27)/V$12)</f>
        <v/>
      </c>
      <c r="X27" s="2823" t="str">
        <f>IF(S27=0,"",IF(ABS((V27/S27)-1)&gt;10000%,"N/A",(V27/S27)-1))</f>
        <v/>
      </c>
      <c r="Y27" s="2822">
        <f>SUM(Y21,Y23:Y25)</f>
        <v>0</v>
      </c>
      <c r="Z27" s="2824" t="str">
        <f>IF(Y$12=0,"",ABS(Y27)/Y$12)</f>
        <v/>
      </c>
      <c r="AA27" s="2823" t="str">
        <f>IF(V27=0,"",IF(ABS((Y27/V27)-1)&gt;10000%,"N/A",(Y27/V27)-1))</f>
        <v/>
      </c>
      <c r="AB27" s="2822">
        <f>SUM(AB21,AB23:AB25)</f>
        <v>0</v>
      </c>
      <c r="AC27" s="2824" t="str">
        <f>IF(AB$12=0,"",ABS(AB27)/AB$12)</f>
        <v/>
      </c>
      <c r="AD27" s="2823" t="str">
        <f>IF(Y27=0,"",IF(ABS((AB27/Y27)-1)&gt;10000%,"N/A",(AB27/Y27)-1))</f>
        <v/>
      </c>
      <c r="AE27" s="2822">
        <f>SUM(AE21,AE23:AE25)</f>
        <v>0</v>
      </c>
      <c r="AF27" s="2824" t="str">
        <f>IF(AE$12=0,"",ABS(AE27)/AE$12)</f>
        <v/>
      </c>
      <c r="AG27" s="2823" t="str">
        <f>IF(AB27=0,"",IF(ABS((AE27/AB27)-1)&gt;10000%,"N/A",(AE27/AB27)-1))</f>
        <v/>
      </c>
      <c r="AH27" s="2822">
        <f>SUM(AH21,AH23:AH25)</f>
        <v>0</v>
      </c>
      <c r="AI27" s="2824" t="str">
        <f>IF(AH$12=0,"",ABS(AH27)/AH$12)</f>
        <v/>
      </c>
      <c r="AJ27" s="2823" t="str">
        <f>IF(AE27=0,"",IF(ABS((AH27/AE27)-1)&gt;10000%,"N/A",(AH27/AE27)-1))</f>
        <v/>
      </c>
      <c r="AK27" s="2822">
        <f>SUM(AK21,AK23:AK25)</f>
        <v>0</v>
      </c>
      <c r="AL27" s="2824" t="str">
        <f>IF(AK$12=0,"",ABS(AK27)/AK$12)</f>
        <v/>
      </c>
      <c r="AM27" s="2823" t="str">
        <f>IF(AH27=0,"",IF(ABS((AK27/AH27)-1)&gt;10000%,"N/A",(AK27/AH27)-1))</f>
        <v/>
      </c>
      <c r="AN27" s="2822">
        <f>SUM(AN21,AN23:AN25)</f>
        <v>0</v>
      </c>
      <c r="AO27" s="2824" t="str">
        <f>IF(AN$12=0,"",ABS(AN27)/AN$12)</f>
        <v/>
      </c>
      <c r="AP27" s="2823" t="str">
        <f>IF(AK27=0,"",IF(ABS((AN27/AK27)-1)&gt;10000%,"N/A",(AN27/AK27)-1))</f>
        <v/>
      </c>
      <c r="AQ27" s="2822">
        <f>SUM(AQ21,AQ23:AQ25)</f>
        <v>0</v>
      </c>
      <c r="AR27" s="2824" t="str">
        <f>IF(AQ$12=0,"",ABS(AQ27)/AQ$12)</f>
        <v/>
      </c>
      <c r="AS27" s="2823" t="str">
        <f>IF(AN27=0,"",IF(ABS((AQ27/AN27)-1)&gt;10000%,"N/A",(AQ27/AN27)-1))</f>
        <v/>
      </c>
      <c r="AT27" s="2822">
        <f>SUM(AT21,AT23:AT25)</f>
        <v>0</v>
      </c>
      <c r="AU27" s="2824" t="str">
        <f>IF(AT$12=0,"",ABS(AT27)/AT$12)</f>
        <v/>
      </c>
      <c r="AV27" s="2823" t="str">
        <f>IF(AQ27=0,"",IF(ABS((AT27/AQ27)-1)&gt;10000%,"N/A",(AT27/AQ27)-1))</f>
        <v/>
      </c>
    </row>
    <row r="28" spans="1:48" x14ac:dyDescent="0.2">
      <c r="A28" s="2817"/>
      <c r="B28" s="2818"/>
      <c r="C28" s="2819"/>
      <c r="D28" s="2818"/>
      <c r="E28" s="2820"/>
      <c r="F28" s="2819"/>
      <c r="G28" s="2818"/>
      <c r="H28" s="2820"/>
      <c r="I28" s="2819"/>
      <c r="J28" s="2818"/>
      <c r="K28" s="2820"/>
      <c r="L28" s="2819"/>
      <c r="M28" s="2818"/>
      <c r="N28" s="2820"/>
      <c r="O28" s="2819"/>
      <c r="P28" s="2818"/>
      <c r="Q28" s="2820"/>
      <c r="R28" s="2819"/>
      <c r="S28" s="2818"/>
      <c r="T28" s="2820"/>
      <c r="U28" s="2819"/>
      <c r="V28" s="2818"/>
      <c r="W28" s="2820"/>
      <c r="X28" s="2819"/>
      <c r="Y28" s="2818"/>
      <c r="Z28" s="2820"/>
      <c r="AA28" s="2819"/>
      <c r="AB28" s="2818"/>
      <c r="AC28" s="2820"/>
      <c r="AD28" s="2819"/>
      <c r="AE28" s="2818"/>
      <c r="AF28" s="2820"/>
      <c r="AG28" s="2819"/>
      <c r="AH28" s="2818"/>
      <c r="AI28" s="2820"/>
      <c r="AJ28" s="2819"/>
      <c r="AK28" s="2818"/>
      <c r="AL28" s="2820"/>
      <c r="AM28" s="2819"/>
      <c r="AN28" s="2818"/>
      <c r="AO28" s="2820"/>
      <c r="AP28" s="2819"/>
      <c r="AQ28" s="2818"/>
      <c r="AR28" s="2820"/>
      <c r="AS28" s="2819"/>
      <c r="AT28" s="2818"/>
      <c r="AU28" s="2820"/>
      <c r="AV28" s="2819"/>
    </row>
    <row r="29" spans="1:48" ht="15" x14ac:dyDescent="0.2">
      <c r="A29" s="2816" t="s">
        <v>2020</v>
      </c>
      <c r="B29" s="2813">
        <f ca="1">B47</f>
        <v>0</v>
      </c>
      <c r="C29" s="2814" t="str">
        <f>IF(B$12=0,"",ABS(B29)/B$12)</f>
        <v/>
      </c>
      <c r="D29" s="2813">
        <f ca="1">IF(D47-B47&gt;=0,D47-B47,0)</f>
        <v>0</v>
      </c>
      <c r="E29" s="2815" t="str">
        <f>IF(D$12=0,"",ABS(D29)/D$12)</f>
        <v/>
      </c>
      <c r="F29" s="2814" t="str">
        <f ca="1">IF(B29=0,"",IF(ABS((D29/B29)-1)&gt;10000%,"N/A",(D29/B29)-1))</f>
        <v/>
      </c>
      <c r="G29" s="2813">
        <f ca="1">IF(G47-D47&gt;=0,G47-D47,0)</f>
        <v>0</v>
      </c>
      <c r="H29" s="2815" t="str">
        <f>IF(G$12=0,"",ABS(G29)/G$12)</f>
        <v/>
      </c>
      <c r="I29" s="2814" t="str">
        <f ca="1">IF(D29=0,"",IF(ABS((G29/D29)-1)&gt;10000%,"N/A",(G29/D29)-1))</f>
        <v/>
      </c>
      <c r="J29" s="2813">
        <f ca="1">IF(J47-G47&gt;=0,J47-G47,0)</f>
        <v>0</v>
      </c>
      <c r="K29" s="2815" t="str">
        <f>IF(J$12=0,"",ABS(J29)/J$12)</f>
        <v/>
      </c>
      <c r="L29" s="2814" t="str">
        <f ca="1">IF(G29=0,"",IF(ABS((J29/G29)-1)&gt;10000%,"N/A",(J29/G29)-1))</f>
        <v/>
      </c>
      <c r="M29" s="2813">
        <f ca="1">IF(M47-J47&gt;=0,M47-J47,0)</f>
        <v>0</v>
      </c>
      <c r="N29" s="2815" t="str">
        <f>IF(M$12=0,"",ABS(M29)/M$12)</f>
        <v/>
      </c>
      <c r="O29" s="2814" t="str">
        <f ca="1">IF(J29=0,"",IF(ABS((M29/J29)-1)&gt;10000%,"N/A",(M29/J29)-1))</f>
        <v/>
      </c>
      <c r="P29" s="2813">
        <f ca="1">IF(P47-M47&gt;=0,P47-M47,0)</f>
        <v>0</v>
      </c>
      <c r="Q29" s="2815" t="str">
        <f>IF(P$12=0,"",ABS(P29)/P$12)</f>
        <v/>
      </c>
      <c r="R29" s="2814" t="str">
        <f ca="1">IF(M29=0,"",IF(ABS((P29/M29)-1)&gt;10000%,"N/A",(P29/M29)-1))</f>
        <v/>
      </c>
      <c r="S29" s="2813">
        <f ca="1">IF(S47-P47&gt;=0,S47-P47,0)</f>
        <v>0</v>
      </c>
      <c r="T29" s="2815" t="str">
        <f>IF(S$12=0,"",ABS(S29)/S$12)</f>
        <v/>
      </c>
      <c r="U29" s="2814" t="str">
        <f ca="1">IF(P29=0,"",IF(ABS((S29/P29)-1)&gt;10000%,"N/A",(S29/P29)-1))</f>
        <v/>
      </c>
      <c r="V29" s="2813">
        <f ca="1">IF(V47-S47&gt;=0,V47-S47,0)</f>
        <v>0</v>
      </c>
      <c r="W29" s="2815" t="str">
        <f>IF(V$12=0,"",ABS(V29)/V$12)</f>
        <v/>
      </c>
      <c r="X29" s="2814" t="str">
        <f ca="1">IF(S29=0,"",IF(ABS((V29/S29)-1)&gt;10000%,"N/A",(V29/S29)-1))</f>
        <v/>
      </c>
      <c r="Y29" s="2813">
        <f ca="1">IF(Y47-V47&gt;=0,Y47-V47,0)</f>
        <v>0</v>
      </c>
      <c r="Z29" s="2815" t="str">
        <f>IF(Y$12=0,"",ABS(Y29)/Y$12)</f>
        <v/>
      </c>
      <c r="AA29" s="2814" t="str">
        <f ca="1">IF(V29=0,"",IF(ABS((Y29/V29)-1)&gt;10000%,"N/A",(Y29/V29)-1))</f>
        <v/>
      </c>
      <c r="AB29" s="2813">
        <f ca="1">IF(AB47-Y47&gt;=0,AB47-Y47,0)</f>
        <v>0</v>
      </c>
      <c r="AC29" s="2815" t="str">
        <f>IF(AB$12=0,"",ABS(AB29)/AB$12)</f>
        <v/>
      </c>
      <c r="AD29" s="2814" t="str">
        <f ca="1">IF(Y29=0,"",IF(ABS((AB29/Y29)-1)&gt;10000%,"N/A",(AB29/Y29)-1))</f>
        <v/>
      </c>
      <c r="AE29" s="2813">
        <f ca="1">IF(AE47-AB47&gt;=0,AE47-AB47,0)</f>
        <v>0</v>
      </c>
      <c r="AF29" s="2815" t="str">
        <f>IF(AE$12=0,"",ABS(AE29)/AE$12)</f>
        <v/>
      </c>
      <c r="AG29" s="2814" t="str">
        <f ca="1">IF(AB29=0,"",IF(ABS((AE29/AB29)-1)&gt;10000%,"N/A",(AE29/AB29)-1))</f>
        <v/>
      </c>
      <c r="AH29" s="2813">
        <f ca="1">IF(AH47-AE47&gt;=0,AH47-AE47,0)</f>
        <v>0</v>
      </c>
      <c r="AI29" s="2815" t="str">
        <f>IF(AH$12=0,"",ABS(AH29)/AH$12)</f>
        <v/>
      </c>
      <c r="AJ29" s="2814" t="str">
        <f ca="1">IF(AE29=0,"",IF(ABS((AH29/AE29)-1)&gt;10000%,"N/A",(AH29/AE29)-1))</f>
        <v/>
      </c>
      <c r="AK29" s="2813">
        <f ca="1">IF(AK47-AH47&gt;=0,AK47-AH47,0)</f>
        <v>0</v>
      </c>
      <c r="AL29" s="2815" t="str">
        <f>IF(AK$12=0,"",ABS(AK29)/AK$12)</f>
        <v/>
      </c>
      <c r="AM29" s="2814" t="str">
        <f ca="1">IF(AH29=0,"",IF(ABS((AK29/AH29)-1)&gt;10000%,"N/A",(AK29/AH29)-1))</f>
        <v/>
      </c>
      <c r="AN29" s="2813">
        <f ca="1">IF(AN47-AK47&gt;=0,AN47-AK47,0)</f>
        <v>0</v>
      </c>
      <c r="AO29" s="2815" t="str">
        <f>IF(AN$12=0,"",ABS(AN29)/AN$12)</f>
        <v/>
      </c>
      <c r="AP29" s="2814" t="str">
        <f ca="1">IF(AK29=0,"",IF(ABS((AN29/AK29)-1)&gt;10000%,"N/A",(AN29/AK29)-1))</f>
        <v/>
      </c>
      <c r="AQ29" s="2813">
        <f ca="1">IF(AQ47-AN47&gt;=0,AQ47-AN47,0)</f>
        <v>0</v>
      </c>
      <c r="AR29" s="2815" t="str">
        <f>IF(AQ$12=0,"",ABS(AQ29)/AQ$12)</f>
        <v/>
      </c>
      <c r="AS29" s="2814" t="str">
        <f ca="1">IF(AN29=0,"",IF(ABS((AQ29/AN29)-1)&gt;10000%,"N/A",(AQ29/AN29)-1))</f>
        <v/>
      </c>
      <c r="AT29" s="2813">
        <f ca="1">IF(AT47-AQ47&gt;=0,AT47-AQ47,0)</f>
        <v>0</v>
      </c>
      <c r="AU29" s="2815" t="str">
        <f>IF(AT$12=0,"",ABS(AT29)/AT$12)</f>
        <v/>
      </c>
      <c r="AV29" s="2814" t="str">
        <f ca="1">IF(AQ29=0,"",IF(ABS((AT29/AQ29)-1)&gt;10000%,"N/A",(AT29/AQ29)-1))</f>
        <v/>
      </c>
    </row>
    <row r="30" spans="1:48" ht="15" x14ac:dyDescent="0.2">
      <c r="A30" s="2816" t="s">
        <v>2021</v>
      </c>
      <c r="B30" s="2813">
        <f ca="1">IF($B$80=B11,$B$76,0)+IF($B$93=B11,$B$89,0)+IF($B$106=B11,$B$102,0)+IF($B$119=B11,$B$115,0)+IF($B$132=B11,$B$128,0)</f>
        <v>0</v>
      </c>
      <c r="C30" s="2814" t="str">
        <f>IF(B$12=0,"",ABS(B30)/B$12)</f>
        <v/>
      </c>
      <c r="D30" s="2813">
        <f ca="1">IF($B$80=D11,$B$76,0)+IF($B$93=D11,$B$89,0)+IF($B$106=D11,$B$102,0)+IF($B$119=D11,$B$115,0)+IF($B$132=D11,$B$128,0)</f>
        <v>0</v>
      </c>
      <c r="E30" s="2815" t="str">
        <f>IF(D$12=0,"",ABS(D30)/D$12)</f>
        <v/>
      </c>
      <c r="F30" s="2814" t="str">
        <f ca="1">IF(B30=0,"",IF(ABS((D30/B30)-1)&gt;10000%,"N/A",(D30/B30)-1))</f>
        <v/>
      </c>
      <c r="G30" s="2813">
        <f ca="1">IF($B$80=G11,$B$76,0)+IF($B$93=G11,$B$89,0)+IF($B$106=G11,$B$102,0)+IF($B$119=G11,$B$115,0)+IF($B$132=G11,$B$128,0)</f>
        <v>0</v>
      </c>
      <c r="H30" s="2815" t="str">
        <f>IF(G$12=0,"",ABS(G30)/G$12)</f>
        <v/>
      </c>
      <c r="I30" s="2814" t="str">
        <f ca="1">IF(D30=0,"",IF(ABS((G30/D30)-1)&gt;10000%,"N/A",(G30/D30)-1))</f>
        <v/>
      </c>
      <c r="J30" s="2813">
        <f ca="1">IF($B$80=J11,$B$76,0)+IF($B$93=J11,$B$89,0)+IF($B$106=J11,$B$102,0)+IF($B$119=J11,$B$115,0)+IF($B$132=J11,$B$128,0)</f>
        <v>0</v>
      </c>
      <c r="K30" s="2815" t="str">
        <f>IF(J$12=0,"",ABS(J30)/J$12)</f>
        <v/>
      </c>
      <c r="L30" s="2814" t="str">
        <f ca="1">IF(G30=0,"",IF(ABS((J30/G30)-1)&gt;10000%,"N/A",(J30/G30)-1))</f>
        <v/>
      </c>
      <c r="M30" s="2813">
        <f ca="1">IF($B$80=M11,$B$76,0)+IF($B$93=M11,$B$89,0)+IF($B$106=M11,$B$102,0)+IF($B$119=M11,$B$115,0)+IF($B$132=M11,$B$128,0)</f>
        <v>0</v>
      </c>
      <c r="N30" s="2815" t="str">
        <f>IF(M$12=0,"",ABS(M30)/M$12)</f>
        <v/>
      </c>
      <c r="O30" s="2814" t="str">
        <f ca="1">IF(J30=0,"",IF(ABS((M30/J30)-1)&gt;10000%,"N/A",(M30/J30)-1))</f>
        <v/>
      </c>
      <c r="P30" s="2813">
        <f ca="1">IF($B$80=P11,$B$76,0)+IF($B$93=P11,$B$89,0)+IF($B$106=P11,$B$102,0)+IF($B$119=P11,$B$115,0)+IF($B$132=P11,$B$128,0)</f>
        <v>0</v>
      </c>
      <c r="Q30" s="2815" t="str">
        <f>IF(P$12=0,"",ABS(P30)/P$12)</f>
        <v/>
      </c>
      <c r="R30" s="2814" t="str">
        <f ca="1">IF(M30=0,"",IF(ABS((P30/M30)-1)&gt;10000%,"N/A",(P30/M30)-1))</f>
        <v/>
      </c>
      <c r="S30" s="2813">
        <f ca="1">IF($B$80=S11,$B$76,0)+IF($B$93=S11,$B$89,0)+IF($B$106=S11,$B$102,0)+IF($B$119=S11,$B$115,0)+IF($B$132=S11,$B$128,0)</f>
        <v>0</v>
      </c>
      <c r="T30" s="2815" t="str">
        <f>IF(S$12=0,"",ABS(S30)/S$12)</f>
        <v/>
      </c>
      <c r="U30" s="2814" t="str">
        <f ca="1">IF(P30=0,"",IF(ABS((S30/P30)-1)&gt;10000%,"N/A",(S30/P30)-1))</f>
        <v/>
      </c>
      <c r="V30" s="2813">
        <f ca="1">IF($B$80=V11,$B$76,0)+IF($B$93=V11,$B$89,0)+IF($B$106=V11,$B$102,0)+IF($B$119=V11,$B$115,0)+IF($B$132=V11,$B$128,0)</f>
        <v>0</v>
      </c>
      <c r="W30" s="2815" t="str">
        <f>IF(V$12=0,"",ABS(V30)/V$12)</f>
        <v/>
      </c>
      <c r="X30" s="2814" t="str">
        <f ca="1">IF(S30=0,"",IF(ABS((V30/S30)-1)&gt;10000%,"N/A",(V30/S30)-1))</f>
        <v/>
      </c>
      <c r="Y30" s="2813">
        <f ca="1">IF($B$80=Y11,$B$76,0)+IF($B$93=Y11,$B$89,0)+IF($B$106=Y11,$B$102,0)+IF($B$119=Y11,$B$115,0)+IF($B$132=Y11,$B$128,0)</f>
        <v>0</v>
      </c>
      <c r="Z30" s="2815" t="str">
        <f>IF(Y$12=0,"",ABS(Y30)/Y$12)</f>
        <v/>
      </c>
      <c r="AA30" s="2814" t="str">
        <f ca="1">IF(V30=0,"",IF(ABS((Y30/V30)-1)&gt;10000%,"N/A",(Y30/V30)-1))</f>
        <v/>
      </c>
      <c r="AB30" s="2813">
        <f ca="1">IF($B$80=AB11,$B$76,0)+IF($B$93=AB11,$B$89,0)+IF($B$106=AB11,$B$102,0)+IF($B$119=AB11,$B$115,0)+IF($B$132=AB11,$B$128,0)</f>
        <v>0</v>
      </c>
      <c r="AC30" s="2815" t="str">
        <f>IF(AB$12=0,"",ABS(AB30)/AB$12)</f>
        <v/>
      </c>
      <c r="AD30" s="2814" t="str">
        <f ca="1">IF(Y30=0,"",IF(ABS((AB30/Y30)-1)&gt;10000%,"N/A",(AB30/Y30)-1))</f>
        <v/>
      </c>
      <c r="AE30" s="2813">
        <f ca="1">IF($B$80=AE11,$B$76,0)+IF($B$93=AE11,$B$89,0)+IF($B$106=AE11,$B$102,0)+IF($B$119=AE11,$B$115,0)+IF($B$132=AE11,$B$128,0)</f>
        <v>0</v>
      </c>
      <c r="AF30" s="2815" t="str">
        <f>IF(AE$12=0,"",ABS(AE30)/AE$12)</f>
        <v/>
      </c>
      <c r="AG30" s="2814" t="str">
        <f ca="1">IF(AB30=0,"",IF(ABS((AE30/AB30)-1)&gt;10000%,"N/A",(AE30/AB30)-1))</f>
        <v/>
      </c>
      <c r="AH30" s="2813">
        <f ca="1">IF($B$80=AH11,$B$76,0)+IF($B$93=AH11,$B$89,0)+IF($B$106=AH11,$B$102,0)+IF($B$119=AH11,$B$115,0)+IF($B$132=AH11,$B$128,0)</f>
        <v>0</v>
      </c>
      <c r="AI30" s="2815" t="str">
        <f>IF(AH$12=0,"",ABS(AH30)/AH$12)</f>
        <v/>
      </c>
      <c r="AJ30" s="2814" t="str">
        <f ca="1">IF(AE30=0,"",IF(ABS((AH30/AE30)-1)&gt;10000%,"N/A",(AH30/AE30)-1))</f>
        <v/>
      </c>
      <c r="AK30" s="2813">
        <f ca="1">IF($B$80=AK11,$B$76,0)+IF($B$93=AK11,$B$89,0)+IF($B$106=AK11,$B$102,0)+IF($B$119=AK11,$B$115,0)+IF($B$132=AK11,$B$128,0)</f>
        <v>0</v>
      </c>
      <c r="AL30" s="2815" t="str">
        <f>IF(AK$12=0,"",ABS(AK30)/AK$12)</f>
        <v/>
      </c>
      <c r="AM30" s="2814" t="str">
        <f ca="1">IF(AH30=0,"",IF(ABS((AK30/AH30)-1)&gt;10000%,"N/A",(AK30/AH30)-1))</f>
        <v/>
      </c>
      <c r="AN30" s="2813">
        <f ca="1">IF($B$80=AN11,$B$76,0)+IF($B$93=AN11,$B$89,0)+IF($B$106=AN11,$B$102,0)+IF($B$119=AN11,$B$115,0)+IF($B$132=AN11,$B$128,0)</f>
        <v>0</v>
      </c>
      <c r="AO30" s="2815" t="str">
        <f>IF(AN$12=0,"",ABS(AN30)/AN$12)</f>
        <v/>
      </c>
      <c r="AP30" s="2814" t="str">
        <f ca="1">IF(AK30=0,"",IF(ABS((AN30/AK30)-1)&gt;10000%,"N/A",(AN30/AK30)-1))</f>
        <v/>
      </c>
      <c r="AQ30" s="2813">
        <f ca="1">IF($B$80=AQ11,$B$76,0)+IF($B$93=AQ11,$B$89,0)+IF($B$106=AQ11,$B$102,0)+IF($B$119=AQ11,$B$115,0)+IF($B$132=AQ11,$B$128,0)</f>
        <v>0</v>
      </c>
      <c r="AR30" s="2815" t="str">
        <f>IF(AQ$12=0,"",ABS(AQ30)/AQ$12)</f>
        <v/>
      </c>
      <c r="AS30" s="2814" t="str">
        <f ca="1">IF(AN30=0,"",IF(ABS((AQ30/AN30)-1)&gt;10000%,"N/A",(AQ30/AN30)-1))</f>
        <v/>
      </c>
      <c r="AT30" s="2813">
        <f ca="1">IF($B$80=AT11,$B$76,0)+IF($B$93=AT11,$B$89,0)+IF($B$106=AT11,$B$102,0)+IF($B$119=AT11,$B$115,0)+IF($B$132=AT11,$B$128,0)</f>
        <v>0</v>
      </c>
      <c r="AU30" s="2815" t="str">
        <f>IF(AT$12=0,"",ABS(AT30)/AT$12)</f>
        <v/>
      </c>
      <c r="AV30" s="2814" t="str">
        <f ca="1">IF(AQ30=0,"",IF(ABS((AT30/AQ30)-1)&gt;10000%,"N/A",(AT30/AQ30)-1))</f>
        <v/>
      </c>
    </row>
    <row r="31" spans="1:48" ht="15.75" x14ac:dyDescent="0.2">
      <c r="A31" s="2816" t="s">
        <v>2022</v>
      </c>
      <c r="B31" s="2813">
        <f ca="1">IF($B$152=B11,$B$148,0)+IF($B$165=B11,$B$161,0)+IF($B$178=B11,$B$174,0)+IF($B$191=B11,$B$187,0)</f>
        <v>0</v>
      </c>
      <c r="C31" s="2814" t="str">
        <f>IF(B$12=0,"",ABS(B31)/B$12)</f>
        <v/>
      </c>
      <c r="D31" s="2813">
        <f ca="1">IF($B$152=D11,$B$148,0)+IF($B$165=D11,$B$161,0)+IF($B$178=D11,$B$174,0)+IF($B$191=D11,$B$187,0)</f>
        <v>0</v>
      </c>
      <c r="E31" s="2815" t="str">
        <f>IF(D$12=0,"",ABS(D31)/D$12)</f>
        <v/>
      </c>
      <c r="F31" s="2814" t="str">
        <f ca="1">IF(B31=0,"",IF(ABS((D31/B31)-1)&gt;10000%,"N/A",(D31/B31)-1))</f>
        <v/>
      </c>
      <c r="G31" s="2813">
        <f ca="1">IF($B$152=G11,$B$148,0)+IF($B$165=G11,$B$161,0)+IF($B$178=G11,$B$174,0)+IF($B$191=G11,$B$187,0)</f>
        <v>0</v>
      </c>
      <c r="H31" s="2815" t="str">
        <f>IF(G$12=0,"",ABS(G31)/G$12)</f>
        <v/>
      </c>
      <c r="I31" s="2814" t="str">
        <f ca="1">IF(D31=0,"",IF(ABS((G31/D31)-1)&gt;10000%,"N/A",(G31/D31)-1))</f>
        <v/>
      </c>
      <c r="J31" s="2813">
        <f ca="1">IF($B$152=J11,$B$148,0)+IF($B$165=J11,$B$161,0)+IF($B$178=J11,$B$174,0)+IF($B$191=J11,$B$187,0)</f>
        <v>0</v>
      </c>
      <c r="K31" s="2815" t="str">
        <f>IF(J$12=0,"",ABS(J31)/J$12)</f>
        <v/>
      </c>
      <c r="L31" s="2814" t="str">
        <f ca="1">IF(G31=0,"",IF(ABS((J31/G31)-1)&gt;10000%,"N/A",(J31/G31)-1))</f>
        <v/>
      </c>
      <c r="M31" s="2813">
        <f ca="1">IF($B$152=M11,$B$148,0)+IF($B$165=M11,$B$161,0)+IF($B$178=M11,$B$174,0)+IF($B$191=M11,$B$187,0)</f>
        <v>0</v>
      </c>
      <c r="N31" s="2815" t="str">
        <f>IF(M$12=0,"",ABS(M31)/M$12)</f>
        <v/>
      </c>
      <c r="O31" s="2814" t="str">
        <f ca="1">IF(J31=0,"",IF(ABS((M31/J31)-1)&gt;10000%,"N/A",(M31/J31)-1))</f>
        <v/>
      </c>
      <c r="P31" s="2813">
        <f ca="1">IF($B$152=P11,$B$148,0)+IF($B$165=P11,$B$161,0)+IF($B$178=P11,$B$174,0)+IF($B$191=P11,$B$187,0)</f>
        <v>0</v>
      </c>
      <c r="Q31" s="2815" t="str">
        <f>IF(P$12=0,"",ABS(P31)/P$12)</f>
        <v/>
      </c>
      <c r="R31" s="2814" t="str">
        <f ca="1">IF(M31=0,"",IF(ABS((P31/M31)-1)&gt;10000%,"N/A",(P31/M31)-1))</f>
        <v/>
      </c>
      <c r="S31" s="2813">
        <f ca="1">IF($B$152=S11,$B$148,0)+IF($B$165=S11,$B$161,0)+IF($B$178=S11,$B$174,0)+IF($B$191=S11,$B$187,0)</f>
        <v>0</v>
      </c>
      <c r="T31" s="2815" t="str">
        <f>IF(S$12=0,"",ABS(S31)/S$12)</f>
        <v/>
      </c>
      <c r="U31" s="2814" t="str">
        <f ca="1">IF(P31=0,"",IF(ABS((S31/P31)-1)&gt;10000%,"N/A",(S31/P31)-1))</f>
        <v/>
      </c>
      <c r="V31" s="2813">
        <f ca="1">IF($B$152=V11,$B$148,0)+IF($B$165=V11,$B$161,0)+IF($B$178=V11,$B$174,0)+IF($B$191=V11,$B$187,0)</f>
        <v>0</v>
      </c>
      <c r="W31" s="2815" t="str">
        <f>IF(V$12=0,"",ABS(V31)/V$12)</f>
        <v/>
      </c>
      <c r="X31" s="2814" t="str">
        <f ca="1">IF(S31=0,"",IF(ABS((V31/S31)-1)&gt;10000%,"N/A",(V31/S31)-1))</f>
        <v/>
      </c>
      <c r="Y31" s="2813">
        <f ca="1">IF($B$152=Y11,$B$148,0)+IF($B$165=Y11,$B$161,0)+IF($B$178=Y11,$B$174,0)+IF($B$191=Y11,$B$187,0)</f>
        <v>0</v>
      </c>
      <c r="Z31" s="2815" t="str">
        <f>IF(Y$12=0,"",ABS(Y31)/Y$12)</f>
        <v/>
      </c>
      <c r="AA31" s="2814" t="str">
        <f ca="1">IF(V31=0,"",IF(ABS((Y31/V31)-1)&gt;10000%,"N/A",(Y31/V31)-1))</f>
        <v/>
      </c>
      <c r="AB31" s="2813">
        <f ca="1">IF($B$152=AB11,$B$148,0)+IF($B$165=AB11,$B$161,0)+IF($B$178=AB11,$B$174,0)+IF($B$191=AB11,$B$187,0)</f>
        <v>0</v>
      </c>
      <c r="AC31" s="2815" t="str">
        <f>IF(AB$12=0,"",ABS(AB31)/AB$12)</f>
        <v/>
      </c>
      <c r="AD31" s="2814" t="str">
        <f ca="1">IF(Y31=0,"",IF(ABS((AB31/Y31)-1)&gt;10000%,"N/A",(AB31/Y31)-1))</f>
        <v/>
      </c>
      <c r="AE31" s="2813">
        <f ca="1">IF($B$152=AE11,$B$148,0)+IF($B$165=AE11,$B$161,0)+IF($B$178=AE11,$B$174,0)+IF($B$191=AE11,$B$187,0)</f>
        <v>0</v>
      </c>
      <c r="AF31" s="2815" t="str">
        <f>IF(AE$12=0,"",ABS(AE31)/AE$12)</f>
        <v/>
      </c>
      <c r="AG31" s="2814" t="str">
        <f ca="1">IF(AB31=0,"",IF(ABS((AE31/AB31)-1)&gt;10000%,"N/A",(AE31/AB31)-1))</f>
        <v/>
      </c>
      <c r="AH31" s="2813">
        <f ca="1">IF($B$152=AH11,$B$148,0)+IF($B$165=AH11,$B$161,0)+IF($B$178=AH11,$B$174,0)+IF($B$191=AH11,$B$187,0)</f>
        <v>0</v>
      </c>
      <c r="AI31" s="2815" t="str">
        <f>IF(AH$12=0,"",ABS(AH31)/AH$12)</f>
        <v/>
      </c>
      <c r="AJ31" s="2814" t="str">
        <f ca="1">IF(AE31=0,"",IF(ABS((AH31/AE31)-1)&gt;10000%,"N/A",(AH31/AE31)-1))</f>
        <v/>
      </c>
      <c r="AK31" s="2813">
        <f ca="1">IF($B$152=AK11,$B$148,0)+IF($B$165=AK11,$B$161,0)+IF($B$178=AK11,$B$174,0)+IF($B$191=AK11,$B$187,0)</f>
        <v>0</v>
      </c>
      <c r="AL31" s="2815" t="str">
        <f>IF(AK$12=0,"",ABS(AK31)/AK$12)</f>
        <v/>
      </c>
      <c r="AM31" s="2814" t="str">
        <f ca="1">IF(AH31=0,"",IF(ABS((AK31/AH31)-1)&gt;10000%,"N/A",(AK31/AH31)-1))</f>
        <v/>
      </c>
      <c r="AN31" s="2813">
        <f ca="1">IF($B$152=AN11,$B$148,0)+IF($B$165=AN11,$B$161,0)+IF($B$178=AN11,$B$174,0)+IF($B$191=AN11,$B$187,0)</f>
        <v>0</v>
      </c>
      <c r="AO31" s="2815" t="str">
        <f>IF(AN$12=0,"",ABS(AN31)/AN$12)</f>
        <v/>
      </c>
      <c r="AP31" s="2814" t="str">
        <f ca="1">IF(AK31=0,"",IF(ABS((AN31/AK31)-1)&gt;10000%,"N/A",(AN31/AK31)-1))</f>
        <v/>
      </c>
      <c r="AQ31" s="2813">
        <f ca="1">IF($B$152=AQ11,$B$148,0)+IF($B$165=AQ11,$B$161,0)+IF($B$178=AQ11,$B$174,0)+IF($B$191=AQ11,$B$187,0)</f>
        <v>0</v>
      </c>
      <c r="AR31" s="2815" t="str">
        <f>IF(AQ$12=0,"",ABS(AQ31)/AQ$12)</f>
        <v/>
      </c>
      <c r="AS31" s="2814" t="str">
        <f ca="1">IF(AN31=0,"",IF(ABS((AQ31/AN31)-1)&gt;10000%,"N/A",(AQ31/AN31)-1))</f>
        <v/>
      </c>
      <c r="AT31" s="2813">
        <f ca="1">IF($B$152=AT11,$B$148,0)+IF($B$165=AT11,$B$161,0)+IF($B$178=AT11,$B$174,0)+IF($B$191=AT11,$B$187,0)</f>
        <v>0</v>
      </c>
      <c r="AU31" s="2815" t="str">
        <f>IF(AT$12=0,"",ABS(AT31)/AT$12)</f>
        <v/>
      </c>
      <c r="AV31" s="2814" t="str">
        <f ca="1">IF(AQ31=0,"",IF(ABS((AT31/AQ31)-1)&gt;10000%,"N/A",(AT31/AQ31)-1))</f>
        <v/>
      </c>
    </row>
    <row r="32" spans="1:48" x14ac:dyDescent="0.2">
      <c r="A32" s="2817"/>
      <c r="B32" s="2818"/>
      <c r="C32" s="2819"/>
      <c r="D32" s="2818"/>
      <c r="E32" s="2820"/>
      <c r="F32" s="2819"/>
      <c r="G32" s="2818"/>
      <c r="H32" s="2820"/>
      <c r="I32" s="2819"/>
      <c r="J32" s="2818"/>
      <c r="K32" s="2820"/>
      <c r="L32" s="2819"/>
      <c r="M32" s="2818"/>
      <c r="N32" s="2820"/>
      <c r="O32" s="2819"/>
      <c r="P32" s="2818"/>
      <c r="Q32" s="2820"/>
      <c r="R32" s="2819"/>
      <c r="S32" s="2818"/>
      <c r="T32" s="2820"/>
      <c r="U32" s="2819"/>
      <c r="V32" s="2818"/>
      <c r="W32" s="2820"/>
      <c r="X32" s="2819"/>
      <c r="Y32" s="2818"/>
      <c r="Z32" s="2820"/>
      <c r="AA32" s="2819"/>
      <c r="AB32" s="2818"/>
      <c r="AC32" s="2820"/>
      <c r="AD32" s="2819"/>
      <c r="AE32" s="2818"/>
      <c r="AF32" s="2820"/>
      <c r="AG32" s="2819"/>
      <c r="AH32" s="2818"/>
      <c r="AI32" s="2820"/>
      <c r="AJ32" s="2819"/>
      <c r="AK32" s="2818"/>
      <c r="AL32" s="2820"/>
      <c r="AM32" s="2819"/>
      <c r="AN32" s="2818"/>
      <c r="AO32" s="2820"/>
      <c r="AP32" s="2819"/>
      <c r="AQ32" s="2818"/>
      <c r="AR32" s="2820"/>
      <c r="AS32" s="2819"/>
      <c r="AT32" s="2818"/>
      <c r="AU32" s="2820"/>
      <c r="AV32" s="2819"/>
    </row>
    <row r="33" spans="1:48" ht="15" x14ac:dyDescent="0.2">
      <c r="A33" s="2821" t="s">
        <v>2023</v>
      </c>
      <c r="B33" s="2822">
        <f ca="1">SUM(B27,B29:B31)</f>
        <v>0</v>
      </c>
      <c r="C33" s="2823" t="str">
        <f>IF(B$12=0,"",ABS(B33)/B$12)</f>
        <v/>
      </c>
      <c r="D33" s="2822">
        <f ca="1">SUM(D27,D29:D31)</f>
        <v>0</v>
      </c>
      <c r="E33" s="2824" t="str">
        <f>IF(D$12=0,"",ABS(D33)/D$12)</f>
        <v/>
      </c>
      <c r="F33" s="2823" t="str">
        <f ca="1">IF(B33=0,"",IF(ABS((D33/B33)-1)&gt;10000%,"N/A",(D33/B33)-1))</f>
        <v/>
      </c>
      <c r="G33" s="2822">
        <f ca="1">SUM(G27,G29:G31)</f>
        <v>0</v>
      </c>
      <c r="H33" s="2824" t="str">
        <f>IF(G$12=0,"",ABS(G33)/G$12)</f>
        <v/>
      </c>
      <c r="I33" s="2823" t="str">
        <f ca="1">IF(D33=0,"",IF(ABS((G33/D33)-1)&gt;10000%,"N/A",(G33/D33)-1))</f>
        <v/>
      </c>
      <c r="J33" s="2822">
        <f ca="1">SUM(J27,J29:J31)</f>
        <v>0</v>
      </c>
      <c r="K33" s="2824" t="str">
        <f>IF(J$12=0,"",ABS(J33)/J$12)</f>
        <v/>
      </c>
      <c r="L33" s="2823" t="str">
        <f ca="1">IF(G33=0,"",IF(ABS((J33/G33)-1)&gt;10000%,"N/A",(J33/G33)-1))</f>
        <v/>
      </c>
      <c r="M33" s="2822">
        <f ca="1">SUM(M27,M29:M31)</f>
        <v>0</v>
      </c>
      <c r="N33" s="2824" t="str">
        <f>IF(M$12=0,"",ABS(M33)/M$12)</f>
        <v/>
      </c>
      <c r="O33" s="2823" t="str">
        <f ca="1">IF(J33=0,"",IF(ABS((M33/J33)-1)&gt;10000%,"N/A",(M33/J33)-1))</f>
        <v/>
      </c>
      <c r="P33" s="2822">
        <f ca="1">SUM(P27,P29:P31)</f>
        <v>0</v>
      </c>
      <c r="Q33" s="2824" t="str">
        <f>IF(P$12=0,"",ABS(P33)/P$12)</f>
        <v/>
      </c>
      <c r="R33" s="2823" t="str">
        <f ca="1">IF(M33=0,"",IF(ABS((P33/M33)-1)&gt;10000%,"N/A",(P33/M33)-1))</f>
        <v/>
      </c>
      <c r="S33" s="2822">
        <f ca="1">SUM(S27,S29:S31)</f>
        <v>0</v>
      </c>
      <c r="T33" s="2824" t="str">
        <f>IF(S$12=0,"",ABS(S33)/S$12)</f>
        <v/>
      </c>
      <c r="U33" s="2823" t="str">
        <f ca="1">IF(P33=0,"",IF(ABS((S33/P33)-1)&gt;10000%,"N/A",(S33/P33)-1))</f>
        <v/>
      </c>
      <c r="V33" s="2822">
        <f ca="1">SUM(V27,V29:V31)</f>
        <v>0</v>
      </c>
      <c r="W33" s="2824" t="str">
        <f>IF(V$12=0,"",ABS(V33)/V$12)</f>
        <v/>
      </c>
      <c r="X33" s="2823" t="str">
        <f ca="1">IF(S33=0,"",IF(ABS((V33/S33)-1)&gt;10000%,"N/A",(V33/S33)-1))</f>
        <v/>
      </c>
      <c r="Y33" s="2822">
        <f ca="1">SUM(Y27,Y29:Y31)</f>
        <v>0</v>
      </c>
      <c r="Z33" s="2824" t="str">
        <f>IF(Y$12=0,"",ABS(Y33)/Y$12)</f>
        <v/>
      </c>
      <c r="AA33" s="2823" t="str">
        <f ca="1">IF(V33=0,"",IF(ABS((Y33/V33)-1)&gt;10000%,"N/A",(Y33/V33)-1))</f>
        <v/>
      </c>
      <c r="AB33" s="2822">
        <f ca="1">SUM(AB27,AB29:AB31)</f>
        <v>0</v>
      </c>
      <c r="AC33" s="2824" t="str">
        <f>IF(AB$12=0,"",ABS(AB33)/AB$12)</f>
        <v/>
      </c>
      <c r="AD33" s="2823" t="str">
        <f ca="1">IF(Y33=0,"",IF(ABS((AB33/Y33)-1)&gt;10000%,"N/A",(AB33/Y33)-1))</f>
        <v/>
      </c>
      <c r="AE33" s="2822">
        <f ca="1">SUM(AE27,AE29:AE31)</f>
        <v>0</v>
      </c>
      <c r="AF33" s="2824" t="str">
        <f>IF(AE$12=0,"",ABS(AE33)/AE$12)</f>
        <v/>
      </c>
      <c r="AG33" s="2823" t="str">
        <f ca="1">IF(AB33=0,"",IF(ABS((AE33/AB33)-1)&gt;10000%,"N/A",(AE33/AB33)-1))</f>
        <v/>
      </c>
      <c r="AH33" s="2822">
        <f ca="1">SUM(AH27,AH29:AH31)</f>
        <v>0</v>
      </c>
      <c r="AI33" s="2824" t="str">
        <f>IF(AH$12=0,"",ABS(AH33)/AH$12)</f>
        <v/>
      </c>
      <c r="AJ33" s="2823" t="str">
        <f ca="1">IF(AE33=0,"",IF(ABS((AH33/AE33)-1)&gt;10000%,"N/A",(AH33/AE33)-1))</f>
        <v/>
      </c>
      <c r="AK33" s="2822">
        <f ca="1">SUM(AK27,AK29:AK31)</f>
        <v>0</v>
      </c>
      <c r="AL33" s="2824" t="str">
        <f>IF(AK$12=0,"",ABS(AK33)/AK$12)</f>
        <v/>
      </c>
      <c r="AM33" s="2823" t="str">
        <f ca="1">IF(AH33=0,"",IF(ABS((AK33/AH33)-1)&gt;10000%,"N/A",(AK33/AH33)-1))</f>
        <v/>
      </c>
      <c r="AN33" s="2822">
        <f ca="1">SUM(AN27,AN29:AN31)</f>
        <v>0</v>
      </c>
      <c r="AO33" s="2824" t="str">
        <f>IF(AN$12=0,"",ABS(AN33)/AN$12)</f>
        <v/>
      </c>
      <c r="AP33" s="2823" t="str">
        <f ca="1">IF(AK33=0,"",IF(ABS((AN33/AK33)-1)&gt;10000%,"N/A",(AN33/AK33)-1))</f>
        <v/>
      </c>
      <c r="AQ33" s="2822">
        <f ca="1">SUM(AQ27,AQ29:AQ31)</f>
        <v>0</v>
      </c>
      <c r="AR33" s="2824" t="str">
        <f>IF(AQ$12=0,"",ABS(AQ33)/AQ$12)</f>
        <v/>
      </c>
      <c r="AS33" s="2823" t="str">
        <f ca="1">IF(AN33=0,"",IF(ABS((AQ33/AN33)-1)&gt;10000%,"N/A",(AQ33/AN33)-1))</f>
        <v/>
      </c>
      <c r="AT33" s="2822">
        <f ca="1">SUM(AT27,AT29:AT31)</f>
        <v>0</v>
      </c>
      <c r="AU33" s="2824" t="str">
        <f>IF(AT$12=0,"",ABS(AT33)/AT$12)</f>
        <v/>
      </c>
      <c r="AV33" s="2823" t="str">
        <f ca="1">IF(AQ33=0,"",IF(ABS((AT33/AQ33)-1)&gt;10000%,"N/A",(AT33/AQ33)-1))</f>
        <v/>
      </c>
    </row>
    <row r="34" spans="1:48" x14ac:dyDescent="0.2">
      <c r="A34" s="2817"/>
      <c r="B34" s="2818"/>
      <c r="C34" s="2819"/>
      <c r="D34" s="2818"/>
      <c r="E34" s="2820"/>
      <c r="F34" s="2819"/>
      <c r="G34" s="2818"/>
      <c r="H34" s="2820"/>
      <c r="I34" s="2819"/>
      <c r="J34" s="2818"/>
      <c r="K34" s="2820"/>
      <c r="L34" s="2819"/>
      <c r="M34" s="2818"/>
      <c r="N34" s="2820"/>
      <c r="O34" s="2819"/>
      <c r="P34" s="2818"/>
      <c r="Q34" s="2820"/>
      <c r="R34" s="2819"/>
      <c r="S34" s="2818"/>
      <c r="T34" s="2820"/>
      <c r="U34" s="2819"/>
      <c r="V34" s="2818"/>
      <c r="W34" s="2820"/>
      <c r="X34" s="2819"/>
      <c r="Y34" s="2818"/>
      <c r="Z34" s="2820"/>
      <c r="AA34" s="2819"/>
      <c r="AB34" s="2818"/>
      <c r="AC34" s="2820"/>
      <c r="AD34" s="2819"/>
      <c r="AE34" s="2818"/>
      <c r="AF34" s="2820"/>
      <c r="AG34" s="2819"/>
      <c r="AH34" s="2818"/>
      <c r="AI34" s="2820"/>
      <c r="AJ34" s="2819"/>
      <c r="AK34" s="2818"/>
      <c r="AL34" s="2820"/>
      <c r="AM34" s="2819"/>
      <c r="AN34" s="2818"/>
      <c r="AO34" s="2820"/>
      <c r="AP34" s="2819"/>
      <c r="AQ34" s="2818"/>
      <c r="AR34" s="2820"/>
      <c r="AS34" s="2819"/>
      <c r="AT34" s="2818"/>
      <c r="AU34" s="2820"/>
      <c r="AV34" s="2819"/>
    </row>
    <row r="35" spans="1:48" ht="15" x14ac:dyDescent="0.2">
      <c r="A35" s="2816" t="s">
        <v>2024</v>
      </c>
      <c r="B35" s="2813">
        <f ca="1">-SUM(B142,B201)</f>
        <v>0</v>
      </c>
      <c r="C35" s="2814" t="str">
        <f>IF(B$12=0,"",ABS(B35)/B$12)</f>
        <v/>
      </c>
      <c r="D35" s="2813">
        <f ca="1">-SUM(D142,D201,D223)</f>
        <v>0</v>
      </c>
      <c r="E35" s="2815" t="str">
        <f>IF(D$12=0,"",ABS(D35)/D$12)</f>
        <v/>
      </c>
      <c r="F35" s="2814" t="str">
        <f ca="1">IF(B35=0,"",IF(ABS((D35/B35)-1)&gt;10000%,"N/A",(D35/B35)-1))</f>
        <v/>
      </c>
      <c r="G35" s="2813">
        <f ca="1">-SUM(G142,G201,G223)</f>
        <v>0</v>
      </c>
      <c r="H35" s="2815" t="str">
        <f>IF(G$12=0,"",ABS(G35)/G$12)</f>
        <v/>
      </c>
      <c r="I35" s="2814" t="str">
        <f ca="1">IF(D35=0,"",IF(ABS((G35/D35)-1)&gt;10000%,"N/A",(G35/D35)-1))</f>
        <v/>
      </c>
      <c r="J35" s="2813">
        <f ca="1">-SUM(J142,J201,J223)</f>
        <v>0</v>
      </c>
      <c r="K35" s="2815" t="str">
        <f>IF(J$12=0,"",ABS(J35)/J$12)</f>
        <v/>
      </c>
      <c r="L35" s="2814" t="str">
        <f ca="1">IF(G35=0,"",IF(ABS((J35/G35)-1)&gt;10000%,"N/A",(J35/G35)-1))</f>
        <v/>
      </c>
      <c r="M35" s="2813">
        <f ca="1">-SUM(M142,M201,M223)</f>
        <v>0</v>
      </c>
      <c r="N35" s="2815" t="str">
        <f>IF(M$12=0,"",ABS(M35)/M$12)</f>
        <v/>
      </c>
      <c r="O35" s="2814" t="str">
        <f ca="1">IF(J35=0,"",IF(ABS((M35/J35)-1)&gt;10000%,"N/A",(M35/J35)-1))</f>
        <v/>
      </c>
      <c r="P35" s="2813">
        <f ca="1">-SUM(P142,P201,P223)</f>
        <v>0</v>
      </c>
      <c r="Q35" s="2815" t="str">
        <f>IF(P$12=0,"",ABS(P35)/P$12)</f>
        <v/>
      </c>
      <c r="R35" s="2814" t="str">
        <f ca="1">IF(M35=0,"",IF(ABS((P35/M35)-1)&gt;10000%,"N/A",(P35/M35)-1))</f>
        <v/>
      </c>
      <c r="S35" s="2813">
        <f ca="1">-SUM(S142,S201,S223)</f>
        <v>0</v>
      </c>
      <c r="T35" s="2815" t="str">
        <f>IF(S$12=0,"",ABS(S35)/S$12)</f>
        <v/>
      </c>
      <c r="U35" s="2814" t="str">
        <f ca="1">IF(P35=0,"",IF(ABS((S35/P35)-1)&gt;10000%,"N/A",(S35/P35)-1))</f>
        <v/>
      </c>
      <c r="V35" s="2813">
        <f ca="1">-SUM(V142,V201,V223)</f>
        <v>0</v>
      </c>
      <c r="W35" s="2815" t="str">
        <f>IF(V$12=0,"",ABS(V35)/V$12)</f>
        <v/>
      </c>
      <c r="X35" s="2814" t="str">
        <f ca="1">IF(S35=0,"",IF(ABS((V35/S35)-1)&gt;10000%,"N/A",(V35/S35)-1))</f>
        <v/>
      </c>
      <c r="Y35" s="2813">
        <f ca="1">-SUM(Y142,Y201,Y223)</f>
        <v>0</v>
      </c>
      <c r="Z35" s="2815" t="str">
        <f>IF(Y$12=0,"",ABS(Y35)/Y$12)</f>
        <v/>
      </c>
      <c r="AA35" s="2814" t="str">
        <f ca="1">IF(V35=0,"",IF(ABS((Y35/V35)-1)&gt;10000%,"N/A",(Y35/V35)-1))</f>
        <v/>
      </c>
      <c r="AB35" s="2813">
        <f ca="1">-SUM(AB142,AB201,AB223)</f>
        <v>0</v>
      </c>
      <c r="AC35" s="2815" t="str">
        <f>IF(AB$12=0,"",ABS(AB35)/AB$12)</f>
        <v/>
      </c>
      <c r="AD35" s="2814" t="str">
        <f ca="1">IF(Y35=0,"",IF(ABS((AB35/Y35)-1)&gt;10000%,"N/A",(AB35/Y35)-1))</f>
        <v/>
      </c>
      <c r="AE35" s="2813">
        <f ca="1">-SUM(AE142,AE201,AE223)</f>
        <v>0</v>
      </c>
      <c r="AF35" s="2815" t="str">
        <f>IF(AE$12=0,"",ABS(AE35)/AE$12)</f>
        <v/>
      </c>
      <c r="AG35" s="2814" t="str">
        <f ca="1">IF(AB35=0,"",IF(ABS((AE35/AB35)-1)&gt;10000%,"N/A",(AE35/AB35)-1))</f>
        <v/>
      </c>
      <c r="AH35" s="2813">
        <f ca="1">-SUM(AH142,AH201,AH223)</f>
        <v>0</v>
      </c>
      <c r="AI35" s="2815" t="str">
        <f>IF(AH$12=0,"",ABS(AH35)/AH$12)</f>
        <v/>
      </c>
      <c r="AJ35" s="2814" t="str">
        <f ca="1">IF(AE35=0,"",IF(ABS((AH35/AE35)-1)&gt;10000%,"N/A",(AH35/AE35)-1))</f>
        <v/>
      </c>
      <c r="AK35" s="2813">
        <f ca="1">-SUM(AK142,AK201,AK223)</f>
        <v>0</v>
      </c>
      <c r="AL35" s="2815" t="str">
        <f>IF(AK$12=0,"",ABS(AK35)/AK$12)</f>
        <v/>
      </c>
      <c r="AM35" s="2814" t="str">
        <f ca="1">IF(AH35=0,"",IF(ABS((AK35/AH35)-1)&gt;10000%,"N/A",(AK35/AH35)-1))</f>
        <v/>
      </c>
      <c r="AN35" s="2813">
        <f ca="1">-SUM(AN142,AN201,AN223)</f>
        <v>0</v>
      </c>
      <c r="AO35" s="2815" t="str">
        <f>IF(AN$12=0,"",ABS(AN35)/AN$12)</f>
        <v/>
      </c>
      <c r="AP35" s="2814" t="str">
        <f ca="1">IF(AK35=0,"",IF(ABS((AN35/AK35)-1)&gt;10000%,"N/A",(AN35/AK35)-1))</f>
        <v/>
      </c>
      <c r="AQ35" s="2813">
        <f ca="1">-SUM(AQ142,AQ201,AQ223)</f>
        <v>0</v>
      </c>
      <c r="AR35" s="2815" t="str">
        <f>IF(AQ$12=0,"",ABS(AQ35)/AQ$12)</f>
        <v/>
      </c>
      <c r="AS35" s="2814" t="str">
        <f ca="1">IF(AN35=0,"",IF(ABS((AQ35/AN35)-1)&gt;10000%,"N/A",(AQ35/AN35)-1))</f>
        <v/>
      </c>
      <c r="AT35" s="2813">
        <f ca="1">-SUM(AT142,AT201,AT223)</f>
        <v>0</v>
      </c>
      <c r="AU35" s="2815" t="str">
        <f>IF(AT$12=0,"",ABS(AT35)/AT$12)</f>
        <v/>
      </c>
      <c r="AV35" s="2814" t="str">
        <f ca="1">IF(AQ35=0,"",IF(ABS((AT35/AQ35)-1)&gt;10000%,"N/A",(AT35/AQ35)-1))</f>
        <v/>
      </c>
    </row>
    <row r="36" spans="1:48" ht="15" x14ac:dyDescent="0.2">
      <c r="A36" s="2816" t="s">
        <v>2025</v>
      </c>
      <c r="B36" s="2813"/>
      <c r="C36" s="2814" t="str">
        <f>IF(B$12=0,"",ABS(B36)/B$12)</f>
        <v/>
      </c>
      <c r="D36" s="2813">
        <f ca="1">IF(D47-B47&lt;0,D47-B47,0)</f>
        <v>0</v>
      </c>
      <c r="E36" s="2815" t="str">
        <f>IF(D$12=0,"",ABS(D36)/D$12)</f>
        <v/>
      </c>
      <c r="F36" s="2814" t="str">
        <f>IF(B36=0,"",IF(ABS((D36/B36)-1)&gt;10000%,"N/A",(D36/B36)-1))</f>
        <v/>
      </c>
      <c r="G36" s="2813">
        <f ca="1">IF(G47-D47&lt;0,G47-D47,0)</f>
        <v>0</v>
      </c>
      <c r="H36" s="2815" t="str">
        <f>IF(G$12=0,"",ABS(G36)/G$12)</f>
        <v/>
      </c>
      <c r="I36" s="2814" t="str">
        <f ca="1">IF(D36=0,"",IF(ABS((G36/D36)-1)&gt;10000%,"N/A",(G36/D36)-1))</f>
        <v/>
      </c>
      <c r="J36" s="2813">
        <f ca="1">IF(J47-G47&lt;0,J47-G47,0)</f>
        <v>0</v>
      </c>
      <c r="K36" s="2815" t="str">
        <f>IF(J$12=0,"",ABS(J36)/J$12)</f>
        <v/>
      </c>
      <c r="L36" s="2814" t="str">
        <f ca="1">IF(G36=0,"",IF(ABS((J36/G36)-1)&gt;10000%,"N/A",(J36/G36)-1))</f>
        <v/>
      </c>
      <c r="M36" s="2813">
        <f ca="1">IF(M47-J47&lt;0,M47-J47,0)</f>
        <v>0</v>
      </c>
      <c r="N36" s="2815" t="str">
        <f>IF(M$12=0,"",ABS(M36)/M$12)</f>
        <v/>
      </c>
      <c r="O36" s="2814" t="str">
        <f ca="1">IF(J36=0,"",IF(ABS((M36/J36)-1)&gt;10000%,"N/A",(M36/J36)-1))</f>
        <v/>
      </c>
      <c r="P36" s="2813">
        <f ca="1">IF(P47-M47&lt;0,P47-M47,0)</f>
        <v>0</v>
      </c>
      <c r="Q36" s="2815" t="str">
        <f>IF(P$12=0,"",ABS(P36)/P$12)</f>
        <v/>
      </c>
      <c r="R36" s="2814" t="str">
        <f ca="1">IF(M36=0,"",IF(ABS((P36/M36)-1)&gt;10000%,"N/A",(P36/M36)-1))</f>
        <v/>
      </c>
      <c r="S36" s="2813">
        <f ca="1">IF(S47-P47&lt;0,S47-P47,0)</f>
        <v>0</v>
      </c>
      <c r="T36" s="2815" t="str">
        <f>IF(S$12=0,"",ABS(S36)/S$12)</f>
        <v/>
      </c>
      <c r="U36" s="2814" t="str">
        <f ca="1">IF(P36=0,"",IF(ABS((S36/P36)-1)&gt;10000%,"N/A",(S36/P36)-1))</f>
        <v/>
      </c>
      <c r="V36" s="2813">
        <f ca="1">IF(V47-S47&lt;0,V47-S47,0)</f>
        <v>0</v>
      </c>
      <c r="W36" s="2815" t="str">
        <f>IF(V$12=0,"",ABS(V36)/V$12)</f>
        <v/>
      </c>
      <c r="X36" s="2814" t="str">
        <f ca="1">IF(S36=0,"",IF(ABS((V36/S36)-1)&gt;10000%,"N/A",(V36/S36)-1))</f>
        <v/>
      </c>
      <c r="Y36" s="2813">
        <f ca="1">IF(Y47-V47&lt;0,Y47-V47,0)</f>
        <v>0</v>
      </c>
      <c r="Z36" s="2815" t="str">
        <f>IF(Y$12=0,"",ABS(Y36)/Y$12)</f>
        <v/>
      </c>
      <c r="AA36" s="2814" t="str">
        <f ca="1">IF(V36=0,"",IF(ABS((Y36/V36)-1)&gt;10000%,"N/A",(Y36/V36)-1))</f>
        <v/>
      </c>
      <c r="AB36" s="2813">
        <f ca="1">IF(AB47-Y47&lt;0,AB47-Y47,0)</f>
        <v>0</v>
      </c>
      <c r="AC36" s="2815" t="str">
        <f>IF(AB$12=0,"",ABS(AB36)/AB$12)</f>
        <v/>
      </c>
      <c r="AD36" s="2814" t="str">
        <f ca="1">IF(Y36=0,"",IF(ABS((AB36/Y36)-1)&gt;10000%,"N/A",(AB36/Y36)-1))</f>
        <v/>
      </c>
      <c r="AE36" s="2813">
        <f ca="1">IF(AE47-AB47&lt;0,AE47-AB47,0)</f>
        <v>0</v>
      </c>
      <c r="AF36" s="2815" t="str">
        <f>IF(AE$12=0,"",ABS(AE36)/AE$12)</f>
        <v/>
      </c>
      <c r="AG36" s="2814" t="str">
        <f ca="1">IF(AB36=0,"",IF(ABS((AE36/AB36)-1)&gt;10000%,"N/A",(AE36/AB36)-1))</f>
        <v/>
      </c>
      <c r="AH36" s="2813">
        <f ca="1">IF(AH47-AE47&lt;0,AH47-AE47,0)</f>
        <v>0</v>
      </c>
      <c r="AI36" s="2815" t="str">
        <f>IF(AH$12=0,"",ABS(AH36)/AH$12)</f>
        <v/>
      </c>
      <c r="AJ36" s="2814" t="str">
        <f ca="1">IF(AE36=0,"",IF(ABS((AH36/AE36)-1)&gt;10000%,"N/A",(AH36/AE36)-1))</f>
        <v/>
      </c>
      <c r="AK36" s="2813">
        <f ca="1">IF(AK47-AH47&lt;0,AK47-AH47,0)</f>
        <v>0</v>
      </c>
      <c r="AL36" s="2815" t="str">
        <f>IF(AK$12=0,"",ABS(AK36)/AK$12)</f>
        <v/>
      </c>
      <c r="AM36" s="2814" t="str">
        <f ca="1">IF(AH36=0,"",IF(ABS((AK36/AH36)-1)&gt;10000%,"N/A",(AK36/AH36)-1))</f>
        <v/>
      </c>
      <c r="AN36" s="2813">
        <f ca="1">IF(AN47-AK47&lt;0,AN47-AK47,0)</f>
        <v>0</v>
      </c>
      <c r="AO36" s="2815" t="str">
        <f>IF(AN$12=0,"",ABS(AN36)/AN$12)</f>
        <v/>
      </c>
      <c r="AP36" s="2814" t="str">
        <f ca="1">IF(AK36=0,"",IF(ABS((AN36/AK36)-1)&gt;10000%,"N/A",(AN36/AK36)-1))</f>
        <v/>
      </c>
      <c r="AQ36" s="2813">
        <f ca="1">IF(AQ47-AN47&lt;0,AQ47-AN47,0)</f>
        <v>0</v>
      </c>
      <c r="AR36" s="2815" t="str">
        <f>IF(AQ$12=0,"",ABS(AQ36)/AQ$12)</f>
        <v/>
      </c>
      <c r="AS36" s="2814" t="str">
        <f ca="1">IF(AN36=0,"",IF(ABS((AQ36/AN36)-1)&gt;10000%,"N/A",(AQ36/AN36)-1))</f>
        <v/>
      </c>
      <c r="AT36" s="2813">
        <f ca="1">IF(AT47-AQ47&lt;0,AT47-AQ47,0)</f>
        <v>0</v>
      </c>
      <c r="AU36" s="2815" t="str">
        <f>IF(AT$12=0,"",ABS(AT36)/AT$12)</f>
        <v/>
      </c>
      <c r="AV36" s="2814" t="str">
        <f ca="1">IF(AQ36=0,"",IF(ABS((AT36/AQ36)-1)&gt;10000%,"N/A",(AT36/AQ36)-1))</f>
        <v/>
      </c>
    </row>
    <row r="37" spans="1:48" ht="15" x14ac:dyDescent="0.2">
      <c r="A37" s="2816" t="s">
        <v>2026</v>
      </c>
      <c r="B37" s="2813">
        <f>-B140</f>
        <v>0</v>
      </c>
      <c r="C37" s="2814" t="str">
        <f>IF(B$12=0,"",ABS(B37)/B$12)</f>
        <v/>
      </c>
      <c r="D37" s="2813">
        <f ca="1">-D140</f>
        <v>0</v>
      </c>
      <c r="E37" s="2815" t="str">
        <f>IF(D$12=0,"",ABS(D37)/D$12)</f>
        <v/>
      </c>
      <c r="F37" s="2814" t="str">
        <f>IF(B37=0,"",IF(ABS((D37/B37)-1)&gt;10000%,"N/A",(D37/B37)-1))</f>
        <v/>
      </c>
      <c r="G37" s="2813">
        <f ca="1">-G140</f>
        <v>0</v>
      </c>
      <c r="H37" s="2815" t="str">
        <f>IF(G$12=0,"",ABS(G37)/G$12)</f>
        <v/>
      </c>
      <c r="I37" s="2814" t="str">
        <f ca="1">IF(D37=0,"",IF(ABS((G37/D37)-1)&gt;10000%,"N/A",(G37/D37)-1))</f>
        <v/>
      </c>
      <c r="J37" s="2813">
        <f ca="1">-J140</f>
        <v>0</v>
      </c>
      <c r="K37" s="2815" t="str">
        <f>IF(J$12=0,"",ABS(J37)/J$12)</f>
        <v/>
      </c>
      <c r="L37" s="2814" t="str">
        <f ca="1">IF(G37=0,"",IF(ABS((J37/G37)-1)&gt;10000%,"N/A",(J37/G37)-1))</f>
        <v/>
      </c>
      <c r="M37" s="2813">
        <f ca="1">-M140</f>
        <v>0</v>
      </c>
      <c r="N37" s="2815" t="str">
        <f>IF(M$12=0,"",ABS(M37)/M$12)</f>
        <v/>
      </c>
      <c r="O37" s="2814" t="str">
        <f ca="1">IF(J37=0,"",IF(ABS((M37/J37)-1)&gt;10000%,"N/A",(M37/J37)-1))</f>
        <v/>
      </c>
      <c r="P37" s="2813">
        <f ca="1">-P140</f>
        <v>0</v>
      </c>
      <c r="Q37" s="2815" t="str">
        <f>IF(P$12=0,"",ABS(P37)/P$12)</f>
        <v/>
      </c>
      <c r="R37" s="2814" t="str">
        <f ca="1">IF(M37=0,"",IF(ABS((P37/M37)-1)&gt;10000%,"N/A",(P37/M37)-1))</f>
        <v/>
      </c>
      <c r="S37" s="2813">
        <f ca="1">-S140</f>
        <v>0</v>
      </c>
      <c r="T37" s="2815" t="str">
        <f>IF(S$12=0,"",ABS(S37)/S$12)</f>
        <v/>
      </c>
      <c r="U37" s="2814" t="str">
        <f ca="1">IF(P37=0,"",IF(ABS((S37/P37)-1)&gt;10000%,"N/A",(S37/P37)-1))</f>
        <v/>
      </c>
      <c r="V37" s="2813">
        <f ca="1">-V140</f>
        <v>0</v>
      </c>
      <c r="W37" s="2815" t="str">
        <f>IF(V$12=0,"",ABS(V37)/V$12)</f>
        <v/>
      </c>
      <c r="X37" s="2814" t="str">
        <f ca="1">IF(S37=0,"",IF(ABS((V37/S37)-1)&gt;10000%,"N/A",(V37/S37)-1))</f>
        <v/>
      </c>
      <c r="Y37" s="2813">
        <f ca="1">-Y140</f>
        <v>0</v>
      </c>
      <c r="Z37" s="2815" t="str">
        <f>IF(Y$12=0,"",ABS(Y37)/Y$12)</f>
        <v/>
      </c>
      <c r="AA37" s="2814" t="str">
        <f ca="1">IF(V37=0,"",IF(ABS((Y37/V37)-1)&gt;10000%,"N/A",(Y37/V37)-1))</f>
        <v/>
      </c>
      <c r="AB37" s="2813">
        <f ca="1">-AB140</f>
        <v>0</v>
      </c>
      <c r="AC37" s="2815" t="str">
        <f>IF(AB$12=0,"",ABS(AB37)/AB$12)</f>
        <v/>
      </c>
      <c r="AD37" s="2814" t="str">
        <f ca="1">IF(Y37=0,"",IF(ABS((AB37/Y37)-1)&gt;10000%,"N/A",(AB37/Y37)-1))</f>
        <v/>
      </c>
      <c r="AE37" s="2813">
        <f ca="1">-AE140</f>
        <v>0</v>
      </c>
      <c r="AF37" s="2815" t="str">
        <f>IF(AE$12=0,"",ABS(AE37)/AE$12)</f>
        <v/>
      </c>
      <c r="AG37" s="2814" t="str">
        <f ca="1">IF(AB37=0,"",IF(ABS((AE37/AB37)-1)&gt;10000%,"N/A",(AE37/AB37)-1))</f>
        <v/>
      </c>
      <c r="AH37" s="2813">
        <f ca="1">-AH140</f>
        <v>0</v>
      </c>
      <c r="AI37" s="2815" t="str">
        <f>IF(AH$12=0,"",ABS(AH37)/AH$12)</f>
        <v/>
      </c>
      <c r="AJ37" s="2814" t="str">
        <f ca="1">IF(AE37=0,"",IF(ABS((AH37/AE37)-1)&gt;10000%,"N/A",(AH37/AE37)-1))</f>
        <v/>
      </c>
      <c r="AK37" s="2813">
        <f ca="1">-AK140</f>
        <v>0</v>
      </c>
      <c r="AL37" s="2815" t="str">
        <f>IF(AK$12=0,"",ABS(AK37)/AK$12)</f>
        <v/>
      </c>
      <c r="AM37" s="2814" t="str">
        <f ca="1">IF(AH37=0,"",IF(ABS((AK37/AH37)-1)&gt;10000%,"N/A",(AK37/AH37)-1))</f>
        <v/>
      </c>
      <c r="AN37" s="2813">
        <f ca="1">-AN140</f>
        <v>0</v>
      </c>
      <c r="AO37" s="2815" t="str">
        <f>IF(AN$12=0,"",ABS(AN37)/AN$12)</f>
        <v/>
      </c>
      <c r="AP37" s="2814" t="str">
        <f ca="1">IF(AK37=0,"",IF(ABS((AN37/AK37)-1)&gt;10000%,"N/A",(AN37/AK37)-1))</f>
        <v/>
      </c>
      <c r="AQ37" s="2813">
        <f ca="1">-AQ140</f>
        <v>0</v>
      </c>
      <c r="AR37" s="2815" t="str">
        <f>IF(AQ$12=0,"",ABS(AQ37)/AQ$12)</f>
        <v/>
      </c>
      <c r="AS37" s="2814" t="str">
        <f ca="1">IF(AN37=0,"",IF(ABS((AQ37/AN37)-1)&gt;10000%,"N/A",(AQ37/AN37)-1))</f>
        <v/>
      </c>
      <c r="AT37" s="2813">
        <f ca="1">-AT140</f>
        <v>0</v>
      </c>
      <c r="AU37" s="2815" t="str">
        <f>IF(AT$12=0,"",ABS(AT37)/AT$12)</f>
        <v/>
      </c>
      <c r="AV37" s="2814" t="str">
        <f ca="1">IF(AQ37=0,"",IF(ABS((AT37/AQ37)-1)&gt;10000%,"N/A",(AT37/AQ37)-1))</f>
        <v/>
      </c>
    </row>
    <row r="38" spans="1:48" ht="15.75" x14ac:dyDescent="0.2">
      <c r="A38" s="2816" t="s">
        <v>2027</v>
      </c>
      <c r="B38" s="2813">
        <f>-B199</f>
        <v>0</v>
      </c>
      <c r="C38" s="2814" t="str">
        <f>IF(B$12=0,"",ABS(B38)/B$12)</f>
        <v/>
      </c>
      <c r="D38" s="2813">
        <f ca="1">-D199</f>
        <v>0</v>
      </c>
      <c r="E38" s="2815" t="str">
        <f>IF(D$12=0,"",ABS(D38)/D$12)</f>
        <v/>
      </c>
      <c r="F38" s="2814" t="str">
        <f>IF(B38=0,"",IF(ABS((D38/B38)-1)&gt;10000%,"N/A",(D38/B38)-1))</f>
        <v/>
      </c>
      <c r="G38" s="2813">
        <f ca="1">-G199</f>
        <v>0</v>
      </c>
      <c r="H38" s="2815" t="str">
        <f>IF(G$12=0,"",ABS(G38)/G$12)</f>
        <v/>
      </c>
      <c r="I38" s="2814" t="str">
        <f ca="1">IF(D38=0,"",IF(ABS((G38/D38)-1)&gt;10000%,"N/A",(G38/D38)-1))</f>
        <v/>
      </c>
      <c r="J38" s="2813">
        <f ca="1">-J199</f>
        <v>0</v>
      </c>
      <c r="K38" s="2815" t="str">
        <f>IF(J$12=0,"",ABS(J38)/J$12)</f>
        <v/>
      </c>
      <c r="L38" s="2814" t="str">
        <f ca="1">IF(G38=0,"",IF(ABS((J38/G38)-1)&gt;10000%,"N/A",(J38/G38)-1))</f>
        <v/>
      </c>
      <c r="M38" s="2813">
        <f ca="1">-M199</f>
        <v>0</v>
      </c>
      <c r="N38" s="2815" t="str">
        <f>IF(M$12=0,"",ABS(M38)/M$12)</f>
        <v/>
      </c>
      <c r="O38" s="2814" t="str">
        <f ca="1">IF(J38=0,"",IF(ABS((M38/J38)-1)&gt;10000%,"N/A",(M38/J38)-1))</f>
        <v/>
      </c>
      <c r="P38" s="2813">
        <f ca="1">-P199</f>
        <v>0</v>
      </c>
      <c r="Q38" s="2815" t="str">
        <f>IF(P$12=0,"",ABS(P38)/P$12)</f>
        <v/>
      </c>
      <c r="R38" s="2814" t="str">
        <f ca="1">IF(M38=0,"",IF(ABS((P38/M38)-1)&gt;10000%,"N/A",(P38/M38)-1))</f>
        <v/>
      </c>
      <c r="S38" s="2813">
        <f ca="1">-S199</f>
        <v>0</v>
      </c>
      <c r="T38" s="2815" t="str">
        <f>IF(S$12=0,"",ABS(S38)/S$12)</f>
        <v/>
      </c>
      <c r="U38" s="2814" t="str">
        <f ca="1">IF(P38=0,"",IF(ABS((S38/P38)-1)&gt;10000%,"N/A",(S38/P38)-1))</f>
        <v/>
      </c>
      <c r="V38" s="2813">
        <f ca="1">-V199</f>
        <v>0</v>
      </c>
      <c r="W38" s="2815" t="str">
        <f>IF(V$12=0,"",ABS(V38)/V$12)</f>
        <v/>
      </c>
      <c r="X38" s="2814" t="str">
        <f ca="1">IF(S38=0,"",IF(ABS((V38/S38)-1)&gt;10000%,"N/A",(V38/S38)-1))</f>
        <v/>
      </c>
      <c r="Y38" s="2813">
        <f ca="1">-Y199</f>
        <v>0</v>
      </c>
      <c r="Z38" s="2815" t="str">
        <f>IF(Y$12=0,"",ABS(Y38)/Y$12)</f>
        <v/>
      </c>
      <c r="AA38" s="2814" t="str">
        <f ca="1">IF(V38=0,"",IF(ABS((Y38/V38)-1)&gt;10000%,"N/A",(Y38/V38)-1))</f>
        <v/>
      </c>
      <c r="AB38" s="2813">
        <f ca="1">-AB199</f>
        <v>0</v>
      </c>
      <c r="AC38" s="2815" t="str">
        <f>IF(AB$12=0,"",ABS(AB38)/AB$12)</f>
        <v/>
      </c>
      <c r="AD38" s="2814" t="str">
        <f ca="1">IF(Y38=0,"",IF(ABS((AB38/Y38)-1)&gt;10000%,"N/A",(AB38/Y38)-1))</f>
        <v/>
      </c>
      <c r="AE38" s="2813">
        <f ca="1">-AE199</f>
        <v>0</v>
      </c>
      <c r="AF38" s="2815" t="str">
        <f>IF(AE$12=0,"",ABS(AE38)/AE$12)</f>
        <v/>
      </c>
      <c r="AG38" s="2814" t="str">
        <f ca="1">IF(AB38=0,"",IF(ABS((AE38/AB38)-1)&gt;10000%,"N/A",(AE38/AB38)-1))</f>
        <v/>
      </c>
      <c r="AH38" s="2813">
        <f ca="1">-AH199</f>
        <v>0</v>
      </c>
      <c r="AI38" s="2815" t="str">
        <f>IF(AH$12=0,"",ABS(AH38)/AH$12)</f>
        <v/>
      </c>
      <c r="AJ38" s="2814" t="str">
        <f ca="1">IF(AE38=0,"",IF(ABS((AH38/AE38)-1)&gt;10000%,"N/A",(AH38/AE38)-1))</f>
        <v/>
      </c>
      <c r="AK38" s="2813">
        <f ca="1">-AK199</f>
        <v>0</v>
      </c>
      <c r="AL38" s="2815" t="str">
        <f>IF(AK$12=0,"",ABS(AK38)/AK$12)</f>
        <v/>
      </c>
      <c r="AM38" s="2814" t="str">
        <f ca="1">IF(AH38=0,"",IF(ABS((AK38/AH38)-1)&gt;10000%,"N/A",(AK38/AH38)-1))</f>
        <v/>
      </c>
      <c r="AN38" s="2813">
        <f ca="1">-AN199</f>
        <v>0</v>
      </c>
      <c r="AO38" s="2815" t="str">
        <f>IF(AN$12=0,"",ABS(AN38)/AN$12)</f>
        <v/>
      </c>
      <c r="AP38" s="2814" t="str">
        <f ca="1">IF(AK38=0,"",IF(ABS((AN38/AK38)-1)&gt;10000%,"N/A",(AN38/AK38)-1))</f>
        <v/>
      </c>
      <c r="AQ38" s="2813">
        <f ca="1">-AQ199</f>
        <v>0</v>
      </c>
      <c r="AR38" s="2815" t="str">
        <f>IF(AQ$12=0,"",ABS(AQ38)/AQ$12)</f>
        <v/>
      </c>
      <c r="AS38" s="2814" t="str">
        <f ca="1">IF(AN38=0,"",IF(ABS((AQ38/AN38)-1)&gt;10000%,"N/A",(AQ38/AN38)-1))</f>
        <v/>
      </c>
      <c r="AT38" s="2813">
        <f ca="1">-AT199</f>
        <v>0</v>
      </c>
      <c r="AU38" s="2815" t="str">
        <f>IF(AT$12=0,"",ABS(AT38)/AT$12)</f>
        <v/>
      </c>
      <c r="AV38" s="2814" t="str">
        <f ca="1">IF(AQ38=0,"",IF(ABS((AT38/AQ38)-1)&gt;10000%,"N/A",(AT38/AQ38)-1))</f>
        <v/>
      </c>
    </row>
    <row r="39" spans="1:48" x14ac:dyDescent="0.2">
      <c r="A39" s="2817"/>
      <c r="B39" s="2818"/>
      <c r="C39" s="2819"/>
      <c r="D39" s="2818"/>
      <c r="E39" s="2820"/>
      <c r="F39" s="2819"/>
      <c r="G39" s="2818"/>
      <c r="H39" s="2820"/>
      <c r="I39" s="2819"/>
      <c r="J39" s="2818"/>
      <c r="K39" s="2820"/>
      <c r="L39" s="2819"/>
      <c r="M39" s="2818"/>
      <c r="N39" s="2820"/>
      <c r="O39" s="2819"/>
      <c r="P39" s="2818"/>
      <c r="Q39" s="2820"/>
      <c r="R39" s="2819"/>
      <c r="S39" s="2818"/>
      <c r="T39" s="2820"/>
      <c r="U39" s="2819"/>
      <c r="V39" s="2818"/>
      <c r="W39" s="2820"/>
      <c r="X39" s="2819"/>
      <c r="Y39" s="2818"/>
      <c r="Z39" s="2820"/>
      <c r="AA39" s="2819"/>
      <c r="AB39" s="2818"/>
      <c r="AC39" s="2820"/>
      <c r="AD39" s="2819"/>
      <c r="AE39" s="2818"/>
      <c r="AF39" s="2820"/>
      <c r="AG39" s="2819"/>
      <c r="AH39" s="2818"/>
      <c r="AI39" s="2820"/>
      <c r="AJ39" s="2819"/>
      <c r="AK39" s="2818"/>
      <c r="AL39" s="2820"/>
      <c r="AM39" s="2819"/>
      <c r="AN39" s="2818"/>
      <c r="AO39" s="2820"/>
      <c r="AP39" s="2819"/>
      <c r="AQ39" s="2818"/>
      <c r="AR39" s="2820"/>
      <c r="AS39" s="2819"/>
      <c r="AT39" s="2818"/>
      <c r="AU39" s="2820"/>
      <c r="AV39" s="2819"/>
    </row>
    <row r="40" spans="1:48" ht="15" x14ac:dyDescent="0.2">
      <c r="A40" s="2826" t="s">
        <v>2028</v>
      </c>
      <c r="B40" s="2827">
        <f ca="1">SUM(B35:B38)</f>
        <v>0</v>
      </c>
      <c r="C40" s="2828" t="str">
        <f>IF(B$12=0,"",ABS(B40)/B$12)</f>
        <v/>
      </c>
      <c r="D40" s="2827">
        <f ca="1">SUM(D35:D38)</f>
        <v>0</v>
      </c>
      <c r="E40" s="2829" t="str">
        <f>IF(D$12=0,"",ABS(D40)/D$12)</f>
        <v/>
      </c>
      <c r="F40" s="2828" t="str">
        <f ca="1">IF(B40=0,"",IF(ABS((D40/B40)-1)&gt;10000%,"N/A",(D40/B40)-1))</f>
        <v/>
      </c>
      <c r="G40" s="2827">
        <f ca="1">SUM(G35:G38)</f>
        <v>0</v>
      </c>
      <c r="H40" s="2829" t="str">
        <f>IF(G$12=0,"",ABS(G40)/G$12)</f>
        <v/>
      </c>
      <c r="I40" s="2828" t="str">
        <f ca="1">IF(D40=0,"",IF(ABS((G40/D40)-1)&gt;10000%,"N/A",(G40/D40)-1))</f>
        <v/>
      </c>
      <c r="J40" s="2827">
        <f ca="1">SUM(J35:J38)</f>
        <v>0</v>
      </c>
      <c r="K40" s="2829" t="str">
        <f>IF(J$12=0,"",ABS(J40)/J$12)</f>
        <v/>
      </c>
      <c r="L40" s="2828" t="str">
        <f ca="1">IF(G40=0,"",IF(ABS((J40/G40)-1)&gt;10000%,"N/A",(J40/G40)-1))</f>
        <v/>
      </c>
      <c r="M40" s="2827">
        <f ca="1">SUM(M35:M38)</f>
        <v>0</v>
      </c>
      <c r="N40" s="2829" t="str">
        <f>IF(M$12=0,"",ABS(M40)/M$12)</f>
        <v/>
      </c>
      <c r="O40" s="2828" t="str">
        <f ca="1">IF(J40=0,"",IF(ABS((M40/J40)-1)&gt;10000%,"N/A",(M40/J40)-1))</f>
        <v/>
      </c>
      <c r="P40" s="2825">
        <f ca="1">SUM(P35:P38)</f>
        <v>0</v>
      </c>
      <c r="Q40" s="2829" t="str">
        <f>IF(P$12=0,"",ABS(P40)/P$12)</f>
        <v/>
      </c>
      <c r="R40" s="2828" t="str">
        <f ca="1">IF(M40=0,"",IF(ABS((P40/M40)-1)&gt;10000%,"N/A",(P40/M40)-1))</f>
        <v/>
      </c>
      <c r="S40" s="2827">
        <f ca="1">SUM(S35:S38)</f>
        <v>0</v>
      </c>
      <c r="T40" s="2829" t="str">
        <f>IF(S$12=0,"",ABS(S40)/S$12)</f>
        <v/>
      </c>
      <c r="U40" s="2828" t="str">
        <f ca="1">IF(P40=0,"",IF(ABS((S40/P40)-1)&gt;10000%,"N/A",(S40/P40)-1))</f>
        <v/>
      </c>
      <c r="V40" s="2827">
        <f ca="1">SUM(V35:V38)</f>
        <v>0</v>
      </c>
      <c r="W40" s="2829" t="str">
        <f>IF(V$12=0,"",ABS(V40)/V$12)</f>
        <v/>
      </c>
      <c r="X40" s="2828" t="str">
        <f ca="1">IF(S40=0,"",IF(ABS((V40/S40)-1)&gt;10000%,"N/A",(V40/S40)-1))</f>
        <v/>
      </c>
      <c r="Y40" s="2827">
        <f ca="1">SUM(Y35:Y38)</f>
        <v>0</v>
      </c>
      <c r="Z40" s="2829" t="str">
        <f>IF(Y$12=0,"",ABS(Y40)/Y$12)</f>
        <v/>
      </c>
      <c r="AA40" s="2828" t="str">
        <f ca="1">IF(V40=0,"",IF(ABS((Y40/V40)-1)&gt;10000%,"N/A",(Y40/V40)-1))</f>
        <v/>
      </c>
      <c r="AB40" s="2827">
        <f ca="1">SUM(AB35:AB38)</f>
        <v>0</v>
      </c>
      <c r="AC40" s="2829" t="str">
        <f>IF(AB$12=0,"",ABS(AB40)/AB$12)</f>
        <v/>
      </c>
      <c r="AD40" s="2828" t="str">
        <f ca="1">IF(Y40=0,"",IF(ABS((AB40/Y40)-1)&gt;10000%,"N/A",(AB40/Y40)-1))</f>
        <v/>
      </c>
      <c r="AE40" s="2827">
        <f ca="1">SUM(AE35:AE38)</f>
        <v>0</v>
      </c>
      <c r="AF40" s="2829" t="str">
        <f>IF(AE$12=0,"",ABS(AE40)/AE$12)</f>
        <v/>
      </c>
      <c r="AG40" s="2828" t="str">
        <f ca="1">IF(AB40=0,"",IF(ABS((AE40/AB40)-1)&gt;10000%,"N/A",(AE40/AB40)-1))</f>
        <v/>
      </c>
      <c r="AH40" s="2827">
        <f ca="1">SUM(AH35:AH38)</f>
        <v>0</v>
      </c>
      <c r="AI40" s="2829" t="str">
        <f>IF(AH$12=0,"",ABS(AH40)/AH$12)</f>
        <v/>
      </c>
      <c r="AJ40" s="2828" t="str">
        <f ca="1">IF(AE40=0,"",IF(ABS((AH40/AE40)-1)&gt;10000%,"N/A",(AH40/AE40)-1))</f>
        <v/>
      </c>
      <c r="AK40" s="2827">
        <f ca="1">SUM(AK35:AK38)</f>
        <v>0</v>
      </c>
      <c r="AL40" s="2829" t="str">
        <f>IF(AK$12=0,"",ABS(AK40)/AK$12)</f>
        <v/>
      </c>
      <c r="AM40" s="2828" t="str">
        <f ca="1">IF(AH40=0,"",IF(ABS((AK40/AH40)-1)&gt;10000%,"N/A",(AK40/AH40)-1))</f>
        <v/>
      </c>
      <c r="AN40" s="2827">
        <f ca="1">SUM(AN35:AN38)</f>
        <v>0</v>
      </c>
      <c r="AO40" s="2829" t="str">
        <f>IF(AN$12=0,"",ABS(AN40)/AN$12)</f>
        <v/>
      </c>
      <c r="AP40" s="2828" t="str">
        <f ca="1">IF(AK40=0,"",IF(ABS((AN40/AK40)-1)&gt;10000%,"N/A",(AN40/AK40)-1))</f>
        <v/>
      </c>
      <c r="AQ40" s="2827">
        <f ca="1">SUM(AQ35:AQ38)</f>
        <v>0</v>
      </c>
      <c r="AR40" s="2829" t="str">
        <f>IF(AQ$12=0,"",ABS(AQ40)/AQ$12)</f>
        <v/>
      </c>
      <c r="AS40" s="2828" t="str">
        <f ca="1">IF(AN40=0,"",IF(ABS((AQ40/AN40)-1)&gt;10000%,"N/A",(AQ40/AN40)-1))</f>
        <v/>
      </c>
      <c r="AT40" s="2827">
        <f ca="1">SUM(AT35:AT38)</f>
        <v>0</v>
      </c>
      <c r="AU40" s="2829" t="str">
        <f>IF(AT$12=0,"",ABS(AT40)/AT$12)</f>
        <v/>
      </c>
      <c r="AV40" s="2828" t="str">
        <f ca="1">IF(AQ40=0,"",IF(ABS((AT40/AQ40)-1)&gt;10000%,"N/A",(AT40/AQ40)-1))</f>
        <v/>
      </c>
    </row>
    <row r="41" spans="1:48" ht="15" x14ac:dyDescent="0.2">
      <c r="A41" s="2830" t="s">
        <v>2029</v>
      </c>
      <c r="B41" s="2831">
        <f ca="1">SUM(B33,B40)</f>
        <v>0</v>
      </c>
      <c r="C41" s="2832" t="str">
        <f>IF(B$12=0,"",ABS(B41)/B$12)</f>
        <v/>
      </c>
      <c r="D41" s="2831">
        <f ca="1">SUM(D33,D40)</f>
        <v>0</v>
      </c>
      <c r="E41" s="2833" t="str">
        <f>IF(D$12=0,"",ABS(D41)/D$12)</f>
        <v/>
      </c>
      <c r="F41" s="2832" t="str">
        <f ca="1">IF(B41=0,"",IF(ABS((D41/B41)-1)&gt;10000%,"N/A",(D41/B41)-1))</f>
        <v/>
      </c>
      <c r="G41" s="2831">
        <f ca="1">SUM(G33,G40)</f>
        <v>0</v>
      </c>
      <c r="H41" s="2833" t="str">
        <f>IF(G$12=0,"",ABS(G41)/G$12)</f>
        <v/>
      </c>
      <c r="I41" s="2832" t="str">
        <f ca="1">IF(D41=0,"",IF(ABS((G41/D41)-1)&gt;10000%,"N/A",(G41/D41)-1))</f>
        <v/>
      </c>
      <c r="J41" s="2831">
        <f ca="1">SUM(J33,J40)</f>
        <v>0</v>
      </c>
      <c r="K41" s="2833" t="str">
        <f>IF(J$12=0,"",ABS(J41)/J$12)</f>
        <v/>
      </c>
      <c r="L41" s="2832" t="str">
        <f ca="1">IF(G41=0,"",IF(ABS((J41/G41)-1)&gt;10000%,"N/A",(J41/G41)-1))</f>
        <v/>
      </c>
      <c r="M41" s="2831">
        <f ca="1">SUM(M33,M40)</f>
        <v>0</v>
      </c>
      <c r="N41" s="2833" t="str">
        <f>IF(M$12=0,"",ABS(M41)/M$12)</f>
        <v/>
      </c>
      <c r="O41" s="2832" t="str">
        <f ca="1">IF(J41=0,"",IF(ABS((M41/J41)-1)&gt;10000%,"N/A",(M41/J41)-1))</f>
        <v/>
      </c>
      <c r="P41" s="2831">
        <f ca="1">SUM(P33,P40)</f>
        <v>0</v>
      </c>
      <c r="Q41" s="2833" t="str">
        <f>IF(P$12=0,"",ABS(P41)/P$12)</f>
        <v/>
      </c>
      <c r="R41" s="2832" t="str">
        <f ca="1">IF(M41=0,"",IF(ABS((P41/M41)-1)&gt;10000%,"N/A",(P41/M41)-1))</f>
        <v/>
      </c>
      <c r="S41" s="2831">
        <f ca="1">SUM(S33,S40)</f>
        <v>0</v>
      </c>
      <c r="T41" s="2833" t="str">
        <f>IF(S$12=0,"",ABS(S41)/S$12)</f>
        <v/>
      </c>
      <c r="U41" s="2832" t="str">
        <f ca="1">IF(P41=0,"",IF(ABS((S41/P41)-1)&gt;10000%,"N/A",(S41/P41)-1))</f>
        <v/>
      </c>
      <c r="V41" s="2831">
        <f ca="1">SUM(V33,V40)</f>
        <v>0</v>
      </c>
      <c r="W41" s="2833" t="str">
        <f>IF(V$12=0,"",ABS(V41)/V$12)</f>
        <v/>
      </c>
      <c r="X41" s="2832" t="str">
        <f ca="1">IF(S41=0,"",IF(ABS((V41/S41)-1)&gt;10000%,"N/A",(V41/S41)-1))</f>
        <v/>
      </c>
      <c r="Y41" s="2831">
        <f ca="1">SUM(Y33,Y40)</f>
        <v>0</v>
      </c>
      <c r="Z41" s="2833" t="str">
        <f>IF(Y$12=0,"",ABS(Y41)/Y$12)</f>
        <v/>
      </c>
      <c r="AA41" s="2832" t="str">
        <f ca="1">IF(V41=0,"",IF(ABS((Y41/V41)-1)&gt;10000%,"N/A",(Y41/V41)-1))</f>
        <v/>
      </c>
      <c r="AB41" s="2831">
        <f ca="1">SUM(AB33,AB40)</f>
        <v>0</v>
      </c>
      <c r="AC41" s="2833" t="str">
        <f>IF(AB$12=0,"",ABS(AB41)/AB$12)</f>
        <v/>
      </c>
      <c r="AD41" s="2832" t="str">
        <f ca="1">IF(Y41=0,"",IF(ABS((AB41/Y41)-1)&gt;10000%,"N/A",(AB41/Y41)-1))</f>
        <v/>
      </c>
      <c r="AE41" s="2831">
        <f ca="1">SUM(AE33,AE40)</f>
        <v>0</v>
      </c>
      <c r="AF41" s="2833" t="str">
        <f>IF(AE$12=0,"",ABS(AE41)/AE$12)</f>
        <v/>
      </c>
      <c r="AG41" s="2832" t="str">
        <f ca="1">IF(AB41=0,"",IF(ABS((AE41/AB41)-1)&gt;10000%,"N/A",(AE41/AB41)-1))</f>
        <v/>
      </c>
      <c r="AH41" s="2831">
        <f ca="1">SUM(AH33,AH40)</f>
        <v>0</v>
      </c>
      <c r="AI41" s="2833" t="str">
        <f>IF(AH$12=0,"",ABS(AH41)/AH$12)</f>
        <v/>
      </c>
      <c r="AJ41" s="2832" t="str">
        <f ca="1">IF(AE41=0,"",IF(ABS((AH41/AE41)-1)&gt;10000%,"N/A",(AH41/AE41)-1))</f>
        <v/>
      </c>
      <c r="AK41" s="2831">
        <f ca="1">SUM(AK33,AK40)</f>
        <v>0</v>
      </c>
      <c r="AL41" s="2833" t="str">
        <f>IF(AK$12=0,"",ABS(AK41)/AK$12)</f>
        <v/>
      </c>
      <c r="AM41" s="2832" t="str">
        <f ca="1">IF(AH41=0,"",IF(ABS((AK41/AH41)-1)&gt;10000%,"N/A",(AK41/AH41)-1))</f>
        <v/>
      </c>
      <c r="AN41" s="2831">
        <f ca="1">SUM(AN33,AN40)</f>
        <v>0</v>
      </c>
      <c r="AO41" s="2833" t="str">
        <f>IF(AN$12=0,"",ABS(AN41)/AN$12)</f>
        <v/>
      </c>
      <c r="AP41" s="2832" t="str">
        <f ca="1">IF(AK41=0,"",IF(ABS((AN41/AK41)-1)&gt;10000%,"N/A",(AN41/AK41)-1))</f>
        <v/>
      </c>
      <c r="AQ41" s="2831">
        <f ca="1">SUM(AQ33,AQ40)</f>
        <v>0</v>
      </c>
      <c r="AR41" s="2833" t="str">
        <f>IF(AQ$12=0,"",ABS(AQ41)/AQ$12)</f>
        <v/>
      </c>
      <c r="AS41" s="2832" t="str">
        <f ca="1">IF(AN41=0,"",IF(ABS((AQ41/AN41)-1)&gt;10000%,"N/A",(AQ41/AN41)-1))</f>
        <v/>
      </c>
      <c r="AT41" s="2831">
        <f ca="1">SUM(AT33,AT40)</f>
        <v>0</v>
      </c>
      <c r="AU41" s="2833" t="str">
        <f>IF(AT$12=0,"",ABS(AT41)/AT$12)</f>
        <v/>
      </c>
      <c r="AV41" s="2832" t="str">
        <f ca="1">IF(AQ41=0,"",IF(ABS((AT41/AQ41)-1)&gt;10000%,"N/A",(AT41/AQ41)-1))</f>
        <v/>
      </c>
    </row>
    <row r="42" spans="1:48" x14ac:dyDescent="0.2">
      <c r="A42" s="2817"/>
      <c r="B42" s="2818"/>
      <c r="C42" s="2819"/>
      <c r="D42" s="2818"/>
      <c r="E42" s="2820"/>
      <c r="F42" s="2819"/>
      <c r="G42" s="2818"/>
      <c r="H42" s="2820"/>
      <c r="I42" s="2819"/>
      <c r="J42" s="2818"/>
      <c r="K42" s="2820"/>
      <c r="L42" s="2819"/>
      <c r="M42" s="2818"/>
      <c r="N42" s="2820"/>
      <c r="O42" s="2819"/>
      <c r="P42" s="2818"/>
      <c r="Q42" s="2820"/>
      <c r="R42" s="2819"/>
      <c r="S42" s="2818"/>
      <c r="T42" s="2820"/>
      <c r="U42" s="2819"/>
      <c r="V42" s="2818"/>
      <c r="W42" s="2820"/>
      <c r="X42" s="2819"/>
      <c r="Y42" s="2818"/>
      <c r="Z42" s="2820"/>
      <c r="AA42" s="2819"/>
      <c r="AB42" s="2818"/>
      <c r="AC42" s="2820"/>
      <c r="AD42" s="2819"/>
      <c r="AE42" s="2818"/>
      <c r="AF42" s="2820"/>
      <c r="AG42" s="2819"/>
      <c r="AH42" s="2818"/>
      <c r="AI42" s="2820"/>
      <c r="AJ42" s="2819"/>
      <c r="AK42" s="2818"/>
      <c r="AL42" s="2820"/>
      <c r="AM42" s="2819"/>
      <c r="AN42" s="2818"/>
      <c r="AO42" s="2820"/>
      <c r="AP42" s="2819"/>
      <c r="AQ42" s="2818"/>
      <c r="AR42" s="2820"/>
      <c r="AS42" s="2819"/>
      <c r="AT42" s="2818"/>
      <c r="AU42" s="2820"/>
      <c r="AV42" s="2819"/>
    </row>
    <row r="43" spans="1:48" ht="15" x14ac:dyDescent="0.2">
      <c r="A43" s="2816" t="s">
        <v>2030</v>
      </c>
      <c r="B43" s="2813">
        <f>-(B12*B219)</f>
        <v>0</v>
      </c>
      <c r="C43" s="2814" t="str">
        <f>IF(B$12=0,"",ABS(B43)/B$12)</f>
        <v/>
      </c>
      <c r="D43" s="2813">
        <f>-D12*D219</f>
        <v>0</v>
      </c>
      <c r="E43" s="2815" t="str">
        <f>IF(D$12=0,"",ABS(D43)/D$12)</f>
        <v/>
      </c>
      <c r="F43" s="2814" t="str">
        <f>IF(B43=0,"",IF(ABS((D43/B43)-1)&gt;10000%,"N/A",(D43/B43)-1))</f>
        <v/>
      </c>
      <c r="G43" s="2813">
        <f>-G12*G219</f>
        <v>0</v>
      </c>
      <c r="H43" s="2815" t="str">
        <f>IF(G$12=0,"",ABS(G43)/G$12)</f>
        <v/>
      </c>
      <c r="I43" s="2814" t="str">
        <f>IF(D43=0,"",IF(ABS((G43/D43)-1)&gt;10000%,"N/A",(G43/D43)-1))</f>
        <v/>
      </c>
      <c r="J43" s="2813">
        <f>-J12*J219</f>
        <v>0</v>
      </c>
      <c r="K43" s="2815" t="str">
        <f>IF(J$12=0,"",ABS(J43)/J$12)</f>
        <v/>
      </c>
      <c r="L43" s="2814" t="str">
        <f>IF(G43=0,"",IF(ABS((J43/G43)-1)&gt;10000%,"N/A",(J43/G43)-1))</f>
        <v/>
      </c>
      <c r="M43" s="2813">
        <f>-M12*M219</f>
        <v>0</v>
      </c>
      <c r="N43" s="2815" t="str">
        <f>IF(M$12=0,"",ABS(M43)/M$12)</f>
        <v/>
      </c>
      <c r="O43" s="2814" t="str">
        <f>IF(J43=0,"",IF(ABS((M43/J43)-1)&gt;10000%,"N/A",(M43/J43)-1))</f>
        <v/>
      </c>
      <c r="P43" s="2813">
        <f>-P12*P219</f>
        <v>0</v>
      </c>
      <c r="Q43" s="2815" t="str">
        <f>IF(P$12=0,"",ABS(P43)/P$12)</f>
        <v/>
      </c>
      <c r="R43" s="2814" t="str">
        <f>IF(M43=0,"",IF(ABS((P43/M43)-1)&gt;10000%,"N/A",(P43/M43)-1))</f>
        <v/>
      </c>
      <c r="S43" s="2813">
        <f>-S12*S219</f>
        <v>0</v>
      </c>
      <c r="T43" s="2815" t="str">
        <f>IF(S$12=0,"",ABS(S43)/S$12)</f>
        <v/>
      </c>
      <c r="U43" s="2814" t="str">
        <f>IF(P43=0,"",IF(ABS((S43/P43)-1)&gt;10000%,"N/A",(S43/P43)-1))</f>
        <v/>
      </c>
      <c r="V43" s="2813">
        <f>-V12*V219</f>
        <v>0</v>
      </c>
      <c r="W43" s="2815" t="str">
        <f>IF(V$12=0,"",ABS(V43)/V$12)</f>
        <v/>
      </c>
      <c r="X43" s="2814" t="str">
        <f>IF(S43=0,"",IF(ABS((V43/S43)-1)&gt;10000%,"N/A",(V43/S43)-1))</f>
        <v/>
      </c>
      <c r="Y43" s="2813">
        <f>-Y12*Y219</f>
        <v>0</v>
      </c>
      <c r="Z43" s="2815" t="str">
        <f>IF(Y$12=0,"",ABS(Y43)/Y$12)</f>
        <v/>
      </c>
      <c r="AA43" s="2814" t="str">
        <f>IF(V43=0,"",IF(ABS((Y43/V43)-1)&gt;10000%,"N/A",(Y43/V43)-1))</f>
        <v/>
      </c>
      <c r="AB43" s="2813">
        <f>-AB12*AB219</f>
        <v>0</v>
      </c>
      <c r="AC43" s="2815" t="str">
        <f>IF(AB$12=0,"",ABS(AB43)/AB$12)</f>
        <v/>
      </c>
      <c r="AD43" s="2814" t="str">
        <f>IF(Y43=0,"",IF(ABS((AB43/Y43)-1)&gt;10000%,"N/A",(AB43/Y43)-1))</f>
        <v/>
      </c>
      <c r="AE43" s="2813">
        <f>-AE12*AE219</f>
        <v>0</v>
      </c>
      <c r="AF43" s="2815" t="str">
        <f>IF(AE$12=0,"",ABS(AE43)/AE$12)</f>
        <v/>
      </c>
      <c r="AG43" s="2814" t="str">
        <f>IF(AB43=0,"",IF(ABS((AE43/AB43)-1)&gt;10000%,"N/A",(AE43/AB43)-1))</f>
        <v/>
      </c>
      <c r="AH43" s="2813">
        <f>-AH12*AH219</f>
        <v>0</v>
      </c>
      <c r="AI43" s="2815" t="str">
        <f>IF(AH$12=0,"",ABS(AH43)/AH$12)</f>
        <v/>
      </c>
      <c r="AJ43" s="2814" t="str">
        <f>IF(AE43=0,"",IF(ABS((AH43/AE43)-1)&gt;10000%,"N/A",(AH43/AE43)-1))</f>
        <v/>
      </c>
      <c r="AK43" s="2813">
        <f>-AK12*AK219</f>
        <v>0</v>
      </c>
      <c r="AL43" s="2815" t="str">
        <f>IF(AK$12=0,"",ABS(AK43)/AK$12)</f>
        <v/>
      </c>
      <c r="AM43" s="2814" t="str">
        <f>IF(AH43=0,"",IF(ABS((AK43/AH43)-1)&gt;10000%,"N/A",(AK43/AH43)-1))</f>
        <v/>
      </c>
      <c r="AN43" s="2813">
        <f>-AN12*AN219</f>
        <v>0</v>
      </c>
      <c r="AO43" s="2815" t="str">
        <f>IF(AN$12=0,"",ABS(AN43)/AN$12)</f>
        <v/>
      </c>
      <c r="AP43" s="2814" t="str">
        <f>IF(AK43=0,"",IF(ABS((AN43/AK43)-1)&gt;10000%,"N/A",(AN43/AK43)-1))</f>
        <v/>
      </c>
      <c r="AQ43" s="2813">
        <f>-AQ12*AQ219</f>
        <v>0</v>
      </c>
      <c r="AR43" s="2815" t="str">
        <f>IF(AQ$12=0,"",ABS(AQ43)/AQ$12)</f>
        <v/>
      </c>
      <c r="AS43" s="2814" t="str">
        <f>IF(AN43=0,"",IF(ABS((AQ43/AN43)-1)&gt;10000%,"N/A",(AQ43/AN43)-1))</f>
        <v/>
      </c>
      <c r="AT43" s="2813">
        <f>-AT12*AT219</f>
        <v>0</v>
      </c>
      <c r="AU43" s="2815" t="str">
        <f>IF(AT$12=0,"",ABS(AT43)/AT$12)</f>
        <v/>
      </c>
      <c r="AV43" s="2814" t="str">
        <f>IF(AQ43=0,"",IF(ABS((AT43/AQ43)-1)&gt;10000%,"N/A",(AT43/AQ43)-1))</f>
        <v/>
      </c>
    </row>
    <row r="44" spans="1:48" ht="15" x14ac:dyDescent="0.2">
      <c r="A44" s="2816" t="s">
        <v>2031</v>
      </c>
      <c r="B44" s="2813"/>
      <c r="C44" s="2814" t="str">
        <f>IF(B$12=0,"",ABS(B44)/B$12)</f>
        <v/>
      </c>
      <c r="D44" s="2813">
        <f ca="1">B46</f>
        <v>0</v>
      </c>
      <c r="E44" s="2815" t="str">
        <f>IF(D$12=0,"",ABS(D44)/D$12)</f>
        <v/>
      </c>
      <c r="F44" s="2814" t="str">
        <f>IF(B44=0,"",IF(ABS((D44/B44)-1)&gt;10000%,"N/A",(D44/B44)-1))</f>
        <v/>
      </c>
      <c r="G44" s="2813">
        <f ca="1">D46</f>
        <v>0</v>
      </c>
      <c r="H44" s="2815" t="str">
        <f>IF(G$12=0,"",ABS(G44)/G$12)</f>
        <v/>
      </c>
      <c r="I44" s="2814" t="str">
        <f ca="1">IF(D44=0,"",IF(ABS((G44/D44)-1)&gt;10000%,"N/A",(G44/D44)-1))</f>
        <v/>
      </c>
      <c r="J44" s="2813">
        <f ca="1">G46</f>
        <v>0</v>
      </c>
      <c r="K44" s="2815" t="str">
        <f>IF(J$12=0,"",ABS(J44)/J$12)</f>
        <v/>
      </c>
      <c r="L44" s="2814" t="str">
        <f ca="1">IF(G44=0,"",IF(ABS((J44/G44)-1)&gt;10000%,"N/A",(J44/G44)-1))</f>
        <v/>
      </c>
      <c r="M44" s="2813">
        <f ca="1">J46</f>
        <v>0</v>
      </c>
      <c r="N44" s="2815" t="str">
        <f>IF(M$12=0,"",ABS(M44)/M$12)</f>
        <v/>
      </c>
      <c r="O44" s="2814" t="str">
        <f ca="1">IF(J44=0,"",IF(ABS((M44/J44)-1)&gt;10000%,"N/A",(M44/J44)-1))</f>
        <v/>
      </c>
      <c r="P44" s="2813">
        <f ca="1">M46</f>
        <v>0</v>
      </c>
      <c r="Q44" s="2815" t="str">
        <f>IF(P$12=0,"",ABS(P44)/P$12)</f>
        <v/>
      </c>
      <c r="R44" s="2814" t="str">
        <f ca="1">IF(M44=0,"",IF(ABS((P44/M44)-1)&gt;10000%,"N/A",(P44/M44)-1))</f>
        <v/>
      </c>
      <c r="S44" s="2813">
        <f ca="1">P46</f>
        <v>0</v>
      </c>
      <c r="T44" s="2815" t="str">
        <f>IF(S$12=0,"",ABS(S44)/S$12)</f>
        <v/>
      </c>
      <c r="U44" s="2814" t="str">
        <f ca="1">IF(P44=0,"",IF(ABS((S44/P44)-1)&gt;10000%,"N/A",(S44/P44)-1))</f>
        <v/>
      </c>
      <c r="V44" s="2813">
        <f ca="1">S46</f>
        <v>0</v>
      </c>
      <c r="W44" s="2815" t="str">
        <f>IF(V$12=0,"",ABS(V44)/V$12)</f>
        <v/>
      </c>
      <c r="X44" s="2814" t="str">
        <f ca="1">IF(S44=0,"",IF(ABS((V44/S44)-1)&gt;10000%,"N/A",(V44/S44)-1))</f>
        <v/>
      </c>
      <c r="Y44" s="2813">
        <f ca="1">V46</f>
        <v>0</v>
      </c>
      <c r="Z44" s="2815" t="str">
        <f>IF(Y$12=0,"",ABS(Y44)/Y$12)</f>
        <v/>
      </c>
      <c r="AA44" s="2814" t="str">
        <f ca="1">IF(V44=0,"",IF(ABS((Y44/V44)-1)&gt;10000%,"N/A",(Y44/V44)-1))</f>
        <v/>
      </c>
      <c r="AB44" s="2813">
        <f ca="1">Y46</f>
        <v>0</v>
      </c>
      <c r="AC44" s="2815" t="str">
        <f>IF(AB$12=0,"",ABS(AB44)/AB$12)</f>
        <v/>
      </c>
      <c r="AD44" s="2814" t="str">
        <f ca="1">IF(Y44=0,"",IF(ABS((AB44/Y44)-1)&gt;10000%,"N/A",(AB44/Y44)-1))</f>
        <v/>
      </c>
      <c r="AE44" s="2813">
        <f ca="1">AB46</f>
        <v>0</v>
      </c>
      <c r="AF44" s="2815" t="str">
        <f>IF(AE$12=0,"",ABS(AE44)/AE$12)</f>
        <v/>
      </c>
      <c r="AG44" s="2814" t="str">
        <f ca="1">IF(AB44=0,"",IF(ABS((AE44/AB44)-1)&gt;10000%,"N/A",(AE44/AB44)-1))</f>
        <v/>
      </c>
      <c r="AH44" s="2813">
        <f ca="1">AE46</f>
        <v>0</v>
      </c>
      <c r="AI44" s="2815" t="str">
        <f>IF(AH$12=0,"",ABS(AH44)/AH$12)</f>
        <v/>
      </c>
      <c r="AJ44" s="2814" t="str">
        <f ca="1">IF(AE44=0,"",IF(ABS((AH44/AE44)-1)&gt;10000%,"N/A",(AH44/AE44)-1))</f>
        <v/>
      </c>
      <c r="AK44" s="2813">
        <f ca="1">AH46</f>
        <v>0</v>
      </c>
      <c r="AL44" s="2815" t="str">
        <f>IF(AK$12=0,"",ABS(AK44)/AK$12)</f>
        <v/>
      </c>
      <c r="AM44" s="2814" t="str">
        <f ca="1">IF(AH44=0,"",IF(ABS((AK44/AH44)-1)&gt;10000%,"N/A",(AK44/AH44)-1))</f>
        <v/>
      </c>
      <c r="AN44" s="2813">
        <f ca="1">AK46</f>
        <v>0</v>
      </c>
      <c r="AO44" s="2815" t="str">
        <f>IF(AN$12=0,"",ABS(AN44)/AN$12)</f>
        <v/>
      </c>
      <c r="AP44" s="2814" t="str">
        <f ca="1">IF(AK44=0,"",IF(ABS((AN44/AK44)-1)&gt;10000%,"N/A",(AN44/AK44)-1))</f>
        <v/>
      </c>
      <c r="AQ44" s="2813">
        <f ca="1">AN46</f>
        <v>0</v>
      </c>
      <c r="AR44" s="2815" t="str">
        <f>IF(AQ$12=0,"",ABS(AQ44)/AQ$12)</f>
        <v/>
      </c>
      <c r="AS44" s="2814" t="str">
        <f ca="1">IF(AN44=0,"",IF(ABS((AQ44/AN44)-1)&gt;10000%,"N/A",(AQ44/AN44)-1))</f>
        <v/>
      </c>
      <c r="AT44" s="2813">
        <f ca="1">AQ46</f>
        <v>0</v>
      </c>
      <c r="AU44" s="2815" t="str">
        <f>IF(AT$12=0,"",ABS(AT44)/AT$12)</f>
        <v/>
      </c>
      <c r="AV44" s="2814" t="str">
        <f ca="1">IF(AQ44=0,"",IF(ABS((AT44/AQ44)-1)&gt;10000%,"N/A",(AT44/AQ44)-1))</f>
        <v/>
      </c>
    </row>
    <row r="45" spans="1:48" x14ac:dyDescent="0.2">
      <c r="A45" s="2817"/>
      <c r="B45" s="2818"/>
      <c r="C45" s="2819"/>
      <c r="D45" s="2818"/>
      <c r="E45" s="2820"/>
      <c r="F45" s="2819"/>
      <c r="G45" s="2818"/>
      <c r="H45" s="2820"/>
      <c r="I45" s="2819"/>
      <c r="J45" s="2818"/>
      <c r="K45" s="2820"/>
      <c r="L45" s="2819"/>
      <c r="M45" s="2818"/>
      <c r="N45" s="2820"/>
      <c r="O45" s="2819"/>
      <c r="P45" s="2818"/>
      <c r="Q45" s="2820"/>
      <c r="R45" s="2819"/>
      <c r="S45" s="2818"/>
      <c r="T45" s="2820"/>
      <c r="U45" s="2819"/>
      <c r="V45" s="2818"/>
      <c r="W45" s="2820"/>
      <c r="X45" s="2819"/>
      <c r="Y45" s="2818"/>
      <c r="Z45" s="2820"/>
      <c r="AA45" s="2819"/>
      <c r="AB45" s="2818"/>
      <c r="AC45" s="2820"/>
      <c r="AD45" s="2819"/>
      <c r="AE45" s="2818"/>
      <c r="AF45" s="2820"/>
      <c r="AG45" s="2819"/>
      <c r="AH45" s="2818"/>
      <c r="AI45" s="2820"/>
      <c r="AJ45" s="2819"/>
      <c r="AK45" s="2818"/>
      <c r="AL45" s="2820"/>
      <c r="AM45" s="2819"/>
      <c r="AN45" s="2818"/>
      <c r="AO45" s="2820"/>
      <c r="AP45" s="2819"/>
      <c r="AQ45" s="2818"/>
      <c r="AR45" s="2820"/>
      <c r="AS45" s="2819"/>
      <c r="AT45" s="2818"/>
      <c r="AU45" s="2820"/>
      <c r="AV45" s="2819"/>
    </row>
    <row r="46" spans="1:48" ht="15" x14ac:dyDescent="0.2">
      <c r="A46" s="2834" t="s">
        <v>2032</v>
      </c>
      <c r="B46" s="2835">
        <f ca="1">SUM(B41,B43:B44)</f>
        <v>0</v>
      </c>
      <c r="C46" s="2836" t="str">
        <f>IF(B$12=0,"",ABS(B46)/B$12)</f>
        <v/>
      </c>
      <c r="D46" s="2835">
        <f ca="1">SUM(D41,D43:D44)</f>
        <v>0</v>
      </c>
      <c r="E46" s="2837" t="str">
        <f>IF(D$12=0,"",ABS(D46)/D$12)</f>
        <v/>
      </c>
      <c r="F46" s="2836" t="str">
        <f t="shared" ref="F46:F51" ca="1" si="0">IF(B46=0,"",IF(ABS((D46/B46)-1)&gt;10000%,"N/A",(D46/B46)-1))</f>
        <v/>
      </c>
      <c r="G46" s="2835">
        <f ca="1">SUM(G41,G43:G44)</f>
        <v>0</v>
      </c>
      <c r="H46" s="2837" t="str">
        <f>IF(G$12=0,"",ABS(G46)/G$12)</f>
        <v/>
      </c>
      <c r="I46" s="2836" t="str">
        <f t="shared" ref="I46:I51" ca="1" si="1">IF(D46=0,"",IF(ABS((G46/D46)-1)&gt;10000%,"N/A",(G46/D46)-1))</f>
        <v/>
      </c>
      <c r="J46" s="2835">
        <f ca="1">SUM(J41,J43:J44)</f>
        <v>0</v>
      </c>
      <c r="K46" s="2837" t="str">
        <f>IF(J$12=0,"",ABS(J46)/J$12)</f>
        <v/>
      </c>
      <c r="L46" s="2836" t="str">
        <f t="shared" ref="L46:L51" ca="1" si="2">IF(G46=0,"",IF(ABS((J46/G46)-1)&gt;10000%,"N/A",(J46/G46)-1))</f>
        <v/>
      </c>
      <c r="M46" s="2835">
        <f ca="1">SUM(M41,M43:M44)</f>
        <v>0</v>
      </c>
      <c r="N46" s="2837" t="str">
        <f>IF(M$12=0,"",ABS(M46)/M$12)</f>
        <v/>
      </c>
      <c r="O46" s="2836" t="str">
        <f t="shared" ref="O46:O51" ca="1" si="3">IF(J46=0,"",IF(ABS((M46/J46)-1)&gt;10000%,"N/A",(M46/J46)-1))</f>
        <v/>
      </c>
      <c r="P46" s="2835">
        <f ca="1">SUM(P41,P43:P44)</f>
        <v>0</v>
      </c>
      <c r="Q46" s="2837" t="str">
        <f>IF(P$12=0,"",ABS(P46)/P$12)</f>
        <v/>
      </c>
      <c r="R46" s="2836" t="str">
        <f t="shared" ref="R46:R51" ca="1" si="4">IF(M46=0,"",IF(ABS((P46/M46)-1)&gt;10000%,"N/A",(P46/M46)-1))</f>
        <v/>
      </c>
      <c r="S46" s="2835">
        <f ca="1">SUM(S41,S43:S44)</f>
        <v>0</v>
      </c>
      <c r="T46" s="2837" t="str">
        <f>IF(S$12=0,"",ABS(S46)/S$12)</f>
        <v/>
      </c>
      <c r="U46" s="2836" t="str">
        <f t="shared" ref="U46:U51" ca="1" si="5">IF(P46=0,"",IF(ABS((S46/P46)-1)&gt;10000%,"N/A",(S46/P46)-1))</f>
        <v/>
      </c>
      <c r="V46" s="2835">
        <f ca="1">SUM(V41,V43:V44)</f>
        <v>0</v>
      </c>
      <c r="W46" s="2837" t="str">
        <f>IF(V$12=0,"",ABS(V46)/V$12)</f>
        <v/>
      </c>
      <c r="X46" s="2836" t="str">
        <f t="shared" ref="X46:X51" ca="1" si="6">IF(S46=0,"",IF(ABS((V46/S46)-1)&gt;10000%,"N/A",(V46/S46)-1))</f>
        <v/>
      </c>
      <c r="Y46" s="2835">
        <f ca="1">SUM(Y41,Y43:Y44)</f>
        <v>0</v>
      </c>
      <c r="Z46" s="2837" t="str">
        <f>IF(Y$12=0,"",ABS(Y46)/Y$12)</f>
        <v/>
      </c>
      <c r="AA46" s="2836" t="str">
        <f t="shared" ref="AA46:AA51" ca="1" si="7">IF(V46=0,"",IF(ABS((Y46/V46)-1)&gt;10000%,"N/A",(Y46/V46)-1))</f>
        <v/>
      </c>
      <c r="AB46" s="2835">
        <f ca="1">SUM(AB41,AB43:AB44)</f>
        <v>0</v>
      </c>
      <c r="AC46" s="2837" t="str">
        <f>IF(AB$12=0,"",ABS(AB46)/AB$12)</f>
        <v/>
      </c>
      <c r="AD46" s="2836" t="str">
        <f t="shared" ref="AD46:AD51" ca="1" si="8">IF(Y46=0,"",IF(ABS((AB46/Y46)-1)&gt;10000%,"N/A",(AB46/Y46)-1))</f>
        <v/>
      </c>
      <c r="AE46" s="2835">
        <f ca="1">SUM(AE41,AE43:AE44)</f>
        <v>0</v>
      </c>
      <c r="AF46" s="2837" t="str">
        <f>IF(AE$12=0,"",ABS(AE46)/AE$12)</f>
        <v/>
      </c>
      <c r="AG46" s="2836" t="str">
        <f t="shared" ref="AG46:AG51" ca="1" si="9">IF(AB46=0,"",IF(ABS((AE46/AB46)-1)&gt;10000%,"N/A",(AE46/AB46)-1))</f>
        <v/>
      </c>
      <c r="AH46" s="2835">
        <f ca="1">SUM(AH41,AH43:AH44)</f>
        <v>0</v>
      </c>
      <c r="AI46" s="2837" t="str">
        <f>IF(AH$12=0,"",ABS(AH46)/AH$12)</f>
        <v/>
      </c>
      <c r="AJ46" s="2836" t="str">
        <f t="shared" ref="AJ46:AJ51" ca="1" si="10">IF(AE46=0,"",IF(ABS((AH46/AE46)-1)&gt;10000%,"N/A",(AH46/AE46)-1))</f>
        <v/>
      </c>
      <c r="AK46" s="2835">
        <f ca="1">SUM(AK41,AK43:AK44)</f>
        <v>0</v>
      </c>
      <c r="AL46" s="2837" t="str">
        <f>IF(AK$12=0,"",ABS(AK46)/AK$12)</f>
        <v/>
      </c>
      <c r="AM46" s="2836" t="str">
        <f t="shared" ref="AM46:AM51" ca="1" si="11">IF(AH46=0,"",IF(ABS((AK46/AH46)-1)&gt;10000%,"N/A",(AK46/AH46)-1))</f>
        <v/>
      </c>
      <c r="AN46" s="2835">
        <f ca="1">SUM(AN41,AN43:AN44)</f>
        <v>0</v>
      </c>
      <c r="AO46" s="2837" t="str">
        <f>IF(AN$12=0,"",ABS(AN46)/AN$12)</f>
        <v/>
      </c>
      <c r="AP46" s="2836" t="str">
        <f t="shared" ref="AP46:AP51" ca="1" si="12">IF(AK46=0,"",IF(ABS((AN46/AK46)-1)&gt;10000%,"N/A",(AN46/AK46)-1))</f>
        <v/>
      </c>
      <c r="AQ46" s="2835">
        <f ca="1">SUM(AQ41,AQ43:AQ44)</f>
        <v>0</v>
      </c>
      <c r="AR46" s="2837" t="str">
        <f>IF(AQ$12=0,"",ABS(AQ46)/AQ$12)</f>
        <v/>
      </c>
      <c r="AS46" s="2836" t="str">
        <f t="shared" ref="AS46:AS51" ca="1" si="13">IF(AN46=0,"",IF(ABS((AQ46/AN46)-1)&gt;10000%,"N/A",(AQ46/AN46)-1))</f>
        <v/>
      </c>
      <c r="AT46" s="2835">
        <f ca="1">SUM(AT41,AT43:AT44)</f>
        <v>0</v>
      </c>
      <c r="AU46" s="2837" t="str">
        <f>IF(AT$12=0,"",ABS(AT46)/AT$12)</f>
        <v/>
      </c>
      <c r="AV46" s="2836" t="str">
        <f t="shared" ref="AV46:AV51" ca="1" si="14">IF(AQ46=0,"",IF(ABS((AT46/AQ46)-1)&gt;10000%,"N/A",(AT46/AQ46)-1))</f>
        <v/>
      </c>
    </row>
    <row r="47" spans="1:48" ht="15" x14ac:dyDescent="0.2">
      <c r="A47" s="2838" t="s">
        <v>1505</v>
      </c>
      <c r="B47" s="2839">
        <f ca="1">IF(SUM(B27,B30:B31,B37:B38,B43:B44)&gt;=B346,0,-SUM(B27,B30:B31,B37:B38,B43:B44,-B346))</f>
        <v>0</v>
      </c>
      <c r="C47" s="2840"/>
      <c r="D47" s="2839">
        <f ca="1">IF(SUM(D27,D30:D31,D37:D38,D43:D44,-B47)&gt;=D346,0,B47-SUM(D27,D30:D31,D37:D38,D43:D44,-D346))</f>
        <v>0</v>
      </c>
      <c r="E47" s="2841"/>
      <c r="F47" s="2842" t="str">
        <f t="shared" ca="1" si="0"/>
        <v/>
      </c>
      <c r="G47" s="2839">
        <f ca="1">IF(SUM(G27,G30:G31,G37:G38,G43:G44,-D47)&gt;=G346,0,D47-SUM(G27,G30:G31,G37:G38,G43:G44,-G346))</f>
        <v>0</v>
      </c>
      <c r="H47" s="2841"/>
      <c r="I47" s="2842" t="str">
        <f t="shared" ca="1" si="1"/>
        <v/>
      </c>
      <c r="J47" s="2839">
        <f ca="1">IF(SUM(J27,J30:J31,J37:J38,J43:J44,-G47)&gt;=J346,0,G47-SUM(J27,J30:J31,J37:J38,J43:J44,-J346))</f>
        <v>0</v>
      </c>
      <c r="K47" s="2841"/>
      <c r="L47" s="2842" t="str">
        <f t="shared" ca="1" si="2"/>
        <v/>
      </c>
      <c r="M47" s="2839">
        <f ca="1">IF(SUM(M27,M30:M31,M37:M38,M43:M44,-J47)&gt;=M346,0,J47-SUM(M27,M30:M31,M37:M38,M43:M44,-M346))</f>
        <v>0</v>
      </c>
      <c r="N47" s="2841"/>
      <c r="O47" s="2842" t="str">
        <f t="shared" ca="1" si="3"/>
        <v/>
      </c>
      <c r="P47" s="2839">
        <f ca="1">IF(SUM(P27,P30:P31,P37:P38,P43:P44,-M47)&gt;=P346,0,M47-SUM(P27,P30:P31,P37:P38,P43:P44,-P346))</f>
        <v>0</v>
      </c>
      <c r="Q47" s="2841"/>
      <c r="R47" s="2842" t="str">
        <f t="shared" ca="1" si="4"/>
        <v/>
      </c>
      <c r="S47" s="2839">
        <f ca="1">IF(SUM(S27,S30:S31,S37:S38,S43:S44,-P47)&gt;=S346,0,P47-SUM(S27,S30:S31,S37:S38,S43:S44,-S346))</f>
        <v>0</v>
      </c>
      <c r="T47" s="2841"/>
      <c r="U47" s="2842" t="str">
        <f t="shared" ca="1" si="5"/>
        <v/>
      </c>
      <c r="V47" s="2839">
        <f ca="1">IF(SUM(V27,V30:V31,V37:V38,V43:V44,-S47)&gt;=V346,0,S47-SUM(V27,V30:V31,V37:V38,V43:V44,-V346))</f>
        <v>0</v>
      </c>
      <c r="W47" s="2841"/>
      <c r="X47" s="2842" t="str">
        <f t="shared" ca="1" si="6"/>
        <v/>
      </c>
      <c r="Y47" s="2839">
        <f ca="1">IF(SUM(Y27,Y30:Y31,Y37:Y38,Y43:Y44,-V47)&gt;=Y346,0,V47-SUM(Y27,Y30:Y31,Y37:Y38,Y43:Y44,-Y346))</f>
        <v>0</v>
      </c>
      <c r="Z47" s="2841"/>
      <c r="AA47" s="2842" t="str">
        <f t="shared" ca="1" si="7"/>
        <v/>
      </c>
      <c r="AB47" s="2839">
        <f ca="1">IF(SUM(AB27,AB30:AB31,AB37:AB38,AB43:AB44,-Y47)&gt;=AB346,0,Y47-SUM(AB27,AB30:AB31,AB37:AB38,AB43:AB44,-AB346))</f>
        <v>0</v>
      </c>
      <c r="AC47" s="2841"/>
      <c r="AD47" s="2842" t="str">
        <f t="shared" ca="1" si="8"/>
        <v/>
      </c>
      <c r="AE47" s="2839">
        <f ca="1">IF(SUM(AE27,AE30:AE31,AE37:AE38,AE43:AE44,-AB47)&gt;=AE346,0,AB47-SUM(AE27,AE30:AE31,AE37:AE38,AE43:AE44,-AE346))</f>
        <v>0</v>
      </c>
      <c r="AF47" s="2841"/>
      <c r="AG47" s="2842" t="str">
        <f t="shared" ca="1" si="9"/>
        <v/>
      </c>
      <c r="AH47" s="2839">
        <f ca="1">IF(SUM(AH27,AH30:AH31,AH37:AH38,AH43:AH44,-AE47)&gt;=AH346,0,AE47-SUM(AH27,AH30:AH31,AH37:AH38,AH43:AH44,-AH346))</f>
        <v>0</v>
      </c>
      <c r="AI47" s="2841"/>
      <c r="AJ47" s="2842" t="str">
        <f t="shared" ca="1" si="10"/>
        <v/>
      </c>
      <c r="AK47" s="2839">
        <f ca="1">IF(SUM(AK27,AK30:AK31,AK37:AK38,AK43:AK44,-AH47)&gt;=AK346,0,AH47-SUM(AK27,AK30:AK31,AK37:AK38,AK43:AK44,-AK346))</f>
        <v>0</v>
      </c>
      <c r="AL47" s="2841"/>
      <c r="AM47" s="2842" t="str">
        <f t="shared" ca="1" si="11"/>
        <v/>
      </c>
      <c r="AN47" s="2839">
        <f ca="1">IF(SUM(AN27,AN30:AN31,AN37:AN38,AN43:AN44,-AK47)&gt;=AN346,0,AK47-SUM(AN27,AN30:AN31,AN37:AN38,AN43:AN44,-AN346))</f>
        <v>0</v>
      </c>
      <c r="AO47" s="2841"/>
      <c r="AP47" s="2842" t="str">
        <f t="shared" ca="1" si="12"/>
        <v/>
      </c>
      <c r="AQ47" s="2839">
        <f ca="1">IF(SUM(AQ27,AQ30:AQ31,AQ37:AQ38,AQ43:AQ44,-AN47)&gt;=AQ346,0,AN47-SUM(AQ27,AQ30:AQ31,AQ37:AQ38,AQ43:AQ44,-AQ346))</f>
        <v>0</v>
      </c>
      <c r="AR47" s="2841"/>
      <c r="AS47" s="2842" t="str">
        <f t="shared" ca="1" si="13"/>
        <v/>
      </c>
      <c r="AT47" s="2839">
        <f ca="1">IF(SUM(AT27,AT30:AT31,AT37:AT38,AT43:AT44,-AQ47)&gt;=AT346,0,AQ47-SUM(AT27,AT30:AT31,AT37:AT38,AT43:AT44,-AT346))</f>
        <v>0</v>
      </c>
      <c r="AU47" s="2841"/>
      <c r="AV47" s="2842" t="str">
        <f t="shared" ca="1" si="14"/>
        <v/>
      </c>
    </row>
    <row r="48" spans="1:48" ht="15" x14ac:dyDescent="0.2">
      <c r="A48" s="2838" t="s">
        <v>1506</v>
      </c>
      <c r="B48" s="2839">
        <f ca="1">B141</f>
        <v>0</v>
      </c>
      <c r="C48" s="2843"/>
      <c r="D48" s="2839">
        <f ca="1">D141</f>
        <v>0</v>
      </c>
      <c r="E48" s="2841"/>
      <c r="F48" s="2844" t="str">
        <f t="shared" ca="1" si="0"/>
        <v/>
      </c>
      <c r="G48" s="2839">
        <f ca="1">G141</f>
        <v>0</v>
      </c>
      <c r="H48" s="2841"/>
      <c r="I48" s="2844" t="str">
        <f t="shared" ca="1" si="1"/>
        <v/>
      </c>
      <c r="J48" s="2839">
        <f ca="1">J141</f>
        <v>0</v>
      </c>
      <c r="K48" s="2841"/>
      <c r="L48" s="2844" t="str">
        <f t="shared" ca="1" si="2"/>
        <v/>
      </c>
      <c r="M48" s="2839">
        <f ca="1">M141</f>
        <v>0</v>
      </c>
      <c r="N48" s="2841"/>
      <c r="O48" s="2844" t="str">
        <f t="shared" ca="1" si="3"/>
        <v/>
      </c>
      <c r="P48" s="2839">
        <f ca="1">P141</f>
        <v>0</v>
      </c>
      <c r="Q48" s="2841"/>
      <c r="R48" s="2844" t="str">
        <f t="shared" ca="1" si="4"/>
        <v/>
      </c>
      <c r="S48" s="2839">
        <f ca="1">S141</f>
        <v>0</v>
      </c>
      <c r="T48" s="2841"/>
      <c r="U48" s="2844" t="str">
        <f t="shared" ca="1" si="5"/>
        <v/>
      </c>
      <c r="V48" s="2839">
        <f ca="1">V141</f>
        <v>0</v>
      </c>
      <c r="W48" s="2841"/>
      <c r="X48" s="2844" t="str">
        <f t="shared" ca="1" si="6"/>
        <v/>
      </c>
      <c r="Y48" s="2839">
        <f ca="1">Y141</f>
        <v>0</v>
      </c>
      <c r="Z48" s="2841"/>
      <c r="AA48" s="2844" t="str">
        <f t="shared" ca="1" si="7"/>
        <v/>
      </c>
      <c r="AB48" s="2839">
        <f ca="1">AB141</f>
        <v>0</v>
      </c>
      <c r="AC48" s="2841"/>
      <c r="AD48" s="2844" t="str">
        <f t="shared" ca="1" si="8"/>
        <v/>
      </c>
      <c r="AE48" s="2839">
        <f ca="1">AE141</f>
        <v>0</v>
      </c>
      <c r="AF48" s="2841"/>
      <c r="AG48" s="2844" t="str">
        <f t="shared" ca="1" si="9"/>
        <v/>
      </c>
      <c r="AH48" s="2839">
        <f ca="1">AH141</f>
        <v>0</v>
      </c>
      <c r="AI48" s="2841"/>
      <c r="AJ48" s="2844" t="str">
        <f t="shared" ca="1" si="10"/>
        <v/>
      </c>
      <c r="AK48" s="2839">
        <f ca="1">AK141</f>
        <v>0</v>
      </c>
      <c r="AL48" s="2841"/>
      <c r="AM48" s="2844" t="str">
        <f t="shared" ca="1" si="11"/>
        <v/>
      </c>
      <c r="AN48" s="2839">
        <f ca="1">AN141</f>
        <v>0</v>
      </c>
      <c r="AO48" s="2841"/>
      <c r="AP48" s="2844" t="str">
        <f t="shared" ca="1" si="12"/>
        <v/>
      </c>
      <c r="AQ48" s="2839">
        <f ca="1">AQ141</f>
        <v>0</v>
      </c>
      <c r="AR48" s="2841"/>
      <c r="AS48" s="2844" t="str">
        <f t="shared" ca="1" si="13"/>
        <v/>
      </c>
      <c r="AT48" s="2839">
        <f ca="1">AT141</f>
        <v>0</v>
      </c>
      <c r="AU48" s="2841"/>
      <c r="AV48" s="2844" t="str">
        <f t="shared" ca="1" si="14"/>
        <v/>
      </c>
    </row>
    <row r="49" spans="1:48" ht="15" x14ac:dyDescent="0.2">
      <c r="A49" s="2838" t="s">
        <v>2033</v>
      </c>
      <c r="B49" s="2839">
        <f ca="1">B200</f>
        <v>0</v>
      </c>
      <c r="C49" s="2843"/>
      <c r="D49" s="2839">
        <f ca="1">D200</f>
        <v>0</v>
      </c>
      <c r="E49" s="2841"/>
      <c r="F49" s="2844" t="str">
        <f t="shared" ca="1" si="0"/>
        <v/>
      </c>
      <c r="G49" s="2839">
        <f ca="1">G200</f>
        <v>0</v>
      </c>
      <c r="H49" s="2841"/>
      <c r="I49" s="2844" t="str">
        <f t="shared" ca="1" si="1"/>
        <v/>
      </c>
      <c r="J49" s="2839">
        <f ca="1">J200</f>
        <v>0</v>
      </c>
      <c r="K49" s="2841"/>
      <c r="L49" s="2844" t="str">
        <f t="shared" ca="1" si="2"/>
        <v/>
      </c>
      <c r="M49" s="2839">
        <f ca="1">M200</f>
        <v>0</v>
      </c>
      <c r="N49" s="2841"/>
      <c r="O49" s="2844" t="str">
        <f t="shared" ca="1" si="3"/>
        <v/>
      </c>
      <c r="P49" s="2839">
        <f ca="1">P200</f>
        <v>0</v>
      </c>
      <c r="Q49" s="2841"/>
      <c r="R49" s="2844" t="str">
        <f t="shared" ca="1" si="4"/>
        <v/>
      </c>
      <c r="S49" s="2839">
        <f ca="1">S200</f>
        <v>0</v>
      </c>
      <c r="T49" s="2841"/>
      <c r="U49" s="2844" t="str">
        <f t="shared" ca="1" si="5"/>
        <v/>
      </c>
      <c r="V49" s="2839">
        <f ca="1">V200</f>
        <v>0</v>
      </c>
      <c r="W49" s="2841"/>
      <c r="X49" s="2844" t="str">
        <f t="shared" ca="1" si="6"/>
        <v/>
      </c>
      <c r="Y49" s="2839">
        <f ca="1">Y200</f>
        <v>0</v>
      </c>
      <c r="Z49" s="2841"/>
      <c r="AA49" s="2844" t="str">
        <f t="shared" ca="1" si="7"/>
        <v/>
      </c>
      <c r="AB49" s="2839">
        <f ca="1">AB200</f>
        <v>0</v>
      </c>
      <c r="AC49" s="2841"/>
      <c r="AD49" s="2844" t="str">
        <f t="shared" ca="1" si="8"/>
        <v/>
      </c>
      <c r="AE49" s="2839">
        <f ca="1">AE200</f>
        <v>0</v>
      </c>
      <c r="AF49" s="2841"/>
      <c r="AG49" s="2844" t="str">
        <f t="shared" ca="1" si="9"/>
        <v/>
      </c>
      <c r="AH49" s="2839">
        <f ca="1">AH200</f>
        <v>0</v>
      </c>
      <c r="AI49" s="2841"/>
      <c r="AJ49" s="2844" t="str">
        <f t="shared" ca="1" si="10"/>
        <v/>
      </c>
      <c r="AK49" s="2839">
        <f ca="1">AK200</f>
        <v>0</v>
      </c>
      <c r="AL49" s="2841"/>
      <c r="AM49" s="2844" t="str">
        <f t="shared" ca="1" si="11"/>
        <v/>
      </c>
      <c r="AN49" s="2839">
        <f ca="1">AN200</f>
        <v>0</v>
      </c>
      <c r="AO49" s="2841"/>
      <c r="AP49" s="2844" t="str">
        <f t="shared" ca="1" si="12"/>
        <v/>
      </c>
      <c r="AQ49" s="2839">
        <f ca="1">AQ200</f>
        <v>0</v>
      </c>
      <c r="AR49" s="2841"/>
      <c r="AS49" s="2844" t="str">
        <f t="shared" ca="1" si="13"/>
        <v/>
      </c>
      <c r="AT49" s="2839">
        <f ca="1">AT200</f>
        <v>0</v>
      </c>
      <c r="AU49" s="2841"/>
      <c r="AV49" s="2844" t="str">
        <f t="shared" ca="1" si="14"/>
        <v/>
      </c>
    </row>
    <row r="50" spans="1:48" ht="15" x14ac:dyDescent="0.2">
      <c r="A50" s="2838" t="s">
        <v>2034</v>
      </c>
      <c r="B50" s="2839">
        <f ca="1">SUM(B47:B49)</f>
        <v>0</v>
      </c>
      <c r="C50" s="2843"/>
      <c r="D50" s="2839">
        <f ca="1">SUM(D47:D49)</f>
        <v>0</v>
      </c>
      <c r="E50" s="2841"/>
      <c r="F50" s="2844" t="str">
        <f t="shared" ca="1" si="0"/>
        <v/>
      </c>
      <c r="G50" s="2839">
        <f ca="1">SUM(G47:G49)</f>
        <v>0</v>
      </c>
      <c r="H50" s="2841"/>
      <c r="I50" s="2844" t="str">
        <f t="shared" ca="1" si="1"/>
        <v/>
      </c>
      <c r="J50" s="2839">
        <f ca="1">SUM(J47:J49)</f>
        <v>0</v>
      </c>
      <c r="K50" s="2841"/>
      <c r="L50" s="2844" t="str">
        <f t="shared" ca="1" si="2"/>
        <v/>
      </c>
      <c r="M50" s="2839">
        <f ca="1">SUM(M47:M49)</f>
        <v>0</v>
      </c>
      <c r="N50" s="2841"/>
      <c r="O50" s="2844" t="str">
        <f t="shared" ca="1" si="3"/>
        <v/>
      </c>
      <c r="P50" s="2839">
        <f ca="1">SUM(P47:P49)</f>
        <v>0</v>
      </c>
      <c r="Q50" s="2841"/>
      <c r="R50" s="2844" t="str">
        <f t="shared" ca="1" si="4"/>
        <v/>
      </c>
      <c r="S50" s="2839">
        <f ca="1">SUM(S47:S49)</f>
        <v>0</v>
      </c>
      <c r="T50" s="2841"/>
      <c r="U50" s="2844" t="str">
        <f t="shared" ca="1" si="5"/>
        <v/>
      </c>
      <c r="V50" s="2839">
        <f ca="1">SUM(V47:V49)</f>
        <v>0</v>
      </c>
      <c r="W50" s="2841"/>
      <c r="X50" s="2844" t="str">
        <f t="shared" ca="1" si="6"/>
        <v/>
      </c>
      <c r="Y50" s="2839">
        <f ca="1">SUM(Y47:Y49)</f>
        <v>0</v>
      </c>
      <c r="Z50" s="2841"/>
      <c r="AA50" s="2844" t="str">
        <f t="shared" ca="1" si="7"/>
        <v/>
      </c>
      <c r="AB50" s="2839">
        <f ca="1">SUM(AB47:AB49)</f>
        <v>0</v>
      </c>
      <c r="AC50" s="2841"/>
      <c r="AD50" s="2844" t="str">
        <f t="shared" ca="1" si="8"/>
        <v/>
      </c>
      <c r="AE50" s="2839">
        <f ca="1">SUM(AE47:AE49)</f>
        <v>0</v>
      </c>
      <c r="AF50" s="2841"/>
      <c r="AG50" s="2844" t="str">
        <f t="shared" ca="1" si="9"/>
        <v/>
      </c>
      <c r="AH50" s="2839">
        <f ca="1">SUM(AH47:AH49)</f>
        <v>0</v>
      </c>
      <c r="AI50" s="2841"/>
      <c r="AJ50" s="2844" t="str">
        <f t="shared" ca="1" si="10"/>
        <v/>
      </c>
      <c r="AK50" s="2839">
        <f ca="1">SUM(AK47:AK49)</f>
        <v>0</v>
      </c>
      <c r="AL50" s="2841"/>
      <c r="AM50" s="2844" t="str">
        <f t="shared" ca="1" si="11"/>
        <v/>
      </c>
      <c r="AN50" s="2839">
        <f ca="1">SUM(AN47:AN49)</f>
        <v>0</v>
      </c>
      <c r="AO50" s="2841"/>
      <c r="AP50" s="2844" t="str">
        <f t="shared" ca="1" si="12"/>
        <v/>
      </c>
      <c r="AQ50" s="2839">
        <f ca="1">SUM(AQ47:AQ49)</f>
        <v>0</v>
      </c>
      <c r="AR50" s="2841"/>
      <c r="AS50" s="2844" t="str">
        <f t="shared" ca="1" si="13"/>
        <v/>
      </c>
      <c r="AT50" s="2839">
        <f ca="1">SUM(AT47:AT49)</f>
        <v>0</v>
      </c>
      <c r="AU50" s="2841"/>
      <c r="AV50" s="2844" t="str">
        <f t="shared" ca="1" si="14"/>
        <v/>
      </c>
    </row>
    <row r="51" spans="1:48" ht="15" x14ac:dyDescent="0.2">
      <c r="A51" s="2845" t="s">
        <v>2035</v>
      </c>
      <c r="B51" s="2846">
        <f>B25</f>
        <v>0</v>
      </c>
      <c r="C51" s="2847"/>
      <c r="D51" s="2846">
        <f>B51+D25</f>
        <v>0</v>
      </c>
      <c r="E51" s="2848"/>
      <c r="F51" s="2849" t="str">
        <f t="shared" si="0"/>
        <v/>
      </c>
      <c r="G51" s="2846">
        <f>D51+G25</f>
        <v>0</v>
      </c>
      <c r="H51" s="2848"/>
      <c r="I51" s="2849" t="str">
        <f t="shared" si="1"/>
        <v/>
      </c>
      <c r="J51" s="2846">
        <f>G51+J25</f>
        <v>0</v>
      </c>
      <c r="K51" s="2848"/>
      <c r="L51" s="2849" t="str">
        <f t="shared" si="2"/>
        <v/>
      </c>
      <c r="M51" s="2846">
        <f>J51+M25</f>
        <v>0</v>
      </c>
      <c r="N51" s="2848"/>
      <c r="O51" s="2849" t="str">
        <f t="shared" si="3"/>
        <v/>
      </c>
      <c r="P51" s="2846">
        <f>M51+P25</f>
        <v>0</v>
      </c>
      <c r="Q51" s="2848"/>
      <c r="R51" s="2849" t="str">
        <f t="shared" si="4"/>
        <v/>
      </c>
      <c r="S51" s="2846">
        <f>P51+S25</f>
        <v>0</v>
      </c>
      <c r="T51" s="2848"/>
      <c r="U51" s="2849" t="str">
        <f t="shared" si="5"/>
        <v/>
      </c>
      <c r="V51" s="2846">
        <f>S51+V25</f>
        <v>0</v>
      </c>
      <c r="W51" s="2848"/>
      <c r="X51" s="2849" t="str">
        <f t="shared" si="6"/>
        <v/>
      </c>
      <c r="Y51" s="2846">
        <f>V51+Y25</f>
        <v>0</v>
      </c>
      <c r="Z51" s="2848"/>
      <c r="AA51" s="2849" t="str">
        <f t="shared" si="7"/>
        <v/>
      </c>
      <c r="AB51" s="2846">
        <f>Y51+AB25</f>
        <v>0</v>
      </c>
      <c r="AC51" s="2848"/>
      <c r="AD51" s="2849" t="str">
        <f t="shared" si="8"/>
        <v/>
      </c>
      <c r="AE51" s="2846">
        <f>AB51+AE25</f>
        <v>0</v>
      </c>
      <c r="AF51" s="2848"/>
      <c r="AG51" s="2849" t="str">
        <f t="shared" si="9"/>
        <v/>
      </c>
      <c r="AH51" s="2846">
        <f>AE51+AH25</f>
        <v>0</v>
      </c>
      <c r="AI51" s="2848"/>
      <c r="AJ51" s="2849" t="str">
        <f t="shared" si="10"/>
        <v/>
      </c>
      <c r="AK51" s="2846">
        <f>AH51+AK25</f>
        <v>0</v>
      </c>
      <c r="AL51" s="2848"/>
      <c r="AM51" s="2849" t="str">
        <f t="shared" si="11"/>
        <v/>
      </c>
      <c r="AN51" s="2846">
        <f>AK51+AN25</f>
        <v>0</v>
      </c>
      <c r="AO51" s="2848"/>
      <c r="AP51" s="2849" t="str">
        <f t="shared" si="12"/>
        <v/>
      </c>
      <c r="AQ51" s="2846">
        <f>AN51+AQ25</f>
        <v>0</v>
      </c>
      <c r="AR51" s="2848"/>
      <c r="AS51" s="2849" t="str">
        <f t="shared" si="13"/>
        <v/>
      </c>
      <c r="AT51" s="2846">
        <f>AQ51+AT25</f>
        <v>0</v>
      </c>
      <c r="AU51" s="2848"/>
      <c r="AV51" s="2849" t="str">
        <f t="shared" si="14"/>
        <v/>
      </c>
    </row>
    <row r="52" spans="1:48" ht="18" x14ac:dyDescent="0.2">
      <c r="A52" s="2806" t="s">
        <v>1607</v>
      </c>
      <c r="B52" s="2807"/>
      <c r="C52" s="2807"/>
      <c r="D52" s="2807"/>
      <c r="E52" s="2807"/>
      <c r="F52" s="2807"/>
      <c r="G52" s="2807"/>
      <c r="H52" s="2807"/>
      <c r="I52" s="2807"/>
      <c r="J52" s="2807"/>
      <c r="K52" s="2807"/>
      <c r="L52" s="2807"/>
      <c r="M52" s="2807"/>
      <c r="N52" s="2807"/>
      <c r="O52" s="2807"/>
      <c r="P52" s="2807"/>
      <c r="Q52" s="2807"/>
      <c r="R52" s="2807"/>
      <c r="S52" s="2807"/>
      <c r="T52" s="2807"/>
      <c r="U52" s="2807"/>
      <c r="V52" s="2807"/>
      <c r="W52" s="2807"/>
      <c r="X52" s="2807"/>
      <c r="Y52" s="2807"/>
      <c r="Z52" s="2807"/>
      <c r="AA52" s="2807"/>
      <c r="AB52" s="2807"/>
      <c r="AC52" s="2807"/>
      <c r="AD52" s="2807"/>
      <c r="AE52" s="2807"/>
      <c r="AF52" s="2807"/>
      <c r="AG52" s="2807"/>
      <c r="AH52" s="2807"/>
      <c r="AI52" s="2807"/>
      <c r="AJ52" s="2807"/>
      <c r="AK52" s="2807"/>
      <c r="AL52" s="2807"/>
      <c r="AM52" s="2807"/>
      <c r="AN52" s="2807"/>
      <c r="AO52" s="2807"/>
      <c r="AP52" s="2807"/>
      <c r="AQ52" s="2807"/>
      <c r="AR52" s="2807"/>
      <c r="AS52" s="2807"/>
      <c r="AT52" s="2807"/>
      <c r="AU52" s="2807"/>
      <c r="AV52" s="2807"/>
    </row>
    <row r="53" spans="1:48" ht="15.75" x14ac:dyDescent="0.2">
      <c r="A53" s="2808" t="s">
        <v>536</v>
      </c>
      <c r="B53" s="2850">
        <f ca="1">B11</f>
        <v>2023</v>
      </c>
      <c r="C53" s="2851"/>
      <c r="D53" s="2850">
        <f ca="1">D11</f>
        <v>2024</v>
      </c>
      <c r="E53" s="2852"/>
      <c r="F53" s="2851"/>
      <c r="G53" s="2850">
        <f ca="1">G11</f>
        <v>2025</v>
      </c>
      <c r="H53" s="2852"/>
      <c r="I53" s="2851"/>
      <c r="J53" s="2850">
        <f ca="1">J11</f>
        <v>2026</v>
      </c>
      <c r="K53" s="2852"/>
      <c r="L53" s="2851"/>
      <c r="M53" s="2850">
        <f ca="1">M11</f>
        <v>2027</v>
      </c>
      <c r="N53" s="2852"/>
      <c r="O53" s="2851"/>
      <c r="P53" s="2850">
        <f ca="1">P11</f>
        <v>2028</v>
      </c>
      <c r="Q53" s="2852"/>
      <c r="R53" s="2851"/>
      <c r="S53" s="2850">
        <f ca="1">S11</f>
        <v>2029</v>
      </c>
      <c r="T53" s="2852"/>
      <c r="U53" s="2851"/>
      <c r="V53" s="2850">
        <f ca="1">V11</f>
        <v>2030</v>
      </c>
      <c r="W53" s="2852"/>
      <c r="X53" s="2851"/>
      <c r="Y53" s="2850">
        <f ca="1">Y11</f>
        <v>2031</v>
      </c>
      <c r="Z53" s="2852"/>
      <c r="AA53" s="2851"/>
      <c r="AB53" s="2850">
        <f ca="1">AB11</f>
        <v>2032</v>
      </c>
      <c r="AC53" s="2852"/>
      <c r="AD53" s="2851"/>
      <c r="AE53" s="2850">
        <f ca="1">AE11</f>
        <v>2033</v>
      </c>
      <c r="AF53" s="2852"/>
      <c r="AG53" s="2851"/>
      <c r="AH53" s="2850">
        <f ca="1">AH11</f>
        <v>2034</v>
      </c>
      <c r="AI53" s="2852"/>
      <c r="AJ53" s="2851"/>
      <c r="AK53" s="2850">
        <f ca="1">AK11</f>
        <v>2035</v>
      </c>
      <c r="AL53" s="2852"/>
      <c r="AM53" s="2851"/>
      <c r="AN53" s="2850">
        <f ca="1">AN11</f>
        <v>2036</v>
      </c>
      <c r="AO53" s="2852"/>
      <c r="AP53" s="2851"/>
      <c r="AQ53" s="2850">
        <f ca="1">AQ11</f>
        <v>2037</v>
      </c>
      <c r="AR53" s="2852"/>
      <c r="AS53" s="2851"/>
      <c r="AT53" s="2850">
        <f ca="1">AT11</f>
        <v>2038</v>
      </c>
      <c r="AU53" s="2852"/>
      <c r="AV53" s="2851"/>
    </row>
    <row r="54" spans="1:48" ht="15" x14ac:dyDescent="0.2">
      <c r="A54" s="2812" t="s">
        <v>880</v>
      </c>
      <c r="B54" s="2853" t="str">
        <f>IF(B12=0,"",SUM(B12:B13)/B12)</f>
        <v/>
      </c>
      <c r="C54" s="2854"/>
      <c r="D54" s="2853" t="str">
        <f>IF(D12=0,"",SUM(D12:D13)/D12)</f>
        <v/>
      </c>
      <c r="E54" s="2855"/>
      <c r="F54" s="2854"/>
      <c r="G54" s="2853" t="str">
        <f>IF(G12=0,"",SUM(G12:G13)/G12)</f>
        <v/>
      </c>
      <c r="H54" s="2855"/>
      <c r="I54" s="2854"/>
      <c r="J54" s="2853" t="str">
        <f>IF(J12=0,"",SUM(J12:J13)/J12)</f>
        <v/>
      </c>
      <c r="K54" s="2855"/>
      <c r="L54" s="2854"/>
      <c r="M54" s="2853" t="str">
        <f>IF(M12=0,"",SUM(M12:M13)/M12)</f>
        <v/>
      </c>
      <c r="N54" s="2855"/>
      <c r="O54" s="2854"/>
      <c r="P54" s="2853" t="str">
        <f>IF(P12=0,"",SUM(P12:P13)/P12)</f>
        <v/>
      </c>
      <c r="Q54" s="2855"/>
      <c r="R54" s="2854"/>
      <c r="S54" s="2853" t="str">
        <f>IF(S12=0,"",SUM(S12:S13)/S12)</f>
        <v/>
      </c>
      <c r="T54" s="2855"/>
      <c r="U54" s="2854"/>
      <c r="V54" s="2853" t="str">
        <f>IF(V12=0,"",SUM(V12:V13)/V12)</f>
        <v/>
      </c>
      <c r="W54" s="2855"/>
      <c r="X54" s="2854"/>
      <c r="Y54" s="2853" t="str">
        <f>IF(Y12=0,"",SUM(Y12:Y13)/Y12)</f>
        <v/>
      </c>
      <c r="Z54" s="2855"/>
      <c r="AA54" s="2854"/>
      <c r="AB54" s="2853" t="str">
        <f>IF(AB12=0,"",SUM(AB12:AB13)/AB12)</f>
        <v/>
      </c>
      <c r="AC54" s="2855"/>
      <c r="AD54" s="2854"/>
      <c r="AE54" s="2853" t="str">
        <f>IF(AE12=0,"",SUM(AE12:AE13)/AE12)</f>
        <v/>
      </c>
      <c r="AF54" s="2855"/>
      <c r="AG54" s="2854"/>
      <c r="AH54" s="2853" t="str">
        <f>IF(AH12=0,"",SUM(AH12:AH13)/AH12)</f>
        <v/>
      </c>
      <c r="AI54" s="2855"/>
      <c r="AJ54" s="2854"/>
      <c r="AK54" s="2853" t="str">
        <f>IF(AK12=0,"",SUM(AK12:AK13)/AK12)</f>
        <v/>
      </c>
      <c r="AL54" s="2855"/>
      <c r="AM54" s="2854"/>
      <c r="AN54" s="2853" t="str">
        <f>IF(AN12=0,"",SUM(AN12:AN13)/AN12)</f>
        <v/>
      </c>
      <c r="AO54" s="2855"/>
      <c r="AP54" s="2854"/>
      <c r="AQ54" s="2853" t="str">
        <f>IF(AQ12=0,"",SUM(AQ12:AQ13)/AQ12)</f>
        <v/>
      </c>
      <c r="AR54" s="2855"/>
      <c r="AS54" s="2854"/>
      <c r="AT54" s="2853" t="str">
        <f>IF(AT12=0,"",SUM(AT12:AT13)/AT12)</f>
        <v/>
      </c>
      <c r="AU54" s="2855"/>
      <c r="AV54" s="2854"/>
    </row>
    <row r="55" spans="1:48" ht="15" x14ac:dyDescent="0.2">
      <c r="A55" s="2812" t="s">
        <v>2036</v>
      </c>
      <c r="B55" s="2856" t="str">
        <f ca="1">IF(B35=0,"",B16/-B35)</f>
        <v/>
      </c>
      <c r="C55" s="2854"/>
      <c r="D55" s="2856" t="str">
        <f ca="1">IF(D35=0,"",D16/-D35)</f>
        <v/>
      </c>
      <c r="E55" s="2855"/>
      <c r="F55" s="2854"/>
      <c r="G55" s="2856" t="str">
        <f ca="1">IF(G35=0,"",G16/-G35)</f>
        <v/>
      </c>
      <c r="H55" s="2855"/>
      <c r="I55" s="2854"/>
      <c r="J55" s="2856" t="str">
        <f ca="1">IF(J35=0,"",J16/-J35)</f>
        <v/>
      </c>
      <c r="K55" s="2855"/>
      <c r="L55" s="2854"/>
      <c r="M55" s="2856" t="str">
        <f ca="1">IF(M35=0,"",M16/-M35)</f>
        <v/>
      </c>
      <c r="N55" s="2855"/>
      <c r="O55" s="2854"/>
      <c r="P55" s="2856" t="str">
        <f ca="1">IF(P35=0,"",P16/-P35)</f>
        <v/>
      </c>
      <c r="Q55" s="2855"/>
      <c r="R55" s="2854"/>
      <c r="S55" s="2856" t="str">
        <f ca="1">IF(S35=0,"",S16/-S35)</f>
        <v/>
      </c>
      <c r="T55" s="2855"/>
      <c r="U55" s="2854"/>
      <c r="V55" s="2856" t="str">
        <f ca="1">IF(V35=0,"",V16/-V35)</f>
        <v/>
      </c>
      <c r="W55" s="2855"/>
      <c r="X55" s="2854"/>
      <c r="Y55" s="2856" t="str">
        <f ca="1">IF(Y35=0,"",Y16/-Y35)</f>
        <v/>
      </c>
      <c r="Z55" s="2855"/>
      <c r="AA55" s="2854"/>
      <c r="AB55" s="2856" t="str">
        <f ca="1">IF(AB35=0,"",AB16/-AB35)</f>
        <v/>
      </c>
      <c r="AC55" s="2855"/>
      <c r="AD55" s="2854"/>
      <c r="AE55" s="2856" t="str">
        <f ca="1">IF(AE35=0,"",AE16/-AE35)</f>
        <v/>
      </c>
      <c r="AF55" s="2855"/>
      <c r="AG55" s="2854"/>
      <c r="AH55" s="2856" t="str">
        <f ca="1">IF(AH35=0,"",AH16/-AH35)</f>
        <v/>
      </c>
      <c r="AI55" s="2855"/>
      <c r="AJ55" s="2854"/>
      <c r="AK55" s="2856" t="str">
        <f ca="1">IF(AK35=0,"",AK16/-AK35)</f>
        <v/>
      </c>
      <c r="AL55" s="2855"/>
      <c r="AM55" s="2854"/>
      <c r="AN55" s="2856" t="str">
        <f ca="1">IF(AN35=0,"",AN16/-AN35)</f>
        <v/>
      </c>
      <c r="AO55" s="2855"/>
      <c r="AP55" s="2854"/>
      <c r="AQ55" s="2856" t="str">
        <f ca="1">IF(AQ35=0,"",AQ16/-AQ35)</f>
        <v/>
      </c>
      <c r="AR55" s="2855"/>
      <c r="AS55" s="2854"/>
      <c r="AT55" s="2856" t="str">
        <f ca="1">IF(AT35=0,"",AT16/-AT35)</f>
        <v/>
      </c>
      <c r="AU55" s="2855"/>
      <c r="AV55" s="2854"/>
    </row>
    <row r="56" spans="1:48" ht="15" x14ac:dyDescent="0.2">
      <c r="A56" s="2812" t="s">
        <v>2037</v>
      </c>
      <c r="B56" s="2856" t="str">
        <f ca="1">IF(B40=0,"",B21/-B40)</f>
        <v/>
      </c>
      <c r="C56" s="2854"/>
      <c r="D56" s="2856" t="str">
        <f ca="1">IF(D40=0,"",D21/-D40)</f>
        <v/>
      </c>
      <c r="E56" s="2855"/>
      <c r="F56" s="2854"/>
      <c r="G56" s="2856" t="str">
        <f ca="1">IF(G40=0,"",G21/-G40)</f>
        <v/>
      </c>
      <c r="H56" s="2855"/>
      <c r="I56" s="2854"/>
      <c r="J56" s="2856" t="str">
        <f ca="1">IF(J40=0,"",J21/-J40)</f>
        <v/>
      </c>
      <c r="K56" s="2855"/>
      <c r="L56" s="2854"/>
      <c r="M56" s="2856" t="str">
        <f ca="1">IF(M40=0,"",M21/-M40)</f>
        <v/>
      </c>
      <c r="N56" s="2855"/>
      <c r="O56" s="2854"/>
      <c r="P56" s="2855" t="str">
        <f ca="1">IF(P40=0,"",P21/-P40)</f>
        <v/>
      </c>
      <c r="Q56" s="2855"/>
      <c r="R56" s="2854"/>
      <c r="S56" s="2855" t="str">
        <f ca="1">IF(S40=0,"",S21/-S40)</f>
        <v/>
      </c>
      <c r="T56" s="2855"/>
      <c r="U56" s="2854"/>
      <c r="V56" s="2855" t="str">
        <f ca="1">IF(V40=0,"",V21/-V40)</f>
        <v/>
      </c>
      <c r="W56" s="2855"/>
      <c r="X56" s="2854"/>
      <c r="Y56" s="2856" t="str">
        <f ca="1">IF(Y40=0,"",Y21/-Y40)</f>
        <v/>
      </c>
      <c r="Z56" s="2855"/>
      <c r="AA56" s="2854"/>
      <c r="AB56" s="2856" t="str">
        <f ca="1">IF(AB40=0,"",AB21/-AB40)</f>
        <v/>
      </c>
      <c r="AC56" s="2855"/>
      <c r="AD56" s="2854"/>
      <c r="AE56" s="2856" t="str">
        <f ca="1">IF(AE40=0,"",AE21/-AE40)</f>
        <v/>
      </c>
      <c r="AF56" s="2855"/>
      <c r="AG56" s="2854"/>
      <c r="AH56" s="2856" t="str">
        <f ca="1">IF(AH40=0,"",AH21/-AH40)</f>
        <v/>
      </c>
      <c r="AI56" s="2855"/>
      <c r="AJ56" s="2854"/>
      <c r="AK56" s="2856" t="str">
        <f ca="1">IF(AK40=0,"",AK21/-AK40)</f>
        <v/>
      </c>
      <c r="AL56" s="2855"/>
      <c r="AM56" s="2854"/>
      <c r="AN56" s="2856" t="str">
        <f ca="1">IF(AN40=0,"",AN21/-AN40)</f>
        <v/>
      </c>
      <c r="AO56" s="2855"/>
      <c r="AP56" s="2854"/>
      <c r="AQ56" s="2856" t="str">
        <f ca="1">IF(AQ40=0,"",AQ21/-AQ40)</f>
        <v/>
      </c>
      <c r="AR56" s="2855"/>
      <c r="AS56" s="2854"/>
      <c r="AT56" s="2856" t="str">
        <f ca="1">IF(AT40=0,"",AT21/-AT40)</f>
        <v/>
      </c>
      <c r="AU56" s="2855"/>
      <c r="AV56" s="2854"/>
    </row>
    <row r="57" spans="1:48" ht="15" x14ac:dyDescent="0.2">
      <c r="A57" s="2812" t="s">
        <v>2038</v>
      </c>
      <c r="B57" s="2853" t="str">
        <f>IF(B12=0,"",SUM(B47,B50)/B12)</f>
        <v/>
      </c>
      <c r="C57" s="2854"/>
      <c r="D57" s="2853" t="str">
        <f>IF(D12=0,"",SUM(D47,D50)/D12)</f>
        <v/>
      </c>
      <c r="E57" s="2855"/>
      <c r="F57" s="2854"/>
      <c r="G57" s="2853" t="str">
        <f>IF(G12=0,"",SUM(G47,G50)/G12)</f>
        <v/>
      </c>
      <c r="H57" s="2855"/>
      <c r="I57" s="2854"/>
      <c r="J57" s="2853" t="str">
        <f>IF(J12=0,"",SUM(J47,J50)/J12)</f>
        <v/>
      </c>
      <c r="K57" s="2855"/>
      <c r="L57" s="2854"/>
      <c r="M57" s="2853" t="str">
        <f>IF(M12=0,"",SUM(M47,M50)/M12)</f>
        <v/>
      </c>
      <c r="N57" s="2855"/>
      <c r="O57" s="2854"/>
      <c r="P57" s="2853" t="str">
        <f>IF(P12=0,"",SUM(P47,P50)/P12)</f>
        <v/>
      </c>
      <c r="Q57" s="2855"/>
      <c r="R57" s="2854"/>
      <c r="S57" s="2853" t="str">
        <f>IF(S12=0,"",SUM(S47,S50)/S12)</f>
        <v/>
      </c>
      <c r="T57" s="2855"/>
      <c r="U57" s="2854"/>
      <c r="V57" s="2853" t="str">
        <f>IF(V12=0,"",SUM(V47,V50)/V12)</f>
        <v/>
      </c>
      <c r="W57" s="2855"/>
      <c r="X57" s="2854"/>
      <c r="Y57" s="2853" t="str">
        <f>IF(Y12=0,"",SUM(Y47,Y50)/Y12)</f>
        <v/>
      </c>
      <c r="Z57" s="2855"/>
      <c r="AA57" s="2854"/>
      <c r="AB57" s="2853" t="str">
        <f>IF(AB12=0,"",SUM(AB47,AB50)/AB12)</f>
        <v/>
      </c>
      <c r="AC57" s="2855"/>
      <c r="AD57" s="2854"/>
      <c r="AE57" s="2853" t="str">
        <f>IF(AE12=0,"",SUM(AE47,AE50)/AE12)</f>
        <v/>
      </c>
      <c r="AF57" s="2855"/>
      <c r="AG57" s="2854"/>
      <c r="AH57" s="2853" t="str">
        <f>IF(AH12=0,"",SUM(AH47,AH50)/AH12)</f>
        <v/>
      </c>
      <c r="AI57" s="2855"/>
      <c r="AJ57" s="2854"/>
      <c r="AK57" s="2853" t="str">
        <f>IF(AK12=0,"",SUM(AK47,AK50)/AK12)</f>
        <v/>
      </c>
      <c r="AL57" s="2855"/>
      <c r="AM57" s="2854"/>
      <c r="AN57" s="2853" t="str">
        <f>IF(AN12=0,"",SUM(AN47,AN50)/AN12)</f>
        <v/>
      </c>
      <c r="AO57" s="2855"/>
      <c r="AP57" s="2854"/>
      <c r="AQ57" s="2853" t="str">
        <f>IF(AQ12=0,"",SUM(AQ47,AQ50)/AQ12)</f>
        <v/>
      </c>
      <c r="AR57" s="2855"/>
      <c r="AS57" s="2854"/>
      <c r="AT57" s="2853" t="str">
        <f>IF(AT12=0,"",SUM(AT47,AT50)/AT12)</f>
        <v/>
      </c>
      <c r="AU57" s="2855"/>
      <c r="AV57" s="2854"/>
    </row>
    <row r="58" spans="1:48" ht="15" x14ac:dyDescent="0.2">
      <c r="A58" s="2812" t="s">
        <v>1778</v>
      </c>
      <c r="B58" s="2853" t="str">
        <f ca="1">IF(SUM(B47,B50:B51)=0,"",B51/SUM(B47,B50:B51))</f>
        <v/>
      </c>
      <c r="C58" s="2854"/>
      <c r="D58" s="2853" t="str">
        <f ca="1">IF(SUM(D47,D50:D51)=0,"",D51/SUM(D47,D50:D51))</f>
        <v/>
      </c>
      <c r="E58" s="2855"/>
      <c r="F58" s="2854"/>
      <c r="G58" s="2853" t="str">
        <f ca="1">IF(SUM(G47,G50:G51)=0,"",G51/SUM(G47,G50:G51))</f>
        <v/>
      </c>
      <c r="H58" s="2855"/>
      <c r="I58" s="2854"/>
      <c r="J58" s="2853" t="str">
        <f ca="1">IF(SUM(J47,J50:J51)=0,"",J51/SUM(J47,J50:J51))</f>
        <v/>
      </c>
      <c r="K58" s="2855"/>
      <c r="L58" s="2854"/>
      <c r="M58" s="2853" t="str">
        <f ca="1">IF(SUM(M47,M50:M51)=0,"",M51/SUM(M47,M50:M51))</f>
        <v/>
      </c>
      <c r="N58" s="2855"/>
      <c r="O58" s="2854"/>
      <c r="P58" s="2853" t="str">
        <f ca="1">IF(SUM(P47,P50:P51)=0,"",P51/SUM(P47,P50:P51))</f>
        <v/>
      </c>
      <c r="Q58" s="2855"/>
      <c r="R58" s="2854"/>
      <c r="S58" s="2853" t="str">
        <f ca="1">IF(SUM(S47,S50:S51)=0,"",S51/SUM(S47,S50:S51))</f>
        <v/>
      </c>
      <c r="T58" s="2855"/>
      <c r="U58" s="2854"/>
      <c r="V58" s="2853" t="str">
        <f ca="1">IF(SUM(V47,V50:V51)=0,"",V51/SUM(V47,V50:V51))</f>
        <v/>
      </c>
      <c r="W58" s="2855"/>
      <c r="X58" s="2854"/>
      <c r="Y58" s="2853" t="str">
        <f ca="1">IF(SUM(Y47,Y50:Y51)=0,"",Y51/SUM(Y47,Y50:Y51))</f>
        <v/>
      </c>
      <c r="Z58" s="2855"/>
      <c r="AA58" s="2854"/>
      <c r="AB58" s="2853" t="str">
        <f ca="1">IF(SUM(AB47,AB50:AB51)=0,"",AB51/SUM(AB47,AB50:AB51))</f>
        <v/>
      </c>
      <c r="AC58" s="2855"/>
      <c r="AD58" s="2854"/>
      <c r="AE58" s="2853" t="str">
        <f ca="1">IF(SUM(AE47,AE50:AE51)=0,"",AE51/SUM(AE47,AE50:AE51))</f>
        <v/>
      </c>
      <c r="AF58" s="2855"/>
      <c r="AG58" s="2854"/>
      <c r="AH58" s="2853" t="str">
        <f ca="1">IF(SUM(AH47,AH50:AH51)=0,"",AH51/SUM(AH47,AH50:AH51))</f>
        <v/>
      </c>
      <c r="AI58" s="2855"/>
      <c r="AJ58" s="2854"/>
      <c r="AK58" s="2853" t="str">
        <f ca="1">IF(SUM(AK47,AK50:AK51)=0,"",AK51/SUM(AK47,AK50:AK51))</f>
        <v/>
      </c>
      <c r="AL58" s="2855"/>
      <c r="AM58" s="2854"/>
      <c r="AN58" s="2853" t="str">
        <f ca="1">IF(SUM(AN47,AN50:AN51)=0,"",AN51/SUM(AN47,AN50:AN51))</f>
        <v/>
      </c>
      <c r="AO58" s="2855"/>
      <c r="AP58" s="2854"/>
      <c r="AQ58" s="2853" t="str">
        <f ca="1">IF(SUM(AQ47,AQ50:AQ51)=0,"",AQ51/SUM(AQ47,AQ50:AQ51))</f>
        <v/>
      </c>
      <c r="AR58" s="2855"/>
      <c r="AS58" s="2854"/>
      <c r="AT58" s="2853" t="str">
        <f ca="1">IF(SUM(AT47,AT50:AT51)=0,"",AT51/SUM(AT47,AT50:AT51))</f>
        <v/>
      </c>
      <c r="AU58" s="2855"/>
      <c r="AV58" s="2854"/>
    </row>
    <row r="59" spans="1:48" ht="15" x14ac:dyDescent="0.2">
      <c r="A59" s="2857" t="s">
        <v>2039</v>
      </c>
      <c r="B59" s="2858" t="str">
        <f ca="1">IF(SUM(B47,B50:B51)=0,"",SUM(B47,B50)/SUM(B47,B50:B51))</f>
        <v/>
      </c>
      <c r="C59" s="2859"/>
      <c r="D59" s="2858" t="str">
        <f ca="1">IF(SUM(D47,D50:D51)=0,"",SUM(D47,D50)/SUM(D47,D50:D51))</f>
        <v/>
      </c>
      <c r="E59" s="2860"/>
      <c r="F59" s="2859"/>
      <c r="G59" s="2858" t="str">
        <f ca="1">IF(SUM(G47,G50:G51)=0,"",SUM(G47,G50)/SUM(G47,G50:G51))</f>
        <v/>
      </c>
      <c r="H59" s="2860"/>
      <c r="I59" s="2859"/>
      <c r="J59" s="2858" t="str">
        <f ca="1">IF(SUM(J47,J50:J51)=0,"",SUM(J47,J50)/SUM(J47,J50:J51))</f>
        <v/>
      </c>
      <c r="K59" s="2860"/>
      <c r="L59" s="2859"/>
      <c r="M59" s="2858" t="str">
        <f ca="1">IF(SUM(M47,M50:M51)=0,"",SUM(M47,M50)/SUM(M47,M50:M51))</f>
        <v/>
      </c>
      <c r="N59" s="2860"/>
      <c r="O59" s="2859"/>
      <c r="P59" s="2858" t="str">
        <f ca="1">IF(SUM(P47,P50:P51)=0,"",SUM(P47,P50)/SUM(P47,P50:P51))</f>
        <v/>
      </c>
      <c r="Q59" s="2860"/>
      <c r="R59" s="2859"/>
      <c r="S59" s="2858" t="str">
        <f ca="1">IF(SUM(S47,S50:S51)=0,"",SUM(S47,S50)/SUM(S47,S50:S51))</f>
        <v/>
      </c>
      <c r="T59" s="2860"/>
      <c r="U59" s="2859"/>
      <c r="V59" s="2858" t="str">
        <f ca="1">IF(SUM(V47,V50:V51)=0,"",SUM(V47,V50)/SUM(V47,V50:V51))</f>
        <v/>
      </c>
      <c r="W59" s="2860"/>
      <c r="X59" s="2859"/>
      <c r="Y59" s="2858" t="str">
        <f ca="1">IF(SUM(Y47,Y50:Y51)=0,"",SUM(Y47,Y50)/SUM(Y47,Y50:Y51))</f>
        <v/>
      </c>
      <c r="Z59" s="2860"/>
      <c r="AA59" s="2859"/>
      <c r="AB59" s="2858" t="str">
        <f ca="1">IF(SUM(AB47,AB50:AB51)=0,"",SUM(AB47,AB50)/SUM(AB47,AB50:AB51))</f>
        <v/>
      </c>
      <c r="AC59" s="2860"/>
      <c r="AD59" s="2859"/>
      <c r="AE59" s="2858" t="str">
        <f ca="1">IF(SUM(AE47,AE50:AE51)=0,"",SUM(AE47,AE50)/SUM(AE47,AE50:AE51))</f>
        <v/>
      </c>
      <c r="AF59" s="2860"/>
      <c r="AG59" s="2859"/>
      <c r="AH59" s="2858" t="str">
        <f ca="1">IF(SUM(AH47,AH50:AH51)=0,"",SUM(AH47,AH50)/SUM(AH47,AH50:AH51))</f>
        <v/>
      </c>
      <c r="AI59" s="2860"/>
      <c r="AJ59" s="2859"/>
      <c r="AK59" s="2858" t="str">
        <f ca="1">IF(SUM(AK47,AK50:AK51)=0,"",SUM(AK47,AK50)/SUM(AK47,AK50:AK51))</f>
        <v/>
      </c>
      <c r="AL59" s="2860"/>
      <c r="AM59" s="2859"/>
      <c r="AN59" s="2858" t="str">
        <f ca="1">IF(SUM(AN47,AN50:AN51)=0,"",SUM(AN47,AN50)/SUM(AN47,AN50:AN51))</f>
        <v/>
      </c>
      <c r="AO59" s="2860"/>
      <c r="AP59" s="2859"/>
      <c r="AQ59" s="2858" t="str">
        <f ca="1">IF(SUM(AQ47,AQ50:AQ51)=0,"",SUM(AQ47,AQ50)/SUM(AQ47,AQ50:AQ51))</f>
        <v/>
      </c>
      <c r="AR59" s="2860"/>
      <c r="AS59" s="2859"/>
      <c r="AT59" s="2858" t="str">
        <f ca="1">IF(SUM(AT47,AT50:AT51)=0,"",SUM(AT47,AT50)/SUM(AT47,AT50:AT51))</f>
        <v/>
      </c>
      <c r="AU59" s="2860"/>
      <c r="AV59" s="2859"/>
    </row>
    <row r="60" spans="1:48" ht="18" x14ac:dyDescent="0.2">
      <c r="A60" s="2806" t="s">
        <v>2040</v>
      </c>
      <c r="B60" s="2807"/>
      <c r="C60" s="2807"/>
      <c r="D60" s="2807"/>
      <c r="E60" s="2807"/>
      <c r="F60" s="2807"/>
      <c r="G60" s="2807"/>
      <c r="H60" s="2807"/>
      <c r="I60" s="2807"/>
      <c r="J60" s="2807"/>
      <c r="K60" s="2807"/>
      <c r="L60" s="2807"/>
      <c r="M60" s="2807"/>
      <c r="N60" s="2807"/>
      <c r="O60" s="2807"/>
      <c r="P60" s="2807"/>
      <c r="Q60" s="2807"/>
      <c r="R60" s="2807"/>
      <c r="S60" s="2807"/>
      <c r="T60" s="2807"/>
      <c r="U60" s="2807"/>
      <c r="V60" s="2807"/>
      <c r="W60" s="2807"/>
      <c r="X60" s="2807"/>
      <c r="Y60" s="2807"/>
      <c r="Z60" s="2807"/>
      <c r="AA60" s="2807"/>
      <c r="AB60" s="2807"/>
      <c r="AC60" s="2807"/>
      <c r="AD60" s="2807"/>
      <c r="AE60" s="2807"/>
      <c r="AF60" s="2807"/>
      <c r="AG60" s="2807"/>
      <c r="AH60" s="2807"/>
      <c r="AI60" s="2807"/>
      <c r="AJ60" s="2807"/>
      <c r="AK60" s="2807"/>
      <c r="AL60" s="2807"/>
      <c r="AM60" s="2807"/>
      <c r="AN60" s="2807"/>
      <c r="AO60" s="2807"/>
      <c r="AP60" s="2807"/>
      <c r="AQ60" s="2807"/>
      <c r="AR60" s="2807"/>
      <c r="AS60" s="2807"/>
      <c r="AT60" s="2807"/>
      <c r="AU60" s="2807"/>
      <c r="AV60" s="2807"/>
    </row>
    <row r="61" spans="1:48" ht="15.75" x14ac:dyDescent="0.2">
      <c r="A61" s="2808" t="s">
        <v>536</v>
      </c>
      <c r="B61" s="2809">
        <f ca="1">B11</f>
        <v>2023</v>
      </c>
      <c r="C61" s="2810" t="s">
        <v>2041</v>
      </c>
      <c r="D61" s="2850">
        <f ca="1">D11</f>
        <v>2024</v>
      </c>
      <c r="E61" s="2852"/>
      <c r="F61" s="2810" t="s">
        <v>2041</v>
      </c>
      <c r="G61" s="2850">
        <f ca="1">G11</f>
        <v>2025</v>
      </c>
      <c r="H61" s="2852"/>
      <c r="I61" s="2810" t="s">
        <v>2041</v>
      </c>
      <c r="J61" s="2850">
        <f ca="1">J11</f>
        <v>2026</v>
      </c>
      <c r="K61" s="2852"/>
      <c r="L61" s="2810" t="s">
        <v>2041</v>
      </c>
      <c r="M61" s="2850">
        <f ca="1">M11</f>
        <v>2027</v>
      </c>
      <c r="N61" s="2852"/>
      <c r="O61" s="2810" t="s">
        <v>2041</v>
      </c>
      <c r="P61" s="2850">
        <f ca="1">P11</f>
        <v>2028</v>
      </c>
      <c r="Q61" s="2852"/>
      <c r="R61" s="2810" t="s">
        <v>2041</v>
      </c>
      <c r="S61" s="2850">
        <f ca="1">S11</f>
        <v>2029</v>
      </c>
      <c r="T61" s="2852"/>
      <c r="U61" s="2810" t="s">
        <v>2041</v>
      </c>
      <c r="V61" s="2850">
        <f ca="1">V11</f>
        <v>2030</v>
      </c>
      <c r="W61" s="2852"/>
      <c r="X61" s="2810" t="s">
        <v>2041</v>
      </c>
      <c r="Y61" s="2850">
        <f ca="1">Y11</f>
        <v>2031</v>
      </c>
      <c r="Z61" s="2852"/>
      <c r="AA61" s="2810" t="s">
        <v>2041</v>
      </c>
      <c r="AB61" s="2850">
        <f ca="1">AB11</f>
        <v>2032</v>
      </c>
      <c r="AC61" s="2852"/>
      <c r="AD61" s="2810" t="s">
        <v>2041</v>
      </c>
      <c r="AE61" s="2850">
        <f ca="1">AE11</f>
        <v>2033</v>
      </c>
      <c r="AF61" s="2852"/>
      <c r="AG61" s="2810" t="s">
        <v>2041</v>
      </c>
      <c r="AH61" s="2850">
        <f ca="1">AH11</f>
        <v>2034</v>
      </c>
      <c r="AI61" s="2852"/>
      <c r="AJ61" s="2810" t="s">
        <v>2041</v>
      </c>
      <c r="AK61" s="2850">
        <f ca="1">AK11</f>
        <v>2035</v>
      </c>
      <c r="AL61" s="2852"/>
      <c r="AM61" s="2810" t="s">
        <v>2041</v>
      </c>
      <c r="AN61" s="2850">
        <f ca="1">AN11</f>
        <v>2036</v>
      </c>
      <c r="AO61" s="2852"/>
      <c r="AP61" s="2810" t="s">
        <v>2041</v>
      </c>
      <c r="AQ61" s="2850">
        <f ca="1">AQ11</f>
        <v>2037</v>
      </c>
      <c r="AR61" s="2852"/>
      <c r="AS61" s="2810" t="s">
        <v>2041</v>
      </c>
      <c r="AT61" s="2850">
        <f ca="1">AT11</f>
        <v>2038</v>
      </c>
      <c r="AU61" s="2852"/>
      <c r="AV61" s="2810" t="s">
        <v>2041</v>
      </c>
    </row>
    <row r="62" spans="1:48" ht="15" x14ac:dyDescent="0.2">
      <c r="A62" s="2861">
        <f>IF(AND(A4=0,B4=0,C4=0),0,A4&amp;" "&amp;B4&amp;" "&amp;IF(C4=0,"",TEXT(C4,"#.0,0%")))</f>
        <v>0</v>
      </c>
      <c r="B62" s="2862"/>
      <c r="C62" s="2863" t="str">
        <f>IF(OR($B4=0,$B4=""),"",VLOOKUP($B4,$A$393:$AE$398,COLUMN(B61),0))</f>
        <v/>
      </c>
      <c r="D62" s="2864"/>
      <c r="E62" s="2855"/>
      <c r="F62" s="2863" t="str">
        <f>IF(OR($B4=0,$B4=""),"",VLOOKUP($B4,$A$393:$AE$398,COLUMN(D61),0))</f>
        <v/>
      </c>
      <c r="G62" s="2864"/>
      <c r="H62" s="2855"/>
      <c r="I62" s="2863" t="str">
        <f>IF(OR($B4=0,$B4=""),"",VLOOKUP($B4,$A$393:$AE$398,COLUMN(G61),0))</f>
        <v/>
      </c>
      <c r="J62" s="2864"/>
      <c r="K62" s="2855"/>
      <c r="L62" s="2863" t="str">
        <f>IF(OR($B4=0,$B4=""),"",VLOOKUP($B4,$A$393:$AE$398,COLUMN(J61),0))</f>
        <v/>
      </c>
      <c r="M62" s="2864"/>
      <c r="N62" s="2855"/>
      <c r="O62" s="2863" t="str">
        <f>IF(OR($B4=0,$B4=""),"",VLOOKUP($B4,$A$393:$AE$398,COLUMN(M61),0))</f>
        <v/>
      </c>
      <c r="P62" s="2864"/>
      <c r="Q62" s="2855"/>
      <c r="R62" s="2863" t="str">
        <f>IF(OR($B4=0,$B4=""),"",VLOOKUP($B4,$A$393:$AE$398,COLUMN(P61),0))</f>
        <v/>
      </c>
      <c r="S62" s="2864"/>
      <c r="T62" s="2855"/>
      <c r="U62" s="2863" t="str">
        <f>IF(OR($B4=0,$B4=""),"",VLOOKUP($B4,$A$393:$AE$398,COLUMN(S61),0))</f>
        <v/>
      </c>
      <c r="V62" s="2864"/>
      <c r="W62" s="2855"/>
      <c r="X62" s="2863" t="str">
        <f>IF(OR($B4=0,$B4=""),"",VLOOKUP($B4,$A$393:$AE$398,COLUMN(V61),0))</f>
        <v/>
      </c>
      <c r="Y62" s="2864"/>
      <c r="Z62" s="2855"/>
      <c r="AA62" s="2863" t="str">
        <f>IF(OR($B4=0,$B4=""),"",VLOOKUP($B4,$A$393:$AE$398,COLUMN(Y61),0))</f>
        <v/>
      </c>
      <c r="AB62" s="2864"/>
      <c r="AC62" s="2855"/>
      <c r="AD62" s="2863" t="str">
        <f>IF(OR($B4=0,$B4=""),"",VLOOKUP($B4,$A$393:$AE$398,COLUMN(AB61),0))</f>
        <v/>
      </c>
      <c r="AE62" s="2864"/>
      <c r="AF62" s="2855"/>
      <c r="AG62" s="2863" t="str">
        <f>IF(OR($B4=0,$B4=""),"",VLOOKUP($B4,$A$393:$AE$398,COLUMN(AE61),0))</f>
        <v/>
      </c>
      <c r="AH62" s="2864"/>
      <c r="AI62" s="2855"/>
      <c r="AJ62" s="2863" t="str">
        <f>IF(OR($B4=0,$B4=""),"",VLOOKUP($B4,$A$393:$AE$398,COLUMN(AH61),0))</f>
        <v/>
      </c>
      <c r="AK62" s="2864"/>
      <c r="AL62" s="2855"/>
      <c r="AM62" s="2863" t="str">
        <f>IF(OR($B4=0,$B4=""),"",VLOOKUP($B4,$A$393:$AE$398,COLUMN(AK61),0))</f>
        <v/>
      </c>
      <c r="AN62" s="2864"/>
      <c r="AO62" s="2855"/>
      <c r="AP62" s="2863" t="str">
        <f>IF(OR($B4=0,$B4=""),"",VLOOKUP($B4,$A$393:$AE$398,COLUMN(AN61),0))</f>
        <v/>
      </c>
      <c r="AQ62" s="2864"/>
      <c r="AR62" s="2855"/>
      <c r="AS62" s="2863" t="str">
        <f>IF(OR($B4=0,$B4=""),"",VLOOKUP($B4,$A$393:$AE$398,COLUMN(AQ61),0))</f>
        <v/>
      </c>
      <c r="AT62" s="2864"/>
      <c r="AU62" s="2855"/>
      <c r="AV62" s="2863" t="str">
        <f>IF(OR($B4=0,$B4=""),"",VLOOKUP($B4,$A$393:$AE$398,COLUMN(AT61),0))</f>
        <v/>
      </c>
    </row>
    <row r="63" spans="1:48" ht="15" x14ac:dyDescent="0.2">
      <c r="A63" s="2861">
        <f>IF(AND(A5=0,B5=0,C5=0),0,A5&amp;" "&amp;B5&amp;" "&amp;IF(C5=0,"",TEXT(C5,"#.0,0%")))</f>
        <v>0</v>
      </c>
      <c r="B63" s="2862"/>
      <c r="C63" s="2863" t="str">
        <f>IF(OR($B5=0,$B5=""),"",VLOOKUP($B5,$A$400:$AE$405,COLUMN(B61),0))</f>
        <v/>
      </c>
      <c r="D63" s="2864"/>
      <c r="E63" s="2855"/>
      <c r="F63" s="2863" t="str">
        <f>IF(OR($B5=0,$B5=""),"",VLOOKUP($B5,$A$400:$AE$405,COLUMN(D61),0))</f>
        <v/>
      </c>
      <c r="G63" s="2864"/>
      <c r="H63" s="2855"/>
      <c r="I63" s="2863" t="str">
        <f>IF(OR($B5=0,$B5=""),"",VLOOKUP($B5,$A$400:$AE$405,COLUMN(G61),0))</f>
        <v/>
      </c>
      <c r="J63" s="2864"/>
      <c r="K63" s="2855"/>
      <c r="L63" s="2863" t="str">
        <f>IF(OR($B5=0,$B5=""),"",VLOOKUP($B5,$A$400:$AE$405,COLUMN(J61),0))</f>
        <v/>
      </c>
      <c r="M63" s="2864"/>
      <c r="N63" s="2855"/>
      <c r="O63" s="2863" t="str">
        <f>IF(OR($B5=0,$B5=""),"",VLOOKUP($B5,$A$400:$AE$405,COLUMN(M61),0))</f>
        <v/>
      </c>
      <c r="P63" s="2864"/>
      <c r="Q63" s="2855"/>
      <c r="R63" s="2863" t="str">
        <f>IF(OR($B5=0,$B5=""),"",VLOOKUP($B5,$A$400:$AE$405,COLUMN(P61),0))</f>
        <v/>
      </c>
      <c r="S63" s="2864"/>
      <c r="T63" s="2855"/>
      <c r="U63" s="2863" t="str">
        <f>IF(OR($B5=0,$B5=""),"",VLOOKUP($B5,$A$400:$AE$405,COLUMN(S61),0))</f>
        <v/>
      </c>
      <c r="V63" s="2864"/>
      <c r="W63" s="2855"/>
      <c r="X63" s="2863" t="str">
        <f>IF(OR($B5=0,$B5=""),"",VLOOKUP($B5,$A$400:$AE$405,COLUMN(V61),0))</f>
        <v/>
      </c>
      <c r="Y63" s="2864"/>
      <c r="Z63" s="2855"/>
      <c r="AA63" s="2863" t="str">
        <f>IF(OR($B5=0,$B5=""),"",VLOOKUP($B5,$A$400:$AE$405,COLUMN(Y61),0))</f>
        <v/>
      </c>
      <c r="AB63" s="2864"/>
      <c r="AC63" s="2855"/>
      <c r="AD63" s="2863" t="str">
        <f>IF(OR($B5=0,$B5=""),"",VLOOKUP($B5,$A$400:$AE$405,COLUMN(AB61),0))</f>
        <v/>
      </c>
      <c r="AE63" s="2864"/>
      <c r="AF63" s="2855"/>
      <c r="AG63" s="2863" t="str">
        <f>IF(OR($B5=0,$B5=""),"",VLOOKUP($B5,$A$400:$AE$405,COLUMN(AE61),0))</f>
        <v/>
      </c>
      <c r="AH63" s="2864"/>
      <c r="AI63" s="2855"/>
      <c r="AJ63" s="2863" t="str">
        <f>IF(OR($B5=0,$B5=""),"",VLOOKUP($B5,$A$400:$AE$405,COLUMN(AH61),0))</f>
        <v/>
      </c>
      <c r="AK63" s="2864"/>
      <c r="AL63" s="2855"/>
      <c r="AM63" s="2863" t="str">
        <f>IF(OR($B5=0,$B5=""),"",VLOOKUP($B5,$A$400:$AE$405,COLUMN(AK61),0))</f>
        <v/>
      </c>
      <c r="AN63" s="2864"/>
      <c r="AO63" s="2855"/>
      <c r="AP63" s="2863" t="str">
        <f>IF(OR($B5=0,$B5=""),"",VLOOKUP($B5,$A$400:$AE$405,COLUMN(AN61),0))</f>
        <v/>
      </c>
      <c r="AQ63" s="2864"/>
      <c r="AR63" s="2855"/>
      <c r="AS63" s="2863" t="str">
        <f>IF(OR($B5=0,$B5=""),"",VLOOKUP($B5,$A$400:$AE$405,COLUMN(AQ61),0))</f>
        <v/>
      </c>
      <c r="AT63" s="2864"/>
      <c r="AU63" s="2855"/>
      <c r="AV63" s="2863" t="str">
        <f>IF(OR($B5=0,$B5=""),"",VLOOKUP($B5,$A$400:$AE$405,COLUMN(AT61),0))</f>
        <v/>
      </c>
    </row>
    <row r="64" spans="1:48" ht="15" x14ac:dyDescent="0.2">
      <c r="A64" s="2861">
        <f>IF(AND(A6=0,B6=0,C6=0),0,A6&amp;" "&amp;B6&amp;" "&amp;IF(C6=0,"",TEXT(C6,"#.0,0%")))</f>
        <v>0</v>
      </c>
      <c r="B64" s="2862"/>
      <c r="C64" s="2863" t="str">
        <f>IF(OR($B6=0,$B6=""),"",VLOOKUP($B6,$A$407:$AE$412,COLUMN(B61),0))</f>
        <v/>
      </c>
      <c r="D64" s="2864"/>
      <c r="E64" s="2855"/>
      <c r="F64" s="2863" t="str">
        <f>IF(OR($B6=0,$B6=""),"",VLOOKUP($B6,$A$407:$AE$412,COLUMN(D61),0))</f>
        <v/>
      </c>
      <c r="G64" s="2864"/>
      <c r="H64" s="2855"/>
      <c r="I64" s="2863" t="str">
        <f>IF(OR($B6=0,$B6=""),"",VLOOKUP($B6,$A$407:$AE$412,COLUMN(G61),0))</f>
        <v/>
      </c>
      <c r="J64" s="2864"/>
      <c r="K64" s="2855"/>
      <c r="L64" s="2863" t="str">
        <f>IF(OR($B6=0,$B6=""),"",VLOOKUP($B6,$A$407:$AE$412,COLUMN(J61),0))</f>
        <v/>
      </c>
      <c r="M64" s="2864"/>
      <c r="N64" s="2855"/>
      <c r="O64" s="2863" t="str">
        <f>IF(OR($B6=0,$B6=""),"",VLOOKUP($B6,$A$407:$AE$412,COLUMN(M61),0))</f>
        <v/>
      </c>
      <c r="P64" s="2864"/>
      <c r="Q64" s="2855"/>
      <c r="R64" s="2863" t="str">
        <f>IF(OR($B6=0,$B6=""),"",VLOOKUP($B6,$A$407:$AE$412,COLUMN(P61),0))</f>
        <v/>
      </c>
      <c r="S64" s="2864"/>
      <c r="T64" s="2855"/>
      <c r="U64" s="2863" t="str">
        <f>IF(OR($B6=0,$B6=""),"",VLOOKUP($B6,$A$407:$AE$412,COLUMN(S61),0))</f>
        <v/>
      </c>
      <c r="V64" s="2864"/>
      <c r="W64" s="2855"/>
      <c r="X64" s="2863" t="str">
        <f>IF(OR($B6=0,$B6=""),"",VLOOKUP($B6,$A$407:$AE$412,COLUMN(V61),0))</f>
        <v/>
      </c>
      <c r="Y64" s="2864"/>
      <c r="Z64" s="2855"/>
      <c r="AA64" s="2863" t="str">
        <f>IF(OR($B6=0,$B6=""),"",VLOOKUP($B6,$A$407:$AE$412,COLUMN(Y61),0))</f>
        <v/>
      </c>
      <c r="AB64" s="2864"/>
      <c r="AC64" s="2855"/>
      <c r="AD64" s="2863" t="str">
        <f>IF(OR($B6=0,$B6=""),"",VLOOKUP($B6,$A$407:$AE$412,COLUMN(AB61),0))</f>
        <v/>
      </c>
      <c r="AE64" s="2864"/>
      <c r="AF64" s="2855"/>
      <c r="AG64" s="2863" t="str">
        <f>IF(OR($B6=0,$B6=""),"",VLOOKUP($B6,$A$407:$AE$412,COLUMN(AE61),0))</f>
        <v/>
      </c>
      <c r="AH64" s="2864"/>
      <c r="AI64" s="2855"/>
      <c r="AJ64" s="2863" t="str">
        <f>IF(OR($B6=0,$B6=""),"",VLOOKUP($B6,$A$407:$AE$412,COLUMN(AH61),0))</f>
        <v/>
      </c>
      <c r="AK64" s="2864"/>
      <c r="AL64" s="2855"/>
      <c r="AM64" s="2863" t="str">
        <f>IF(OR($B6=0,$B6=""),"",VLOOKUP($B6,$A$407:$AE$412,COLUMN(AK61),0))</f>
        <v/>
      </c>
      <c r="AN64" s="2864"/>
      <c r="AO64" s="2855"/>
      <c r="AP64" s="2863" t="str">
        <f>IF(OR($B6=0,$B6=""),"",VLOOKUP($B6,$A$407:$AE$412,COLUMN(AN61),0))</f>
        <v/>
      </c>
      <c r="AQ64" s="2864"/>
      <c r="AR64" s="2855"/>
      <c r="AS64" s="2863" t="str">
        <f>IF(OR($B6=0,$B6=""),"",VLOOKUP($B6,$A$407:$AE$412,COLUMN(AQ61),0))</f>
        <v/>
      </c>
      <c r="AT64" s="2864"/>
      <c r="AU64" s="2855"/>
      <c r="AV64" s="2863" t="str">
        <f>IF(OR($B6=0,$B6=""),"",VLOOKUP($B6,$A$407:$AE$412,COLUMN(AT61),0))</f>
        <v/>
      </c>
    </row>
    <row r="65" spans="1:48" ht="15" x14ac:dyDescent="0.2">
      <c r="A65" s="2865">
        <f>IF(AND(A7=0,B7=0,C7=0),0,A7&amp;" "&amp;B7&amp;" "&amp;IF(C7=0,"",TEXT(C7,"#.0,0%")))</f>
        <v>0</v>
      </c>
      <c r="B65" s="2866"/>
      <c r="C65" s="2867" t="str">
        <f>IF(OR($B7=0,$B7=""),"",VLOOKUP($B7,$A$414:$AE$419,COLUMN(B61),0))</f>
        <v/>
      </c>
      <c r="D65" s="2868"/>
      <c r="E65" s="2860"/>
      <c r="F65" s="2867" t="str">
        <f>IF(OR($B7=0,$B7=""),"",VLOOKUP($B7,$A$414:$AE$419,COLUMN(D61),0))</f>
        <v/>
      </c>
      <c r="G65" s="2868"/>
      <c r="H65" s="2860"/>
      <c r="I65" s="2867" t="str">
        <f>IF(OR($B7=0,$B7=""),"",VLOOKUP($B7,$A$414:$AE$419,COLUMN(G61),0))</f>
        <v/>
      </c>
      <c r="J65" s="2868"/>
      <c r="K65" s="2860"/>
      <c r="L65" s="2867" t="str">
        <f>IF(OR($B7=0,$B7=""),"",VLOOKUP($B7,$A$414:$AE$419,COLUMN(J61),0))</f>
        <v/>
      </c>
      <c r="M65" s="2868"/>
      <c r="N65" s="2860"/>
      <c r="O65" s="2867" t="str">
        <f>IF(OR($B7=0,$B7=""),"",VLOOKUP($B7,$A$414:$AE$419,COLUMN(M61),0))</f>
        <v/>
      </c>
      <c r="P65" s="2868"/>
      <c r="Q65" s="2860"/>
      <c r="R65" s="2867" t="str">
        <f>IF(OR($B7=0,$B7=""),"",VLOOKUP($B7,$A$414:$AE$419,COLUMN(P61),0))</f>
        <v/>
      </c>
      <c r="S65" s="2868"/>
      <c r="T65" s="2860"/>
      <c r="U65" s="2867" t="str">
        <f>IF(OR($B7=0,$B7=""),"",VLOOKUP($B7,$A$414:$AE$419,COLUMN(S61),0))</f>
        <v/>
      </c>
      <c r="V65" s="2868"/>
      <c r="W65" s="2860"/>
      <c r="X65" s="2867" t="str">
        <f>IF(OR($B7=0,$B7=""),"",VLOOKUP($B7,$A$414:$AE$419,COLUMN(V61),0))</f>
        <v/>
      </c>
      <c r="Y65" s="2868"/>
      <c r="Z65" s="2860"/>
      <c r="AA65" s="2867" t="str">
        <f>IF(OR($B7=0,$B7=""),"",VLOOKUP($B7,$A$414:$AE$419,COLUMN(Y61),0))</f>
        <v/>
      </c>
      <c r="AB65" s="2868"/>
      <c r="AC65" s="2860"/>
      <c r="AD65" s="2867" t="str">
        <f>IF(OR($B7=0,$B7=""),"",VLOOKUP($B7,$A$414:$AE$419,COLUMN(AB61),0))</f>
        <v/>
      </c>
      <c r="AE65" s="2868"/>
      <c r="AF65" s="2860"/>
      <c r="AG65" s="2867" t="str">
        <f>IF(OR($B7=0,$B7=""),"",VLOOKUP($B7,$A$414:$AE$419,COLUMN(AE61),0))</f>
        <v/>
      </c>
      <c r="AH65" s="2868"/>
      <c r="AI65" s="2860"/>
      <c r="AJ65" s="2867" t="str">
        <f>IF(OR($B7=0,$B7=""),"",VLOOKUP($B7,$A$414:$AE$419,COLUMN(AH61),0))</f>
        <v/>
      </c>
      <c r="AK65" s="2868"/>
      <c r="AL65" s="2860"/>
      <c r="AM65" s="2867" t="str">
        <f>IF(OR($B7=0,$B7=""),"",VLOOKUP($B7,$A$414:$AE$419,COLUMN(AK61),0))</f>
        <v/>
      </c>
      <c r="AN65" s="2868"/>
      <c r="AO65" s="2860"/>
      <c r="AP65" s="2867" t="str">
        <f>IF(OR($B7=0,$B7=""),"",VLOOKUP($B7,$A$414:$AE$419,COLUMN(AN61),0))</f>
        <v/>
      </c>
      <c r="AQ65" s="2868"/>
      <c r="AR65" s="2860"/>
      <c r="AS65" s="2867" t="str">
        <f>IF(OR($B7=0,$B7=""),"",VLOOKUP($B7,$A$414:$AE$419,COLUMN(AQ61),0))</f>
        <v/>
      </c>
      <c r="AT65" s="2868"/>
      <c r="AU65" s="2860"/>
      <c r="AV65" s="2867" t="str">
        <f>IF(OR($B7=0,$B7=""),"",VLOOKUP($B7,$A$414:$AE$419,COLUMN(AT61),0))</f>
        <v/>
      </c>
    </row>
    <row r="66" spans="1:48"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row>
    <row r="67" spans="1:48" x14ac:dyDescent="0.2">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row>
    <row r="68" spans="1:48" ht="13.5" thickBot="1" x14ac:dyDescent="0.25"/>
    <row r="69" spans="1:48" ht="24" thickTop="1" x14ac:dyDescent="0.2">
      <c r="A69" s="2869" t="s">
        <v>2042</v>
      </c>
      <c r="B69" s="2870"/>
      <c r="C69" s="2870"/>
      <c r="D69" s="2870"/>
      <c r="E69" s="2870"/>
      <c r="F69" s="2870"/>
      <c r="G69" s="2870"/>
      <c r="H69" s="2870"/>
      <c r="I69" s="2870"/>
      <c r="J69" s="2870"/>
      <c r="K69" s="2870"/>
      <c r="L69" s="2870"/>
      <c r="M69" s="2870"/>
      <c r="N69" s="2870"/>
      <c r="O69" s="2870"/>
      <c r="P69" s="2870"/>
      <c r="Q69" s="2870"/>
      <c r="R69" s="2870"/>
      <c r="S69" s="2870"/>
      <c r="T69" s="2870"/>
      <c r="U69" s="2870"/>
      <c r="V69" s="2870"/>
      <c r="W69" s="2870"/>
      <c r="X69" s="2870"/>
      <c r="Y69" s="2870"/>
      <c r="Z69" s="2870"/>
      <c r="AA69" s="2870"/>
      <c r="AB69" s="2870"/>
      <c r="AC69" s="2870"/>
      <c r="AD69" s="2870"/>
      <c r="AE69" s="2870"/>
      <c r="AF69" s="2870"/>
      <c r="AG69" s="2870"/>
      <c r="AH69" s="2870"/>
      <c r="AI69" s="2870"/>
      <c r="AJ69" s="2870"/>
      <c r="AK69" s="2870"/>
      <c r="AL69" s="2870"/>
      <c r="AM69" s="2870"/>
      <c r="AN69" s="2870"/>
      <c r="AO69" s="2870"/>
      <c r="AP69" s="2870"/>
      <c r="AQ69" s="2870"/>
      <c r="AR69" s="2870"/>
      <c r="AS69" s="2870"/>
      <c r="AT69" s="2870"/>
      <c r="AU69" s="2870"/>
      <c r="AV69" s="2870"/>
    </row>
    <row r="70" spans="1:48" x14ac:dyDescent="0.2"/>
    <row r="71" spans="1:48" x14ac:dyDescent="0.2">
      <c r="A71" s="2871" t="s">
        <v>1267</v>
      </c>
      <c r="B71" s="2872" t="s">
        <v>1520</v>
      </c>
    </row>
    <row r="72" spans="1:48" x14ac:dyDescent="0.2">
      <c r="A72" s="2873" t="s">
        <v>1269</v>
      </c>
      <c r="B72" s="2874" t="s">
        <v>1270</v>
      </c>
    </row>
    <row r="73" spans="1:48" ht="13.5" thickBot="1" x14ac:dyDescent="0.25"/>
    <row r="74" spans="1:48" ht="13.5" thickBot="1" x14ac:dyDescent="0.25">
      <c r="A74" s="2875" t="s">
        <v>2043</v>
      </c>
      <c r="B74" s="2876"/>
      <c r="C74" s="2876"/>
      <c r="D74" s="2876"/>
      <c r="E74" s="2877"/>
    </row>
    <row r="75" spans="1:48" x14ac:dyDescent="0.2">
      <c r="A75" s="2878" t="str">
        <f>IF(AND(A81=0,A81=""),"","1er. DESEMBOLSO - ")&amp;"AMORTIZACIÓN DE CAPITAL"</f>
        <v>AMORTIZACIÓN DE CAPITAL</v>
      </c>
      <c r="B75" s="2879"/>
      <c r="C75" s="2880"/>
      <c r="D75" s="2876"/>
      <c r="E75" s="2876"/>
      <c r="F75" s="2876"/>
      <c r="G75" s="2876"/>
      <c r="H75" s="2876"/>
      <c r="I75" s="2876"/>
      <c r="J75" s="2876"/>
      <c r="K75" s="2876"/>
      <c r="L75" s="2876"/>
      <c r="M75" s="2876"/>
      <c r="N75" s="2876"/>
      <c r="O75" s="2876"/>
      <c r="P75" s="2876"/>
      <c r="Q75" s="2876"/>
      <c r="R75" s="2876"/>
      <c r="S75" s="2876"/>
      <c r="T75" s="2876"/>
      <c r="U75" s="2876"/>
      <c r="V75" s="2876"/>
      <c r="W75" s="2876"/>
      <c r="X75" s="2876"/>
      <c r="Y75" s="2876"/>
      <c r="Z75" s="2876"/>
      <c r="AA75" s="2876"/>
      <c r="AB75" s="2876"/>
      <c r="AC75" s="2876"/>
      <c r="AD75" s="2876"/>
      <c r="AE75" s="2876"/>
      <c r="AF75" s="2876"/>
      <c r="AG75" s="2876"/>
      <c r="AH75" s="2876"/>
      <c r="AI75" s="2876"/>
      <c r="AJ75" s="2876"/>
      <c r="AK75" s="2876"/>
      <c r="AL75" s="2876"/>
      <c r="AM75" s="2876"/>
      <c r="AN75" s="2876"/>
      <c r="AO75" s="2876"/>
      <c r="AP75" s="2876"/>
      <c r="AQ75" s="2876"/>
      <c r="AR75" s="2876"/>
      <c r="AS75" s="2876"/>
      <c r="AT75" s="2876"/>
      <c r="AU75" s="2876"/>
      <c r="AV75" s="2877"/>
    </row>
    <row r="76" spans="1:48" x14ac:dyDescent="0.2">
      <c r="A76" s="2881" t="str">
        <f>IF(AND(A81=0,A81=""),"","1er. DESEMBOLSO - ")&amp;"MONTO DEL CRÉDITO"</f>
        <v>MONTO DEL CRÉDITO</v>
      </c>
      <c r="B76" s="2882"/>
      <c r="AV76" s="2883"/>
    </row>
    <row r="77" spans="1:48" x14ac:dyDescent="0.2">
      <c r="A77" s="2881" t="str">
        <f>IF(AND(A81=0,A81=""),"","1er. DESEMBOLSO - ")&amp;"PLAZO (AÑOS) CON PERÍODO DE GRACIA"</f>
        <v>PLAZO (AÑOS) CON PERÍODO DE GRACIA</v>
      </c>
      <c r="B77" s="2884"/>
      <c r="AV77" s="2883"/>
    </row>
    <row r="78" spans="1:48" x14ac:dyDescent="0.2">
      <c r="A78" s="2881" t="str">
        <f>IF(AND(A81=0,A81=""),"","1er. DESEMBOLSO - ")&amp;"PERÍODO DE GRACIA (MESES)"</f>
        <v>PERÍODO DE GRACIA (MESES)</v>
      </c>
      <c r="B78" s="2884"/>
      <c r="AV78" s="2883"/>
    </row>
    <row r="79" spans="1:48" x14ac:dyDescent="0.2">
      <c r="A79" s="2881" t="str">
        <f>IF(AND(A81=0,A81=""),"","1er. DESEMBOLSO - ")&amp;"MES DE DESEMBOLSO"</f>
        <v>MES DE DESEMBOLSO</v>
      </c>
      <c r="B79" s="2884"/>
      <c r="AV79" s="2883"/>
    </row>
    <row r="80" spans="1:48" x14ac:dyDescent="0.2">
      <c r="A80" s="2885" t="str">
        <f>IF(AND(A81=0,A81=""),"","1er. DESEMBOLSO - ")&amp;"AÑO DE DESEMBOLSO"</f>
        <v>AÑO DE DESEMBOLSO</v>
      </c>
      <c r="B80" s="2886"/>
      <c r="AV80" s="2883"/>
    </row>
    <row r="81" spans="1:48" x14ac:dyDescent="0.2">
      <c r="A81" s="2887"/>
      <c r="B81" s="2888">
        <f ca="1">B$11</f>
        <v>2023</v>
      </c>
      <c r="D81" s="2888">
        <f ca="1">D$11</f>
        <v>2024</v>
      </c>
      <c r="G81" s="2888">
        <f ca="1">G$11</f>
        <v>2025</v>
      </c>
      <c r="J81" s="2888">
        <f ca="1">J$11</f>
        <v>2026</v>
      </c>
      <c r="M81" s="2888">
        <f ca="1">M$11</f>
        <v>2027</v>
      </c>
      <c r="P81" s="2888">
        <f ca="1">P$11</f>
        <v>2028</v>
      </c>
      <c r="S81" s="2888">
        <f ca="1">S$11</f>
        <v>2029</v>
      </c>
      <c r="V81" s="2888">
        <f ca="1">V$11</f>
        <v>2030</v>
      </c>
      <c r="Y81" s="2888">
        <f ca="1">Y$11</f>
        <v>2031</v>
      </c>
      <c r="AB81" s="2888">
        <f ca="1">AB$11</f>
        <v>2032</v>
      </c>
      <c r="AE81" s="2888">
        <f ca="1">AE$11</f>
        <v>2033</v>
      </c>
      <c r="AH81" s="2888">
        <f ca="1">AH$11</f>
        <v>2034</v>
      </c>
      <c r="AK81" s="2888">
        <f ca="1">AK$11</f>
        <v>2035</v>
      </c>
      <c r="AN81" s="2888">
        <f ca="1">AN$11</f>
        <v>2036</v>
      </c>
      <c r="AQ81" s="2888">
        <f ca="1">AQ$11</f>
        <v>2037</v>
      </c>
      <c r="AT81" s="2888">
        <f ca="1">AT$11</f>
        <v>2038</v>
      </c>
      <c r="AV81" s="2883"/>
    </row>
    <row r="82" spans="1:48" x14ac:dyDescent="0.2">
      <c r="A82" s="2889" t="str">
        <f>IF(AND(A81=0,A81=""),"","1er. DESEMBOLSO - ")&amp;"% AMORTIZACIÓN ANUAL"</f>
        <v>% AMORTIZACIÓN ANUAL</v>
      </c>
      <c r="B82" s="2890">
        <f>IF(OR($B77=0,$B77="",$B75=""),0,IF(AND(B81-$B80&gt;=0,B81&lt;=$B80+$B77,ROUNDDOWN(B81,0)=ROUNDDOWN($C$356,0)),IF(ROUNDDOWN(B81,0)=ROUNDDOWN($C$356,0),ROUND($E$356*VLOOKUP($B75,$P$357:$R$360,3,0)/$H$356,2),ROUND(VLOOKUP($B75,$P$357:$R$360,3,0)/$H$356,2)),0))</f>
        <v>0</v>
      </c>
      <c r="D82" s="2890">
        <f>IF(OR($B77=0,$B77="",$B75=""),0,IF(AND(ROUNDDOWN(D81,0)&gt;=ROUNDDOWN($C$356,0),1-$B82&lt;VLOOKUP($B75,$P$357:$R$360,3,0)/$H$356),1-$B82,IF(ROUNDDOWN(D81,0)&gt;=ROUNDDOWN($C$356,0),IF(ROUNDDOWN(D81,0)=ROUNDDOWN($C$356,0),ROUND($E$356*VLOOKUP($B75,$P$357:$R$360,3,0)/$H$356,2),ROUND(VLOOKUP($B75,$P$357:$R$360,3,0)/$H$356,2)),0)))</f>
        <v>0</v>
      </c>
      <c r="G82" s="2890">
        <f>IF(OR($B77=0,$B77="",$B75=""),0,IF(AND(ROUNDDOWN(G81,0)&gt;=ROUNDDOWN($C$356,0),1-SUM($B82:D82)&lt;VLOOKUP($B75,$P$357:$R$360,3,0)/$H$356),1-SUM($B82:D82),IF(ROUNDDOWN(G81,0)&gt;=ROUNDDOWN($C$356,0),IF(ROUNDDOWN(G81,0)=ROUNDDOWN($C$356,0),ROUND($E$356*VLOOKUP($B75,$P$357:$R$360,3,0)/$H$356,2),ROUND(VLOOKUP($B75,$P$357:$R$360,3,0)/$H$356,2)),0)))</f>
        <v>0</v>
      </c>
      <c r="J82" s="2890">
        <f>IF(OR($B77=0,$B77="",$B75=""),0,IF(AND(ROUNDDOWN(J81,0)&gt;=ROUNDDOWN($C$356,0),1-SUM($B82:G82)&lt;VLOOKUP($B75,$P$357:$R$360,3,0)/$H$356),1-SUM($B82:G82),IF(ROUNDDOWN(J81,0)&gt;=ROUNDDOWN($C$356,0),IF(ROUNDDOWN(J81,0)=ROUNDDOWN($C$356,0),ROUND($E$356*VLOOKUP($B75,$P$357:$R$360,3,0)/$H$356,2),ROUND(VLOOKUP($B75,$P$357:$R$360,3,0)/$H$356,2)),0)))</f>
        <v>0</v>
      </c>
      <c r="M82" s="2890">
        <f>IF(OR($B77=0,$B77="",$B75=""),0,IF(AND(ROUNDDOWN(M81,0)&gt;=ROUNDDOWN($C$356,0),1-SUM($B82:J82)&lt;VLOOKUP($B75,$P$357:$R$360,3,0)/$H$356),1-SUM($B82:J82),IF(ROUNDDOWN(M81,0)&gt;=ROUNDDOWN($C$356,0),IF(ROUNDDOWN(M81,0)=ROUNDDOWN($C$356,0),ROUND($E$356*VLOOKUP($B75,$P$357:$R$360,3,0)/$H$356,2),ROUND(VLOOKUP($B75,$P$357:$R$360,3,0)/$H$356,2)),0)))</f>
        <v>0</v>
      </c>
      <c r="P82" s="2890">
        <f>IF(OR($B77=0,$B77="",$B75=""),0,IF(AND(ROUNDDOWN(P81,0)&gt;=ROUNDDOWN($C$356,0),1-SUM($B82:M82)&lt;VLOOKUP($B75,$P$357:$R$360,3,0)/$H$356),1-SUM($B82:M82),IF(ROUNDDOWN(P81,0)&gt;=ROUNDDOWN($C$356,0),IF(ROUNDDOWN(P81,0)=ROUNDDOWN($C$356,0),ROUND($E$356*VLOOKUP($B75,$P$357:$R$360,3,0)/$H$356,2),ROUND(VLOOKUP($B75,$P$357:$R$360,3,0)/$H$356,2)),0)))</f>
        <v>0</v>
      </c>
      <c r="S82" s="2890">
        <f>IF(OR($B77=0,$B77="",$B75=""),0,IF(AND(ROUNDDOWN(S81,0)&gt;=ROUNDDOWN($C$356,0),1-SUM($B82:P82)&lt;VLOOKUP($B75,$P$357:$R$360,3,0)/$H$356),1-SUM($B82:P82),IF(ROUNDDOWN(S81,0)&gt;=ROUNDDOWN($C$356,0),IF(ROUNDDOWN(S81,0)=ROUNDDOWN($C$356,0),ROUND($E$356*VLOOKUP($B75,$P$357:$R$360,3,0)/$H$356,2),ROUND(VLOOKUP($B75,$P$357:$R$360,3,0)/$H$356,2)),0)))</f>
        <v>0</v>
      </c>
      <c r="V82" s="2890">
        <f>IF(OR($B77=0,$B77="",$B75=""),0,IF(AND(ROUNDDOWN(V81,0)&gt;=ROUNDDOWN($C$356,0),1-SUM($B82:S82)&lt;VLOOKUP($B75,$P$357:$R$360,3,0)/$H$356),1-SUM($B82:S82),IF(ROUNDDOWN(V81,0)&gt;=ROUNDDOWN($C$356,0),IF(ROUNDDOWN(V81,0)=ROUNDDOWN($C$356,0),ROUND($E$356*VLOOKUP($B75,$P$357:$R$360,3,0)/$H$356,2),ROUND(VLOOKUP($B75,$P$357:$R$360,3,0)/$H$356,2)),0)))</f>
        <v>0</v>
      </c>
      <c r="Y82" s="2890">
        <f>IF(OR($B77=0,$B77="",$B75=""),0,IF(AND(ROUNDDOWN(Y81,0)&gt;=ROUNDDOWN($C$356,0),1-SUM($B82:V82)&lt;VLOOKUP($B75,$P$357:$R$360,3,0)/$H$356),1-SUM($B82:V82),IF(ROUNDDOWN(Y81,0)&gt;=ROUNDDOWN($C$356,0),IF(ROUNDDOWN(Y81,0)=ROUNDDOWN($C$356,0),ROUND($E$356*VLOOKUP($B75,$P$357:$R$360,3,0)/$H$356,2),ROUND(VLOOKUP($B75,$P$357:$R$360,3,0)/$H$356,2)),0)))</f>
        <v>0</v>
      </c>
      <c r="AB82" s="2890">
        <f>IF(OR($B77=0,$B77="",$B75=""),0,IF(AND(ROUNDDOWN(AB81,0)&gt;=ROUNDDOWN($C$356,0),1-SUM($B82:Y82)&lt;VLOOKUP($B75,$P$357:$R$360,3,0)/$H$356),1-SUM($B82:Y82),IF(ROUNDDOWN(AB81,0)&gt;=ROUNDDOWN($C$356,0),IF(ROUNDDOWN(AB81,0)=ROUNDDOWN($C$356,0),ROUND($E$356*VLOOKUP($B75,$P$357:$R$360,3,0)/$H$356,2),ROUND(VLOOKUP($B75,$P$357:$R$360,3,0)/$H$356,2)),0)))</f>
        <v>0</v>
      </c>
      <c r="AE82" s="2890">
        <f>IF(OR($B77=0,$B77="",$B75=""),0,IF(AND(ROUNDDOWN(AE81,0)&gt;=ROUNDDOWN($C$356,0),1-SUM($B82:AB82)&lt;VLOOKUP($B75,$P$357:$R$360,3,0)/$H$356),1-SUM($B82:AB82),IF(ROUNDDOWN(AE81,0)&gt;=ROUNDDOWN($C$356,0),IF(ROUNDDOWN(AE81,0)=ROUNDDOWN($C$356,0),ROUND($E$356*VLOOKUP($B75,$P$357:$R$360,3,0)/$H$356,2),ROUND(VLOOKUP($B75,$P$357:$R$360,3,0)/$H$356,2)),0)))</f>
        <v>0</v>
      </c>
      <c r="AH82" s="2890">
        <f>IF(OR($B77=0,$B77="",$B75=""),0,IF(AND(ROUNDDOWN(AH81,0)&gt;=ROUNDDOWN($C$356,0),1-SUM($B82:AE82)&lt;VLOOKUP($B75,$P$357:$R$360,3,0)/$H$356),1-SUM($B82:AE82),IF(ROUNDDOWN(AH81,0)&gt;=ROUNDDOWN($C$356,0),IF(ROUNDDOWN(AH81,0)=ROUNDDOWN($C$356,0),ROUND($E$356*VLOOKUP($B75,$P$357:$R$360,3,0)/$H$356,2),ROUND(VLOOKUP($B75,$P$357:$R$360,3,0)/$H$356,2)),0)))</f>
        <v>0</v>
      </c>
      <c r="AK82" s="2890">
        <f>IF(OR($B77=0,$B77="",$B75=""),0,IF(AND(ROUNDDOWN(AK81,0)&gt;=ROUNDDOWN($C$356,0),1-SUM($B82:AH82)&lt;VLOOKUP($B75,$P$357:$R$360,3,0)/$H$356),1-SUM($B82:AH82),IF(ROUNDDOWN(AK81,0)&gt;=ROUNDDOWN($C$356,0),IF(ROUNDDOWN(AK81,0)=ROUNDDOWN($C$356,0),ROUND($E$356*VLOOKUP($B75,$P$357:$R$360,3,0)/$H$356,2),ROUND(VLOOKUP($B75,$P$357:$R$360,3,0)/$H$356,2)),0)))</f>
        <v>0</v>
      </c>
      <c r="AN82" s="2890">
        <f>IF(OR($B77=0,$B77="",$B75=""),0,IF(AND(ROUNDDOWN(AN81,0)&gt;=ROUNDDOWN($C$356,0),1-SUM($B82:AK82)&lt;VLOOKUP($B75,$P$357:$R$360,3,0)/$H$356),1-SUM($B82:AK82),IF(ROUNDDOWN(AN81,0)&gt;=ROUNDDOWN($C$356,0),IF(ROUNDDOWN(AN81,0)=ROUNDDOWN($C$356,0),ROUND($E$356*VLOOKUP($B75,$P$357:$R$360,3,0)/$H$356,2),ROUND(VLOOKUP($B75,$P$357:$R$360,3,0)/$H$356,2)),0)))</f>
        <v>0</v>
      </c>
      <c r="AQ82" s="2890">
        <f>IF(OR($B77=0,$B77="",$B75=""),0,IF(AND(ROUNDDOWN(AQ81,0)&gt;=ROUNDDOWN($C$356,0),1-SUM($B82:AN82)&lt;VLOOKUP($B75,$P$357:$R$360,3,0)/$H$356),1-SUM($B82:AN82),IF(ROUNDDOWN(AQ81,0)&gt;=ROUNDDOWN($C$356,0),IF(ROUNDDOWN(AQ81,0)=ROUNDDOWN($C$356,0),ROUND($E$356*VLOOKUP($B75,$P$357:$R$360,3,0)/$H$356,2),ROUND(VLOOKUP($B75,$P$357:$R$360,3,0)/$H$356,2)),0)))</f>
        <v>0</v>
      </c>
      <c r="AT82" s="2890">
        <f>IF(OR($B77=0,$B77="",$B75=""),0,IF(AND(ROUNDDOWN(AT81,0)&gt;=ROUNDDOWN($C$356,0),1-SUM($B82:AQ82)&lt;VLOOKUP($B75,$P$357:$R$360,3,0)/$H$356),1-SUM($B82:AQ82),IF(ROUNDDOWN(AT81,0)&gt;=ROUNDDOWN($C$356,0),IF(ROUNDDOWN(AT81,0)=ROUNDDOWN($C$356,0),ROUND($E$356*VLOOKUP($B75,$P$357:$R$360,3,0)/$H$356,2),ROUND(VLOOKUP($B75,$P$357:$R$360,3,0)/$H$356,2)),0)))</f>
        <v>0</v>
      </c>
      <c r="AV82" s="2883"/>
    </row>
    <row r="83" spans="1:48" x14ac:dyDescent="0.2">
      <c r="A83" s="2891" t="str">
        <f>IF(AND(A81=0,A81=""),"","1er. DESEMBOLSO - ")&amp;"AMORTIZACIÓN"</f>
        <v>AMORTIZACIÓN</v>
      </c>
      <c r="B83" s="2892">
        <f>$B76*B82</f>
        <v>0</v>
      </c>
      <c r="D83" s="2892">
        <f ca="1">IF($B80&gt;D81,0,D82*$B76)</f>
        <v>0</v>
      </c>
      <c r="G83" s="2892">
        <f ca="1">IF($B80&gt;G81,0,G82*$B76)</f>
        <v>0</v>
      </c>
      <c r="J83" s="2892">
        <f ca="1">IF($B80&gt;J81,0,J82*$B76)</f>
        <v>0</v>
      </c>
      <c r="M83" s="2892">
        <f ca="1">IF($B80&gt;M81,0,M82*$B76)</f>
        <v>0</v>
      </c>
      <c r="P83" s="2892">
        <f ca="1">IF($B80&gt;P81,0,P82*$B76)</f>
        <v>0</v>
      </c>
      <c r="S83" s="2892">
        <f ca="1">IF($B80&gt;S81,0,S82*$B76)</f>
        <v>0</v>
      </c>
      <c r="V83" s="2892">
        <f ca="1">IF($B80&gt;V81,0,V82*$B76)</f>
        <v>0</v>
      </c>
      <c r="Y83" s="2892">
        <f ca="1">IF($B80&gt;Y81,0,Y82*$B76)</f>
        <v>0</v>
      </c>
      <c r="AB83" s="2892">
        <f ca="1">IF($B80&gt;AB81,0,AB82*$B76)</f>
        <v>0</v>
      </c>
      <c r="AE83" s="2892">
        <f ca="1">IF($B80&gt;AE81,0,AE82*$B76)</f>
        <v>0</v>
      </c>
      <c r="AH83" s="2892">
        <f ca="1">IF($B80&gt;AH81,0,AH82*$B76)</f>
        <v>0</v>
      </c>
      <c r="AK83" s="2892">
        <f ca="1">IF($B80&gt;AK81,0,AK82*$B76)</f>
        <v>0</v>
      </c>
      <c r="AN83" s="2892">
        <f ca="1">IF($B80&gt;AN81,0,AN82*$B76)</f>
        <v>0</v>
      </c>
      <c r="AQ83" s="2892">
        <f ca="1">IF($B80&gt;AQ81,0,AQ82*$B76)</f>
        <v>0</v>
      </c>
      <c r="AT83" s="2892">
        <f ca="1">IF($B80&gt;AT81,0,AT82*$B76)</f>
        <v>0</v>
      </c>
      <c r="AV83" s="2883"/>
    </row>
    <row r="84" spans="1:48" x14ac:dyDescent="0.2">
      <c r="A84" s="2885" t="str">
        <f>IF(AND(A81=0,A81=""),"","1er. DESEMBOLSO - ")&amp;"SALDO "</f>
        <v xml:space="preserve">SALDO </v>
      </c>
      <c r="B84" s="2893">
        <f ca="1">IF($B80&gt;B81,0,B76-B83)</f>
        <v>0</v>
      </c>
      <c r="D84" s="2893">
        <f ca="1">IF($B80&gt;D81,0,IF($B80=D81,$B76-D83,IF(B84-D83&lt;0.005,0,B84-D83)))</f>
        <v>0</v>
      </c>
      <c r="G84" s="2893">
        <f ca="1">IF($B80&gt;G81,0,IF($B80=G81,$B76-G83,IF(+D84-G83&lt;0.005,0,+D84-G83)))</f>
        <v>0</v>
      </c>
      <c r="J84" s="2893">
        <f ca="1">IF($B80&gt;J81,0,IF($B80=J81,$B76-J83,IF(+G84-J83&lt;0.005,0,+G84-J83)))</f>
        <v>0</v>
      </c>
      <c r="M84" s="2893">
        <f ca="1">IF($B80&gt;M81,0,IF($B80=M81,$B76-M83,IF(+J84-M83&lt;0.005,0,+J84-M83)))</f>
        <v>0</v>
      </c>
      <c r="P84" s="2893">
        <f ca="1">IF($B80&gt;P81,0,IF($B80=P81,$B76-P83,IF(+M84-P83&lt;0.005,0,+M84-P83)))</f>
        <v>0</v>
      </c>
      <c r="S84" s="2893">
        <f ca="1">IF($B80&gt;S81,0,IF($B80=S81,$B76-S83,IF(+P84-S83&lt;0.005,0,+P84-S83)))</f>
        <v>0</v>
      </c>
      <c r="V84" s="2893">
        <f ca="1">IF($B80&gt;V81,0,IF($B80=V81,$B76-V83,IF(+S84-V83&lt;0.005,0,+S84-V83)))</f>
        <v>0</v>
      </c>
      <c r="Y84" s="2893">
        <f ca="1">IF($B80&gt;Y81,0,IF($B80=Y81,$B76-Y83,IF(+V84-Y83&lt;0.005,0,+V84-Y83)))</f>
        <v>0</v>
      </c>
      <c r="AB84" s="2893">
        <f ca="1">IF($B80&gt;AB81,0,IF($B80=AB81,$B76-AB83,IF(+Y84-AB83&lt;0.005,0,+Y84-AB83)))</f>
        <v>0</v>
      </c>
      <c r="AE84" s="2893">
        <f ca="1">IF($B80&gt;AE81,0,IF($B80=AE81,$B76-AE83,IF(+AB84-AE83&lt;0.005,0,+AB84-AE83)))</f>
        <v>0</v>
      </c>
      <c r="AH84" s="2893">
        <f ca="1">IF($B80&gt;AH81,0,IF($B80=AH81,$B76-AH83,IF(+AE84-AH83&lt;0.005,0,+AE84-AH83)))</f>
        <v>0</v>
      </c>
      <c r="AK84" s="2893">
        <f ca="1">IF($B80&gt;AK81,0,IF($B80=AK81,$B76-AK83,IF(+AH84-AK83&lt;0.005,0,+AH84-AK83)))</f>
        <v>0</v>
      </c>
      <c r="AN84" s="2893">
        <f ca="1">IF($B80&gt;AN81,0,IF($B80=AN81,$B76-AN83,IF(+AK84-AN83&lt;0.005,0,+AK84-AN83)))</f>
        <v>0</v>
      </c>
      <c r="AQ84" s="2893">
        <f ca="1">IF($B80&gt;AQ81,0,IF($B80=AQ81,$B76-AQ83,IF(+AN84-AQ83&lt;0.005,0,+AN84-AQ83)))</f>
        <v>0</v>
      </c>
      <c r="AT84" s="2893">
        <f ca="1">IF($B80&gt;AT81,0,IF($B80=AT81,$B76-AT83,IF(+AQ84-AT83&lt;0.005,0,+AQ84-AT83)))</f>
        <v>0</v>
      </c>
      <c r="AV84" s="2883"/>
    </row>
    <row r="85" spans="1:48" x14ac:dyDescent="0.2">
      <c r="A85" s="2889" t="str">
        <f>IF(AND(A81=0,A81=""),"","1er. DESEMBOLSO - ")&amp;"TASA DE FINANCIACIÓN E.A."</f>
        <v>TASA DE FINANCIACIÓN E.A.</v>
      </c>
      <c r="B85" s="2890"/>
      <c r="D85" s="2890">
        <f>B85</f>
        <v>0</v>
      </c>
      <c r="G85" s="2890">
        <f>D85</f>
        <v>0</v>
      </c>
      <c r="J85" s="2890">
        <f>G85</f>
        <v>0</v>
      </c>
      <c r="M85" s="2890">
        <f>J85</f>
        <v>0</v>
      </c>
      <c r="P85" s="2890">
        <f>M85</f>
        <v>0</v>
      </c>
      <c r="S85" s="2890">
        <f>P85</f>
        <v>0</v>
      </c>
      <c r="V85" s="2890">
        <f>S85</f>
        <v>0</v>
      </c>
      <c r="Y85" s="2890">
        <f>V85</f>
        <v>0</v>
      </c>
      <c r="AB85" s="2890">
        <f>Y85</f>
        <v>0</v>
      </c>
      <c r="AE85" s="2890">
        <f>AB85</f>
        <v>0</v>
      </c>
      <c r="AH85" s="2890">
        <f>AE85</f>
        <v>0</v>
      </c>
      <c r="AK85" s="2890">
        <f>AH85</f>
        <v>0</v>
      </c>
      <c r="AN85" s="2890">
        <f>AK85</f>
        <v>0</v>
      </c>
      <c r="AQ85" s="2890">
        <f>AN85</f>
        <v>0</v>
      </c>
      <c r="AT85" s="2890">
        <f>AQ85</f>
        <v>0</v>
      </c>
      <c r="AV85" s="2883"/>
    </row>
    <row r="86" spans="1:48" x14ac:dyDescent="0.2">
      <c r="A86" s="2889" t="str">
        <f>IF(AND(A81=0,A81=""),"","1er. DESEMBOLSO - ")&amp;"CÁLCULO INTERESES"</f>
        <v>CÁLCULO INTERESES</v>
      </c>
      <c r="B86" s="2894">
        <f ca="1">IF(OR($B80&lt;&gt;B81,B85="",B85=0),0,IF(AND(B82=0,$I$356=1),B85,IF(B82=0,NOMINAL(B85,12)*IF($B80=B81,$I$356,1),IF(AND($B80=B81,ROUNDDOWN($C$356,0)=B81),$E$356,1)*NOMINAL(B85,VLOOKUP($B75,$P$357:$R$360,3,0))/VLOOKUP($B75,$P$357:$R$360,3,0)))*((IF(B82=0,1,IF(AND($B80=B81,B82&lt;ROUNDDOWN(VLOOKUP($B75,$P$357:$R$360,3,0)/$H$356,0)),ROUNDDOWN(B82*$H$356,0),IF(AND($B80&lt;B81,B82&lt;ROUNDDOWN(VLOOKUP($B75,$P$357:$R$360,3,0)/$H$356,0)),ROUND(AVERAGE(ROUNDDOWN(B82*$H$356,0),2*VLOOKUP($B75,$P$357:$R$360,3,0)),0),VLOOKUP($B75,$P$357:$R$360,3,0))))*$B76)-((B83*(IF(B82=0,1,IF(AND($B80=B81,B82&lt;ROUNDDOWN(VLOOKUP($B75,$P$357:$R$360,3,0)/$H$356,0)),ROUNDDOWN(B82*$H$356,0),IF(AND($B80&lt;B81,B82&lt;ROUNDDOWN(VLOOKUP($B75,$P$357:$R$360,3,0)/$H$356,0)),ROUND(AVERAGE(ROUNDDOWN(B82*$H$356,0),2*VLOOKUP($B75,$P$357:$R$360,3,0)),0),VLOOKUP($B75,$P$357:$R$360,3,0))))-1))/2)))</f>
        <v>0</v>
      </c>
      <c r="C86" s="2895"/>
      <c r="D86" s="2894">
        <f ca="1">IF(OR($B80&gt;D81,D85="",D85=0),0,IF(AND(D82=0,OR(D81&gt;$B80,$I$356=1)),D85,IF(D82=0,NOMINAL(D85,12)*IF($B80=D81,$I$356,1),IF(AND($B80=D81,ROUNDDOWN($C$356,0)=D81),$E$356,1)*NOMINAL(D85,VLOOKUP($B75,$P$357:$R$360,3,0))/VLOOKUP($B75,$P$357:$R$360,3,0)))*((IF(D82=0,1,IF(AND($B80=D81,D82&lt;ROUNDDOWN(VLOOKUP($B75,$P$357:$R$360,3,0)/$H$356,0)),ROUNDDOWN(D82*$H$356,0),IF(AND($B80&lt;D81,D82&lt;ROUNDDOWN(VLOOKUP($B75,$P$357:$R$360,3,0)/$H$356,0)),ROUND(AVERAGE(ROUNDDOWN(D82*$H$356,0),2*VLOOKUP($B75,$P$357:$R$360,3,0)),0),VLOOKUP($B75,$P$357:$R$360,3,0))))*IF($B80=D81,$B76,SUM(B84:B84)))-((D83*(IF(D82=0,1,IF(AND($B80=D81,D82&lt;ROUNDDOWN(VLOOKUP($B75,$P$357:$R$360,3,0)/$H$356,0)),ROUNDDOWN(D82*$H$356,0),IF(AND($B80&lt;D81,D82&lt;ROUNDDOWN(VLOOKUP($B75,$P$357:$R$360,3,0)/$H$356,0)),ROUND(AVERAGE(ROUNDDOWN(D82*$H$356,0),2*VLOOKUP($B75,$P$357:$R$360,3,0)),0),VLOOKUP($B75,$P$357:$R$360,3,0))))-1))/2)))</f>
        <v>0</v>
      </c>
      <c r="E86" s="21"/>
      <c r="F86" s="21"/>
      <c r="G86" s="2894">
        <f ca="1">IF(OR($B80&gt;G81,G85="",G85=0),0,IF(AND(G82=0,OR(G81&gt;$B80,$I$356=1)),G85,IF(G82=0,NOMINAL(G85,12)*IF($B80=G81,$I$356,1),IF(AND($B80=G81,ROUNDDOWN($C$356,0)=G81),$E$356,1)*NOMINAL(G85,VLOOKUP($B75,$P$357:$R$360,3,0))/VLOOKUP($B75,$P$357:$R$360,3,0)))*((IF(G82=0,1,IF(AND($B80=G81,G82&lt;ROUNDDOWN(VLOOKUP($B75,$P$357:$R$360,3,0)/$H$356,0)),ROUNDDOWN(G82*$H$356,0),IF(AND($B80&lt;G81,G82&lt;ROUNDDOWN(VLOOKUP($B75,$P$357:$R$360,3,0)/$H$356,0)),ROUND(AVERAGE(ROUNDDOWN(G82*$H$356,0),2*VLOOKUP($B75,$P$357:$R$360,3,0)),0),VLOOKUP($B75,$P$357:$R$360,3,0))))*IF($B80=G81,$B76,SUM(D84:D84)))-((G83*(IF(G82=0,1,IF(AND($B80=G81,G82&lt;ROUNDDOWN(VLOOKUP($B75,$P$357:$R$360,3,0)/$H$356,0)),ROUNDDOWN(G82*$H$356,0),IF(AND($B80&lt;G81,G82&lt;ROUNDDOWN(VLOOKUP($B75,$P$357:$R$360,3,0)/$H$356,0)),ROUND(AVERAGE(ROUNDDOWN(G82*$H$356,0),2*VLOOKUP($B75,$P$357:$R$360,3,0)),0),VLOOKUP($B75,$P$357:$R$360,3,0))))-1))/2)))</f>
        <v>0</v>
      </c>
      <c r="H86" s="21"/>
      <c r="I86" s="21"/>
      <c r="J86" s="2894">
        <f ca="1">IF(OR($B80&gt;J81,J85="",J85=0),0,IF(AND(J82=0,OR(J81&gt;$B80,$I$356=1)),J85,IF(J82=0,NOMINAL(J85,12)*IF($B80=J81,$I$356,1),IF(AND($B80=J81,ROUNDDOWN($C$356,0)=J81),$E$356,1)*NOMINAL(J85,VLOOKUP($B75,$P$357:$R$360,3,0))/VLOOKUP($B75,$P$357:$R$360,3,0)))*((IF(J82=0,1,IF(AND($B80=J81,J82&lt;ROUNDDOWN(VLOOKUP($B75,$P$357:$R$360,3,0)/$H$356,0)),ROUNDDOWN(J82*$H$356,0),IF(AND($B80&lt;J81,J82&lt;ROUNDDOWN(VLOOKUP($B75,$P$357:$R$360,3,0)/$H$356,0)),ROUND(AVERAGE(ROUNDDOWN(J82*$H$356,0),2*VLOOKUP($B75,$P$357:$R$360,3,0)),0),VLOOKUP($B75,$P$357:$R$360,3,0))))*IF($B80=J81,$B76,SUM(G84:G84)))-((J83*(IF(J82=0,1,IF(AND($B80=J81,J82&lt;ROUNDDOWN(VLOOKUP($B75,$P$357:$R$360,3,0)/$H$356,0)),ROUNDDOWN(J82*$H$356,0),IF(AND($B80&lt;J81,J82&lt;ROUNDDOWN(VLOOKUP($B75,$P$357:$R$360,3,0)/$H$356,0)),ROUND(AVERAGE(ROUNDDOWN(J82*$H$356,0),2*VLOOKUP($B75,$P$357:$R$360,3,0)),0),VLOOKUP($B75,$P$357:$R$360,3,0))))-1))/2)))</f>
        <v>0</v>
      </c>
      <c r="K86" s="21"/>
      <c r="L86" s="21"/>
      <c r="M86" s="2894">
        <f ca="1">IF(OR($B80&gt;M81,M85="",M85=0),0,IF(AND(M82=0,OR(M81&gt;$B80,$I$356=1)),M85,IF(M82=0,NOMINAL(M85,12)*IF($B80=M81,$I$356,1),IF(AND($B80=M81,ROUNDDOWN($C$356,0)=M81),$E$356,1)*NOMINAL(M85,VLOOKUP($B75,$P$357:$R$360,3,0))/VLOOKUP($B75,$P$357:$R$360,3,0)))*((IF(M82=0,1,IF(AND($B80=M81,M82&lt;ROUNDDOWN(VLOOKUP($B75,$P$357:$R$360,3,0)/$H$356,0)),ROUNDDOWN(M82*$H$356,0),IF(AND($B80&lt;M81,M82&lt;ROUNDDOWN(VLOOKUP($B75,$P$357:$R$360,3,0)/$H$356,0)),ROUND(AVERAGE(ROUNDDOWN(M82*$H$356,0),2*VLOOKUP($B75,$P$357:$R$360,3,0)),0),VLOOKUP($B75,$P$357:$R$360,3,0))))*IF($B80=M81,$B76,SUM(J84:J84)))-((M83*(IF(M82=0,1,IF(AND($B80=M81,M82&lt;ROUNDDOWN(VLOOKUP($B75,$P$357:$R$360,3,0)/$H$356,0)),ROUNDDOWN(M82*$H$356,0),IF(AND($B80&lt;M81,M82&lt;ROUNDDOWN(VLOOKUP($B75,$P$357:$R$360,3,0)/$H$356,0)),ROUND(AVERAGE(ROUNDDOWN(M82*$H$356,0),2*VLOOKUP($B75,$P$357:$R$360,3,0)),0),VLOOKUP($B75,$P$357:$R$360,3,0))))-1))/2)))</f>
        <v>0</v>
      </c>
      <c r="N86" s="21"/>
      <c r="O86" s="21"/>
      <c r="P86" s="2894">
        <f ca="1">IF(OR($B80&gt;P81,P85="",P85=0),0,IF(AND(P82=0,OR(P81&gt;$B80,$I$356=1)),P85,IF(P82=0,NOMINAL(P85,12)*IF($B80=P81,$I$356,1),IF(AND($B80=P81,ROUNDDOWN($C$356,0)=P81),$E$356,1)*NOMINAL(P85,VLOOKUP($B75,$P$357:$R$360,3,0))/VLOOKUP($B75,$P$357:$R$360,3,0)))*((IF(P82=0,1,IF(AND($B80=P81,P82&lt;ROUNDDOWN(VLOOKUP($B75,$P$357:$R$360,3,0)/$H$356,0)),ROUNDDOWN(P82*$H$356,0),IF(AND($B80&lt;P81,P82&lt;ROUNDDOWN(VLOOKUP($B75,$P$357:$R$360,3,0)/$H$356,0)),ROUND(AVERAGE(ROUNDDOWN(P82*$H$356,0),2*VLOOKUP($B75,$P$357:$R$360,3,0)),0),VLOOKUP($B75,$P$357:$R$360,3,0))))*IF($B80=P81,$B76,SUM(M84:M84)))-((P83*(IF(P82=0,1,IF(AND($B80=P81,P82&lt;ROUNDDOWN(VLOOKUP($B75,$P$357:$R$360,3,0)/$H$356,0)),ROUNDDOWN(P82*$H$356,0),IF(AND($B80&lt;P81,P82&lt;ROUNDDOWN(VLOOKUP($B75,$P$357:$R$360,3,0)/$H$356,0)),ROUND(AVERAGE(ROUNDDOWN(P82*$H$356,0),2*VLOOKUP($B75,$P$357:$R$360,3,0)),0),VLOOKUP($B75,$P$357:$R$360,3,0))))-1))/2)))</f>
        <v>0</v>
      </c>
      <c r="Q86" s="21"/>
      <c r="R86" s="21"/>
      <c r="S86" s="2894">
        <f ca="1">IF(OR($B80&gt;S81,S85="",S85=0),0,IF(AND(S82=0,OR(S81&gt;$B80,$I$356=1)),S85,IF(S82=0,NOMINAL(S85,12)*IF($B80=S81,$I$356,1),IF(AND($B80=S81,ROUNDDOWN($C$356,0)=S81),$E$356,1)*NOMINAL(S85,VLOOKUP($B75,$P$357:$R$360,3,0))/VLOOKUP($B75,$P$357:$R$360,3,0)))*((IF(S82=0,1,IF(AND($B80=S81,S82&lt;ROUNDDOWN(VLOOKUP($B75,$P$357:$R$360,3,0)/$H$356,0)),ROUNDDOWN(S82*$H$356,0),IF(AND($B80&lt;S81,S82&lt;ROUNDDOWN(VLOOKUP($B75,$P$357:$R$360,3,0)/$H$356,0)),ROUND(AVERAGE(ROUNDDOWN(S82*$H$356,0),2*VLOOKUP($B75,$P$357:$R$360,3,0)),0),VLOOKUP($B75,$P$357:$R$360,3,0))))*IF($B80=S81,$B76,SUM(P84:P84)))-((S83*(IF(S82=0,1,IF(AND($B80=S81,S82&lt;ROUNDDOWN(VLOOKUP($B75,$P$357:$R$360,3,0)/$H$356,0)),ROUNDDOWN(S82*$H$356,0),IF(AND($B80&lt;S81,S82&lt;ROUNDDOWN(VLOOKUP($B75,$P$357:$R$360,3,0)/$H$356,0)),ROUND(AVERAGE(ROUNDDOWN(S82*$H$356,0),2*VLOOKUP($B75,$P$357:$R$360,3,0)),0),VLOOKUP($B75,$P$357:$R$360,3,0))))-1))/2)))</f>
        <v>0</v>
      </c>
      <c r="T86" s="21"/>
      <c r="U86" s="21"/>
      <c r="V86" s="2894">
        <f ca="1">IF(OR($B80&gt;V81,V85="",V85=0),0,IF(AND(V82=0,OR(V81&gt;$B80,$I$356=1)),V85,IF(V82=0,NOMINAL(V85,12)*IF($B80=V81,$I$356,1),IF(AND($B80=V81,ROUNDDOWN($C$356,0)=V81),$E$356,1)*NOMINAL(V85,VLOOKUP($B75,$P$357:$R$360,3,0))/VLOOKUP($B75,$P$357:$R$360,3,0)))*((IF(V82=0,1,IF(AND($B80=V81,V82&lt;ROUNDDOWN(VLOOKUP($B75,$P$357:$R$360,3,0)/$H$356,0)),ROUNDDOWN(V82*$H$356,0),IF(AND($B80&lt;V81,V82&lt;ROUNDDOWN(VLOOKUP($B75,$P$357:$R$360,3,0)/$H$356,0)),ROUND(AVERAGE(ROUNDDOWN(V82*$H$356,0),2*VLOOKUP($B75,$P$357:$R$360,3,0)),0),VLOOKUP($B75,$P$357:$R$360,3,0))))*IF($B80=V81,$B76,SUM(S84:S84)))-((V83*(IF(V82=0,1,IF(AND($B80=V81,V82&lt;ROUNDDOWN(VLOOKUP($B75,$P$357:$R$360,3,0)/$H$356,0)),ROUNDDOWN(V82*$H$356,0),IF(AND($B80&lt;V81,V82&lt;ROUNDDOWN(VLOOKUP($B75,$P$357:$R$360,3,0)/$H$356,0)),ROUND(AVERAGE(ROUNDDOWN(V82*$H$356,0),2*VLOOKUP($B75,$P$357:$R$360,3,0)),0),VLOOKUP($B75,$P$357:$R$360,3,0))))-1))/2)))</f>
        <v>0</v>
      </c>
      <c r="W86" s="21"/>
      <c r="X86" s="21"/>
      <c r="Y86" s="2894">
        <f ca="1">IF(OR($B80&gt;Y81,Y85="",Y85=0),0,IF(AND(Y82=0,OR(Y81&gt;$B80,$I$356=1)),Y85,IF(Y82=0,NOMINAL(Y85,12)*IF($B80=Y81,$I$356,1),IF(AND($B80=Y81,ROUNDDOWN($C$356,0)=Y81),$E$356,1)*NOMINAL(Y85,VLOOKUP($B75,$P$357:$R$360,3,0))/VLOOKUP($B75,$P$357:$R$360,3,0)))*((IF(Y82=0,1,IF(AND($B80=Y81,Y82&lt;ROUNDDOWN(VLOOKUP($B75,$P$357:$R$360,3,0)/$H$356,0)),ROUNDDOWN(Y82*$H$356,0),IF(AND($B80&lt;Y81,Y82&lt;ROUNDDOWN(VLOOKUP($B75,$P$357:$R$360,3,0)/$H$356,0)),ROUND(AVERAGE(ROUNDDOWN(Y82*$H$356,0),2*VLOOKUP($B75,$P$357:$R$360,3,0)),0),VLOOKUP($B75,$P$357:$R$360,3,0))))*IF($B80=Y81,$B76,SUM(V84:V84)))-((Y83*(IF(Y82=0,1,IF(AND($B80=Y81,Y82&lt;ROUNDDOWN(VLOOKUP($B75,$P$357:$R$360,3,0)/$H$356,0)),ROUNDDOWN(Y82*$H$356,0),IF(AND($B80&lt;Y81,Y82&lt;ROUNDDOWN(VLOOKUP($B75,$P$357:$R$360,3,0)/$H$356,0)),ROUND(AVERAGE(ROUNDDOWN(Y82*$H$356,0),2*VLOOKUP($B75,$P$357:$R$360,3,0)),0),VLOOKUP($B75,$P$357:$R$360,3,0))))-1))/2)))</f>
        <v>0</v>
      </c>
      <c r="Z86" s="21"/>
      <c r="AA86" s="21"/>
      <c r="AB86" s="2894">
        <f ca="1">IF(OR($B80&gt;AB81,AB85="",AB85=0),0,IF(AND(AB82=0,OR(AB81&gt;$B80,$I$356=1)),AB85,IF(AB82=0,NOMINAL(AB85,12)*IF($B80=AB81,$I$356,1),IF(AND($B80=AB81,ROUNDDOWN($C$356,0)=AB81),$E$356,1)*NOMINAL(AB85,VLOOKUP($B75,$P$357:$R$360,3,0))/VLOOKUP($B75,$P$357:$R$360,3,0)))*((IF(AB82=0,1,IF(AND($B80=AB81,AB82&lt;ROUNDDOWN(VLOOKUP($B75,$P$357:$R$360,3,0)/$H$356,0)),ROUNDDOWN(AB82*$H$356,0),IF(AND($B80&lt;AB81,AB82&lt;ROUNDDOWN(VLOOKUP($B75,$P$357:$R$360,3,0)/$H$356,0)),ROUND(AVERAGE(ROUNDDOWN(AB82*$H$356,0),2*VLOOKUP($B75,$P$357:$R$360,3,0)),0),VLOOKUP($B75,$P$357:$R$360,3,0))))*IF($B80=AB81,$B76,SUM(Y84:Y84)))-((AB83*(IF(AB82=0,1,IF(AND($B80=AB81,AB82&lt;ROUNDDOWN(VLOOKUP($B75,$P$357:$R$360,3,0)/$H$356,0)),ROUNDDOWN(AB82*$H$356,0),IF(AND($B80&lt;AB81,AB82&lt;ROUNDDOWN(VLOOKUP($B75,$P$357:$R$360,3,0)/$H$356,0)),ROUND(AVERAGE(ROUNDDOWN(AB82*$H$356,0),2*VLOOKUP($B75,$P$357:$R$360,3,0)),0),VLOOKUP($B75,$P$357:$R$360,3,0))))-1))/2)))</f>
        <v>0</v>
      </c>
      <c r="AC86" s="21"/>
      <c r="AD86" s="21"/>
      <c r="AE86" s="2894">
        <f ca="1">IF(OR($B80&gt;AE81,AE85="",AE85=0),0,IF(AND(AE82=0,OR(AE81&gt;$B80,$I$356=1)),AE85,IF(AE82=0,NOMINAL(AE85,12)*IF($B80=AE81,$I$356,1),IF(AND($B80=AE81,ROUNDDOWN($C$356,0)=AE81),$E$356,1)*NOMINAL(AE85,VLOOKUP($B75,$P$357:$R$360,3,0))/VLOOKUP($B75,$P$357:$R$360,3,0)))*((IF(AE82=0,1,IF(AND($B80=AE81,AE82&lt;ROUNDDOWN(VLOOKUP($B75,$P$357:$R$360,3,0)/$H$356,0)),ROUNDDOWN(AE82*$H$356,0),IF(AND($B80&lt;AE81,AE82&lt;ROUNDDOWN(VLOOKUP($B75,$P$357:$R$360,3,0)/$H$356,0)),ROUND(AVERAGE(ROUNDDOWN(AE82*$H$356,0),2*VLOOKUP($B75,$P$357:$R$360,3,0)),0),VLOOKUP($B75,$P$357:$R$360,3,0))))*IF($B80=AE81,$B76,SUM(AB84:AB84)))-((AE83*(IF(AE82=0,1,IF(AND($B80=AE81,AE82&lt;ROUNDDOWN(VLOOKUP($B75,$P$357:$R$360,3,0)/$H$356,0)),ROUNDDOWN(AE82*$H$356,0),IF(AND($B80&lt;AE81,AE82&lt;ROUNDDOWN(VLOOKUP($B75,$P$357:$R$360,3,0)/$H$356,0)),ROUND(AVERAGE(ROUNDDOWN(AE82*$H$356,0),2*VLOOKUP($B75,$P$357:$R$360,3,0)),0),VLOOKUP($B75,$P$357:$R$360,3,0))))-1))/2)))</f>
        <v>0</v>
      </c>
      <c r="AF86" s="2895"/>
      <c r="AG86" s="21"/>
      <c r="AH86" s="2894">
        <f ca="1">IF(OR($B80&gt;AH81,AH85="",AH85=0),0,IF(AND(AH82=0,OR(AH81&gt;$B80,$I$356=1)),AH85,IF(AH82=0,NOMINAL(AH85,12)*IF($B80=AH81,$I$356,1),IF(AND($B80=AH81,ROUNDDOWN($C$356,0)=AH81),$E$356,1)*NOMINAL(AH85,VLOOKUP($B75,$P$357:$R$360,3,0))/VLOOKUP($B75,$P$357:$R$360,3,0)))*((IF(AH82=0,1,IF(AND($B80=AH81,AH82&lt;ROUNDDOWN(VLOOKUP($B75,$P$357:$R$360,3,0)/$H$356,0)),ROUNDDOWN(AH82*$H$356,0),IF(AND($B80&lt;AH81,AH82&lt;ROUNDDOWN(VLOOKUP($B75,$P$357:$R$360,3,0)/$H$356,0)),ROUND(AVERAGE(ROUNDDOWN(AH82*$H$356,0),2*VLOOKUP($B75,$P$357:$R$360,3,0)),0),VLOOKUP($B75,$P$357:$R$360,3,0))))*IF($B80=AH81,$B76,SUM(AE84:AE84)))-((AH83*(IF(AH82=0,1,IF(AND($B80=AH81,AH82&lt;ROUNDDOWN(VLOOKUP($B75,$P$357:$R$360,3,0)/$H$356,0)),ROUNDDOWN(AH82*$H$356,0),IF(AND($B80&lt;AH81,AH82&lt;ROUNDDOWN(VLOOKUP($B75,$P$357:$R$360,3,0)/$H$356,0)),ROUND(AVERAGE(ROUNDDOWN(AH82*$H$356,0),2*VLOOKUP($B75,$P$357:$R$360,3,0)),0),VLOOKUP($B75,$P$357:$R$360,3,0))))-1))/2)))</f>
        <v>0</v>
      </c>
      <c r="AI86" s="21"/>
      <c r="AJ86" s="21"/>
      <c r="AK86" s="2894">
        <f ca="1">IF(OR($B80&gt;AK81,AK85="",AK85=0),0,IF(AND(AK82=0,OR(AK81&gt;$B80,$I$356=1)),AK85,IF(AK82=0,NOMINAL(AK85,12)*IF($B80=AK81,$I$356,1),IF(AND($B80=AK81,ROUNDDOWN($C$356,0)=AK81),$E$356,1)*NOMINAL(AK85,VLOOKUP($B75,$P$357:$R$360,3,0))/VLOOKUP($B75,$P$357:$R$360,3,0)))*((IF(AK82=0,1,IF(AND($B80=AK81,AK82&lt;ROUNDDOWN(VLOOKUP($B75,$P$357:$R$360,3,0)/$H$356,0)),ROUNDDOWN(AK82*$H$356,0),IF(AND($B80&lt;AK81,AK82&lt;ROUNDDOWN(VLOOKUP($B75,$P$357:$R$360,3,0)/$H$356,0)),ROUND(AVERAGE(ROUNDDOWN(AK82*$H$356,0),2*VLOOKUP($B75,$P$357:$R$360,3,0)),0),VLOOKUP($B75,$P$357:$R$360,3,0))))*IF($B80=AK81,$B76,SUM(AH84:AH84)))-((AK83*(IF(AK82=0,1,IF(AND($B80=AK81,AK82&lt;ROUNDDOWN(VLOOKUP($B75,$P$357:$R$360,3,0)/$H$356,0)),ROUNDDOWN(AK82*$H$356,0),IF(AND($B80&lt;AK81,AK82&lt;ROUNDDOWN(VLOOKUP($B75,$P$357:$R$360,3,0)/$H$356,0)),ROUND(AVERAGE(ROUNDDOWN(AK82*$H$356,0),2*VLOOKUP($B75,$P$357:$R$360,3,0)),0),VLOOKUP($B75,$P$357:$R$360,3,0))))-1))/2)))</f>
        <v>0</v>
      </c>
      <c r="AL86" s="21"/>
      <c r="AM86" s="21"/>
      <c r="AN86" s="2894">
        <f ca="1">IF(OR($B80&gt;AN81,AN85="",AN85=0),0,IF(AND(AN82=0,OR(AN81&gt;$B80,$I$356=1)),AN85,IF(AN82=0,NOMINAL(AN85,12)*IF($B80=AN81,$I$356,1),IF(AND($B80=AN81,ROUNDDOWN($C$356,0)=AN81),$E$356,1)*NOMINAL(AN85,VLOOKUP($B75,$P$357:$R$360,3,0))/VLOOKUP($B75,$P$357:$R$360,3,0)))*((IF(AN82=0,1,IF(AND($B80=AN81,AN82&lt;ROUNDDOWN(VLOOKUP($B75,$P$357:$R$360,3,0)/$H$356,0)),ROUNDDOWN(AN82*$H$356,0),IF(AND($B80&lt;AN81,AN82&lt;ROUNDDOWN(VLOOKUP($B75,$P$357:$R$360,3,0)/$H$356,0)),ROUND(AVERAGE(ROUNDDOWN(AN82*$H$356,0),2*VLOOKUP($B75,$P$357:$R$360,3,0)),0),VLOOKUP($B75,$P$357:$R$360,3,0))))*IF($B80=AN81,$B76,SUM(AK84:AK84)))-((AN83*(IF(AN82=0,1,IF(AND($B80=AN81,AN82&lt;ROUNDDOWN(VLOOKUP($B75,$P$357:$R$360,3,0)/$H$356,0)),ROUNDDOWN(AN82*$H$356,0),IF(AND($B80&lt;AN81,AN82&lt;ROUNDDOWN(VLOOKUP($B75,$P$357:$R$360,3,0)/$H$356,0)),ROUND(AVERAGE(ROUNDDOWN(AN82*$H$356,0),2*VLOOKUP($B75,$P$357:$R$360,3,0)),0),VLOOKUP($B75,$P$357:$R$360,3,0))))-1))/2)))</f>
        <v>0</v>
      </c>
      <c r="AO86" s="21"/>
      <c r="AP86" s="21"/>
      <c r="AQ86" s="2894">
        <f ca="1">IF(OR($B80&gt;AQ81,AQ85="",AQ85=0),0,IF(AND(AQ82=0,OR(AQ81&gt;$B80,$I$356=1)),AQ85,IF(AQ82=0,NOMINAL(AQ85,12)*IF($B80=AQ81,$I$356,1),IF(AND($B80=AQ81,ROUNDDOWN($C$356,0)=AQ81),$E$356,1)*NOMINAL(AQ85,VLOOKUP($B75,$P$357:$R$360,3,0))/VLOOKUP($B75,$P$357:$R$360,3,0)))*((IF(AQ82=0,1,IF(AND($B80=AQ81,AQ82&lt;ROUNDDOWN(VLOOKUP($B75,$P$357:$R$360,3,0)/$H$356,0)),ROUNDDOWN(AQ82*$H$356,0),IF(AND($B80&lt;AQ81,AQ82&lt;ROUNDDOWN(VLOOKUP($B75,$P$357:$R$360,3,0)/$H$356,0)),ROUND(AVERAGE(ROUNDDOWN(AQ82*$H$356,0),2*VLOOKUP($B75,$P$357:$R$360,3,0)),0),VLOOKUP($B75,$P$357:$R$360,3,0))))*IF($B80=AQ81,$B76,SUM(AN84:AN84)))-((AQ83*(IF(AQ82=0,1,IF(AND($B80=AQ81,AQ82&lt;ROUNDDOWN(VLOOKUP($B75,$P$357:$R$360,3,0)/$H$356,0)),ROUNDDOWN(AQ82*$H$356,0),IF(AND($B80&lt;AQ81,AQ82&lt;ROUNDDOWN(VLOOKUP($B75,$P$357:$R$360,3,0)/$H$356,0)),ROUND(AVERAGE(ROUNDDOWN(AQ82*$H$356,0),2*VLOOKUP($B75,$P$357:$R$360,3,0)),0),VLOOKUP($B75,$P$357:$R$360,3,0))))-1))/2)))</f>
        <v>0</v>
      </c>
      <c r="AR86" s="21"/>
      <c r="AS86" s="21"/>
      <c r="AT86" s="2894">
        <f ca="1">IF(OR($B80&gt;AT81,AT85="",AT85=0),0,IF(AND(AT82=0,OR(AT81&gt;$B80,$I$356=1)),AT85,IF(AT82=0,NOMINAL(AT85,12)*IF($B80=AT81,$I$356,1),IF(AND($B80=AT81,ROUNDDOWN($C$356,0)=AT81),$E$356,1)*NOMINAL(AT85,VLOOKUP($B75,$P$357:$R$360,3,0))/VLOOKUP($B75,$P$357:$R$360,3,0)))*((IF(AT82=0,1,IF(AND($B80=AT81,AT82&lt;ROUNDDOWN(VLOOKUP($B75,$P$357:$R$360,3,0)/$H$356,0)),ROUNDDOWN(AT82*$H$356,0),IF(AND($B80&lt;AT81,AT82&lt;ROUNDDOWN(VLOOKUP($B75,$P$357:$R$360,3,0)/$H$356,0)),ROUND(AVERAGE(ROUNDDOWN(AT82*$H$356,0),2*VLOOKUP($B75,$P$357:$R$360,3,0)),0),VLOOKUP($B75,$P$357:$R$360,3,0))))*IF($B80=AT81,$B76,SUM(AQ84:AQ84)))-((AT83*(IF(AT82=0,1,IF(AND($B80=AT81,AT82&lt;ROUNDDOWN(VLOOKUP($B75,$P$357:$R$360,3,0)/$H$356,0)),ROUNDDOWN(AT82*$H$356,0),IF(AND($B80&lt;AT81,AT82&lt;ROUNDDOWN(VLOOKUP($B75,$P$357:$R$360,3,0)/$H$356,0)),ROUND(AVERAGE(ROUNDDOWN(AT82*$H$356,0),2*VLOOKUP($B75,$P$357:$R$360,3,0)),0),VLOOKUP($B75,$P$357:$R$360,3,0))))-1))/2)))</f>
        <v>0</v>
      </c>
      <c r="AU86" s="2895"/>
      <c r="AV86" s="2883"/>
    </row>
    <row r="87" spans="1:48" ht="13.5" thickBot="1" x14ac:dyDescent="0.25">
      <c r="AV87" s="2883"/>
    </row>
    <row r="88" spans="1:48" x14ac:dyDescent="0.2">
      <c r="A88" s="2896" t="s">
        <v>1316</v>
      </c>
      <c r="B88" s="2897"/>
      <c r="C88" s="2898"/>
      <c r="D88" s="2898"/>
      <c r="E88" s="2898"/>
      <c r="F88" s="2898"/>
      <c r="G88" s="2898"/>
      <c r="H88" s="2898"/>
      <c r="I88" s="2898"/>
      <c r="J88" s="2898"/>
      <c r="K88" s="2898"/>
      <c r="L88" s="2898"/>
      <c r="M88" s="2898"/>
      <c r="N88" s="2898"/>
      <c r="O88" s="2898"/>
      <c r="P88" s="2898"/>
      <c r="Q88" s="2898"/>
      <c r="R88" s="2898"/>
      <c r="S88" s="2898"/>
      <c r="T88" s="2898"/>
      <c r="U88" s="2898"/>
      <c r="V88" s="2898"/>
      <c r="W88" s="2898"/>
      <c r="X88" s="2898"/>
      <c r="Y88" s="2898"/>
      <c r="Z88" s="2898"/>
      <c r="AA88" s="2898"/>
      <c r="AB88" s="2898"/>
      <c r="AC88" s="2898"/>
      <c r="AD88" s="2898"/>
      <c r="AE88" s="2898"/>
      <c r="AF88" s="2898"/>
      <c r="AG88" s="2898"/>
      <c r="AH88" s="2898"/>
      <c r="AI88" s="2898"/>
      <c r="AJ88" s="2898"/>
      <c r="AK88" s="2898"/>
      <c r="AL88" s="2898"/>
      <c r="AM88" s="2898"/>
      <c r="AN88" s="2898"/>
      <c r="AO88" s="2898"/>
      <c r="AP88" s="2898"/>
      <c r="AQ88" s="2898"/>
      <c r="AR88" s="2898"/>
      <c r="AS88" s="2898"/>
      <c r="AT88" s="2898"/>
      <c r="AU88" s="2898"/>
      <c r="AV88" s="2899"/>
    </row>
    <row r="89" spans="1:48" x14ac:dyDescent="0.2">
      <c r="A89" s="2881" t="s">
        <v>2044</v>
      </c>
      <c r="B89" s="2882"/>
      <c r="AV89" s="2883"/>
    </row>
    <row r="90" spans="1:48" x14ac:dyDescent="0.2">
      <c r="A90" s="2881" t="s">
        <v>2045</v>
      </c>
      <c r="B90" s="2884"/>
      <c r="AV90" s="2883"/>
    </row>
    <row r="91" spans="1:48" x14ac:dyDescent="0.2">
      <c r="A91" s="2881" t="s">
        <v>1312</v>
      </c>
      <c r="B91" s="2884"/>
      <c r="AV91" s="2883"/>
    </row>
    <row r="92" spans="1:48" x14ac:dyDescent="0.2">
      <c r="A92" s="2881" t="s">
        <v>1313</v>
      </c>
      <c r="B92" s="2884"/>
      <c r="AV92" s="2883"/>
    </row>
    <row r="93" spans="1:48" x14ac:dyDescent="0.2">
      <c r="A93" s="2885" t="s">
        <v>1314</v>
      </c>
      <c r="B93" s="2886"/>
      <c r="AV93" s="2883"/>
    </row>
    <row r="94" spans="1:48" x14ac:dyDescent="0.2">
      <c r="A94" s="2887" t="s">
        <v>2046</v>
      </c>
      <c r="B94" s="2888">
        <f ca="1">B$11</f>
        <v>2023</v>
      </c>
      <c r="D94" s="2888">
        <f ca="1">D$11</f>
        <v>2024</v>
      </c>
      <c r="G94" s="2888">
        <f ca="1">G$11</f>
        <v>2025</v>
      </c>
      <c r="J94" s="2888">
        <f ca="1">J$11</f>
        <v>2026</v>
      </c>
      <c r="M94" s="2888">
        <f ca="1">M$11</f>
        <v>2027</v>
      </c>
      <c r="P94" s="2888">
        <f ca="1">P$11</f>
        <v>2028</v>
      </c>
      <c r="S94" s="2888">
        <f ca="1">S$11</f>
        <v>2029</v>
      </c>
      <c r="V94" s="2888">
        <f ca="1">V$11</f>
        <v>2030</v>
      </c>
      <c r="Y94" s="2888">
        <f ca="1">Y$11</f>
        <v>2031</v>
      </c>
      <c r="AB94" s="2888">
        <f ca="1">AB$11</f>
        <v>2032</v>
      </c>
      <c r="AE94" s="2888">
        <f ca="1">AE$11</f>
        <v>2033</v>
      </c>
      <c r="AH94" s="2888">
        <f ca="1">AH$11</f>
        <v>2034</v>
      </c>
      <c r="AK94" s="2888">
        <f ca="1">AK$11</f>
        <v>2035</v>
      </c>
      <c r="AN94" s="2888">
        <f ca="1">AN$11</f>
        <v>2036</v>
      </c>
      <c r="AQ94" s="2888">
        <f ca="1">AQ$11</f>
        <v>2037</v>
      </c>
      <c r="AT94" s="2888">
        <f ca="1">AT$11</f>
        <v>2038</v>
      </c>
      <c r="AV94" s="2883"/>
    </row>
    <row r="95" spans="1:48" x14ac:dyDescent="0.2">
      <c r="A95" s="2889" t="s">
        <v>2047</v>
      </c>
      <c r="B95" s="2890">
        <f>IF(OR($B90=0,$B90="",$B88=""),0,IF(AND(B94-$B93&gt;=0,B94&lt;=$B93+$B90,ROUNDDOWN(B94,0)=ROUNDDOWN($C$357,0)),IF(ROUNDDOWN(B94,0)=ROUNDDOWN($C$357,0),ROUND($E$357*VLOOKUP($B88,$P$357:$R$360,3,0)/$H$357,2),ROUND(VLOOKUP($B88,$P$357:$R$360,3,0)/$H$357,2)),0))</f>
        <v>0</v>
      </c>
      <c r="D95" s="2890">
        <f>IF(OR($B90=0,$B90="",$B88=""),0,IF(AND(ROUNDDOWN(D94,0)&gt;=ROUNDDOWN($C$357,0),1-$B95&lt;VLOOKUP($B88,$P$357:$R$360,3,0)/$H$357),1-$B95,IF(ROUNDDOWN(D94,0)&gt;=ROUNDDOWN($C$357,0),IF(ROUNDDOWN(D94,0)=ROUNDDOWN($C$357,0),ROUND($E$357*VLOOKUP($B88,$P$357:$R$360,3,0)/$H$357,2),ROUND(VLOOKUP($B88,$P$357:$R$360,3,0)/$H$357,2)),0)))</f>
        <v>0</v>
      </c>
      <c r="G95" s="2890">
        <f>IF(OR($B90=0,$B90="",$B88=""),0,IF(AND(ROUNDDOWN(G94,0)&gt;=ROUNDDOWN($C$357,0),1-SUM($B95:D95)&lt;VLOOKUP($B88,$P$357:$R$360,3,0)/$H$357),1-SUM($B95:D95),IF(ROUNDDOWN(G94,0)&gt;=ROUNDDOWN($C$357,0),IF(ROUNDDOWN(G94,0)=ROUNDDOWN($C$357,0),ROUND($E$357*VLOOKUP($B88,$P$357:$R$360,3,0)/$H$357,2),ROUND(VLOOKUP($B88,$P$357:$R$360,3,0)/$H$357,2)),0)))</f>
        <v>0</v>
      </c>
      <c r="J95" s="2890">
        <f>IF(OR($B90=0,$B90="",$B88=""),0,IF(AND(ROUNDDOWN(J94,0)&gt;=ROUNDDOWN($C$357,0),1-SUM($B95:G95)&lt;VLOOKUP($B88,$P$357:$R$360,3,0)/$H$357),1-SUM($B95:G95),IF(ROUNDDOWN(J94,0)&gt;=ROUNDDOWN($C$357,0),IF(ROUNDDOWN(J94,0)=ROUNDDOWN($C$357,0),ROUND($E$357*VLOOKUP($B88,$P$357:$R$360,3,0)/$H$357,2),ROUND(VLOOKUP($B88,$P$357:$R$360,3,0)/$H$357,2)),0)))</f>
        <v>0</v>
      </c>
      <c r="M95" s="2890">
        <f>IF(OR($B90=0,$B90="",$B88=""),0,IF(AND(ROUNDDOWN(M94,0)&gt;=ROUNDDOWN($C$357,0),1-SUM($B95:J95)&lt;VLOOKUP($B88,$P$357:$R$360,3,0)/$H$357),1-SUM($B95:J95),IF(ROUNDDOWN(M94,0)&gt;=ROUNDDOWN($C$357,0),IF(ROUNDDOWN(M94,0)=ROUNDDOWN($C$357,0),ROUND($E$357*VLOOKUP($B88,$P$357:$R$360,3,0)/$H$357,2),ROUND(VLOOKUP($B88,$P$357:$R$360,3,0)/$H$357,2)),0)))</f>
        <v>0</v>
      </c>
      <c r="P95" s="2890">
        <f>IF(OR($B90=0,$B90="",$B88=""),0,IF(AND(ROUNDDOWN(P94,0)&gt;=ROUNDDOWN($C$357,0),1-SUM($B95:M95)&lt;VLOOKUP($B88,$P$357:$R$360,3,0)/$H$357),1-SUM($B95:M95),IF(ROUNDDOWN(P94,0)&gt;=ROUNDDOWN($C$357,0),IF(ROUNDDOWN(P94,0)=ROUNDDOWN($C$357,0),ROUND($E$357*VLOOKUP($B88,$P$357:$R$360,3,0)/$H$357,2),ROUND(VLOOKUP($B88,$P$357:$R$360,3,0)/$H$357,2)),0)))</f>
        <v>0</v>
      </c>
      <c r="S95" s="2890">
        <f>IF(OR($B90=0,$B90="",$B88=""),0,IF(AND(ROUNDDOWN(S94,0)&gt;=ROUNDDOWN($C$357,0),1-SUM($B95:P95)&lt;VLOOKUP($B88,$P$357:$R$360,3,0)/$H$357),1-SUM($B95:P95),IF(ROUNDDOWN(S94,0)&gt;=ROUNDDOWN($C$357,0),IF(ROUNDDOWN(S94,0)=ROUNDDOWN($C$357,0),ROUND($E$357*VLOOKUP($B88,$P$357:$R$360,3,0)/$H$357,2),ROUND(VLOOKUP($B88,$P$357:$R$360,3,0)/$H$357,2)),0)))</f>
        <v>0</v>
      </c>
      <c r="V95" s="2890">
        <f>IF(OR($B90=0,$B90="",$B88=""),0,IF(AND(ROUNDDOWN(V94,0)&gt;=ROUNDDOWN($C$357,0),1-SUM($B95:S95)&lt;VLOOKUP($B88,$P$357:$R$360,3,0)/$H$357),1-SUM($B95:S95),IF(ROUNDDOWN(V94,0)&gt;=ROUNDDOWN($C$357,0),IF(ROUNDDOWN(V94,0)=ROUNDDOWN($C$357,0),ROUND($E$357*VLOOKUP($B88,$P$357:$R$360,3,0)/$H$357,2),ROUND(VLOOKUP($B88,$P$357:$R$360,3,0)/$H$357,2)),0)))</f>
        <v>0</v>
      </c>
      <c r="Y95" s="2890">
        <f>IF(OR($B90=0,$B90="",$B88=""),0,IF(AND(ROUNDDOWN(Y94,0)&gt;=ROUNDDOWN($C$357,0),1-SUM($B95:V95)&lt;VLOOKUP($B88,$P$357:$R$360,3,0)/$H$357),1-SUM($B95:V95),IF(ROUNDDOWN(Y94,0)&gt;=ROUNDDOWN($C$357,0),IF(ROUNDDOWN(Y94,0)=ROUNDDOWN($C$357,0),ROUND($E$357*VLOOKUP($B88,$P$357:$R$360,3,0)/$H$357,2),ROUND(VLOOKUP($B88,$P$357:$R$360,3,0)/$H$357,2)),0)))</f>
        <v>0</v>
      </c>
      <c r="AB95" s="2890">
        <f>IF(OR($B90=0,$B90="",$B88=""),0,IF(AND(ROUNDDOWN(AB94,0)&gt;=ROUNDDOWN($C$357,0),1-SUM($B95:Y95)&lt;VLOOKUP($B88,$P$357:$R$360,3,0)/$H$357),1-SUM($B95:Y95),IF(ROUNDDOWN(AB94,0)&gt;=ROUNDDOWN($C$357,0),IF(ROUNDDOWN(AB94,0)=ROUNDDOWN($C$357,0),ROUND($E$357*VLOOKUP($B88,$P$357:$R$360,3,0)/$H$357,2),ROUND(VLOOKUP($B88,$P$357:$R$360,3,0)/$H$357,2)),0)))</f>
        <v>0</v>
      </c>
      <c r="AE95" s="2890">
        <f>IF(OR($B90=0,$B90="",$B88=""),0,IF(AND(ROUNDDOWN(AE94,0)&gt;=ROUNDDOWN($C$357,0),1-SUM($B95:AB95)&lt;VLOOKUP($B88,$P$357:$R$360,3,0)/$H$357),1-SUM($B95:AB95),IF(ROUNDDOWN(AE94,0)&gt;=ROUNDDOWN($C$357,0),IF(ROUNDDOWN(AE94,0)=ROUNDDOWN($C$357,0),ROUND($E$357*VLOOKUP($B88,$P$357:$R$360,3,0)/$H$357,2),ROUND(VLOOKUP($B88,$P$357:$R$360,3,0)/$H$357,2)),0)))</f>
        <v>0</v>
      </c>
      <c r="AH95" s="2890">
        <f>IF(OR($B90=0,$B90="",$B88=""),0,IF(AND(ROUNDDOWN(AH94,0)&gt;=ROUNDDOWN($C$357,0),1-SUM($B95:AE95)&lt;VLOOKUP($B88,$P$357:$R$360,3,0)/$H$357),1-SUM($B95:AE95),IF(ROUNDDOWN(AH94,0)&gt;=ROUNDDOWN($C$357,0),IF(ROUNDDOWN(AH94,0)=ROUNDDOWN($C$357,0),ROUND($E$357*VLOOKUP($B88,$P$357:$R$360,3,0)/$H$357,2),ROUND(VLOOKUP($B88,$P$357:$R$360,3,0)/$H$357,2)),0)))</f>
        <v>0</v>
      </c>
      <c r="AK95" s="2890">
        <f>IF(OR($B90=0,$B90="",$B88=""),0,IF(AND(ROUNDDOWN(AK94,0)&gt;=ROUNDDOWN($C$357,0),1-SUM($B95:AH95)&lt;VLOOKUP($B88,$P$357:$R$360,3,0)/$H$357),1-SUM($B95:AH95),IF(ROUNDDOWN(AK94,0)&gt;=ROUNDDOWN($C$357,0),IF(ROUNDDOWN(AK94,0)=ROUNDDOWN($C$357,0),ROUND($E$357*VLOOKUP($B88,$P$357:$R$360,3,0)/$H$357,2),ROUND(VLOOKUP($B88,$P$357:$R$360,3,0)/$H$357,2)),0)))</f>
        <v>0</v>
      </c>
      <c r="AN95" s="2890">
        <f>IF(OR($B90=0,$B90="",$B88=""),0,IF(AND(ROUNDDOWN(AN94,0)&gt;=ROUNDDOWN($C$357,0),1-SUM($B95:AK95)&lt;VLOOKUP($B88,$P$357:$R$360,3,0)/$H$357),1-SUM($B95:AK95),IF(ROUNDDOWN(AN94,0)&gt;=ROUNDDOWN($C$357,0),IF(ROUNDDOWN(AN94,0)=ROUNDDOWN($C$357,0),ROUND($E$357*VLOOKUP($B88,$P$357:$R$360,3,0)/$H$357,2),ROUND(VLOOKUP($B88,$P$357:$R$360,3,0)/$H$357,2)),0)))</f>
        <v>0</v>
      </c>
      <c r="AQ95" s="2890">
        <f>IF(OR($B90=0,$B90="",$B88=""),0,IF(AND(ROUNDDOWN(AQ94,0)&gt;=ROUNDDOWN($C$357,0),1-SUM($B95:AN95)&lt;VLOOKUP($B88,$P$357:$R$360,3,0)/$H$357),1-SUM($B95:AN95),IF(ROUNDDOWN(AQ94,0)&gt;=ROUNDDOWN($C$357,0),IF(ROUNDDOWN(AQ94,0)=ROUNDDOWN($C$357,0),ROUND($E$357*VLOOKUP($B88,$P$357:$R$360,3,0)/$H$357,2),ROUND(VLOOKUP($B88,$P$357:$R$360,3,0)/$H$357,2)),0)))</f>
        <v>0</v>
      </c>
      <c r="AT95" s="2890">
        <f>IF(OR($B90=0,$B90="",$B88=""),0,IF(AND(ROUNDDOWN(AT94,0)&gt;=ROUNDDOWN($C$357,0),1-SUM($B95:AQ95)&lt;VLOOKUP($B88,$P$357:$R$360,3,0)/$H$357),1-SUM($B95:AQ95),IF(ROUNDDOWN(AT94,0)&gt;=ROUNDDOWN($C$357,0),IF(ROUNDDOWN(AT94,0)=ROUNDDOWN($C$357,0),ROUND($E$357*VLOOKUP($B88,$P$357:$R$360,3,0)/$H$357,2),ROUND(VLOOKUP($B88,$P$357:$R$360,3,0)/$H$357,2)),0)))</f>
        <v>0</v>
      </c>
      <c r="AV95" s="2883"/>
    </row>
    <row r="96" spans="1:48" x14ac:dyDescent="0.2">
      <c r="A96" s="2891" t="s">
        <v>2048</v>
      </c>
      <c r="B96" s="2892">
        <f>$B89*B95</f>
        <v>0</v>
      </c>
      <c r="D96" s="2892">
        <f ca="1">IF($B93&gt;D94,0,D95*$B89)</f>
        <v>0</v>
      </c>
      <c r="G96" s="2892">
        <f ca="1">IF($B93&gt;G94,0,G95*$B89)</f>
        <v>0</v>
      </c>
      <c r="J96" s="2892">
        <f ca="1">IF($B93&gt;J94,0,J95*$B89)</f>
        <v>0</v>
      </c>
      <c r="M96" s="2892">
        <f ca="1">IF($B93&gt;M94,0,M95*$B89)</f>
        <v>0</v>
      </c>
      <c r="P96" s="2892">
        <f ca="1">IF($B93&gt;P94,0,P95*$B89)</f>
        <v>0</v>
      </c>
      <c r="S96" s="2892">
        <f ca="1">IF($B93&gt;S94,0,S95*$B89)</f>
        <v>0</v>
      </c>
      <c r="V96" s="2892">
        <f ca="1">IF($B93&gt;V94,0,V95*$B89)</f>
        <v>0</v>
      </c>
      <c r="Y96" s="2892">
        <f ca="1">IF($B93&gt;Y94,0,Y95*$B89)</f>
        <v>0</v>
      </c>
      <c r="AB96" s="2892">
        <f ca="1">IF($B93&gt;AB94,0,AB95*$B89)</f>
        <v>0</v>
      </c>
      <c r="AE96" s="2892">
        <f ca="1">IF($B93&gt;AE94,0,AE95*$B89)</f>
        <v>0</v>
      </c>
      <c r="AH96" s="2892">
        <f ca="1">IF($B93&gt;AH94,0,AH95*$B89)</f>
        <v>0</v>
      </c>
      <c r="AK96" s="2892">
        <f ca="1">IF($B93&gt;AK94,0,AK95*$B89)</f>
        <v>0</v>
      </c>
      <c r="AN96" s="2892">
        <f ca="1">IF($B93&gt;AN94,0,AN95*$B89)</f>
        <v>0</v>
      </c>
      <c r="AQ96" s="2892">
        <f ca="1">IF($B93&gt;AQ94,0,AQ95*$B89)</f>
        <v>0</v>
      </c>
      <c r="AT96" s="2892">
        <f ca="1">IF($B93&gt;AT94,0,AT95*$B89)</f>
        <v>0</v>
      </c>
      <c r="AV96" s="2883"/>
    </row>
    <row r="97" spans="1:48" x14ac:dyDescent="0.2">
      <c r="A97" s="2885" t="s">
        <v>2049</v>
      </c>
      <c r="B97" s="2893">
        <f ca="1">IF($B93&gt;B94,0,B89-B96)</f>
        <v>0</v>
      </c>
      <c r="D97" s="2893">
        <f ca="1">IF($B93&gt;D94,0,IF($B93=D94,$B89-D96,IF(B97-D96&lt;0.005,0,B97-D96)))</f>
        <v>0</v>
      </c>
      <c r="G97" s="2893">
        <f ca="1">IF($B93&gt;G94,0,IF($B93=G94,$B89-G96,IF(+D97-G96&lt;0.005,0,+D97-G96)))</f>
        <v>0</v>
      </c>
      <c r="J97" s="2893">
        <f ca="1">IF($B93&gt;J94,0,IF($B93=J94,$B89-J96,IF(+G97-J96&lt;0.005,0,+G97-J96)))</f>
        <v>0</v>
      </c>
      <c r="M97" s="2893">
        <f ca="1">IF($B93&gt;M94,0,IF($B93=M94,$B89-M96,IF(+J97-M96&lt;0.005,0,+J97-M96)))</f>
        <v>0</v>
      </c>
      <c r="P97" s="2893">
        <f ca="1">IF($B93&gt;P94,0,IF($B93=P94,$B89-P96,IF(+M97-P96&lt;0.005,0,+M97-P96)))</f>
        <v>0</v>
      </c>
      <c r="S97" s="2893">
        <f ca="1">IF($B93&gt;S94,0,IF($B93=S94,$B89-S96,IF(+P97-S96&lt;0.005,0,+P97-S96)))</f>
        <v>0</v>
      </c>
      <c r="V97" s="2893">
        <f ca="1">IF($B93&gt;V94,0,IF($B93=V94,$B89-V96,IF(+S97-V96&lt;0.005,0,+S97-V96)))</f>
        <v>0</v>
      </c>
      <c r="Y97" s="2893">
        <f ca="1">IF($B93&gt;Y94,0,IF($B93=Y94,$B89-Y96,IF(+V97-Y96&lt;0.005,0,+V97-Y96)))</f>
        <v>0</v>
      </c>
      <c r="AB97" s="2893">
        <f ca="1">IF($B93&gt;AB94,0,IF($B93=AB94,$B89-AB96,IF(+Y97-AB96&lt;0.005,0,+Y97-AB96)))</f>
        <v>0</v>
      </c>
      <c r="AE97" s="2893">
        <f ca="1">IF($B93&gt;AE94,0,IF($B93=AE94,$B89-AE96,IF(+AB97-AE96&lt;0.005,0,+AB97-AE96)))</f>
        <v>0</v>
      </c>
      <c r="AH97" s="2893">
        <f ca="1">IF($B93&gt;AH94,0,IF($B93=AH94,$B89-AH96,IF(+AE97-AH96&lt;0.005,0,+AE97-AH96)))</f>
        <v>0</v>
      </c>
      <c r="AK97" s="2893">
        <f ca="1">IF($B93&gt;AK94,0,IF($B93=AK94,$B89-AK96,IF(+AH97-AK96&lt;0.005,0,+AH97-AK96)))</f>
        <v>0</v>
      </c>
      <c r="AN97" s="2893">
        <f ca="1">IF($B93&gt;AN94,0,IF($B93=AN94,$B89-AN96,IF(+AK97-AN96&lt;0.005,0,+AK97-AN96)))</f>
        <v>0</v>
      </c>
      <c r="AQ97" s="2893">
        <f ca="1">IF($B93&gt;AQ94,0,IF($B93=AQ94,$B89-AQ96,IF(+AN97-AQ96&lt;0.005,0,+AN97-AQ96)))</f>
        <v>0</v>
      </c>
      <c r="AT97" s="2893">
        <f ca="1">IF($B93&gt;AT94,0,IF($B93=AT94,$B89-AT96,IF(+AQ97-AT96&lt;0.005,0,+AQ97-AT96)))</f>
        <v>0</v>
      </c>
      <c r="AV97" s="2883"/>
    </row>
    <row r="98" spans="1:48" x14ac:dyDescent="0.2">
      <c r="A98" s="2889" t="s">
        <v>2050</v>
      </c>
      <c r="B98" s="2890"/>
      <c r="D98" s="2890">
        <f>B98</f>
        <v>0</v>
      </c>
      <c r="G98" s="2890">
        <f>D98</f>
        <v>0</v>
      </c>
      <c r="J98" s="2890">
        <f>G98</f>
        <v>0</v>
      </c>
      <c r="M98" s="2890">
        <f>J98</f>
        <v>0</v>
      </c>
      <c r="P98" s="2890">
        <f>M98</f>
        <v>0</v>
      </c>
      <c r="S98" s="2890">
        <f>P98</f>
        <v>0</v>
      </c>
      <c r="V98" s="2890">
        <f>S98</f>
        <v>0</v>
      </c>
      <c r="Y98" s="2890">
        <f>V98</f>
        <v>0</v>
      </c>
      <c r="AB98" s="2890">
        <f>Y98</f>
        <v>0</v>
      </c>
      <c r="AE98" s="2890">
        <f>AB98</f>
        <v>0</v>
      </c>
      <c r="AH98" s="2890">
        <f>AE98</f>
        <v>0</v>
      </c>
      <c r="AK98" s="2890">
        <f>AH98</f>
        <v>0</v>
      </c>
      <c r="AN98" s="2890">
        <f>AK98</f>
        <v>0</v>
      </c>
      <c r="AQ98" s="2890">
        <f>AN98</f>
        <v>0</v>
      </c>
      <c r="AT98" s="2890">
        <f>AQ98</f>
        <v>0</v>
      </c>
      <c r="AV98" s="2883"/>
    </row>
    <row r="99" spans="1:48" x14ac:dyDescent="0.2">
      <c r="A99" s="2889" t="s">
        <v>2051</v>
      </c>
      <c r="B99" s="2894">
        <f ca="1">IF(OR($B93&lt;&gt;B94,B98="",B98=0),0,IF(AND(B95=0,$I$357=1),B98,IF(B95=0,NOMINAL(B98,12)*IF($B93=B94,$I$357,1),IF(AND($B93=B94,ROUNDDOWN($C$357,0)=B94),$E$357,1)*NOMINAL(B98,VLOOKUP($B88,$P$357:$R$360,3,0))/VLOOKUP($B88,$P$357:$R$360,3,0)))*((IF(B95=0,1,IF(AND($B93=B94,B95&lt;ROUNDDOWN(VLOOKUP($B88,$P$357:$R$360,3,0)/$H$357,0)),ROUNDDOWN(B95*$H$357,0),IF(AND($B93&lt;B94,B95&lt;ROUNDDOWN(VLOOKUP($B88,$P$357:$R$360,3,0)/$H$357,0)),ROUND(AVERAGE(ROUNDDOWN(B95*$H$357,0),2*VLOOKUP($B88,$P$357:$R$360,3,0)),0),VLOOKUP($B88,$P$357:$R$360,3,0))))*$B89)-((B96*(IF(B95=0,1,IF(AND($B93=B94,B95&lt;ROUNDDOWN(VLOOKUP($B88,$P$357:$R$360,3,0)/$H$357,0)),ROUNDDOWN(B95*$H$357,0),IF(AND($B93&lt;B94,B95&lt;ROUNDDOWN(VLOOKUP($B88,$P$357:$R$360,3,0)/$H$357,0)),ROUND(AVERAGE(ROUNDDOWN(B95*$H$357,0),2*VLOOKUP($B88,$P$357:$R$360,3,0)),0),VLOOKUP($B88,$P$357:$R$360,3,0))))-1))/2)))</f>
        <v>0</v>
      </c>
      <c r="C99" s="2895"/>
      <c r="D99" s="2894">
        <f ca="1">IF(OR($B93&gt;D94,D98="",D98=0),0,IF(AND(D95=0,OR(D94&gt;$B93,$I$357=1)),D98,IF(D95=0,NOMINAL(D98,12)*IF($B93=D94,$I$357,1),IF(AND($B93=D94,ROUNDDOWN($C$357,0)=D94),$E$357,1)*NOMINAL(D98,VLOOKUP($B88,$P$357:$R$360,3,0))/VLOOKUP($B88,$P$357:$R$360,3,0)))*((IF(D95=0,1,IF(AND($B93=D94,D95&lt;ROUNDDOWN(VLOOKUP($B88,$P$357:$R$360,3,0)/$H$357,0)),ROUNDDOWN(D95*$H$357,0),IF(AND($B93&lt;D94,D95&lt;ROUNDDOWN(VLOOKUP($B88,$P$357:$R$360,3,0)/$H$357,0)),ROUND(AVERAGE(ROUNDDOWN(D95*$H$357,0),2*VLOOKUP($B88,$P$357:$R$360,3,0)),0),VLOOKUP($B88,$P$357:$R$360,3,0))))*IF($B93=D94,$B89,SUM(B97:B97)))-((D96*(IF(D95=0,1,IF(AND($B93=D94,D95&lt;ROUNDDOWN(VLOOKUP($B88,$P$357:$R$360,3,0)/$H$357,0)),ROUNDDOWN(D95*$H$357,0),IF(AND($B93&lt;D94,D95&lt;ROUNDDOWN(VLOOKUP($B88,$P$357:$R$360,3,0)/$H$357,0)),ROUND(AVERAGE(ROUNDDOWN(D95*$H$357,0),2*VLOOKUP($B88,$P$357:$R$360,3,0)),0),VLOOKUP($B88,$P$357:$R$360,3,0))))-1))/2)))</f>
        <v>0</v>
      </c>
      <c r="E99" s="21"/>
      <c r="F99" s="21"/>
      <c r="G99" s="2894">
        <f ca="1">IF(OR($B93&gt;G94,G98="",G98=0),0,IF(AND(G95=0,OR(G94&gt;$B93,$I$357=1)),G98,IF(G95=0,NOMINAL(G98,12)*IF($B93=G94,$I$357,1),IF(AND($B93=G94,ROUNDDOWN($C$357,0)=G94),$E$357,1)*NOMINAL(G98,VLOOKUP($B88,$P$357:$R$360,3,0))/VLOOKUP($B88,$P$357:$R$360,3,0)))*((IF(G95=0,1,IF(AND($B93=G94,G95&lt;ROUNDDOWN(VLOOKUP($B88,$P$357:$R$360,3,0)/$H$357,0)),ROUNDDOWN(G95*$H$357,0),IF(AND($B93&lt;G94,G95&lt;ROUNDDOWN(VLOOKUP($B88,$P$357:$R$360,3,0)/$H$357,0)),ROUND(AVERAGE(ROUNDDOWN(G95*$H$357,0),2*VLOOKUP($B88,$P$357:$R$360,3,0)),0),VLOOKUP($B88,$P$357:$R$360,3,0))))*IF($B93=G94,$B89,SUM(D97:D97)))-((G96*(IF(G95=0,1,IF(AND($B93=G94,G95&lt;ROUNDDOWN(VLOOKUP($B88,$P$357:$R$360,3,0)/$H$357,0)),ROUNDDOWN(G95*$H$357,0),IF(AND($B93&lt;G94,G95&lt;ROUNDDOWN(VLOOKUP($B88,$P$357:$R$360,3,0)/$H$357,0)),ROUND(AVERAGE(ROUNDDOWN(G95*$H$357,0),2*VLOOKUP($B88,$P$357:$R$360,3,0)),0),VLOOKUP($B88,$P$357:$R$360,3,0))))-1))/2)))</f>
        <v>0</v>
      </c>
      <c r="H99" s="21"/>
      <c r="I99" s="21"/>
      <c r="J99" s="2894">
        <f ca="1">IF(OR($B93&gt;J94,J98="",J98=0),0,IF(AND(J95=0,OR(J94&gt;$B93,$I$357=1)),J98,IF(J95=0,NOMINAL(J98,12)*IF($B93=J94,$I$357,1),IF(AND($B93=J94,ROUNDDOWN($C$357,0)=J94),$E$357,1)*NOMINAL(J98,VLOOKUP($B88,$P$357:$R$360,3,0))/VLOOKUP($B88,$P$357:$R$360,3,0)))*((IF(J95=0,1,IF(AND($B93=J94,J95&lt;ROUNDDOWN(VLOOKUP($B88,$P$357:$R$360,3,0)/$H$357,0)),ROUNDDOWN(J95*$H$357,0),IF(AND($B93&lt;J94,J95&lt;ROUNDDOWN(VLOOKUP($B88,$P$357:$R$360,3,0)/$H$357,0)),ROUND(AVERAGE(ROUNDDOWN(J95*$H$357,0),2*VLOOKUP($B88,$P$357:$R$360,3,0)),0),VLOOKUP($B88,$P$357:$R$360,3,0))))*IF($B93=J94,$B89,SUM(G97:G97)))-((J96*(IF(J95=0,1,IF(AND($B93=J94,J95&lt;ROUNDDOWN(VLOOKUP($B88,$P$357:$R$360,3,0)/$H$357,0)),ROUNDDOWN(J95*$H$357,0),IF(AND($B93&lt;J94,J95&lt;ROUNDDOWN(VLOOKUP($B88,$P$357:$R$360,3,0)/$H$357,0)),ROUND(AVERAGE(ROUNDDOWN(J95*$H$357,0),2*VLOOKUP($B88,$P$357:$R$360,3,0)),0),VLOOKUP($B88,$P$357:$R$360,3,0))))-1))/2)))</f>
        <v>0</v>
      </c>
      <c r="K99" s="21"/>
      <c r="L99" s="21"/>
      <c r="M99" s="2894">
        <f ca="1">IF(OR($B93&gt;M94,M98="",M98=0),0,IF(AND(M95=0,OR(M94&gt;$B93,$I$357=1)),M98,IF(M95=0,NOMINAL(M98,12)*IF($B93=M94,$I$357,1),IF(AND($B93=M94,ROUNDDOWN($C$357,0)=M94),$E$357,1)*NOMINAL(M98,VLOOKUP($B88,$P$357:$R$360,3,0))/VLOOKUP($B88,$P$357:$R$360,3,0)))*((IF(M95=0,1,IF(AND($B93=M94,M95&lt;ROUNDDOWN(VLOOKUP($B88,$P$357:$R$360,3,0)/$H$357,0)),ROUNDDOWN(M95*$H$357,0),IF(AND($B93&lt;M94,M95&lt;ROUNDDOWN(VLOOKUP($B88,$P$357:$R$360,3,0)/$H$357,0)),ROUND(AVERAGE(ROUNDDOWN(M95*$H$357,0),2*VLOOKUP($B88,$P$357:$R$360,3,0)),0),VLOOKUP($B88,$P$357:$R$360,3,0))))*IF($B93=M94,$B89,SUM(J97:J97)))-((M96*(IF(M95=0,1,IF(AND($B93=M94,M95&lt;ROUNDDOWN(VLOOKUP($B88,$P$357:$R$360,3,0)/$H$357,0)),ROUNDDOWN(M95*$H$357,0),IF(AND($B93&lt;M94,M95&lt;ROUNDDOWN(VLOOKUP($B88,$P$357:$R$360,3,0)/$H$357,0)),ROUND(AVERAGE(ROUNDDOWN(M95*$H$357,0),2*VLOOKUP($B88,$P$357:$R$360,3,0)),0),VLOOKUP($B88,$P$357:$R$360,3,0))))-1))/2)))</f>
        <v>0</v>
      </c>
      <c r="N99" s="21"/>
      <c r="O99" s="21"/>
      <c r="P99" s="2894">
        <f ca="1">IF(OR($B93&gt;P94,P98="",P98=0),0,IF(AND(P95=0,OR(P94&gt;$B93,$I$357=1)),P98,IF(P95=0,NOMINAL(P98,12)*IF($B93=P94,$I$357,1),IF(AND($B93=P94,ROUNDDOWN($C$357,0)=P94),$E$357,1)*NOMINAL(P98,VLOOKUP($B88,$P$357:$R$360,3,0))/VLOOKUP($B88,$P$357:$R$360,3,0)))*((IF(P95=0,1,IF(AND($B93=P94,P95&lt;ROUNDDOWN(VLOOKUP($B88,$P$357:$R$360,3,0)/$H$357,0)),ROUNDDOWN(P95*$H$357,0),IF(AND($B93&lt;P94,P95&lt;ROUNDDOWN(VLOOKUP($B88,$P$357:$R$360,3,0)/$H$357,0)),ROUND(AVERAGE(ROUNDDOWN(P95*$H$357,0),2*VLOOKUP($B88,$P$357:$R$360,3,0)),0),VLOOKUP($B88,$P$357:$R$360,3,0))))*IF($B93=P94,$B89,SUM(M97:M97)))-((P96*(IF(P95=0,1,IF(AND($B93=P94,P95&lt;ROUNDDOWN(VLOOKUP($B88,$P$357:$R$360,3,0)/$H$357,0)),ROUNDDOWN(P95*$H$357,0),IF(AND($B93&lt;P94,P95&lt;ROUNDDOWN(VLOOKUP($B88,$P$357:$R$360,3,0)/$H$357,0)),ROUND(AVERAGE(ROUNDDOWN(P95*$H$357,0),2*VLOOKUP($B88,$P$357:$R$360,3,0)),0),VLOOKUP($B88,$P$357:$R$360,3,0))))-1))/2)))</f>
        <v>0</v>
      </c>
      <c r="Q99" s="21"/>
      <c r="R99" s="21"/>
      <c r="S99" s="2894">
        <f ca="1">IF(OR($B93&gt;S94,S98="",S98=0),0,IF(AND(S95=0,OR(S94&gt;$B93,$I$357=1)),S98,IF(S95=0,NOMINAL(S98,12)*IF($B93=S94,$I$357,1),IF(AND($B93=S94,ROUNDDOWN($C$357,0)=S94),$E$357,1)*NOMINAL(S98,VLOOKUP($B88,$P$357:$R$360,3,0))/VLOOKUP($B88,$P$357:$R$360,3,0)))*((IF(S95=0,1,IF(AND($B93=S94,S95&lt;ROUNDDOWN(VLOOKUP($B88,$P$357:$R$360,3,0)/$H$357,0)),ROUNDDOWN(S95*$H$357,0),IF(AND($B93&lt;S94,S95&lt;ROUNDDOWN(VLOOKUP($B88,$P$357:$R$360,3,0)/$H$357,0)),ROUND(AVERAGE(ROUNDDOWN(S95*$H$357,0),2*VLOOKUP($B88,$P$357:$R$360,3,0)),0),VLOOKUP($B88,$P$357:$R$360,3,0))))*IF($B93=S94,$B89,SUM(P97:P97)))-((S96*(IF(S95=0,1,IF(AND($B93=S94,S95&lt;ROUNDDOWN(VLOOKUP($B88,$P$357:$R$360,3,0)/$H$357,0)),ROUNDDOWN(S95*$H$357,0),IF(AND($B93&lt;S94,S95&lt;ROUNDDOWN(VLOOKUP($B88,$P$357:$R$360,3,0)/$H$357,0)),ROUND(AVERAGE(ROUNDDOWN(S95*$H$357,0),2*VLOOKUP($B88,$P$357:$R$360,3,0)),0),VLOOKUP($B88,$P$357:$R$360,3,0))))-1))/2)))</f>
        <v>0</v>
      </c>
      <c r="T99" s="21"/>
      <c r="U99" s="21"/>
      <c r="V99" s="2894">
        <f ca="1">IF(OR($B93&gt;V94,V98="",V98=0),0,IF(AND(V95=0,OR(V94&gt;$B93,$I$357=1)),V98,IF(V95=0,NOMINAL(V98,12)*IF($B93=V94,$I$357,1),IF(AND($B93=V94,ROUNDDOWN($C$357,0)=V94),$E$357,1)*NOMINAL(V98,VLOOKUP($B88,$P$357:$R$360,3,0))/VLOOKUP($B88,$P$357:$R$360,3,0)))*((IF(V95=0,1,IF(AND($B93=V94,V95&lt;ROUNDDOWN(VLOOKUP($B88,$P$357:$R$360,3,0)/$H$357,0)),ROUNDDOWN(V95*$H$357,0),IF(AND($B93&lt;V94,V95&lt;ROUNDDOWN(VLOOKUP($B88,$P$357:$R$360,3,0)/$H$357,0)),ROUND(AVERAGE(ROUNDDOWN(V95*$H$357,0),2*VLOOKUP($B88,$P$357:$R$360,3,0)),0),VLOOKUP($B88,$P$357:$R$360,3,0))))*IF($B93=V94,$B89,SUM(S97:S97)))-((V96*(IF(V95=0,1,IF(AND($B93=V94,V95&lt;ROUNDDOWN(VLOOKUP($B88,$P$357:$R$360,3,0)/$H$357,0)),ROUNDDOWN(V95*$H$357,0),IF(AND($B93&lt;V94,V95&lt;ROUNDDOWN(VLOOKUP($B88,$P$357:$R$360,3,0)/$H$357,0)),ROUND(AVERAGE(ROUNDDOWN(V95*$H$357,0),2*VLOOKUP($B88,$P$357:$R$360,3,0)),0),VLOOKUP($B88,$P$357:$R$360,3,0))))-1))/2)))</f>
        <v>0</v>
      </c>
      <c r="W99" s="21"/>
      <c r="X99" s="21"/>
      <c r="Y99" s="2894">
        <f ca="1">IF(OR($B93&gt;Y94,Y98="",Y98=0),0,IF(AND(Y95=0,OR(Y94&gt;$B93,$I$357=1)),Y98,IF(Y95=0,NOMINAL(Y98,12)*IF($B93=Y94,$I$357,1),IF(AND($B93=Y94,ROUNDDOWN($C$357,0)=Y94),$E$357,1)*NOMINAL(Y98,VLOOKUP($B88,$P$357:$R$360,3,0))/VLOOKUP($B88,$P$357:$R$360,3,0)))*((IF(Y95=0,1,IF(AND($B93=Y94,Y95&lt;ROUNDDOWN(VLOOKUP($B88,$P$357:$R$360,3,0)/$H$357,0)),ROUNDDOWN(Y95*$H$357,0),IF(AND($B93&lt;Y94,Y95&lt;ROUNDDOWN(VLOOKUP($B88,$P$357:$R$360,3,0)/$H$357,0)),ROUND(AVERAGE(ROUNDDOWN(Y95*$H$357,0),2*VLOOKUP($B88,$P$357:$R$360,3,0)),0),VLOOKUP($B88,$P$357:$R$360,3,0))))*IF($B93=Y94,$B89,SUM(V97:V97)))-((Y96*(IF(Y95=0,1,IF(AND($B93=Y94,Y95&lt;ROUNDDOWN(VLOOKUP($B88,$P$357:$R$360,3,0)/$H$357,0)),ROUNDDOWN(Y95*$H$357,0),IF(AND($B93&lt;Y94,Y95&lt;ROUNDDOWN(VLOOKUP($B88,$P$357:$R$360,3,0)/$H$357,0)),ROUND(AVERAGE(ROUNDDOWN(Y95*$H$357,0),2*VLOOKUP($B88,$P$357:$R$360,3,0)),0),VLOOKUP($B88,$P$357:$R$360,3,0))))-1))/2)))</f>
        <v>0</v>
      </c>
      <c r="Z99" s="21"/>
      <c r="AA99" s="21"/>
      <c r="AB99" s="2894">
        <f ca="1">IF(OR($B93&gt;AB94,AB98="",AB98=0),0,IF(AND(AB95=0,OR(AB94&gt;$B93,$I$357=1)),AB98,IF(AB95=0,NOMINAL(AB98,12)*IF($B93=AB94,$I$357,1),IF(AND($B93=AB94,ROUNDDOWN($C$357,0)=AB94),$E$357,1)*NOMINAL(AB98,VLOOKUP($B88,$P$357:$R$360,3,0))/VLOOKUP($B88,$P$357:$R$360,3,0)))*((IF(AB95=0,1,IF(AND($B93=AB94,AB95&lt;ROUNDDOWN(VLOOKUP($B88,$P$357:$R$360,3,0)/$H$357,0)),ROUNDDOWN(AB95*$H$357,0),IF(AND($B93&lt;AB94,AB95&lt;ROUNDDOWN(VLOOKUP($B88,$P$357:$R$360,3,0)/$H$357,0)),ROUND(AVERAGE(ROUNDDOWN(AB95*$H$357,0),2*VLOOKUP($B88,$P$357:$R$360,3,0)),0),VLOOKUP($B88,$P$357:$R$360,3,0))))*IF($B93=AB94,$B89,SUM(Y97:Y97)))-((AB96*(IF(AB95=0,1,IF(AND($B93=AB94,AB95&lt;ROUNDDOWN(VLOOKUP($B88,$P$357:$R$360,3,0)/$H$357,0)),ROUNDDOWN(AB95*$H$357,0),IF(AND($B93&lt;AB94,AB95&lt;ROUNDDOWN(VLOOKUP($B88,$P$357:$R$360,3,0)/$H$357,0)),ROUND(AVERAGE(ROUNDDOWN(AB95*$H$357,0),2*VLOOKUP($B88,$P$357:$R$360,3,0)),0),VLOOKUP($B88,$P$357:$R$360,3,0))))-1))/2)))</f>
        <v>0</v>
      </c>
      <c r="AC99" s="21"/>
      <c r="AD99" s="21"/>
      <c r="AE99" s="2894">
        <f ca="1">IF(OR($B93&gt;AE94,AE98="",AE98=0),0,IF(AND(AE95=0,OR(AE94&gt;$B93,$I$357=1)),AE98,IF(AE95=0,NOMINAL(AE98,12)*IF($B93=AE94,$I$357,1),IF(AND($B93=AE94,ROUNDDOWN($C$357,0)=AE94),$E$357,1)*NOMINAL(AE98,VLOOKUP($B88,$P$357:$R$360,3,0))/VLOOKUP($B88,$P$357:$R$360,3,0)))*((IF(AE95=0,1,IF(AND($B93=AE94,AE95&lt;ROUNDDOWN(VLOOKUP($B88,$P$357:$R$360,3,0)/$H$357,0)),ROUNDDOWN(AE95*$H$357,0),IF(AND($B93&lt;AE94,AE95&lt;ROUNDDOWN(VLOOKUP($B88,$P$357:$R$360,3,0)/$H$357,0)),ROUND(AVERAGE(ROUNDDOWN(AE95*$H$357,0),2*VLOOKUP($B88,$P$357:$R$360,3,0)),0),VLOOKUP($B88,$P$357:$R$360,3,0))))*IF($B93=AE94,$B89,SUM(AB97:AB97)))-((AE96*(IF(AE95=0,1,IF(AND($B93=AE94,AE95&lt;ROUNDDOWN(VLOOKUP($B88,$P$357:$R$360,3,0)/$H$357,0)),ROUNDDOWN(AE95*$H$357,0),IF(AND($B93&lt;AE94,AE95&lt;ROUNDDOWN(VLOOKUP($B88,$P$357:$R$360,3,0)/$H$357,0)),ROUND(AVERAGE(ROUNDDOWN(AE95*$H$357,0),2*VLOOKUP($B88,$P$357:$R$360,3,0)),0),VLOOKUP($B88,$P$357:$R$360,3,0))))-1))/2)))</f>
        <v>0</v>
      </c>
      <c r="AF99" s="2895"/>
      <c r="AG99" s="21"/>
      <c r="AH99" s="2894">
        <f ca="1">IF(OR($B93&gt;AH94,AH98="",AH98=0),0,IF(AND(AH95=0,OR(AH94&gt;$B93,$I$357=1)),AH98,IF(AH95=0,NOMINAL(AH98,12)*IF($B93=AH94,$I$357,1),IF(AND($B93=AH94,ROUNDDOWN($C$357,0)=AH94),$E$357,1)*NOMINAL(AH98,VLOOKUP($B88,$P$357:$R$360,3,0))/VLOOKUP($B88,$P$357:$R$360,3,0)))*((IF(AH95=0,1,IF(AND($B93=AH94,AH95&lt;ROUNDDOWN(VLOOKUP($B88,$P$357:$R$360,3,0)/$H$357,0)),ROUNDDOWN(AH95*$H$357,0),IF(AND($B93&lt;AH94,AH95&lt;ROUNDDOWN(VLOOKUP($B88,$P$357:$R$360,3,0)/$H$357,0)),ROUND(AVERAGE(ROUNDDOWN(AH95*$H$357,0),2*VLOOKUP($B88,$P$357:$R$360,3,0)),0),VLOOKUP($B88,$P$357:$R$360,3,0))))*IF($B93=AH94,$B89,SUM(AE97:AE97)))-((AH96*(IF(AH95=0,1,IF(AND($B93=AH94,AH95&lt;ROUNDDOWN(VLOOKUP($B88,$P$357:$R$360,3,0)/$H$357,0)),ROUNDDOWN(AH95*$H$357,0),IF(AND($B93&lt;AH94,AH95&lt;ROUNDDOWN(VLOOKUP($B88,$P$357:$R$360,3,0)/$H$357,0)),ROUND(AVERAGE(ROUNDDOWN(AH95*$H$357,0),2*VLOOKUP($B88,$P$357:$R$360,3,0)),0),VLOOKUP($B88,$P$357:$R$360,3,0))))-1))/2)))</f>
        <v>0</v>
      </c>
      <c r="AI99" s="21"/>
      <c r="AJ99" s="21"/>
      <c r="AK99" s="2894">
        <f ca="1">IF(OR($B93&gt;AK94,AK98="",AK98=0),0,IF(AND(AK95=0,OR(AK94&gt;$B93,$I$357=1)),AK98,IF(AK95=0,NOMINAL(AK98,12)*IF($B93=AK94,$I$357,1),IF(AND($B93=AK94,ROUNDDOWN($C$357,0)=AK94),$E$357,1)*NOMINAL(AK98,VLOOKUP($B88,$P$357:$R$360,3,0))/VLOOKUP($B88,$P$357:$R$360,3,0)))*((IF(AK95=0,1,IF(AND($B93=AK94,AK95&lt;ROUNDDOWN(VLOOKUP($B88,$P$357:$R$360,3,0)/$H$357,0)),ROUNDDOWN(AK95*$H$357,0),IF(AND($B93&lt;AK94,AK95&lt;ROUNDDOWN(VLOOKUP($B88,$P$357:$R$360,3,0)/$H$357,0)),ROUND(AVERAGE(ROUNDDOWN(AK95*$H$357,0),2*VLOOKUP($B88,$P$357:$R$360,3,0)),0),VLOOKUP($B88,$P$357:$R$360,3,0))))*IF($B93=AK94,$B89,SUM(AH97:AH97)))-((AK96*(IF(AK95=0,1,IF(AND($B93=AK94,AK95&lt;ROUNDDOWN(VLOOKUP($B88,$P$357:$R$360,3,0)/$H$357,0)),ROUNDDOWN(AK95*$H$357,0),IF(AND($B93&lt;AK94,AK95&lt;ROUNDDOWN(VLOOKUP($B88,$P$357:$R$360,3,0)/$H$357,0)),ROUND(AVERAGE(ROUNDDOWN(AK95*$H$357,0),2*VLOOKUP($B88,$P$357:$R$360,3,0)),0),VLOOKUP($B88,$P$357:$R$360,3,0))))-1))/2)))</f>
        <v>0</v>
      </c>
      <c r="AL99" s="21"/>
      <c r="AM99" s="21"/>
      <c r="AN99" s="2894">
        <f ca="1">IF(OR($B93&gt;AN94,AN98="",AN98=0),0,IF(AND(AN95=0,OR(AN94&gt;$B93,$I$357=1)),AN98,IF(AN95=0,NOMINAL(AN98,12)*IF($B93=AN94,$I$357,1),IF(AND($B93=AN94,ROUNDDOWN($C$357,0)=AN94),$E$357,1)*NOMINAL(AN98,VLOOKUP($B88,$P$357:$R$360,3,0))/VLOOKUP($B88,$P$357:$R$360,3,0)))*((IF(AN95=0,1,IF(AND($B93=AN94,AN95&lt;ROUNDDOWN(VLOOKUP($B88,$P$357:$R$360,3,0)/$H$357,0)),ROUNDDOWN(AN95*$H$357,0),IF(AND($B93&lt;AN94,AN95&lt;ROUNDDOWN(VLOOKUP($B88,$P$357:$R$360,3,0)/$H$357,0)),ROUND(AVERAGE(ROUNDDOWN(AN95*$H$357,0),2*VLOOKUP($B88,$P$357:$R$360,3,0)),0),VLOOKUP($B88,$P$357:$R$360,3,0))))*IF($B93=AN94,$B89,SUM(AK97:AK97)))-((AN96*(IF(AN95=0,1,IF(AND($B93=AN94,AN95&lt;ROUNDDOWN(VLOOKUP($B88,$P$357:$R$360,3,0)/$H$357,0)),ROUNDDOWN(AN95*$H$357,0),IF(AND($B93&lt;AN94,AN95&lt;ROUNDDOWN(VLOOKUP($B88,$P$357:$R$360,3,0)/$H$357,0)),ROUND(AVERAGE(ROUNDDOWN(AN95*$H$357,0),2*VLOOKUP($B88,$P$357:$R$360,3,0)),0),VLOOKUP($B88,$P$357:$R$360,3,0))))-1))/2)))</f>
        <v>0</v>
      </c>
      <c r="AO99" s="21"/>
      <c r="AP99" s="21"/>
      <c r="AQ99" s="2894">
        <f ca="1">IF(OR($B93&gt;AQ94,AQ98="",AQ98=0),0,IF(AND(AQ95=0,OR(AQ94&gt;$B93,$I$357=1)),AQ98,IF(AQ95=0,NOMINAL(AQ98,12)*IF($B93=AQ94,$I$357,1),IF(AND($B93=AQ94,ROUNDDOWN($C$357,0)=AQ94),$E$357,1)*NOMINAL(AQ98,VLOOKUP($B88,$P$357:$R$360,3,0))/VLOOKUP($B88,$P$357:$R$360,3,0)))*((IF(AQ95=0,1,IF(AND($B93=AQ94,AQ95&lt;ROUNDDOWN(VLOOKUP($B88,$P$357:$R$360,3,0)/$H$357,0)),ROUNDDOWN(AQ95*$H$357,0),IF(AND($B93&lt;AQ94,AQ95&lt;ROUNDDOWN(VLOOKUP($B88,$P$357:$R$360,3,0)/$H$357,0)),ROUND(AVERAGE(ROUNDDOWN(AQ95*$H$357,0),2*VLOOKUP($B88,$P$357:$R$360,3,0)),0),VLOOKUP($B88,$P$357:$R$360,3,0))))*IF($B93=AQ94,$B89,SUM(AN97:AN97)))-((AQ96*(IF(AQ95=0,1,IF(AND($B93=AQ94,AQ95&lt;ROUNDDOWN(VLOOKUP($B88,$P$357:$R$360,3,0)/$H$357,0)),ROUNDDOWN(AQ95*$H$357,0),IF(AND($B93&lt;AQ94,AQ95&lt;ROUNDDOWN(VLOOKUP($B88,$P$357:$R$360,3,0)/$H$357,0)),ROUND(AVERAGE(ROUNDDOWN(AQ95*$H$357,0),2*VLOOKUP($B88,$P$357:$R$360,3,0)),0),VLOOKUP($B88,$P$357:$R$360,3,0))))-1))/2)))</f>
        <v>0</v>
      </c>
      <c r="AR99" s="21"/>
      <c r="AS99" s="21"/>
      <c r="AT99" s="2894">
        <f ca="1">IF(OR($B93&gt;AT94,AT98="",AT98=0),0,IF(AND(AT95=0,OR(AT94&gt;$B93,$I$357=1)),AT98,IF(AT95=0,NOMINAL(AT98,12)*IF($B93=AT94,$I$357,1),IF(AND($B93=AT94,ROUNDDOWN($C$357,0)=AT94),$E$357,1)*NOMINAL(AT98,VLOOKUP($B88,$P$357:$R$360,3,0))/VLOOKUP($B88,$P$357:$R$360,3,0)))*((IF(AT95=0,1,IF(AND($B93=AT94,AT95&lt;ROUNDDOWN(VLOOKUP($B88,$P$357:$R$360,3,0)/$H$357,0)),ROUNDDOWN(AT95*$H$357,0),IF(AND($B93&lt;AT94,AT95&lt;ROUNDDOWN(VLOOKUP($B88,$P$357:$R$360,3,0)/$H$357,0)),ROUND(AVERAGE(ROUNDDOWN(AT95*$H$357,0),2*VLOOKUP($B88,$P$357:$R$360,3,0)),0),VLOOKUP($B88,$P$357:$R$360,3,0))))*IF($B93=AT94,$B89,SUM(AQ97:AQ97)))-((AT96*(IF(AT95=0,1,IF(AND($B93=AT94,AT95&lt;ROUNDDOWN(VLOOKUP($B88,$P$357:$R$360,3,0)/$H$357,0)),ROUNDDOWN(AT95*$H$357,0),IF(AND($B93&lt;AT94,AT95&lt;ROUNDDOWN(VLOOKUP($B88,$P$357:$R$360,3,0)/$H$357,0)),ROUND(AVERAGE(ROUNDDOWN(AT95*$H$357,0),2*VLOOKUP($B88,$P$357:$R$360,3,0)),0),VLOOKUP($B88,$P$357:$R$360,3,0))))-1))/2)))</f>
        <v>0</v>
      </c>
      <c r="AU99" s="2895"/>
      <c r="AV99" s="2883"/>
    </row>
    <row r="100" spans="1:48" ht="13.5" thickBot="1" x14ac:dyDescent="0.25">
      <c r="AV100" s="2883"/>
    </row>
    <row r="101" spans="1:48" x14ac:dyDescent="0.2">
      <c r="A101" s="2896" t="s">
        <v>1324</v>
      </c>
      <c r="B101" s="2897"/>
      <c r="C101" s="2898"/>
      <c r="D101" s="2898"/>
      <c r="E101" s="2898"/>
      <c r="F101" s="2898"/>
      <c r="G101" s="2898"/>
      <c r="H101" s="2898"/>
      <c r="I101" s="2898"/>
      <c r="J101" s="2898"/>
      <c r="K101" s="2898"/>
      <c r="L101" s="2898"/>
      <c r="M101" s="2898"/>
      <c r="N101" s="2898"/>
      <c r="O101" s="2898"/>
      <c r="P101" s="2898"/>
      <c r="Q101" s="2898"/>
      <c r="R101" s="2898"/>
      <c r="S101" s="2898"/>
      <c r="T101" s="2898"/>
      <c r="U101" s="2898"/>
      <c r="V101" s="2898"/>
      <c r="W101" s="2898"/>
      <c r="X101" s="2898"/>
      <c r="Y101" s="2898"/>
      <c r="Z101" s="2898"/>
      <c r="AA101" s="2898"/>
      <c r="AB101" s="2898"/>
      <c r="AC101" s="2898"/>
      <c r="AD101" s="2898"/>
      <c r="AE101" s="2898"/>
      <c r="AF101" s="2898"/>
      <c r="AG101" s="2898"/>
      <c r="AH101" s="2898"/>
      <c r="AI101" s="2898"/>
      <c r="AJ101" s="2898"/>
      <c r="AK101" s="2898"/>
      <c r="AL101" s="2898"/>
      <c r="AM101" s="2898"/>
      <c r="AN101" s="2898"/>
      <c r="AO101" s="2898"/>
      <c r="AP101" s="2898"/>
      <c r="AQ101" s="2898"/>
      <c r="AR101" s="2898"/>
      <c r="AS101" s="2898"/>
      <c r="AT101" s="2898"/>
      <c r="AU101" s="2898"/>
      <c r="AV101" s="2899"/>
    </row>
    <row r="102" spans="1:48" x14ac:dyDescent="0.2">
      <c r="A102" s="2881" t="s">
        <v>2052</v>
      </c>
      <c r="B102" s="2882"/>
      <c r="AV102" s="2883"/>
    </row>
    <row r="103" spans="1:48" x14ac:dyDescent="0.2">
      <c r="A103" s="2881" t="s">
        <v>2053</v>
      </c>
      <c r="B103" s="2884"/>
      <c r="AV103" s="2883"/>
    </row>
    <row r="104" spans="1:48" x14ac:dyDescent="0.2">
      <c r="A104" s="2881" t="s">
        <v>1320</v>
      </c>
      <c r="B104" s="2884"/>
      <c r="AV104" s="2883"/>
    </row>
    <row r="105" spans="1:48" x14ac:dyDescent="0.2">
      <c r="A105" s="2881" t="s">
        <v>1321</v>
      </c>
      <c r="B105" s="2884"/>
      <c r="AV105" s="2883"/>
    </row>
    <row r="106" spans="1:48" x14ac:dyDescent="0.2">
      <c r="A106" s="2885" t="s">
        <v>1322</v>
      </c>
      <c r="B106" s="2886"/>
      <c r="AV106" s="2883"/>
    </row>
    <row r="107" spans="1:48" x14ac:dyDescent="0.2">
      <c r="A107" s="2887" t="s">
        <v>2054</v>
      </c>
      <c r="B107" s="2888">
        <f ca="1">B$11</f>
        <v>2023</v>
      </c>
      <c r="D107" s="2888">
        <f ca="1">D$11</f>
        <v>2024</v>
      </c>
      <c r="G107" s="2888">
        <f ca="1">G$11</f>
        <v>2025</v>
      </c>
      <c r="J107" s="2888">
        <f ca="1">J$11</f>
        <v>2026</v>
      </c>
      <c r="M107" s="2888">
        <f ca="1">M$11</f>
        <v>2027</v>
      </c>
      <c r="P107" s="2888">
        <f ca="1">P$11</f>
        <v>2028</v>
      </c>
      <c r="S107" s="2888">
        <f ca="1">S$11</f>
        <v>2029</v>
      </c>
      <c r="V107" s="2888">
        <f ca="1">V$11</f>
        <v>2030</v>
      </c>
      <c r="Y107" s="2888">
        <f ca="1">Y$11</f>
        <v>2031</v>
      </c>
      <c r="AB107" s="2888">
        <f ca="1">AB$11</f>
        <v>2032</v>
      </c>
      <c r="AE107" s="2888">
        <f ca="1">AE$11</f>
        <v>2033</v>
      </c>
      <c r="AH107" s="2888">
        <f ca="1">AH$11</f>
        <v>2034</v>
      </c>
      <c r="AK107" s="2888">
        <f ca="1">AK$11</f>
        <v>2035</v>
      </c>
      <c r="AN107" s="2888">
        <f ca="1">AN$11</f>
        <v>2036</v>
      </c>
      <c r="AQ107" s="2888">
        <f ca="1">AQ$11</f>
        <v>2037</v>
      </c>
      <c r="AT107" s="2888">
        <f ca="1">AT$11</f>
        <v>2038</v>
      </c>
      <c r="AV107" s="2883"/>
    </row>
    <row r="108" spans="1:48" x14ac:dyDescent="0.2">
      <c r="A108" s="2889" t="s">
        <v>2055</v>
      </c>
      <c r="B108" s="2890">
        <f>IF(OR($B103=0,$B103="",$B101=""),0,IF(AND(B107-$B106&gt;=0,B107&lt;=$B106+$B103,ROUNDDOWN(B107,0)=ROUNDDOWN($C$358,0)),IF(ROUNDDOWN(B107,0)=ROUNDDOWN($C$358,0),ROUND($E$358*VLOOKUP($B101,$P$357:$R$360,3,0)/$H$358,2),ROUND(VLOOKUP($B101,$P$357:$R$360,3,0)/$H$358,2)),0))</f>
        <v>0</v>
      </c>
      <c r="D108" s="2890">
        <f>IF(OR($B103=0,$B103="",$B101=""),0,IF(AND(ROUNDDOWN(D107,0)&gt;=ROUNDDOWN($C$358,0),1-$B108&lt;VLOOKUP($B101,$P$357:$R$360,3,0)/$H$358),1-$B108,IF(ROUNDDOWN(D107,0)&gt;=ROUNDDOWN($C$358,0),IF(ROUNDDOWN(D107,0)=ROUNDDOWN($C$358,0),ROUND($E$358*VLOOKUP($B101,$P$357:$R$360,3,0)/$H$358,2),ROUND(VLOOKUP($B101,$P$357:$R$360,3,0)/$H$358,2)),0)))</f>
        <v>0</v>
      </c>
      <c r="G108" s="2890">
        <f>IF(OR($B103=0,$B103="",$B101=""),0,IF(AND(ROUNDDOWN(G107,0)&gt;=ROUNDDOWN($C$358,0),1-SUM($B108:D108)&lt;VLOOKUP($B101,$P$357:$R$360,3,0)/$H$358),1-SUM($B108:D108),IF(ROUNDDOWN(G107,0)&gt;=ROUNDDOWN($C$358,0),IF(ROUNDDOWN(G107,0)=ROUNDDOWN($C$358,0),ROUND($E$358*VLOOKUP($B101,$P$357:$R$360,3,0)/$H$358,2),ROUND(VLOOKUP($B101,$P$357:$R$360,3,0)/$H$358,2)),0)))</f>
        <v>0</v>
      </c>
      <c r="J108" s="2890">
        <f>IF(OR($B103=0,$B103="",$B101=""),0,IF(AND(ROUNDDOWN(J107,0)&gt;=ROUNDDOWN($C$358,0),1-SUM($B108:G108)&lt;VLOOKUP($B101,$P$357:$R$360,3,0)/$H$358),1-SUM($B108:G108),IF(ROUNDDOWN(J107,0)&gt;=ROUNDDOWN($C$358,0),IF(ROUNDDOWN(J107,0)=ROUNDDOWN($C$358,0),ROUND($E$358*VLOOKUP($B101,$P$357:$R$360,3,0)/$H$358,2),ROUND(VLOOKUP($B101,$P$357:$R$360,3,0)/$H$358,2)),0)))</f>
        <v>0</v>
      </c>
      <c r="M108" s="2890">
        <f>IF(OR($B103=0,$B103="",$B101=""),0,IF(AND(ROUNDDOWN(M107,0)&gt;=ROUNDDOWN($C$358,0),1-SUM($B108:J108)&lt;VLOOKUP($B101,$P$357:$R$360,3,0)/$H$358),1-SUM($B108:J108),IF(ROUNDDOWN(M107,0)&gt;=ROUNDDOWN($C$358,0),IF(ROUNDDOWN(M107,0)=ROUNDDOWN($C$358,0),ROUND($E$358*VLOOKUP($B101,$P$357:$R$360,3,0)/$H$358,2),ROUND(VLOOKUP($B101,$P$357:$R$360,3,0)/$H$358,2)),0)))</f>
        <v>0</v>
      </c>
      <c r="P108" s="2890">
        <f>IF(OR($B103=0,$B103="",$B101=""),0,IF(AND(ROUNDDOWN(P107,0)&gt;=ROUNDDOWN($C$358,0),1-SUM($B108:M108)&lt;VLOOKUP($B101,$P$357:$R$360,3,0)/$H$358),1-SUM($B108:M108),IF(ROUNDDOWN(P107,0)&gt;=ROUNDDOWN($C$358,0),IF(ROUNDDOWN(P107,0)=ROUNDDOWN($C$358,0),ROUND($E$358*VLOOKUP($B101,$P$357:$R$360,3,0)/$H$358,2),ROUND(VLOOKUP($B101,$P$357:$R$360,3,0)/$H$358,2)),0)))</f>
        <v>0</v>
      </c>
      <c r="S108" s="2890">
        <f>IF(OR($B103=0,$B103="",$B101=""),0,IF(AND(ROUNDDOWN(S107,0)&gt;=ROUNDDOWN($C$358,0),1-SUM($B108:P108)&lt;VLOOKUP($B101,$P$357:$R$360,3,0)/$H$358),1-SUM($B108:P108),IF(ROUNDDOWN(S107,0)&gt;=ROUNDDOWN($C$358,0),IF(ROUNDDOWN(S107,0)=ROUNDDOWN($C$358,0),ROUND($E$358*VLOOKUP($B101,$P$357:$R$360,3,0)/$H$358,2),ROUND(VLOOKUP($B101,$P$357:$R$360,3,0)/$H$358,2)),0)))</f>
        <v>0</v>
      </c>
      <c r="V108" s="2890">
        <f>IF(OR($B103=0,$B103="",$B101=""),0,IF(AND(ROUNDDOWN(V107,0)&gt;=ROUNDDOWN($C$358,0),1-SUM($B108:S108)&lt;VLOOKUP($B101,$P$357:$R$360,3,0)/$H$358),1-SUM($B108:S108),IF(ROUNDDOWN(V107,0)&gt;=ROUNDDOWN($C$358,0),IF(ROUNDDOWN(V107,0)=ROUNDDOWN($C$358,0),ROUND($E$358*VLOOKUP($B101,$P$357:$R$360,3,0)/$H$358,2),ROUND(VLOOKUP($B101,$P$357:$R$360,3,0)/$H$358,2)),0)))</f>
        <v>0</v>
      </c>
      <c r="Y108" s="2890">
        <f>IF(OR($B103=0,$B103="",$B101=""),0,IF(AND(ROUNDDOWN(Y107,0)&gt;=ROUNDDOWN($C$358,0),1-SUM($B108:V108)&lt;VLOOKUP($B101,$P$357:$R$360,3,0)/$H$358),1-SUM($B108:V108),IF(ROUNDDOWN(Y107,0)&gt;=ROUNDDOWN($C$358,0),IF(ROUNDDOWN(Y107,0)=ROUNDDOWN($C$358,0),ROUND($E$358*VLOOKUP($B101,$P$357:$R$360,3,0)/$H$358,2),ROUND(VLOOKUP($B101,$P$357:$R$360,3,0)/$H$358,2)),0)))</f>
        <v>0</v>
      </c>
      <c r="AB108" s="2890">
        <f>IF(OR($B103=0,$B103="",$B101=""),0,IF(AND(ROUNDDOWN(AB107,0)&gt;=ROUNDDOWN($C$358,0),1-SUM($B108:Y108)&lt;VLOOKUP($B101,$P$357:$R$360,3,0)/$H$358),1-SUM($B108:Y108),IF(ROUNDDOWN(AB107,0)&gt;=ROUNDDOWN($C$358,0),IF(ROUNDDOWN(AB107,0)=ROUNDDOWN($C$358,0),ROUND($E$358*VLOOKUP($B101,$P$357:$R$360,3,0)/$H$358,2),ROUND(VLOOKUP($B101,$P$357:$R$360,3,0)/$H$358,2)),0)))</f>
        <v>0</v>
      </c>
      <c r="AE108" s="2890">
        <f>IF(OR($B103=0,$B103="",$B101=""),0,IF(AND(ROUNDDOWN(AE107,0)&gt;=ROUNDDOWN($C$358,0),1-SUM($B108:AB108)&lt;VLOOKUP($B101,$P$357:$R$360,3,0)/$H$358),1-SUM($B108:AB108),IF(ROUNDDOWN(AE107,0)&gt;=ROUNDDOWN($C$358,0),IF(ROUNDDOWN(AE107,0)=ROUNDDOWN($C$358,0),ROUND($E$358*VLOOKUP($B101,$P$357:$R$360,3,0)/$H$358,2),ROUND(VLOOKUP($B101,$P$357:$R$360,3,0)/$H$358,2)),0)))</f>
        <v>0</v>
      </c>
      <c r="AH108" s="2890">
        <f>IF(OR($B103=0,$B103="",$B101=""),0,IF(AND(ROUNDDOWN(AH107,0)&gt;=ROUNDDOWN($C$358,0),1-SUM($B108:AE108)&lt;VLOOKUP($B101,$P$357:$R$360,3,0)/$H$358),1-SUM($B108:AE108),IF(ROUNDDOWN(AH107,0)&gt;=ROUNDDOWN($C$358,0),IF(ROUNDDOWN(AH107,0)=ROUNDDOWN($C$358,0),ROUND($E$358*VLOOKUP($B101,$P$357:$R$360,3,0)/$H$358,2),ROUND(VLOOKUP($B101,$P$357:$R$360,3,0)/$H$358,2)),0)))</f>
        <v>0</v>
      </c>
      <c r="AK108" s="2890">
        <f>IF(OR($B103=0,$B103="",$B101=""),0,IF(AND(ROUNDDOWN(AK107,0)&gt;=ROUNDDOWN($C$358,0),1-SUM($B108:AH108)&lt;VLOOKUP($B101,$P$357:$R$360,3,0)/$H$358),1-SUM($B108:AH108),IF(ROUNDDOWN(AK107,0)&gt;=ROUNDDOWN($C$358,0),IF(ROUNDDOWN(AK107,0)=ROUNDDOWN($C$358,0),ROUND($E$358*VLOOKUP($B101,$P$357:$R$360,3,0)/$H$358,2),ROUND(VLOOKUP($B101,$P$357:$R$360,3,0)/$H$358,2)),0)))</f>
        <v>0</v>
      </c>
      <c r="AN108" s="2890">
        <f>IF(OR($B103=0,$B103="",$B101=""),0,IF(AND(ROUNDDOWN(AN107,0)&gt;=ROUNDDOWN($C$358,0),1-SUM($B108:AK108)&lt;VLOOKUP($B101,$P$357:$R$360,3,0)/$H$358),1-SUM($B108:AK108),IF(ROUNDDOWN(AN107,0)&gt;=ROUNDDOWN($C$358,0),IF(ROUNDDOWN(AN107,0)=ROUNDDOWN($C$358,0),ROUND($E$358*VLOOKUP($B101,$P$357:$R$360,3,0)/$H$358,2),ROUND(VLOOKUP($B101,$P$357:$R$360,3,0)/$H$358,2)),0)))</f>
        <v>0</v>
      </c>
      <c r="AQ108" s="2890">
        <f>IF(OR($B103=0,$B103="",$B101=""),0,IF(AND(ROUNDDOWN(AQ107,0)&gt;=ROUNDDOWN($C$358,0),1-SUM($B108:AN108)&lt;VLOOKUP($B101,$P$357:$R$360,3,0)/$H$358),1-SUM($B108:AN108),IF(ROUNDDOWN(AQ107,0)&gt;=ROUNDDOWN($C$358,0),IF(ROUNDDOWN(AQ107,0)=ROUNDDOWN($C$358,0),ROUND($E$358*VLOOKUP($B101,$P$357:$R$360,3,0)/$H$358,2),ROUND(VLOOKUP($B101,$P$357:$R$360,3,0)/$H$358,2)),0)))</f>
        <v>0</v>
      </c>
      <c r="AT108" s="2890">
        <f>IF(OR($B103=0,$B103="",$B101=""),0,IF(AND(ROUNDDOWN(AT107,0)&gt;=ROUNDDOWN($C$358,0),1-SUM($B108:AQ108)&lt;VLOOKUP($B101,$P$357:$R$360,3,0)/$H$358),1-SUM($B108:AQ108),IF(ROUNDDOWN(AT107,0)&gt;=ROUNDDOWN($C$358,0),IF(ROUNDDOWN(AT107,0)=ROUNDDOWN($C$358,0),ROUND($E$358*VLOOKUP($B101,$P$357:$R$360,3,0)/$H$358,2),ROUND(VLOOKUP($B101,$P$357:$R$360,3,0)/$H$358,2)),0)))</f>
        <v>0</v>
      </c>
      <c r="AV108" s="2883"/>
    </row>
    <row r="109" spans="1:48" x14ac:dyDescent="0.2">
      <c r="A109" s="2891" t="s">
        <v>2056</v>
      </c>
      <c r="B109" s="2892">
        <f>$B102*B108</f>
        <v>0</v>
      </c>
      <c r="D109" s="2892">
        <f ca="1">IF($B106&gt;D107,0,D108*$B102)</f>
        <v>0</v>
      </c>
      <c r="G109" s="2892">
        <f ca="1">IF($B106&gt;G107,0,G108*$B102)</f>
        <v>0</v>
      </c>
      <c r="J109" s="2892">
        <f ca="1">IF($B106&gt;J107,0,J108*$B102)</f>
        <v>0</v>
      </c>
      <c r="M109" s="2892">
        <f ca="1">IF($B106&gt;M107,0,M108*$B102)</f>
        <v>0</v>
      </c>
      <c r="P109" s="2892">
        <f ca="1">IF($B106&gt;P107,0,P108*$B102)</f>
        <v>0</v>
      </c>
      <c r="S109" s="2892">
        <f ca="1">IF($B106&gt;S107,0,S108*$B102)</f>
        <v>0</v>
      </c>
      <c r="V109" s="2892">
        <f ca="1">IF($B106&gt;V107,0,V108*$B102)</f>
        <v>0</v>
      </c>
      <c r="Y109" s="2892">
        <f ca="1">IF($B106&gt;Y107,0,Y108*$B102)</f>
        <v>0</v>
      </c>
      <c r="AB109" s="2892">
        <f ca="1">IF($B106&gt;AB107,0,AB108*$B102)</f>
        <v>0</v>
      </c>
      <c r="AE109" s="2892">
        <f ca="1">IF($B106&gt;AE107,0,AE108*$B102)</f>
        <v>0</v>
      </c>
      <c r="AH109" s="2892">
        <f ca="1">IF($B106&gt;AH107,0,AH108*$B102)</f>
        <v>0</v>
      </c>
      <c r="AK109" s="2892">
        <f ca="1">IF($B106&gt;AK107,0,AK108*$B102)</f>
        <v>0</v>
      </c>
      <c r="AN109" s="2892">
        <f ca="1">IF($B106&gt;AN107,0,AN108*$B102)</f>
        <v>0</v>
      </c>
      <c r="AQ109" s="2892">
        <f ca="1">IF($B106&gt;AQ107,0,AQ108*$B102)</f>
        <v>0</v>
      </c>
      <c r="AT109" s="2892">
        <f ca="1">IF($B106&gt;AT107,0,AT108*$B102)</f>
        <v>0</v>
      </c>
      <c r="AV109" s="2883"/>
    </row>
    <row r="110" spans="1:48" x14ac:dyDescent="0.2">
      <c r="A110" s="2885" t="s">
        <v>2057</v>
      </c>
      <c r="B110" s="2893">
        <f ca="1">IF($B106&gt;B107,0,B102-B109)</f>
        <v>0</v>
      </c>
      <c r="D110" s="2893">
        <f ca="1">IF($B106&gt;D107,0,IF($B106=D107,$B102-D109,IF(B110-D109&lt;0.005,0,B110-D109)))</f>
        <v>0</v>
      </c>
      <c r="G110" s="2893">
        <f ca="1">IF($B106&gt;G107,0,IF($B106=G107,$B102-G109,IF(+D110-G109&lt;0.005,0,+D110-G109)))</f>
        <v>0</v>
      </c>
      <c r="J110" s="2893">
        <f ca="1">IF($B106&gt;J107,0,IF($B106=J107,$B102-J109,IF(+G110-J109&lt;0.005,0,+G110-J109)))</f>
        <v>0</v>
      </c>
      <c r="M110" s="2893">
        <f ca="1">IF($B106&gt;M107,0,IF($B106=M107,$B102-M109,IF(+J110-M109&lt;0.005,0,+J110-M109)))</f>
        <v>0</v>
      </c>
      <c r="P110" s="2893">
        <f ca="1">IF($B106&gt;P107,0,IF($B106=P107,$B102-P109,IF(+M110-P109&lt;0.005,0,+M110-P109)))</f>
        <v>0</v>
      </c>
      <c r="S110" s="2893">
        <f ca="1">IF($B106&gt;S107,0,IF($B106=S107,$B102-S109,IF(+P110-S109&lt;0.005,0,+P110-S109)))</f>
        <v>0</v>
      </c>
      <c r="V110" s="2893">
        <f ca="1">IF($B106&gt;V107,0,IF($B106=V107,$B102-V109,IF(+S110-V109&lt;0.005,0,+S110-V109)))</f>
        <v>0</v>
      </c>
      <c r="Y110" s="2893">
        <f ca="1">IF($B106&gt;Y107,0,IF($B106=Y107,$B102-Y109,IF(+V110-Y109&lt;0.005,0,+V110-Y109)))</f>
        <v>0</v>
      </c>
      <c r="AB110" s="2893">
        <f ca="1">IF($B106&gt;AB107,0,IF($B106=AB107,$B102-AB109,IF(+Y110-AB109&lt;0.005,0,+Y110-AB109)))</f>
        <v>0</v>
      </c>
      <c r="AE110" s="2893">
        <f ca="1">IF($B106&gt;AE107,0,IF($B106=AE107,$B102-AE109,IF(+AB110-AE109&lt;0.005,0,+AB110-AE109)))</f>
        <v>0</v>
      </c>
      <c r="AH110" s="2893">
        <f ca="1">IF($B106&gt;AH107,0,IF($B106=AH107,$B102-AH109,IF(+AE110-AH109&lt;0.005,0,+AE110-AH109)))</f>
        <v>0</v>
      </c>
      <c r="AK110" s="2893">
        <f ca="1">IF($B106&gt;AK107,0,IF($B106=AK107,$B102-AK109,IF(+AH110-AK109&lt;0.005,0,+AH110-AK109)))</f>
        <v>0</v>
      </c>
      <c r="AN110" s="2893">
        <f ca="1">IF($B106&gt;AN107,0,IF($B106=AN107,$B102-AN109,IF(+AK110-AN109&lt;0.005,0,+AK110-AN109)))</f>
        <v>0</v>
      </c>
      <c r="AQ110" s="2893">
        <f ca="1">IF($B106&gt;AQ107,0,IF($B106=AQ107,$B102-AQ109,IF(+AN110-AQ109&lt;0.005,0,+AN110-AQ109)))</f>
        <v>0</v>
      </c>
      <c r="AT110" s="2893">
        <f ca="1">IF($B106&gt;AT107,0,IF($B106=AT107,$B102-AT109,IF(+AQ110-AT109&lt;0.005,0,+AQ110-AT109)))</f>
        <v>0</v>
      </c>
      <c r="AV110" s="2883"/>
    </row>
    <row r="111" spans="1:48" x14ac:dyDescent="0.2">
      <c r="A111" s="2889" t="s">
        <v>2058</v>
      </c>
      <c r="B111" s="2890"/>
      <c r="D111" s="2890">
        <f>B111</f>
        <v>0</v>
      </c>
      <c r="G111" s="2890">
        <f>D111</f>
        <v>0</v>
      </c>
      <c r="J111" s="2890">
        <f>G111</f>
        <v>0</v>
      </c>
      <c r="M111" s="2890">
        <f>J111</f>
        <v>0</v>
      </c>
      <c r="P111" s="2890">
        <f>M111</f>
        <v>0</v>
      </c>
      <c r="S111" s="2890">
        <f>P111</f>
        <v>0</v>
      </c>
      <c r="V111" s="2890">
        <f>S111</f>
        <v>0</v>
      </c>
      <c r="Y111" s="2890">
        <f>V111</f>
        <v>0</v>
      </c>
      <c r="AB111" s="2890">
        <f>Y111</f>
        <v>0</v>
      </c>
      <c r="AE111" s="2890">
        <f>AB111</f>
        <v>0</v>
      </c>
      <c r="AH111" s="2890">
        <f>AE111</f>
        <v>0</v>
      </c>
      <c r="AK111" s="2890">
        <f>AH111</f>
        <v>0</v>
      </c>
      <c r="AN111" s="2890">
        <f>AK111</f>
        <v>0</v>
      </c>
      <c r="AQ111" s="2890">
        <f>AN111</f>
        <v>0</v>
      </c>
      <c r="AT111" s="2890">
        <f>AQ111</f>
        <v>0</v>
      </c>
      <c r="AV111" s="2883"/>
    </row>
    <row r="112" spans="1:48" x14ac:dyDescent="0.2">
      <c r="A112" s="2889" t="s">
        <v>2059</v>
      </c>
      <c r="B112" s="2894">
        <f ca="1">IF(OR($B106&lt;&gt;B107,B111="",B111=0),0,IF(AND(B108=0,$I$358=1),B111,IF(B108=0,NOMINAL(B111,12)*IF($B106=B107,$I$358,1),IF(AND($B106=B107,ROUNDDOWN($C$358,0)=B107),$E$358,1)*NOMINAL(B111,VLOOKUP($B101,$P$357:$R$360,3,0))/VLOOKUP($B101,$P$357:$R$360,3,0)))*((IF(B108=0,1,IF(AND($B106=B107,B108&lt;ROUNDDOWN(VLOOKUP($B101,$P$357:$R$360,3,0)/$H$358,0)),ROUNDDOWN(B108*$H$358,0),IF(AND($B106&lt;B107,B108&lt;ROUNDDOWN(VLOOKUP($B101,$P$357:$R$360,3,0)/$H$358,0)),ROUND(AVERAGE(ROUNDDOWN(B108*$H$358,0),2*VLOOKUP($B101,$P$357:$R$360,3,0)),0),VLOOKUP($B101,$P$357:$R$360,3,0))))*$B102)-((B109*(IF(B108=0,1,IF(AND($B106=B107,B108&lt;ROUNDDOWN(VLOOKUP($B101,$P$357:$R$360,3,0)/$H$358,0)),ROUNDDOWN(B108*$H$358,0),IF(AND($B106&lt;B107,B108&lt;ROUNDDOWN(VLOOKUP($B101,$P$357:$R$360,3,0)/$H$358,0)),ROUND(AVERAGE(ROUNDDOWN(B108*$H$358,0),2*VLOOKUP($B101,$P$357:$R$360,3,0)),0),VLOOKUP($B101,$P$357:$R$360,3,0))))-1))/2)))</f>
        <v>0</v>
      </c>
      <c r="C112" s="2895"/>
      <c r="D112" s="2894">
        <f ca="1">IF(OR($B106&gt;D107,D111="",D111=0),0,IF(AND(D108=0,OR(D107&gt;$B106,$I$358=1)),D111,IF(D108=0,NOMINAL(D111,12)*IF($B106=D107,$I$358,1),IF(AND($B106=D107,ROUNDDOWN($C$358,0)=D107),$E$358,1)*NOMINAL(D111,VLOOKUP($B101,$P$357:$R$360,3,0))/VLOOKUP($B101,$P$357:$R$360,3,0)))*((IF(D108=0,1,IF(AND($B106=D107,D108&lt;ROUNDDOWN(VLOOKUP($B101,$P$357:$R$360,3,0)/$H$358,0)),ROUNDDOWN(D108*$H$358,0),IF(AND($B106&lt;D107,D108&lt;ROUNDDOWN(VLOOKUP($B101,$P$357:$R$360,3,0)/$H$358,0)),ROUND(AVERAGE(ROUNDDOWN(D108*$H$358,0),2*VLOOKUP($B101,$P$357:$R$360,3,0)),0),VLOOKUP($B101,$P$357:$R$360,3,0))))*IF($B106=D107,$B102,SUM(B110:B110)))-((D109*(IF(D108=0,1,IF(AND($B106=D107,D108&lt;ROUNDDOWN(VLOOKUP($B101,$P$357:$R$360,3,0)/$H$358,0)),ROUNDDOWN(D108*$H$358,0),IF(AND($B106&lt;D107,D108&lt;ROUNDDOWN(VLOOKUP($B101,$P$357:$R$360,3,0)/$H$358,0)),ROUND(AVERAGE(ROUNDDOWN(D108*$H$358,0),2*VLOOKUP($B101,$P$357:$R$360,3,0)),0),VLOOKUP($B101,$P$357:$R$360,3,0))))-1))/2)))</f>
        <v>0</v>
      </c>
      <c r="E112" s="21"/>
      <c r="F112" s="21"/>
      <c r="G112" s="2894">
        <f ca="1">IF(OR($B106&gt;G107,G111="",G111=0),0,IF(AND(G108=0,OR(G107&gt;$B106,$I$358=1)),G111,IF(G108=0,NOMINAL(G111,12)*IF($B106=G107,$I$358,1),IF(AND($B106=G107,ROUNDDOWN($C$358,0)=G107),$E$358,1)*NOMINAL(G111,VLOOKUP($B101,$P$357:$R$360,3,0))/VLOOKUP($B101,$P$357:$R$360,3,0)))*((IF(G108=0,1,IF(AND($B106=G107,G108&lt;ROUNDDOWN(VLOOKUP($B101,$P$357:$R$360,3,0)/$H$358,0)),ROUNDDOWN(G108*$H$358,0),IF(AND($B106&lt;G107,G108&lt;ROUNDDOWN(VLOOKUP($B101,$P$357:$R$360,3,0)/$H$358,0)),ROUND(AVERAGE(ROUNDDOWN(G108*$H$358,0),2*VLOOKUP($B101,$P$357:$R$360,3,0)),0),VLOOKUP($B101,$P$357:$R$360,3,0))))*IF($B106=G107,$B102,SUM(D110:D110)))-((G109*(IF(G108=0,1,IF(AND($B106=G107,G108&lt;ROUNDDOWN(VLOOKUP($B101,$P$357:$R$360,3,0)/$H$358,0)),ROUNDDOWN(G108*$H$358,0),IF(AND($B106&lt;G107,G108&lt;ROUNDDOWN(VLOOKUP($B101,$P$357:$R$360,3,0)/$H$358,0)),ROUND(AVERAGE(ROUNDDOWN(G108*$H$358,0),2*VLOOKUP($B101,$P$357:$R$360,3,0)),0),VLOOKUP($B101,$P$357:$R$360,3,0))))-1))/2)))</f>
        <v>0</v>
      </c>
      <c r="H112" s="21"/>
      <c r="I112" s="21"/>
      <c r="J112" s="2894">
        <f ca="1">IF(OR($B106&gt;J107,J111="",J111=0),0,IF(AND(J108=0,OR(J107&gt;$B106,$I$358=1)),J111,IF(J108=0,NOMINAL(J111,12)*IF($B106=J107,$I$358,1),IF(AND($B106=J107,ROUNDDOWN($C$358,0)=J107),$E$358,1)*NOMINAL(J111,VLOOKUP($B101,$P$357:$R$360,3,0))/VLOOKUP($B101,$P$357:$R$360,3,0)))*((IF(J108=0,1,IF(AND($B106=J107,J108&lt;ROUNDDOWN(VLOOKUP($B101,$P$357:$R$360,3,0)/$H$358,0)),ROUNDDOWN(J108*$H$358,0),IF(AND($B106&lt;J107,J108&lt;ROUNDDOWN(VLOOKUP($B101,$P$357:$R$360,3,0)/$H$358,0)),ROUND(AVERAGE(ROUNDDOWN(J108*$H$358,0),2*VLOOKUP($B101,$P$357:$R$360,3,0)),0),VLOOKUP($B101,$P$357:$R$360,3,0))))*IF($B106=J107,$B102,SUM(G110:G110)))-((J109*(IF(J108=0,1,IF(AND($B106=J107,J108&lt;ROUNDDOWN(VLOOKUP($B101,$P$357:$R$360,3,0)/$H$358,0)),ROUNDDOWN(J108*$H$358,0),IF(AND($B106&lt;J107,J108&lt;ROUNDDOWN(VLOOKUP($B101,$P$357:$R$360,3,0)/$H$358,0)),ROUND(AVERAGE(ROUNDDOWN(J108*$H$358,0),2*VLOOKUP($B101,$P$357:$R$360,3,0)),0),VLOOKUP($B101,$P$357:$R$360,3,0))))-1))/2)))</f>
        <v>0</v>
      </c>
      <c r="K112" s="21"/>
      <c r="L112" s="21"/>
      <c r="M112" s="2894">
        <f ca="1">IF(OR($B106&gt;M107,M111="",M111=0),0,IF(AND(M108=0,OR(M107&gt;$B106,$I$358=1)),M111,IF(M108=0,NOMINAL(M111,12)*IF($B106=M107,$I$358,1),IF(AND($B106=M107,ROUNDDOWN($C$358,0)=M107),$E$358,1)*NOMINAL(M111,VLOOKUP($B101,$P$357:$R$360,3,0))/VLOOKUP($B101,$P$357:$R$360,3,0)))*((IF(M108=0,1,IF(AND($B106=M107,M108&lt;ROUNDDOWN(VLOOKUP($B101,$P$357:$R$360,3,0)/$H$358,0)),ROUNDDOWN(M108*$H$358,0),IF(AND($B106&lt;M107,M108&lt;ROUNDDOWN(VLOOKUP($B101,$P$357:$R$360,3,0)/$H$358,0)),ROUND(AVERAGE(ROUNDDOWN(M108*$H$358,0),2*VLOOKUP($B101,$P$357:$R$360,3,0)),0),VLOOKUP($B101,$P$357:$R$360,3,0))))*IF($B106=M107,$B102,SUM(J110:J110)))-((M109*(IF(M108=0,1,IF(AND($B106=M107,M108&lt;ROUNDDOWN(VLOOKUP($B101,$P$357:$R$360,3,0)/$H$358,0)),ROUNDDOWN(M108*$H$358,0),IF(AND($B106&lt;M107,M108&lt;ROUNDDOWN(VLOOKUP($B101,$P$357:$R$360,3,0)/$H$358,0)),ROUND(AVERAGE(ROUNDDOWN(M108*$H$358,0),2*VLOOKUP($B101,$P$357:$R$360,3,0)),0),VLOOKUP($B101,$P$357:$R$360,3,0))))-1))/2)))</f>
        <v>0</v>
      </c>
      <c r="N112" s="21"/>
      <c r="O112" s="21"/>
      <c r="P112" s="2894">
        <f ca="1">IF(OR($B106&gt;P107,P111="",P111=0),0,IF(AND(P108=0,OR(P107&gt;$B106,$I$358=1)),P111,IF(P108=0,NOMINAL(P111,12)*IF($B106=P107,$I$358,1),IF(AND($B106=P107,ROUNDDOWN($C$358,0)=P107),$E$358,1)*NOMINAL(P111,VLOOKUP($B101,$P$357:$R$360,3,0))/VLOOKUP($B101,$P$357:$R$360,3,0)))*((IF(P108=0,1,IF(AND($B106=P107,P108&lt;ROUNDDOWN(VLOOKUP($B101,$P$357:$R$360,3,0)/$H$358,0)),ROUNDDOWN(P108*$H$358,0),IF(AND($B106&lt;P107,P108&lt;ROUNDDOWN(VLOOKUP($B101,$P$357:$R$360,3,0)/$H$358,0)),ROUND(AVERAGE(ROUNDDOWN(P108*$H$358,0),2*VLOOKUP($B101,$P$357:$R$360,3,0)),0),VLOOKUP($B101,$P$357:$R$360,3,0))))*IF($B106=P107,$B102,SUM(M110:M110)))-((P109*(IF(P108=0,1,IF(AND($B106=P107,P108&lt;ROUNDDOWN(VLOOKUP($B101,$P$357:$R$360,3,0)/$H$358,0)),ROUNDDOWN(P108*$H$358,0),IF(AND($B106&lt;P107,P108&lt;ROUNDDOWN(VLOOKUP($B101,$P$357:$R$360,3,0)/$H$358,0)),ROUND(AVERAGE(ROUNDDOWN(P108*$H$358,0),2*VLOOKUP($B101,$P$357:$R$360,3,0)),0),VLOOKUP($B101,$P$357:$R$360,3,0))))-1))/2)))</f>
        <v>0</v>
      </c>
      <c r="Q112" s="21"/>
      <c r="R112" s="21"/>
      <c r="S112" s="2894">
        <f ca="1">IF(OR($B106&gt;S107,S111="",S111=0),0,IF(AND(S108=0,OR(S107&gt;$B106,$I$358=1)),S111,IF(S108=0,NOMINAL(S111,12)*IF($B106=S107,$I$358,1),IF(AND($B106=S107,ROUNDDOWN($C$358,0)=S107),$E$358,1)*NOMINAL(S111,VLOOKUP($B101,$P$357:$R$360,3,0))/VLOOKUP($B101,$P$357:$R$360,3,0)))*((IF(S108=0,1,IF(AND($B106=S107,S108&lt;ROUNDDOWN(VLOOKUP($B101,$P$357:$R$360,3,0)/$H$358,0)),ROUNDDOWN(S108*$H$358,0),IF(AND($B106&lt;S107,S108&lt;ROUNDDOWN(VLOOKUP($B101,$P$357:$R$360,3,0)/$H$358,0)),ROUND(AVERAGE(ROUNDDOWN(S108*$H$358,0),2*VLOOKUP($B101,$P$357:$R$360,3,0)),0),VLOOKUP($B101,$P$357:$R$360,3,0))))*IF($B106=S107,$B102,SUM(P110:P110)))-((S109*(IF(S108=0,1,IF(AND($B106=S107,S108&lt;ROUNDDOWN(VLOOKUP($B101,$P$357:$R$360,3,0)/$H$358,0)),ROUNDDOWN(S108*$H$358,0),IF(AND($B106&lt;S107,S108&lt;ROUNDDOWN(VLOOKUP($B101,$P$357:$R$360,3,0)/$H$358,0)),ROUND(AVERAGE(ROUNDDOWN(S108*$H$358,0),2*VLOOKUP($B101,$P$357:$R$360,3,0)),0),VLOOKUP($B101,$P$357:$R$360,3,0))))-1))/2)))</f>
        <v>0</v>
      </c>
      <c r="T112" s="21"/>
      <c r="U112" s="21"/>
      <c r="V112" s="2894">
        <f ca="1">IF(OR($B106&gt;V107,V111="",V111=0),0,IF(AND(V108=0,OR(V107&gt;$B106,$I$358=1)),V111,IF(V108=0,NOMINAL(V111,12)*IF($B106=V107,$I$358,1),IF(AND($B106=V107,ROUNDDOWN($C$358,0)=V107),$E$358,1)*NOMINAL(V111,VLOOKUP($B101,$P$357:$R$360,3,0))/VLOOKUP($B101,$P$357:$R$360,3,0)))*((IF(V108=0,1,IF(AND($B106=V107,V108&lt;ROUNDDOWN(VLOOKUP($B101,$P$357:$R$360,3,0)/$H$358,0)),ROUNDDOWN(V108*$H$358,0),IF(AND($B106&lt;V107,V108&lt;ROUNDDOWN(VLOOKUP($B101,$P$357:$R$360,3,0)/$H$358,0)),ROUND(AVERAGE(ROUNDDOWN(V108*$H$358,0),2*VLOOKUP($B101,$P$357:$R$360,3,0)),0),VLOOKUP($B101,$P$357:$R$360,3,0))))*IF($B106=V107,$B102,SUM(S110:S110)))-((V109*(IF(V108=0,1,IF(AND($B106=V107,V108&lt;ROUNDDOWN(VLOOKUP($B101,$P$357:$R$360,3,0)/$H$358,0)),ROUNDDOWN(V108*$H$358,0),IF(AND($B106&lt;V107,V108&lt;ROUNDDOWN(VLOOKUP($B101,$P$357:$R$360,3,0)/$H$358,0)),ROUND(AVERAGE(ROUNDDOWN(V108*$H$358,0),2*VLOOKUP($B101,$P$357:$R$360,3,0)),0),VLOOKUP($B101,$P$357:$R$360,3,0))))-1))/2)))</f>
        <v>0</v>
      </c>
      <c r="W112" s="21"/>
      <c r="X112" s="21"/>
      <c r="Y112" s="2894">
        <f ca="1">IF(OR($B106&gt;Y107,Y111="",Y111=0),0,IF(AND(Y108=0,OR(Y107&gt;$B106,$I$358=1)),Y111,IF(Y108=0,NOMINAL(Y111,12)*IF($B106=Y107,$I$358,1),IF(AND($B106=Y107,ROUNDDOWN($C$358,0)=Y107),$E$358,1)*NOMINAL(Y111,VLOOKUP($B101,$P$357:$R$360,3,0))/VLOOKUP($B101,$P$357:$R$360,3,0)))*((IF(Y108=0,1,IF(AND($B106=Y107,Y108&lt;ROUNDDOWN(VLOOKUP($B101,$P$357:$R$360,3,0)/$H$358,0)),ROUNDDOWN(Y108*$H$358,0),IF(AND($B106&lt;Y107,Y108&lt;ROUNDDOWN(VLOOKUP($B101,$P$357:$R$360,3,0)/$H$358,0)),ROUND(AVERAGE(ROUNDDOWN(Y108*$H$358,0),2*VLOOKUP($B101,$P$357:$R$360,3,0)),0),VLOOKUP($B101,$P$357:$R$360,3,0))))*IF($B106=Y107,$B102,SUM(V110:V110)))-((Y109*(IF(Y108=0,1,IF(AND($B106=Y107,Y108&lt;ROUNDDOWN(VLOOKUP($B101,$P$357:$R$360,3,0)/$H$358,0)),ROUNDDOWN(Y108*$H$358,0),IF(AND($B106&lt;Y107,Y108&lt;ROUNDDOWN(VLOOKUP($B101,$P$357:$R$360,3,0)/$H$358,0)),ROUND(AVERAGE(ROUNDDOWN(Y108*$H$358,0),2*VLOOKUP($B101,$P$357:$R$360,3,0)),0),VLOOKUP($B101,$P$357:$R$360,3,0))))-1))/2)))</f>
        <v>0</v>
      </c>
      <c r="Z112" s="21"/>
      <c r="AA112" s="21"/>
      <c r="AB112" s="2894">
        <f ca="1">IF(OR($B106&gt;AB107,AB111="",AB111=0),0,IF(AND(AB108=0,OR(AB107&gt;$B106,$I$358=1)),AB111,IF(AB108=0,NOMINAL(AB111,12)*IF($B106=AB107,$I$358,1),IF(AND($B106=AB107,ROUNDDOWN($C$358,0)=AB107),$E$358,1)*NOMINAL(AB111,VLOOKUP($B101,$P$357:$R$360,3,0))/VLOOKUP($B101,$P$357:$R$360,3,0)))*((IF(AB108=0,1,IF(AND($B106=AB107,AB108&lt;ROUNDDOWN(VLOOKUP($B101,$P$357:$R$360,3,0)/$H$358,0)),ROUNDDOWN(AB108*$H$358,0),IF(AND($B106&lt;AB107,AB108&lt;ROUNDDOWN(VLOOKUP($B101,$P$357:$R$360,3,0)/$H$358,0)),ROUND(AVERAGE(ROUNDDOWN(AB108*$H$358,0),2*VLOOKUP($B101,$P$357:$R$360,3,0)),0),VLOOKUP($B101,$P$357:$R$360,3,0))))*IF($B106=AB107,$B102,SUM(Y110:Y110)))-((AB109*(IF(AB108=0,1,IF(AND($B106=AB107,AB108&lt;ROUNDDOWN(VLOOKUP($B101,$P$357:$R$360,3,0)/$H$358,0)),ROUNDDOWN(AB108*$H$358,0),IF(AND($B106&lt;AB107,AB108&lt;ROUNDDOWN(VLOOKUP($B101,$P$357:$R$360,3,0)/$H$358,0)),ROUND(AVERAGE(ROUNDDOWN(AB108*$H$358,0),2*VLOOKUP($B101,$P$357:$R$360,3,0)),0),VLOOKUP($B101,$P$357:$R$360,3,0))))-1))/2)))</f>
        <v>0</v>
      </c>
      <c r="AC112" s="21"/>
      <c r="AD112" s="21"/>
      <c r="AE112" s="2894">
        <f ca="1">IF(OR($B106&gt;AE107,AE111="",AE111=0),0,IF(AND(AE108=0,OR(AE107&gt;$B106,$I$358=1)),AE111,IF(AE108=0,NOMINAL(AE111,12)*IF($B106=AE107,$I$358,1),IF(AND($B106=AE107,ROUNDDOWN($C$358,0)=AE107),$E$358,1)*NOMINAL(AE111,VLOOKUP($B101,$P$357:$R$360,3,0))/VLOOKUP($B101,$P$357:$R$360,3,0)))*((IF(AE108=0,1,IF(AND($B106=AE107,AE108&lt;ROUNDDOWN(VLOOKUP($B101,$P$357:$R$360,3,0)/$H$358,0)),ROUNDDOWN(AE108*$H$358,0),IF(AND($B106&lt;AE107,AE108&lt;ROUNDDOWN(VLOOKUP($B101,$P$357:$R$360,3,0)/$H$358,0)),ROUND(AVERAGE(ROUNDDOWN(AE108*$H$358,0),2*VLOOKUP($B101,$P$357:$R$360,3,0)),0),VLOOKUP($B101,$P$357:$R$360,3,0))))*IF($B106=AE107,$B102,SUM(AB110:AB110)))-((AE109*(IF(AE108=0,1,IF(AND($B106=AE107,AE108&lt;ROUNDDOWN(VLOOKUP($B101,$P$357:$R$360,3,0)/$H$358,0)),ROUNDDOWN(AE108*$H$358,0),IF(AND($B106&lt;AE107,AE108&lt;ROUNDDOWN(VLOOKUP($B101,$P$357:$R$360,3,0)/$H$358,0)),ROUND(AVERAGE(ROUNDDOWN(AE108*$H$358,0),2*VLOOKUP($B101,$P$357:$R$360,3,0)),0),VLOOKUP($B101,$P$357:$R$360,3,0))))-1))/2)))</f>
        <v>0</v>
      </c>
      <c r="AF112" s="2895"/>
      <c r="AG112" s="21"/>
      <c r="AH112" s="2894">
        <f ca="1">IF(OR($B106&gt;AH107,AH111="",AH111=0),0,IF(AND(AH108=0,OR(AH107&gt;$B106,$I$358=1)),AH111,IF(AH108=0,NOMINAL(AH111,12)*IF($B106=AH107,$I$358,1),IF(AND($B106=AH107,ROUNDDOWN($C$358,0)=AH107),$E$358,1)*NOMINAL(AH111,VLOOKUP($B101,$P$357:$R$360,3,0))/VLOOKUP($B101,$P$357:$R$360,3,0)))*((IF(AH108=0,1,IF(AND($B106=AH107,AH108&lt;ROUNDDOWN(VLOOKUP($B101,$P$357:$R$360,3,0)/$H$358,0)),ROUNDDOWN(AH108*$H$358,0),IF(AND($B106&lt;AH107,AH108&lt;ROUNDDOWN(VLOOKUP($B101,$P$357:$R$360,3,0)/$H$358,0)),ROUND(AVERAGE(ROUNDDOWN(AH108*$H$358,0),2*VLOOKUP($B101,$P$357:$R$360,3,0)),0),VLOOKUP($B101,$P$357:$R$360,3,0))))*IF($B106=AH107,$B102,SUM(AE110:AE110)))-((AH109*(IF(AH108=0,1,IF(AND($B106=AH107,AH108&lt;ROUNDDOWN(VLOOKUP($B101,$P$357:$R$360,3,0)/$H$358,0)),ROUNDDOWN(AH108*$H$358,0),IF(AND($B106&lt;AH107,AH108&lt;ROUNDDOWN(VLOOKUP($B101,$P$357:$R$360,3,0)/$H$358,0)),ROUND(AVERAGE(ROUNDDOWN(AH108*$H$358,0),2*VLOOKUP($B101,$P$357:$R$360,3,0)),0),VLOOKUP($B101,$P$357:$R$360,3,0))))-1))/2)))</f>
        <v>0</v>
      </c>
      <c r="AI112" s="21"/>
      <c r="AJ112" s="21"/>
      <c r="AK112" s="2894">
        <f ca="1">IF(OR($B106&gt;AK107,AK111="",AK111=0),0,IF(AND(AK108=0,OR(AK107&gt;$B106,$I$358=1)),AK111,IF(AK108=0,NOMINAL(AK111,12)*IF($B106=AK107,$I$358,1),IF(AND($B106=AK107,ROUNDDOWN($C$358,0)=AK107),$E$358,1)*NOMINAL(AK111,VLOOKUP($B101,$P$357:$R$360,3,0))/VLOOKUP($B101,$P$357:$R$360,3,0)))*((IF(AK108=0,1,IF(AND($B106=AK107,AK108&lt;ROUNDDOWN(VLOOKUP($B101,$P$357:$R$360,3,0)/$H$358,0)),ROUNDDOWN(AK108*$H$358,0),IF(AND($B106&lt;AK107,AK108&lt;ROUNDDOWN(VLOOKUP($B101,$P$357:$R$360,3,0)/$H$358,0)),ROUND(AVERAGE(ROUNDDOWN(AK108*$H$358,0),2*VLOOKUP($B101,$P$357:$R$360,3,0)),0),VLOOKUP($B101,$P$357:$R$360,3,0))))*IF($B106=AK107,$B102,SUM(AH110:AH110)))-((AK109*(IF(AK108=0,1,IF(AND($B106=AK107,AK108&lt;ROUNDDOWN(VLOOKUP($B101,$P$357:$R$360,3,0)/$H$358,0)),ROUNDDOWN(AK108*$H$358,0),IF(AND($B106&lt;AK107,AK108&lt;ROUNDDOWN(VLOOKUP($B101,$P$357:$R$360,3,0)/$H$358,0)),ROUND(AVERAGE(ROUNDDOWN(AK108*$H$358,0),2*VLOOKUP($B101,$P$357:$R$360,3,0)),0),VLOOKUP($B101,$P$357:$R$360,3,0))))-1))/2)))</f>
        <v>0</v>
      </c>
      <c r="AL112" s="21"/>
      <c r="AM112" s="21"/>
      <c r="AN112" s="2894">
        <f ca="1">IF(OR($B106&gt;AN107,AN111="",AN111=0),0,IF(AND(AN108=0,OR(AN107&gt;$B106,$I$358=1)),AN111,IF(AN108=0,NOMINAL(AN111,12)*IF($B106=AN107,$I$358,1),IF(AND($B106=AN107,ROUNDDOWN($C$358,0)=AN107),$E$358,1)*NOMINAL(AN111,VLOOKUP($B101,$P$357:$R$360,3,0))/VLOOKUP($B101,$P$357:$R$360,3,0)))*((IF(AN108=0,1,IF(AND($B106=AN107,AN108&lt;ROUNDDOWN(VLOOKUP($B101,$P$357:$R$360,3,0)/$H$358,0)),ROUNDDOWN(AN108*$H$358,0),IF(AND($B106&lt;AN107,AN108&lt;ROUNDDOWN(VLOOKUP($B101,$P$357:$R$360,3,0)/$H$358,0)),ROUND(AVERAGE(ROUNDDOWN(AN108*$H$358,0),2*VLOOKUP($B101,$P$357:$R$360,3,0)),0),VLOOKUP($B101,$P$357:$R$360,3,0))))*IF($B106=AN107,$B102,SUM(AK110:AK110)))-((AN109*(IF(AN108=0,1,IF(AND($B106=AN107,AN108&lt;ROUNDDOWN(VLOOKUP($B101,$P$357:$R$360,3,0)/$H$358,0)),ROUNDDOWN(AN108*$H$358,0),IF(AND($B106&lt;AN107,AN108&lt;ROUNDDOWN(VLOOKUP($B101,$P$357:$R$360,3,0)/$H$358,0)),ROUND(AVERAGE(ROUNDDOWN(AN108*$H$358,0),2*VLOOKUP($B101,$P$357:$R$360,3,0)),0),VLOOKUP($B101,$P$357:$R$360,3,0))))-1))/2)))</f>
        <v>0</v>
      </c>
      <c r="AO112" s="21"/>
      <c r="AP112" s="21"/>
      <c r="AQ112" s="2894">
        <f ca="1">IF(OR($B106&gt;AQ107,AQ111="",AQ111=0),0,IF(AND(AQ108=0,OR(AQ107&gt;$B106,$I$358=1)),AQ111,IF(AQ108=0,NOMINAL(AQ111,12)*IF($B106=AQ107,$I$358,1),IF(AND($B106=AQ107,ROUNDDOWN($C$358,0)=AQ107),$E$358,1)*NOMINAL(AQ111,VLOOKUP($B101,$P$357:$R$360,3,0))/VLOOKUP($B101,$P$357:$R$360,3,0)))*((IF(AQ108=0,1,IF(AND($B106=AQ107,AQ108&lt;ROUNDDOWN(VLOOKUP($B101,$P$357:$R$360,3,0)/$H$358,0)),ROUNDDOWN(AQ108*$H$358,0),IF(AND($B106&lt;AQ107,AQ108&lt;ROUNDDOWN(VLOOKUP($B101,$P$357:$R$360,3,0)/$H$358,0)),ROUND(AVERAGE(ROUNDDOWN(AQ108*$H$358,0),2*VLOOKUP($B101,$P$357:$R$360,3,0)),0),VLOOKUP($B101,$P$357:$R$360,3,0))))*IF($B106=AQ107,$B102,SUM(AN110:AN110)))-((AQ109*(IF(AQ108=0,1,IF(AND($B106=AQ107,AQ108&lt;ROUNDDOWN(VLOOKUP($B101,$P$357:$R$360,3,0)/$H$358,0)),ROUNDDOWN(AQ108*$H$358,0),IF(AND($B106&lt;AQ107,AQ108&lt;ROUNDDOWN(VLOOKUP($B101,$P$357:$R$360,3,0)/$H$358,0)),ROUND(AVERAGE(ROUNDDOWN(AQ108*$H$358,0),2*VLOOKUP($B101,$P$357:$R$360,3,0)),0),VLOOKUP($B101,$P$357:$R$360,3,0))))-1))/2)))</f>
        <v>0</v>
      </c>
      <c r="AR112" s="21"/>
      <c r="AS112" s="21"/>
      <c r="AT112" s="2894">
        <f ca="1">IF(OR($B106&gt;AT107,AT111="",AT111=0),0,IF(AND(AT108=0,OR(AT107&gt;$B106,$I$358=1)),AT111,IF(AT108=0,NOMINAL(AT111,12)*IF($B106=AT107,$I$358,1),IF(AND($B106=AT107,ROUNDDOWN($C$358,0)=AT107),$E$358,1)*NOMINAL(AT111,VLOOKUP($B101,$P$357:$R$360,3,0))/VLOOKUP($B101,$P$357:$R$360,3,0)))*((IF(AT108=0,1,IF(AND($B106=AT107,AT108&lt;ROUNDDOWN(VLOOKUP($B101,$P$357:$R$360,3,0)/$H$358,0)),ROUNDDOWN(AT108*$H$358,0),IF(AND($B106&lt;AT107,AT108&lt;ROUNDDOWN(VLOOKUP($B101,$P$357:$R$360,3,0)/$H$358,0)),ROUND(AVERAGE(ROUNDDOWN(AT108*$H$358,0),2*VLOOKUP($B101,$P$357:$R$360,3,0)),0),VLOOKUP($B101,$P$357:$R$360,3,0))))*IF($B106=AT107,$B102,SUM(AQ110:AQ110)))-((AT109*(IF(AT108=0,1,IF(AND($B106=AT107,AT108&lt;ROUNDDOWN(VLOOKUP($B101,$P$357:$R$360,3,0)/$H$358,0)),ROUNDDOWN(AT108*$H$358,0),IF(AND($B106&lt;AT107,AT108&lt;ROUNDDOWN(VLOOKUP($B101,$P$357:$R$360,3,0)/$H$358,0)),ROUND(AVERAGE(ROUNDDOWN(AT108*$H$358,0),2*VLOOKUP($B101,$P$357:$R$360,3,0)),0),VLOOKUP($B101,$P$357:$R$360,3,0))))-1))/2)))</f>
        <v>0</v>
      </c>
      <c r="AU112" s="2895"/>
      <c r="AV112" s="2883"/>
    </row>
    <row r="113" spans="1:48" ht="13.5" thickBot="1" x14ac:dyDescent="0.25">
      <c r="AV113" s="2883"/>
    </row>
    <row r="114" spans="1:48" x14ac:dyDescent="0.2">
      <c r="A114" s="2896" t="s">
        <v>2060</v>
      </c>
      <c r="B114" s="2897"/>
      <c r="C114" s="2898"/>
      <c r="D114" s="2898"/>
      <c r="E114" s="2898"/>
      <c r="F114" s="2898"/>
      <c r="G114" s="2898"/>
      <c r="H114" s="2898"/>
      <c r="I114" s="2898"/>
      <c r="J114" s="2898"/>
      <c r="K114" s="2898"/>
      <c r="L114" s="2898"/>
      <c r="M114" s="2898"/>
      <c r="N114" s="2898"/>
      <c r="O114" s="2898"/>
      <c r="P114" s="2898"/>
      <c r="Q114" s="2898"/>
      <c r="R114" s="2898"/>
      <c r="S114" s="2898"/>
      <c r="T114" s="2898"/>
      <c r="U114" s="2898"/>
      <c r="V114" s="2898"/>
      <c r="W114" s="2898"/>
      <c r="X114" s="2898"/>
      <c r="Y114" s="2898"/>
      <c r="Z114" s="2898"/>
      <c r="AA114" s="2898"/>
      <c r="AB114" s="2898"/>
      <c r="AC114" s="2898"/>
      <c r="AD114" s="2898"/>
      <c r="AE114" s="2898"/>
      <c r="AF114" s="2898"/>
      <c r="AG114" s="2898"/>
      <c r="AH114" s="2898"/>
      <c r="AI114" s="2898"/>
      <c r="AJ114" s="2898"/>
      <c r="AK114" s="2898"/>
      <c r="AL114" s="2898"/>
      <c r="AM114" s="2898"/>
      <c r="AN114" s="2898"/>
      <c r="AO114" s="2898"/>
      <c r="AP114" s="2898"/>
      <c r="AQ114" s="2898"/>
      <c r="AR114" s="2898"/>
      <c r="AS114" s="2898"/>
      <c r="AT114" s="2898"/>
      <c r="AU114" s="2898"/>
      <c r="AV114" s="2899"/>
    </row>
    <row r="115" spans="1:48" x14ac:dyDescent="0.2">
      <c r="A115" s="2881" t="s">
        <v>2061</v>
      </c>
      <c r="B115" s="2882"/>
      <c r="AV115" s="2883"/>
    </row>
    <row r="116" spans="1:48" x14ac:dyDescent="0.2">
      <c r="A116" s="2881" t="s">
        <v>2062</v>
      </c>
      <c r="B116" s="2884"/>
      <c r="AV116" s="2883"/>
    </row>
    <row r="117" spans="1:48" x14ac:dyDescent="0.2">
      <c r="A117" s="2881" t="s">
        <v>2063</v>
      </c>
      <c r="B117" s="2884"/>
      <c r="AV117" s="2883"/>
    </row>
    <row r="118" spans="1:48" x14ac:dyDescent="0.2">
      <c r="A118" s="2881" t="s">
        <v>2064</v>
      </c>
      <c r="B118" s="2884"/>
      <c r="AV118" s="2883"/>
    </row>
    <row r="119" spans="1:48" x14ac:dyDescent="0.2">
      <c r="A119" s="2885" t="s">
        <v>2065</v>
      </c>
      <c r="B119" s="2886"/>
      <c r="AV119" s="2883"/>
    </row>
    <row r="120" spans="1:48" x14ac:dyDescent="0.2">
      <c r="A120" s="2887" t="s">
        <v>2066</v>
      </c>
      <c r="B120" s="2888">
        <f ca="1">B$11</f>
        <v>2023</v>
      </c>
      <c r="D120" s="2888">
        <f ca="1">D$11</f>
        <v>2024</v>
      </c>
      <c r="G120" s="2888">
        <f ca="1">G$11</f>
        <v>2025</v>
      </c>
      <c r="J120" s="2888">
        <f ca="1">J$11</f>
        <v>2026</v>
      </c>
      <c r="M120" s="2888">
        <f ca="1">M$11</f>
        <v>2027</v>
      </c>
      <c r="P120" s="2888">
        <f ca="1">P$11</f>
        <v>2028</v>
      </c>
      <c r="S120" s="2888">
        <f ca="1">S$11</f>
        <v>2029</v>
      </c>
      <c r="V120" s="2888">
        <f ca="1">V$11</f>
        <v>2030</v>
      </c>
      <c r="Y120" s="2888">
        <f ca="1">Y$11</f>
        <v>2031</v>
      </c>
      <c r="AB120" s="2888">
        <f ca="1">AB$11</f>
        <v>2032</v>
      </c>
      <c r="AE120" s="2888">
        <f ca="1">AE$11</f>
        <v>2033</v>
      </c>
      <c r="AH120" s="2888">
        <f ca="1">AH$11</f>
        <v>2034</v>
      </c>
      <c r="AK120" s="2888">
        <f ca="1">AK$11</f>
        <v>2035</v>
      </c>
      <c r="AN120" s="2888">
        <f ca="1">AN$11</f>
        <v>2036</v>
      </c>
      <c r="AQ120" s="2888">
        <f ca="1">AQ$11</f>
        <v>2037</v>
      </c>
      <c r="AT120" s="2888">
        <f ca="1">AT$11</f>
        <v>2038</v>
      </c>
      <c r="AV120" s="2883"/>
    </row>
    <row r="121" spans="1:48" x14ac:dyDescent="0.2">
      <c r="A121" s="2889" t="s">
        <v>2067</v>
      </c>
      <c r="B121" s="2890">
        <f>IF(OR($B116=0,$B116="",$B114=""),0,IF(AND(B120-$B119&gt;=0,B120&lt;=$B119+$B116,ROUNDDOWN(B120,0)=ROUNDDOWN($C$359,0)),IF(ROUNDDOWN(B120,0)=ROUNDDOWN($C$359,0),ROUND($E$359*VLOOKUP($B114,$P$357:$R$360,3,0)/$H$359,2),ROUND(VLOOKUP($B114,$P$357:$R$360,3,0)/$H$359,2)),0))</f>
        <v>0</v>
      </c>
      <c r="D121" s="2890">
        <f>IF(OR($B116=0,$B116="",$B114=""),0,IF(AND(ROUNDDOWN(D120,0)&gt;=ROUNDDOWN($C$359,0),1-$B121&lt;VLOOKUP($B114,$P$357:$R$360,3,0)/$H$359),1-$B121,IF(ROUNDDOWN(D120,0)&gt;=ROUNDDOWN($C$359,0),IF(ROUNDDOWN(D120,0)=ROUNDDOWN($C$359,0),ROUND($E$359*VLOOKUP($B114,$P$357:$R$360,3,0)/$H$359,2),ROUND(VLOOKUP($B114,$P$357:$R$360,3,0)/$H$359,2)),0)))</f>
        <v>0</v>
      </c>
      <c r="G121" s="2890">
        <f>IF(OR($B116=0,$B116="",$B114=""),0,IF(AND(ROUNDDOWN(G120,0)&gt;=ROUNDDOWN($C$359,0),1-SUM($B121:D121)&lt;VLOOKUP($B114,$P$357:$R$360,3,0)/$H$359),1-SUM($B121:D121),IF(ROUNDDOWN(G120,0)&gt;=ROUNDDOWN($C$359,0),IF(ROUNDDOWN(G120,0)=ROUNDDOWN($C$359,0),ROUND($E$359*VLOOKUP($B114,$P$357:$R$360,3,0)/$H$359,2),ROUND(VLOOKUP($B114,$P$357:$R$360,3,0)/$H$359,2)),0)))</f>
        <v>0</v>
      </c>
      <c r="J121" s="2890">
        <f>IF(OR($B116=0,$B116="",$B114=""),0,IF(AND(ROUNDDOWN(J120,0)&gt;=ROUNDDOWN($C$359,0),1-SUM($B121:G121)&lt;VLOOKUP($B114,$P$357:$R$360,3,0)/$H$359),1-SUM($B121:G121),IF(ROUNDDOWN(J120,0)&gt;=ROUNDDOWN($C$359,0),IF(ROUNDDOWN(J120,0)=ROUNDDOWN($C$359,0),ROUND($E$359*VLOOKUP($B114,$P$357:$R$360,3,0)/$H$359,2),ROUND(VLOOKUP($B114,$P$357:$R$360,3,0)/$H$359,2)),0)))</f>
        <v>0</v>
      </c>
      <c r="M121" s="2890">
        <f>IF(OR($B116=0,$B116="",$B114=""),0,IF(AND(ROUNDDOWN(M120,0)&gt;=ROUNDDOWN($C$359,0),1-SUM($B121:J121)&lt;VLOOKUP($B114,$P$357:$R$360,3,0)/$H$359),1-SUM($B121:J121),IF(ROUNDDOWN(M120,0)&gt;=ROUNDDOWN($C$359,0),IF(ROUNDDOWN(M120,0)=ROUNDDOWN($C$359,0),ROUND($E$359*VLOOKUP($B114,$P$357:$R$360,3,0)/$H$359,2),ROUND(VLOOKUP($B114,$P$357:$R$360,3,0)/$H$359,2)),0)))</f>
        <v>0</v>
      </c>
      <c r="P121" s="2890">
        <f>IF(OR($B116=0,$B116="",$B114=""),0,IF(AND(ROUNDDOWN(P120,0)&gt;=ROUNDDOWN($C$359,0),1-SUM($B121:M121)&lt;VLOOKUP($B114,$P$357:$R$360,3,0)/$H$359),1-SUM($B121:M121),IF(ROUNDDOWN(P120,0)&gt;=ROUNDDOWN($C$359,0),IF(ROUNDDOWN(P120,0)=ROUNDDOWN($C$359,0),ROUND($E$359*VLOOKUP($B114,$P$357:$R$360,3,0)/$H$359,2),ROUND(VLOOKUP($B114,$P$357:$R$360,3,0)/$H$359,2)),0)))</f>
        <v>0</v>
      </c>
      <c r="S121" s="2890">
        <f>IF(OR($B116=0,$B116="",$B114=""),0,IF(AND(ROUNDDOWN(S120,0)&gt;=ROUNDDOWN($C$359,0),1-SUM($B121:P121)&lt;VLOOKUP($B114,$P$357:$R$360,3,0)/$H$359),1-SUM($B121:P121),IF(ROUNDDOWN(S120,0)&gt;=ROUNDDOWN($C$359,0),IF(ROUNDDOWN(S120,0)=ROUNDDOWN($C$359,0),ROUND($E$359*VLOOKUP($B114,$P$357:$R$360,3,0)/$H$359,2),ROUND(VLOOKUP($B114,$P$357:$R$360,3,0)/$H$359,2)),0)))</f>
        <v>0</v>
      </c>
      <c r="V121" s="2890">
        <f>IF(OR($B116=0,$B116="",$B114=""),0,IF(AND(ROUNDDOWN(V120,0)&gt;=ROUNDDOWN($C$359,0),1-SUM($B121:S121)&lt;VLOOKUP($B114,$P$357:$R$360,3,0)/$H$359),1-SUM($B121:S121),IF(ROUNDDOWN(V120,0)&gt;=ROUNDDOWN($C$359,0),IF(ROUNDDOWN(V120,0)=ROUNDDOWN($C$359,0),ROUND($E$359*VLOOKUP($B114,$P$357:$R$360,3,0)/$H$359,2),ROUND(VLOOKUP($B114,$P$357:$R$360,3,0)/$H$359,2)),0)))</f>
        <v>0</v>
      </c>
      <c r="Y121" s="2890">
        <f>IF(OR($B116=0,$B116="",$B114=""),0,IF(AND(ROUNDDOWN(Y120,0)&gt;=ROUNDDOWN($C$359,0),1-SUM($B121:V121)&lt;VLOOKUP($B114,$P$357:$R$360,3,0)/$H$359),1-SUM($B121:V121),IF(ROUNDDOWN(Y120,0)&gt;=ROUNDDOWN($C$359,0),IF(ROUNDDOWN(Y120,0)=ROUNDDOWN($C$359,0),ROUND($E$359*VLOOKUP($B114,$P$357:$R$360,3,0)/$H$359,2),ROUND(VLOOKUP($B114,$P$357:$R$360,3,0)/$H$359,2)),0)))</f>
        <v>0</v>
      </c>
      <c r="AB121" s="2890">
        <f>IF(OR($B116=0,$B116="",$B114=""),0,IF(AND(ROUNDDOWN(AB120,0)&gt;=ROUNDDOWN($C$359,0),1-SUM($B121:Y121)&lt;VLOOKUP($B114,$P$357:$R$360,3,0)/$H$359),1-SUM($B121:Y121),IF(ROUNDDOWN(AB120,0)&gt;=ROUNDDOWN($C$359,0),IF(ROUNDDOWN(AB120,0)=ROUNDDOWN($C$359,0),ROUND($E$359*VLOOKUP($B114,$P$357:$R$360,3,0)/$H$359,2),ROUND(VLOOKUP($B114,$P$357:$R$360,3,0)/$H$359,2)),0)))</f>
        <v>0</v>
      </c>
      <c r="AE121" s="2890">
        <f>IF(OR($B116=0,$B116="",$B114=""),0,IF(AND(ROUNDDOWN(AE120,0)&gt;=ROUNDDOWN($C$359,0),1-SUM($B121:AB121)&lt;VLOOKUP($B114,$P$357:$R$360,3,0)/$H$359),1-SUM($B121:AB121),IF(ROUNDDOWN(AE120,0)&gt;=ROUNDDOWN($C$359,0),IF(ROUNDDOWN(AE120,0)=ROUNDDOWN($C$359,0),ROUND($E$359*VLOOKUP($B114,$P$357:$R$360,3,0)/$H$359,2),ROUND(VLOOKUP($B114,$P$357:$R$360,3,0)/$H$359,2)),0)))</f>
        <v>0</v>
      </c>
      <c r="AH121" s="2890">
        <f>IF(OR($B116=0,$B116="",$B114=""),0,IF(AND(ROUNDDOWN(AH120,0)&gt;=ROUNDDOWN($C$359,0),1-SUM($B121:AE121)&lt;VLOOKUP($B114,$P$357:$R$360,3,0)/$H$359),1-SUM($B121:AE121),IF(ROUNDDOWN(AH120,0)&gt;=ROUNDDOWN($C$359,0),IF(ROUNDDOWN(AH120,0)=ROUNDDOWN($C$359,0),ROUND($E$359*VLOOKUP($B114,$P$357:$R$360,3,0)/$H$359,2),ROUND(VLOOKUP($B114,$P$357:$R$360,3,0)/$H$359,2)),0)))</f>
        <v>0</v>
      </c>
      <c r="AK121" s="2890">
        <f>IF(OR($B116=0,$B116="",$B114=""),0,IF(AND(ROUNDDOWN(AK120,0)&gt;=ROUNDDOWN($C$359,0),1-SUM($B121:AH121)&lt;VLOOKUP($B114,$P$357:$R$360,3,0)/$H$359),1-SUM($B121:AH121),IF(ROUNDDOWN(AK120,0)&gt;=ROUNDDOWN($C$359,0),IF(ROUNDDOWN(AK120,0)=ROUNDDOWN($C$359,0),ROUND($E$359*VLOOKUP($B114,$P$357:$R$360,3,0)/$H$359,2),ROUND(VLOOKUP($B114,$P$357:$R$360,3,0)/$H$359,2)),0)))</f>
        <v>0</v>
      </c>
      <c r="AN121" s="2890">
        <f>IF(OR($B116=0,$B116="",$B114=""),0,IF(AND(ROUNDDOWN(AN120,0)&gt;=ROUNDDOWN($C$359,0),1-SUM($B121:AK121)&lt;VLOOKUP($B114,$P$357:$R$360,3,0)/$H$359),1-SUM($B121:AK121),IF(ROUNDDOWN(AN120,0)&gt;=ROUNDDOWN($C$359,0),IF(ROUNDDOWN(AN120,0)=ROUNDDOWN($C$359,0),ROUND($E$359*VLOOKUP($B114,$P$357:$R$360,3,0)/$H$359,2),ROUND(VLOOKUP($B114,$P$357:$R$360,3,0)/$H$359,2)),0)))</f>
        <v>0</v>
      </c>
      <c r="AQ121" s="2890">
        <f>IF(OR($B116=0,$B116="",$B114=""),0,IF(AND(ROUNDDOWN(AQ120,0)&gt;=ROUNDDOWN($C$359,0),1-SUM($B121:AN121)&lt;VLOOKUP($B114,$P$357:$R$360,3,0)/$H$359),1-SUM($B121:AN121),IF(ROUNDDOWN(AQ120,0)&gt;=ROUNDDOWN($C$359,0),IF(ROUNDDOWN(AQ120,0)=ROUNDDOWN($C$359,0),ROUND($E$359*VLOOKUP($B114,$P$357:$R$360,3,0)/$H$359,2),ROUND(VLOOKUP($B114,$P$357:$R$360,3,0)/$H$359,2)),0)))</f>
        <v>0</v>
      </c>
      <c r="AT121" s="2890">
        <f>IF(OR($B116=0,$B116="",$B114=""),0,IF(AND(ROUNDDOWN(AT120,0)&gt;=ROUNDDOWN($C$359,0),1-SUM($B121:AQ121)&lt;VLOOKUP($B114,$P$357:$R$360,3,0)/$H$359),1-SUM($B121:AQ121),IF(ROUNDDOWN(AT120,0)&gt;=ROUNDDOWN($C$359,0),IF(ROUNDDOWN(AT120,0)=ROUNDDOWN($C$359,0),ROUND($E$359*VLOOKUP($B114,$P$357:$R$360,3,0)/$H$359,2),ROUND(VLOOKUP($B114,$P$357:$R$360,3,0)/$H$359,2)),0)))</f>
        <v>0</v>
      </c>
      <c r="AV121" s="2883"/>
    </row>
    <row r="122" spans="1:48" x14ac:dyDescent="0.2">
      <c r="A122" s="2891" t="s">
        <v>2068</v>
      </c>
      <c r="B122" s="2892">
        <f>$B115*B121</f>
        <v>0</v>
      </c>
      <c r="D122" s="2892">
        <f ca="1">IF($B119&gt;D120,0,D121*$B115)</f>
        <v>0</v>
      </c>
      <c r="G122" s="2892">
        <f ca="1">IF($B119&gt;G120,0,G121*$B115)</f>
        <v>0</v>
      </c>
      <c r="J122" s="2892">
        <f ca="1">IF($B119&gt;J120,0,J121*$B115)</f>
        <v>0</v>
      </c>
      <c r="M122" s="2892">
        <f ca="1">IF($B119&gt;M120,0,M121*$B115)</f>
        <v>0</v>
      </c>
      <c r="P122" s="2892">
        <f ca="1">IF($B119&gt;P120,0,P121*$B115)</f>
        <v>0</v>
      </c>
      <c r="S122" s="2892">
        <f ca="1">IF($B119&gt;S120,0,S121*$B115)</f>
        <v>0</v>
      </c>
      <c r="V122" s="2892">
        <f ca="1">IF($B119&gt;V120,0,V121*$B115)</f>
        <v>0</v>
      </c>
      <c r="Y122" s="2892">
        <f ca="1">IF($B119&gt;Y120,0,Y121*$B115)</f>
        <v>0</v>
      </c>
      <c r="AB122" s="2892">
        <f ca="1">IF($B119&gt;AB120,0,AB121*$B115)</f>
        <v>0</v>
      </c>
      <c r="AE122" s="2892">
        <f ca="1">IF($B119&gt;AE120,0,AE121*$B115)</f>
        <v>0</v>
      </c>
      <c r="AH122" s="2892">
        <f ca="1">IF($B119&gt;AH120,0,AH121*$B115)</f>
        <v>0</v>
      </c>
      <c r="AK122" s="2892">
        <f ca="1">IF($B119&gt;AK120,0,AK121*$B115)</f>
        <v>0</v>
      </c>
      <c r="AN122" s="2892">
        <f ca="1">IF($B119&gt;AN120,0,AN121*$B115)</f>
        <v>0</v>
      </c>
      <c r="AQ122" s="2892">
        <f ca="1">IF($B119&gt;AQ120,0,AQ121*$B115)</f>
        <v>0</v>
      </c>
      <c r="AT122" s="2892">
        <f ca="1">IF($B119&gt;AT120,0,AT121*$B115)</f>
        <v>0</v>
      </c>
      <c r="AV122" s="2883"/>
    </row>
    <row r="123" spans="1:48" x14ac:dyDescent="0.2">
      <c r="A123" s="2885" t="s">
        <v>2069</v>
      </c>
      <c r="B123" s="2893">
        <f ca="1">IF($B119&gt;B120,0,B115-B122)</f>
        <v>0</v>
      </c>
      <c r="D123" s="2893">
        <f ca="1">IF($B119&gt;D120,0,IF($B119=D120,$B115-D122,IF(B123-D122&lt;0.005,0,B123-D122)))</f>
        <v>0</v>
      </c>
      <c r="G123" s="2893">
        <f ca="1">IF($B119&gt;G120,0,IF($B119=G120,$B115-G122,IF(+D123-G122&lt;0.005,0,+D123-G122)))</f>
        <v>0</v>
      </c>
      <c r="J123" s="2893">
        <f ca="1">IF($B119&gt;J120,0,IF($B119=J120,$B115-J122,IF(+G123-J122&lt;0.005,0,+G123-J122)))</f>
        <v>0</v>
      </c>
      <c r="M123" s="2893">
        <f ca="1">IF($B119&gt;M120,0,IF($B119=M120,$B115-M122,IF(+J123-M122&lt;0.005,0,+J123-M122)))</f>
        <v>0</v>
      </c>
      <c r="P123" s="2893">
        <f ca="1">IF($B119&gt;P120,0,IF($B119=P120,$B115-P122,IF(+M123-P122&lt;0.005,0,+M123-P122)))</f>
        <v>0</v>
      </c>
      <c r="S123" s="2893">
        <f ca="1">IF($B119&gt;S120,0,IF($B119=S120,$B115-S122,IF(+P123-S122&lt;0.005,0,+P123-S122)))</f>
        <v>0</v>
      </c>
      <c r="V123" s="2893">
        <f ca="1">IF($B119&gt;V120,0,IF($B119=V120,$B115-V122,IF(+S123-V122&lt;0.005,0,+S123-V122)))</f>
        <v>0</v>
      </c>
      <c r="Y123" s="2893">
        <f ca="1">IF($B119&gt;Y120,0,IF($B119=Y120,$B115-Y122,IF(+V123-Y122&lt;0.005,0,+V123-Y122)))</f>
        <v>0</v>
      </c>
      <c r="AB123" s="2893">
        <f ca="1">IF($B119&gt;AB120,0,IF($B119=AB120,$B115-AB122,IF(+Y123-AB122&lt;0.005,0,+Y123-AB122)))</f>
        <v>0</v>
      </c>
      <c r="AE123" s="2893">
        <f ca="1">IF($B119&gt;AE120,0,IF($B119=AE120,$B115-AE122,IF(+AB123-AE122&lt;0.005,0,+AB123-AE122)))</f>
        <v>0</v>
      </c>
      <c r="AH123" s="2893">
        <f ca="1">IF($B119&gt;AH120,0,IF($B119=AH120,$B115-AH122,IF(+AE123-AH122&lt;0.005,0,+AE123-AH122)))</f>
        <v>0</v>
      </c>
      <c r="AK123" s="2893">
        <f ca="1">IF($B119&gt;AK120,0,IF($B119=AK120,$B115-AK122,IF(+AH123-AK122&lt;0.005,0,+AH123-AK122)))</f>
        <v>0</v>
      </c>
      <c r="AN123" s="2893">
        <f ca="1">IF($B119&gt;AN120,0,IF($B119=AN120,$B115-AN122,IF(+AK123-AN122&lt;0.005,0,+AK123-AN122)))</f>
        <v>0</v>
      </c>
      <c r="AQ123" s="2893">
        <f ca="1">IF($B119&gt;AQ120,0,IF($B119=AQ120,$B115-AQ122,IF(+AN123-AQ122&lt;0.005,0,+AN123-AQ122)))</f>
        <v>0</v>
      </c>
      <c r="AT123" s="2893">
        <f ca="1">IF($B119&gt;AT120,0,IF($B119=AT120,$B115-AT122,IF(+AQ123-AT122&lt;0.005,0,+AQ123-AT122)))</f>
        <v>0</v>
      </c>
      <c r="AV123" s="2883"/>
    </row>
    <row r="124" spans="1:48" x14ac:dyDescent="0.2">
      <c r="A124" s="2889" t="s">
        <v>2070</v>
      </c>
      <c r="B124" s="2890"/>
      <c r="D124" s="2890">
        <f>B124</f>
        <v>0</v>
      </c>
      <c r="G124" s="2890">
        <f>D124</f>
        <v>0</v>
      </c>
      <c r="J124" s="2890">
        <f>G124</f>
        <v>0</v>
      </c>
      <c r="M124" s="2890">
        <f>J124</f>
        <v>0</v>
      </c>
      <c r="P124" s="2890">
        <f>M124</f>
        <v>0</v>
      </c>
      <c r="S124" s="2890">
        <f>P124</f>
        <v>0</v>
      </c>
      <c r="V124" s="2890">
        <f>S124</f>
        <v>0</v>
      </c>
      <c r="Y124" s="2890">
        <f>V124</f>
        <v>0</v>
      </c>
      <c r="AB124" s="2890">
        <f>Y124</f>
        <v>0</v>
      </c>
      <c r="AE124" s="2890">
        <f>AB124</f>
        <v>0</v>
      </c>
      <c r="AH124" s="2890">
        <f>AE124</f>
        <v>0</v>
      </c>
      <c r="AK124" s="2890">
        <f>AH124</f>
        <v>0</v>
      </c>
      <c r="AN124" s="2890">
        <f>AK124</f>
        <v>0</v>
      </c>
      <c r="AQ124" s="2890">
        <f>AN124</f>
        <v>0</v>
      </c>
      <c r="AT124" s="2890">
        <f>AQ124</f>
        <v>0</v>
      </c>
      <c r="AV124" s="2883"/>
    </row>
    <row r="125" spans="1:48" x14ac:dyDescent="0.2">
      <c r="A125" s="2889" t="s">
        <v>2071</v>
      </c>
      <c r="B125" s="2894">
        <f ca="1">IF(OR($B119&lt;&gt;B120,B124="",B124=0),0,IF(AND(B121=0,$I$359=1),B124,IF(B121=0,NOMINAL(B124,12)*IF($B119=B120,$I$359,1),IF(AND($B119=B120,ROUNDDOWN($C$359,0)=B120),$E$359,1)*NOMINAL(B124,VLOOKUP($B114,$P$357:$R$360,3,0))/VLOOKUP($B114,$P$357:$R$360,3,0)))*((IF(B121=0,1,IF(AND($B119=B120,B121&lt;ROUNDDOWN(VLOOKUP($B114,$P$357:$R$360,3,0)/$H$359,0)),ROUNDDOWN(B121*$H$359,0),IF(AND($B119&lt;B120,B121&lt;ROUNDDOWN(VLOOKUP($B114,$P$357:$R$360,3,0)/$H$359,0)),ROUND(AVERAGE(ROUNDDOWN(B121*$H$359,0),2*VLOOKUP($B114,$P$357:$R$360,3,0)),0),VLOOKUP($B114,$P$357:$R$360,3,0))))*$B115)-((B122*(IF(B121=0,1,IF(AND($B119=B120,B121&lt;ROUNDDOWN(VLOOKUP($B114,$P$357:$R$360,3,0)/$H$359,0)),ROUNDDOWN(B121*$H$359,0),IF(AND($B119&lt;B120,B121&lt;ROUNDDOWN(VLOOKUP($B114,$P$357:$R$360,3,0)/$H$359,0)),ROUND(AVERAGE(ROUNDDOWN(B121*$H$359,0),2*VLOOKUP($B114,$P$357:$R$360,3,0)),0),VLOOKUP($B114,$P$357:$R$360,3,0))))-1))/2)))</f>
        <v>0</v>
      </c>
      <c r="C125" s="2895"/>
      <c r="D125" s="2894">
        <f ca="1">IF(OR($B119&gt;D120,D124="",D124=0),0,IF(AND(D121=0,OR(D120&gt;$B119,$I$359=1)),D124,IF(D121=0,NOMINAL(D124,12)*IF($B119=D120,$I$359,1),IF(AND($B119=D120,ROUNDDOWN($C$359,0)=D120),$E$359,1)*NOMINAL(D124,VLOOKUP($B114,$P$357:$R$360,3,0))/VLOOKUP($B114,$P$357:$R$360,3,0)))*((IF(D121=0,1,IF(AND($B119=D120,D121&lt;ROUNDDOWN(VLOOKUP($B114,$P$357:$R$360,3,0)/$H$359,0)),ROUNDDOWN(D121*$H$359,0),IF(AND($B119&lt;D120,D121&lt;ROUNDDOWN(VLOOKUP($B114,$P$357:$R$360,3,0)/$H$359,0)),ROUND(AVERAGE(ROUNDDOWN(D121*$H$359,0),2*VLOOKUP($B114,$P$357:$R$360,3,0)),0),VLOOKUP($B114,$P$357:$R$360,3,0))))*IF($B119=D120,$B115,SUM(B123:B123)))-((D122*(IF(D121=0,1,IF(AND($B119=D120,D121&lt;ROUNDDOWN(VLOOKUP($B114,$P$357:$R$360,3,0)/$H$359,0)),ROUNDDOWN(D121*$H$359,0),IF(AND($B119&lt;D120,D121&lt;ROUNDDOWN(VLOOKUP($B114,$P$357:$R$360,3,0)/$H$359,0)),ROUND(AVERAGE(ROUNDDOWN(D121*$H$359,0),2*VLOOKUP($B114,$P$357:$R$360,3,0)),0),VLOOKUP($B114,$P$357:$R$360,3,0))))-1))/2)))</f>
        <v>0</v>
      </c>
      <c r="E125" s="21"/>
      <c r="F125" s="21"/>
      <c r="G125" s="2894">
        <f ca="1">IF(OR($B119&gt;G120,G124="",G124=0),0,IF(AND(G121=0,OR(G120&gt;$B119,$I$359=1)),G124,IF(G121=0,NOMINAL(G124,12)*IF($B119=G120,$I$359,1),IF(AND($B119=G120,ROUNDDOWN($C$359,0)=G120),$E$359,1)*NOMINAL(G124,VLOOKUP($B114,$P$357:$R$360,3,0))/VLOOKUP($B114,$P$357:$R$360,3,0)))*((IF(G121=0,1,IF(AND($B119=G120,G121&lt;ROUNDDOWN(VLOOKUP($B114,$P$357:$R$360,3,0)/$H$359,0)),ROUNDDOWN(G121*$H$359,0),IF(AND($B119&lt;G120,G121&lt;ROUNDDOWN(VLOOKUP($B114,$P$357:$R$360,3,0)/$H$359,0)),ROUND(AVERAGE(ROUNDDOWN(G121*$H$359,0),2*VLOOKUP($B114,$P$357:$R$360,3,0)),0),VLOOKUP($B114,$P$357:$R$360,3,0))))*IF($B119=G120,$B115,SUM(D123:D123)))-((G122*(IF(G121=0,1,IF(AND($B119=G120,G121&lt;ROUNDDOWN(VLOOKUP($B114,$P$357:$R$360,3,0)/$H$359,0)),ROUNDDOWN(G121*$H$359,0),IF(AND($B119&lt;G120,G121&lt;ROUNDDOWN(VLOOKUP($B114,$P$357:$R$360,3,0)/$H$359,0)),ROUND(AVERAGE(ROUNDDOWN(G121*$H$359,0),2*VLOOKUP($B114,$P$357:$R$360,3,0)),0),VLOOKUP($B114,$P$357:$R$360,3,0))))-1))/2)))</f>
        <v>0</v>
      </c>
      <c r="H125" s="21"/>
      <c r="I125" s="21"/>
      <c r="J125" s="2894">
        <f ca="1">IF(OR($B119&gt;J120,J124="",J124=0),0,IF(AND(J121=0,OR(J120&gt;$B119,$I$359=1)),J124,IF(J121=0,NOMINAL(J124,12)*IF($B119=J120,$I$359,1),IF(AND($B119=J120,ROUNDDOWN($C$359,0)=J120),$E$359,1)*NOMINAL(J124,VLOOKUP($B114,$P$357:$R$360,3,0))/VLOOKUP($B114,$P$357:$R$360,3,0)))*((IF(J121=0,1,IF(AND($B119=J120,J121&lt;ROUNDDOWN(VLOOKUP($B114,$P$357:$R$360,3,0)/$H$359,0)),ROUNDDOWN(J121*$H$359,0),IF(AND($B119&lt;J120,J121&lt;ROUNDDOWN(VLOOKUP($B114,$P$357:$R$360,3,0)/$H$359,0)),ROUND(AVERAGE(ROUNDDOWN(J121*$H$359,0),2*VLOOKUP($B114,$P$357:$R$360,3,0)),0),VLOOKUP($B114,$P$357:$R$360,3,0))))*IF($B119=J120,$B115,SUM(G123:G123)))-((J122*(IF(J121=0,1,IF(AND($B119=J120,J121&lt;ROUNDDOWN(VLOOKUP($B114,$P$357:$R$360,3,0)/$H$359,0)),ROUNDDOWN(J121*$H$359,0),IF(AND($B119&lt;J120,J121&lt;ROUNDDOWN(VLOOKUP($B114,$P$357:$R$360,3,0)/$H$359,0)),ROUND(AVERAGE(ROUNDDOWN(J121*$H$359,0),2*VLOOKUP($B114,$P$357:$R$360,3,0)),0),VLOOKUP($B114,$P$357:$R$360,3,0))))-1))/2)))</f>
        <v>0</v>
      </c>
      <c r="K125" s="21"/>
      <c r="L125" s="21"/>
      <c r="M125" s="2894">
        <f ca="1">IF(OR($B119&gt;M120,M124="",M124=0),0,IF(AND(M121=0,OR(M120&gt;$B119,$I$359=1)),M124,IF(M121=0,NOMINAL(M124,12)*IF($B119=M120,$I$359,1),IF(AND($B119=M120,ROUNDDOWN($C$359,0)=M120),$E$359,1)*NOMINAL(M124,VLOOKUP($B114,$P$357:$R$360,3,0))/VLOOKUP($B114,$P$357:$R$360,3,0)))*((IF(M121=0,1,IF(AND($B119=M120,M121&lt;ROUNDDOWN(VLOOKUP($B114,$P$357:$R$360,3,0)/$H$359,0)),ROUNDDOWN(M121*$H$359,0),IF(AND($B119&lt;M120,M121&lt;ROUNDDOWN(VLOOKUP($B114,$P$357:$R$360,3,0)/$H$359,0)),ROUND(AVERAGE(ROUNDDOWN(M121*$H$359,0),2*VLOOKUP($B114,$P$357:$R$360,3,0)),0),VLOOKUP($B114,$P$357:$R$360,3,0))))*IF($B119=M120,$B115,SUM(J123:J123)))-((M122*(IF(M121=0,1,IF(AND($B119=M120,M121&lt;ROUNDDOWN(VLOOKUP($B114,$P$357:$R$360,3,0)/$H$359,0)),ROUNDDOWN(M121*$H$359,0),IF(AND($B119&lt;M120,M121&lt;ROUNDDOWN(VLOOKUP($B114,$P$357:$R$360,3,0)/$H$359,0)),ROUND(AVERAGE(ROUNDDOWN(M121*$H$359,0),2*VLOOKUP($B114,$P$357:$R$360,3,0)),0),VLOOKUP($B114,$P$357:$R$360,3,0))))-1))/2)))</f>
        <v>0</v>
      </c>
      <c r="N125" s="21"/>
      <c r="O125" s="21"/>
      <c r="P125" s="2894">
        <f ca="1">IF(OR($B119&gt;P120,P124="",P124=0),0,IF(AND(P121=0,OR(P120&gt;$B119,$I$359=1)),P124,IF(P121=0,NOMINAL(P124,12)*IF($B119=P120,$I$359,1),IF(AND($B119=P120,ROUNDDOWN($C$359,0)=P120),$E$359,1)*NOMINAL(P124,VLOOKUP($B114,$P$357:$R$360,3,0))/VLOOKUP($B114,$P$357:$R$360,3,0)))*((IF(P121=0,1,IF(AND($B119=P120,P121&lt;ROUNDDOWN(VLOOKUP($B114,$P$357:$R$360,3,0)/$H$359,0)),ROUNDDOWN(P121*$H$359,0),IF(AND($B119&lt;P120,P121&lt;ROUNDDOWN(VLOOKUP($B114,$P$357:$R$360,3,0)/$H$359,0)),ROUND(AVERAGE(ROUNDDOWN(P121*$H$359,0),2*VLOOKUP($B114,$P$357:$R$360,3,0)),0),VLOOKUP($B114,$P$357:$R$360,3,0))))*IF($B119=P120,$B115,SUM(M123:M123)))-((P122*(IF(P121=0,1,IF(AND($B119=P120,P121&lt;ROUNDDOWN(VLOOKUP($B114,$P$357:$R$360,3,0)/$H$359,0)),ROUNDDOWN(P121*$H$359,0),IF(AND($B119&lt;P120,P121&lt;ROUNDDOWN(VLOOKUP($B114,$P$357:$R$360,3,0)/$H$359,0)),ROUND(AVERAGE(ROUNDDOWN(P121*$H$359,0),2*VLOOKUP($B114,$P$357:$R$360,3,0)),0),VLOOKUP($B114,$P$357:$R$360,3,0))))-1))/2)))</f>
        <v>0</v>
      </c>
      <c r="Q125" s="21"/>
      <c r="R125" s="21"/>
      <c r="S125" s="2894">
        <f ca="1">IF(OR($B119&gt;S120,S124="",S124=0),0,IF(AND(S121=0,OR(S120&gt;$B119,$I$359=1)),S124,IF(S121=0,NOMINAL(S124,12)*IF($B119=S120,$I$359,1),IF(AND($B119=S120,ROUNDDOWN($C$359,0)=S120),$E$359,1)*NOMINAL(S124,VLOOKUP($B114,$P$357:$R$360,3,0))/VLOOKUP($B114,$P$357:$R$360,3,0)))*((IF(S121=0,1,IF(AND($B119=S120,S121&lt;ROUNDDOWN(VLOOKUP($B114,$P$357:$R$360,3,0)/$H$359,0)),ROUNDDOWN(S121*$H$359,0),IF(AND($B119&lt;S120,S121&lt;ROUNDDOWN(VLOOKUP($B114,$P$357:$R$360,3,0)/$H$359,0)),ROUND(AVERAGE(ROUNDDOWN(S121*$H$359,0),2*VLOOKUP($B114,$P$357:$R$360,3,0)),0),VLOOKUP($B114,$P$357:$R$360,3,0))))*IF($B119=S120,$B115,SUM(P123:P123)))-((S122*(IF(S121=0,1,IF(AND($B119=S120,S121&lt;ROUNDDOWN(VLOOKUP($B114,$P$357:$R$360,3,0)/$H$359,0)),ROUNDDOWN(S121*$H$359,0),IF(AND($B119&lt;S120,S121&lt;ROUNDDOWN(VLOOKUP($B114,$P$357:$R$360,3,0)/$H$359,0)),ROUND(AVERAGE(ROUNDDOWN(S121*$H$359,0),2*VLOOKUP($B114,$P$357:$R$360,3,0)),0),VLOOKUP($B114,$P$357:$R$360,3,0))))-1))/2)))</f>
        <v>0</v>
      </c>
      <c r="T125" s="21"/>
      <c r="U125" s="21"/>
      <c r="V125" s="2894">
        <f ca="1">IF(OR($B119&gt;V120,V124="",V124=0),0,IF(AND(V121=0,OR(V120&gt;$B119,$I$359=1)),V124,IF(V121=0,NOMINAL(V124,12)*IF($B119=V120,$I$359,1),IF(AND($B119=V120,ROUNDDOWN($C$359,0)=V120),$E$359,1)*NOMINAL(V124,VLOOKUP($B114,$P$357:$R$360,3,0))/VLOOKUP($B114,$P$357:$R$360,3,0)))*((IF(V121=0,1,IF(AND($B119=V120,V121&lt;ROUNDDOWN(VLOOKUP($B114,$P$357:$R$360,3,0)/$H$359,0)),ROUNDDOWN(V121*$H$359,0),IF(AND($B119&lt;V120,V121&lt;ROUNDDOWN(VLOOKUP($B114,$P$357:$R$360,3,0)/$H$359,0)),ROUND(AVERAGE(ROUNDDOWN(V121*$H$359,0),2*VLOOKUP($B114,$P$357:$R$360,3,0)),0),VLOOKUP($B114,$P$357:$R$360,3,0))))*IF($B119=V120,$B115,SUM(S123:S123)))-((V122*(IF(V121=0,1,IF(AND($B119=V120,V121&lt;ROUNDDOWN(VLOOKUP($B114,$P$357:$R$360,3,0)/$H$359,0)),ROUNDDOWN(V121*$H$359,0),IF(AND($B119&lt;V120,V121&lt;ROUNDDOWN(VLOOKUP($B114,$P$357:$R$360,3,0)/$H$359,0)),ROUND(AVERAGE(ROUNDDOWN(V121*$H$359,0),2*VLOOKUP($B114,$P$357:$R$360,3,0)),0),VLOOKUP($B114,$P$357:$R$360,3,0))))-1))/2)))</f>
        <v>0</v>
      </c>
      <c r="W125" s="21"/>
      <c r="X125" s="21"/>
      <c r="Y125" s="2894">
        <f ca="1">IF(OR($B119&gt;Y120,Y124="",Y124=0),0,IF(AND(Y121=0,OR(Y120&gt;$B119,$I$359=1)),Y124,IF(Y121=0,NOMINAL(Y124,12)*IF($B119=Y120,$I$359,1),IF(AND($B119=Y120,ROUNDDOWN($C$359,0)=Y120),$E$359,1)*NOMINAL(Y124,VLOOKUP($B114,$P$357:$R$360,3,0))/VLOOKUP($B114,$P$357:$R$360,3,0)))*((IF(Y121=0,1,IF(AND($B119=Y120,Y121&lt;ROUNDDOWN(VLOOKUP($B114,$P$357:$R$360,3,0)/$H$359,0)),ROUNDDOWN(Y121*$H$359,0),IF(AND($B119&lt;Y120,Y121&lt;ROUNDDOWN(VLOOKUP($B114,$P$357:$R$360,3,0)/$H$359,0)),ROUND(AVERAGE(ROUNDDOWN(Y121*$H$359,0),2*VLOOKUP($B114,$P$357:$R$360,3,0)),0),VLOOKUP($B114,$P$357:$R$360,3,0))))*IF($B119=Y120,$B115,SUM(V123:V123)))-((Y122*(IF(Y121=0,1,IF(AND($B119=Y120,Y121&lt;ROUNDDOWN(VLOOKUP($B114,$P$357:$R$360,3,0)/$H$359,0)),ROUNDDOWN(Y121*$H$359,0),IF(AND($B119&lt;Y120,Y121&lt;ROUNDDOWN(VLOOKUP($B114,$P$357:$R$360,3,0)/$H$359,0)),ROUND(AVERAGE(ROUNDDOWN(Y121*$H$359,0),2*VLOOKUP($B114,$P$357:$R$360,3,0)),0),VLOOKUP($B114,$P$357:$R$360,3,0))))-1))/2)))</f>
        <v>0</v>
      </c>
      <c r="Z125" s="21"/>
      <c r="AA125" s="21"/>
      <c r="AB125" s="2894">
        <f ca="1">IF(OR($B119&gt;AB120,AB124="",AB124=0),0,IF(AND(AB121=0,OR(AB120&gt;$B119,$I$359=1)),AB124,IF(AB121=0,NOMINAL(AB124,12)*IF($B119=AB120,$I$359,1),IF(AND($B119=AB120,ROUNDDOWN($C$359,0)=AB120),$E$359,1)*NOMINAL(AB124,VLOOKUP($B114,$P$357:$R$360,3,0))/VLOOKUP($B114,$P$357:$R$360,3,0)))*((IF(AB121=0,1,IF(AND($B119=AB120,AB121&lt;ROUNDDOWN(VLOOKUP($B114,$P$357:$R$360,3,0)/$H$359,0)),ROUNDDOWN(AB121*$H$359,0),IF(AND($B119&lt;AB120,AB121&lt;ROUNDDOWN(VLOOKUP($B114,$P$357:$R$360,3,0)/$H$359,0)),ROUND(AVERAGE(ROUNDDOWN(AB121*$H$359,0),2*VLOOKUP($B114,$P$357:$R$360,3,0)),0),VLOOKUP($B114,$P$357:$R$360,3,0))))*IF($B119=AB120,$B115,SUM(Y123:Y123)))-((AB122*(IF(AB121=0,1,IF(AND($B119=AB120,AB121&lt;ROUNDDOWN(VLOOKUP($B114,$P$357:$R$360,3,0)/$H$359,0)),ROUNDDOWN(AB121*$H$359,0),IF(AND($B119&lt;AB120,AB121&lt;ROUNDDOWN(VLOOKUP($B114,$P$357:$R$360,3,0)/$H$359,0)),ROUND(AVERAGE(ROUNDDOWN(AB121*$H$359,0),2*VLOOKUP($B114,$P$357:$R$360,3,0)),0),VLOOKUP($B114,$P$357:$R$360,3,0))))-1))/2)))</f>
        <v>0</v>
      </c>
      <c r="AC125" s="21"/>
      <c r="AD125" s="21"/>
      <c r="AE125" s="2894">
        <f ca="1">IF(OR($B119&gt;AE120,AE124="",AE124=0),0,IF(AND(AE121=0,OR(AE120&gt;$B119,$I$359=1)),AE124,IF(AE121=0,NOMINAL(AE124,12)*IF($B119=AE120,$I$359,1),IF(AND($B119=AE120,ROUNDDOWN($C$359,0)=AE120),$E$359,1)*NOMINAL(AE124,VLOOKUP($B114,$P$357:$R$360,3,0))/VLOOKUP($B114,$P$357:$R$360,3,0)))*((IF(AE121=0,1,IF(AND($B119=AE120,AE121&lt;ROUNDDOWN(VLOOKUP($B114,$P$357:$R$360,3,0)/$H$359,0)),ROUNDDOWN(AE121*$H$359,0),IF(AND($B119&lt;AE120,AE121&lt;ROUNDDOWN(VLOOKUP($B114,$P$357:$R$360,3,0)/$H$359,0)),ROUND(AVERAGE(ROUNDDOWN(AE121*$H$359,0),2*VLOOKUP($B114,$P$357:$R$360,3,0)),0),VLOOKUP($B114,$P$357:$R$360,3,0))))*IF($B119=AE120,$B115,SUM(AB123:AB123)))-((AE122*(IF(AE121=0,1,IF(AND($B119=AE120,AE121&lt;ROUNDDOWN(VLOOKUP($B114,$P$357:$R$360,3,0)/$H$359,0)),ROUNDDOWN(AE121*$H$359,0),IF(AND($B119&lt;AE120,AE121&lt;ROUNDDOWN(VLOOKUP($B114,$P$357:$R$360,3,0)/$H$359,0)),ROUND(AVERAGE(ROUNDDOWN(AE121*$H$359,0),2*VLOOKUP($B114,$P$357:$R$360,3,0)),0),VLOOKUP($B114,$P$357:$R$360,3,0))))-1))/2)))</f>
        <v>0</v>
      </c>
      <c r="AF125" s="2895"/>
      <c r="AG125" s="21"/>
      <c r="AH125" s="2894">
        <f ca="1">IF(OR($B119&gt;AH120,AH124="",AH124=0),0,IF(AND(AH121=0,OR(AH120&gt;$B119,$I$359=1)),AH124,IF(AH121=0,NOMINAL(AH124,12)*IF($B119=AH120,$I$359,1),IF(AND($B119=AH120,ROUNDDOWN($C$359,0)=AH120),$E$359,1)*NOMINAL(AH124,VLOOKUP($B114,$P$357:$R$360,3,0))/VLOOKUP($B114,$P$357:$R$360,3,0)))*((IF(AH121=0,1,IF(AND($B119=AH120,AH121&lt;ROUNDDOWN(VLOOKUP($B114,$P$357:$R$360,3,0)/$H$359,0)),ROUNDDOWN(AH121*$H$359,0),IF(AND($B119&lt;AH120,AH121&lt;ROUNDDOWN(VLOOKUP($B114,$P$357:$R$360,3,0)/$H$359,0)),ROUND(AVERAGE(ROUNDDOWN(AH121*$H$359,0),2*VLOOKUP($B114,$P$357:$R$360,3,0)),0),VLOOKUP($B114,$P$357:$R$360,3,0))))*IF($B119=AH120,$B115,SUM(AE123:AE123)))-((AH122*(IF(AH121=0,1,IF(AND($B119=AH120,AH121&lt;ROUNDDOWN(VLOOKUP($B114,$P$357:$R$360,3,0)/$H$359,0)),ROUNDDOWN(AH121*$H$359,0),IF(AND($B119&lt;AH120,AH121&lt;ROUNDDOWN(VLOOKUP($B114,$P$357:$R$360,3,0)/$H$359,0)),ROUND(AVERAGE(ROUNDDOWN(AH121*$H$359,0),2*VLOOKUP($B114,$P$357:$R$360,3,0)),0),VLOOKUP($B114,$P$357:$R$360,3,0))))-1))/2)))</f>
        <v>0</v>
      </c>
      <c r="AI125" s="21"/>
      <c r="AJ125" s="21"/>
      <c r="AK125" s="2894">
        <f ca="1">IF(OR($B119&gt;AK120,AK124="",AK124=0),0,IF(AND(AK121=0,OR(AK120&gt;$B119,$I$359=1)),AK124,IF(AK121=0,NOMINAL(AK124,12)*IF($B119=AK120,$I$359,1),IF(AND($B119=AK120,ROUNDDOWN($C$359,0)=AK120),$E$359,1)*NOMINAL(AK124,VLOOKUP($B114,$P$357:$R$360,3,0))/VLOOKUP($B114,$P$357:$R$360,3,0)))*((IF(AK121=0,1,IF(AND($B119=AK120,AK121&lt;ROUNDDOWN(VLOOKUP($B114,$P$357:$R$360,3,0)/$H$359,0)),ROUNDDOWN(AK121*$H$359,0),IF(AND($B119&lt;AK120,AK121&lt;ROUNDDOWN(VLOOKUP($B114,$P$357:$R$360,3,0)/$H$359,0)),ROUND(AVERAGE(ROUNDDOWN(AK121*$H$359,0),2*VLOOKUP($B114,$P$357:$R$360,3,0)),0),VLOOKUP($B114,$P$357:$R$360,3,0))))*IF($B119=AK120,$B115,SUM(AH123:AH123)))-((AK122*(IF(AK121=0,1,IF(AND($B119=AK120,AK121&lt;ROUNDDOWN(VLOOKUP($B114,$P$357:$R$360,3,0)/$H$359,0)),ROUNDDOWN(AK121*$H$359,0),IF(AND($B119&lt;AK120,AK121&lt;ROUNDDOWN(VLOOKUP($B114,$P$357:$R$360,3,0)/$H$359,0)),ROUND(AVERAGE(ROUNDDOWN(AK121*$H$359,0),2*VLOOKUP($B114,$P$357:$R$360,3,0)),0),VLOOKUP($B114,$P$357:$R$360,3,0))))-1))/2)))</f>
        <v>0</v>
      </c>
      <c r="AL125" s="21"/>
      <c r="AM125" s="21"/>
      <c r="AN125" s="2894">
        <f ca="1">IF(OR($B119&gt;AN120,AN124="",AN124=0),0,IF(AND(AN121=0,OR(AN120&gt;$B119,$I$359=1)),AN124,IF(AN121=0,NOMINAL(AN124,12)*IF($B119=AN120,$I$359,1),IF(AND($B119=AN120,ROUNDDOWN($C$359,0)=AN120),$E$359,1)*NOMINAL(AN124,VLOOKUP($B114,$P$357:$R$360,3,0))/VLOOKUP($B114,$P$357:$R$360,3,0)))*((IF(AN121=0,1,IF(AND($B119=AN120,AN121&lt;ROUNDDOWN(VLOOKUP($B114,$P$357:$R$360,3,0)/$H$359,0)),ROUNDDOWN(AN121*$H$359,0),IF(AND($B119&lt;AN120,AN121&lt;ROUNDDOWN(VLOOKUP($B114,$P$357:$R$360,3,0)/$H$359,0)),ROUND(AVERAGE(ROUNDDOWN(AN121*$H$359,0),2*VLOOKUP($B114,$P$357:$R$360,3,0)),0),VLOOKUP($B114,$P$357:$R$360,3,0))))*IF($B119=AN120,$B115,SUM(AK123:AK123)))-((AN122*(IF(AN121=0,1,IF(AND($B119=AN120,AN121&lt;ROUNDDOWN(VLOOKUP($B114,$P$357:$R$360,3,0)/$H$359,0)),ROUNDDOWN(AN121*$H$359,0),IF(AND($B119&lt;AN120,AN121&lt;ROUNDDOWN(VLOOKUP($B114,$P$357:$R$360,3,0)/$H$359,0)),ROUND(AVERAGE(ROUNDDOWN(AN121*$H$359,0),2*VLOOKUP($B114,$P$357:$R$360,3,0)),0),VLOOKUP($B114,$P$357:$R$360,3,0))))-1))/2)))</f>
        <v>0</v>
      </c>
      <c r="AO125" s="21"/>
      <c r="AP125" s="21"/>
      <c r="AQ125" s="2894">
        <f ca="1">IF(OR($B119&gt;AQ120,AQ124="",AQ124=0),0,IF(AND(AQ121=0,OR(AQ120&gt;$B119,$I$359=1)),AQ124,IF(AQ121=0,NOMINAL(AQ124,12)*IF($B119=AQ120,$I$359,1),IF(AND($B119=AQ120,ROUNDDOWN($C$359,0)=AQ120),$E$359,1)*NOMINAL(AQ124,VLOOKUP($B114,$P$357:$R$360,3,0))/VLOOKUP($B114,$P$357:$R$360,3,0)))*((IF(AQ121=0,1,IF(AND($B119=AQ120,AQ121&lt;ROUNDDOWN(VLOOKUP($B114,$P$357:$R$360,3,0)/$H$359,0)),ROUNDDOWN(AQ121*$H$359,0),IF(AND($B119&lt;AQ120,AQ121&lt;ROUNDDOWN(VLOOKUP($B114,$P$357:$R$360,3,0)/$H$359,0)),ROUND(AVERAGE(ROUNDDOWN(AQ121*$H$359,0),2*VLOOKUP($B114,$P$357:$R$360,3,0)),0),VLOOKUP($B114,$P$357:$R$360,3,0))))*IF($B119=AQ120,$B115,SUM(AN123:AN123)))-((AQ122*(IF(AQ121=0,1,IF(AND($B119=AQ120,AQ121&lt;ROUNDDOWN(VLOOKUP($B114,$P$357:$R$360,3,0)/$H$359,0)),ROUNDDOWN(AQ121*$H$359,0),IF(AND($B119&lt;AQ120,AQ121&lt;ROUNDDOWN(VLOOKUP($B114,$P$357:$R$360,3,0)/$H$359,0)),ROUND(AVERAGE(ROUNDDOWN(AQ121*$H$359,0),2*VLOOKUP($B114,$P$357:$R$360,3,0)),0),VLOOKUP($B114,$P$357:$R$360,3,0))))-1))/2)))</f>
        <v>0</v>
      </c>
      <c r="AR125" s="21"/>
      <c r="AS125" s="21"/>
      <c r="AT125" s="2894">
        <f ca="1">IF(OR($B119&gt;AT120,AT124="",AT124=0),0,IF(AND(AT121=0,OR(AT120&gt;$B119,$I$359=1)),AT124,IF(AT121=0,NOMINAL(AT124,12)*IF($B119=AT120,$I$359,1),IF(AND($B119=AT120,ROUNDDOWN($C$359,0)=AT120),$E$359,1)*NOMINAL(AT124,VLOOKUP($B114,$P$357:$R$360,3,0))/VLOOKUP($B114,$P$357:$R$360,3,0)))*((IF(AT121=0,1,IF(AND($B119=AT120,AT121&lt;ROUNDDOWN(VLOOKUP($B114,$P$357:$R$360,3,0)/$H$359,0)),ROUNDDOWN(AT121*$H$359,0),IF(AND($B119&lt;AT120,AT121&lt;ROUNDDOWN(VLOOKUP($B114,$P$357:$R$360,3,0)/$H$359,0)),ROUND(AVERAGE(ROUNDDOWN(AT121*$H$359,0),2*VLOOKUP($B114,$P$357:$R$360,3,0)),0),VLOOKUP($B114,$P$357:$R$360,3,0))))*IF($B119=AT120,$B115,SUM(AQ123:AQ123)))-((AT122*(IF(AT121=0,1,IF(AND($B119=AT120,AT121&lt;ROUNDDOWN(VLOOKUP($B114,$P$357:$R$360,3,0)/$H$359,0)),ROUNDDOWN(AT121*$H$359,0),IF(AND($B119&lt;AT120,AT121&lt;ROUNDDOWN(VLOOKUP($B114,$P$357:$R$360,3,0)/$H$359,0)),ROUND(AVERAGE(ROUNDDOWN(AT121*$H$359,0),2*VLOOKUP($B114,$P$357:$R$360,3,0)),0),VLOOKUP($B114,$P$357:$R$360,3,0))))-1))/2)))</f>
        <v>0</v>
      </c>
      <c r="AU125" s="2895"/>
      <c r="AV125" s="2883"/>
    </row>
    <row r="126" spans="1:48" ht="13.5" thickBot="1" x14ac:dyDescent="0.25">
      <c r="AV126" s="2883"/>
    </row>
    <row r="127" spans="1:48" x14ac:dyDescent="0.2">
      <c r="A127" s="2896" t="s">
        <v>2072</v>
      </c>
      <c r="B127" s="2897"/>
      <c r="C127" s="2898"/>
      <c r="D127" s="2898"/>
      <c r="E127" s="2898"/>
      <c r="F127" s="2898"/>
      <c r="G127" s="2898"/>
      <c r="H127" s="2898"/>
      <c r="I127" s="2898"/>
      <c r="J127" s="2898"/>
      <c r="K127" s="2898"/>
      <c r="L127" s="2898"/>
      <c r="M127" s="2898"/>
      <c r="N127" s="2898"/>
      <c r="O127" s="2898"/>
      <c r="P127" s="2898"/>
      <c r="Q127" s="2898"/>
      <c r="R127" s="2898"/>
      <c r="S127" s="2898"/>
      <c r="T127" s="2898"/>
      <c r="U127" s="2898"/>
      <c r="V127" s="2898"/>
      <c r="W127" s="2898"/>
      <c r="X127" s="2898"/>
      <c r="Y127" s="2898"/>
      <c r="Z127" s="2898"/>
      <c r="AA127" s="2898"/>
      <c r="AB127" s="2898"/>
      <c r="AC127" s="2898"/>
      <c r="AD127" s="2898"/>
      <c r="AE127" s="2898"/>
      <c r="AF127" s="2898"/>
      <c r="AG127" s="2898"/>
      <c r="AH127" s="2898"/>
      <c r="AI127" s="2898"/>
      <c r="AJ127" s="2898"/>
      <c r="AK127" s="2898"/>
      <c r="AL127" s="2898"/>
      <c r="AM127" s="2898"/>
      <c r="AN127" s="2898"/>
      <c r="AO127" s="2898"/>
      <c r="AP127" s="2898"/>
      <c r="AQ127" s="2898"/>
      <c r="AR127" s="2898"/>
      <c r="AS127" s="2898"/>
      <c r="AT127" s="2898"/>
      <c r="AU127" s="2898"/>
      <c r="AV127" s="2899"/>
    </row>
    <row r="128" spans="1:48" x14ac:dyDescent="0.2">
      <c r="A128" s="2881" t="s">
        <v>2073</v>
      </c>
      <c r="B128" s="2882"/>
      <c r="AV128" s="2883"/>
    </row>
    <row r="129" spans="1:48" x14ac:dyDescent="0.2">
      <c r="A129" s="2881" t="s">
        <v>2074</v>
      </c>
      <c r="B129" s="2884"/>
      <c r="AV129" s="2883"/>
    </row>
    <row r="130" spans="1:48" x14ac:dyDescent="0.2">
      <c r="A130" s="2881" t="s">
        <v>2075</v>
      </c>
      <c r="B130" s="2884"/>
      <c r="AV130" s="2883"/>
    </row>
    <row r="131" spans="1:48" x14ac:dyDescent="0.2">
      <c r="A131" s="2881" t="s">
        <v>2076</v>
      </c>
      <c r="B131" s="2884"/>
      <c r="AV131" s="2883"/>
    </row>
    <row r="132" spans="1:48" x14ac:dyDescent="0.2">
      <c r="A132" s="2885" t="s">
        <v>2077</v>
      </c>
      <c r="B132" s="2886"/>
      <c r="AV132" s="2883"/>
    </row>
    <row r="133" spans="1:48" x14ac:dyDescent="0.2">
      <c r="A133" s="2887" t="s">
        <v>2078</v>
      </c>
      <c r="B133" s="2888">
        <f ca="1">B$11</f>
        <v>2023</v>
      </c>
      <c r="D133" s="2888">
        <f ca="1">D$11</f>
        <v>2024</v>
      </c>
      <c r="G133" s="2888">
        <f ca="1">G$11</f>
        <v>2025</v>
      </c>
      <c r="J133" s="2888">
        <f ca="1">J$11</f>
        <v>2026</v>
      </c>
      <c r="M133" s="2888">
        <f ca="1">M$11</f>
        <v>2027</v>
      </c>
      <c r="P133" s="2888">
        <f ca="1">P$11</f>
        <v>2028</v>
      </c>
      <c r="S133" s="2888">
        <f ca="1">S$11</f>
        <v>2029</v>
      </c>
      <c r="V133" s="2888">
        <f ca="1">V$11</f>
        <v>2030</v>
      </c>
      <c r="Y133" s="2888">
        <f ca="1">Y$11</f>
        <v>2031</v>
      </c>
      <c r="AB133" s="2888">
        <f ca="1">AB$11</f>
        <v>2032</v>
      </c>
      <c r="AE133" s="2888">
        <f ca="1">AE$11</f>
        <v>2033</v>
      </c>
      <c r="AH133" s="2888">
        <f ca="1">AH$11</f>
        <v>2034</v>
      </c>
      <c r="AK133" s="2888">
        <f ca="1">AK$11</f>
        <v>2035</v>
      </c>
      <c r="AN133" s="2888">
        <f ca="1">AN$11</f>
        <v>2036</v>
      </c>
      <c r="AQ133" s="2888">
        <f ca="1">AQ$11</f>
        <v>2037</v>
      </c>
      <c r="AT133" s="2888">
        <f ca="1">AT$11</f>
        <v>2038</v>
      </c>
      <c r="AV133" s="2883"/>
    </row>
    <row r="134" spans="1:48" x14ac:dyDescent="0.2">
      <c r="A134" s="2889" t="s">
        <v>2079</v>
      </c>
      <c r="B134" s="2890">
        <f>IF(OR($B129=0,$B129="",$B127=""),0,IF(AND(B133-$B132&gt;=0,B133&lt;=$B132+$B129,ROUNDDOWN(B133,0)=ROUNDDOWN($C$360,0)),IF(ROUNDDOWN(B133,0)=ROUNDDOWN($C$360,0),ROUND($E$360*VLOOKUP($B127,$P$357:$R$360,3,0)/$H$360,2),ROUND(VLOOKUP($B127,$P$357:$R$360,3,0)/$H$360,2)),0))</f>
        <v>0</v>
      </c>
      <c r="D134" s="2890">
        <f>IF(OR($B129=0,$B129="",$B127=""),0,IF(AND(ROUNDDOWN(D133,0)&gt;=ROUNDDOWN($C$360,0),1-$B134&lt;VLOOKUP($B127,$P$357:$R$360,3,0)/$H$360),1-$B134,IF(ROUNDDOWN(D133,0)&gt;=ROUNDDOWN($C$360,0),IF(ROUNDDOWN(D133,0)=ROUNDDOWN($C$360,0),ROUND($E$360*VLOOKUP($B127,$P$357:$R$360,3,0)/$H$360,2),ROUND(VLOOKUP($B127,$P$357:$R$360,3,0)/$H$360,2)),0)))</f>
        <v>0</v>
      </c>
      <c r="G134" s="2890">
        <f>IF(OR($B129=0,$B129="",$B127=""),0,IF(AND(ROUNDDOWN(G133,0)&gt;=ROUNDDOWN($C$360,0),1-SUM($B134:D134)&lt;VLOOKUP($B127,$P$357:$R$360,3,0)/$H$360),1-SUM($B134:D134),IF(ROUNDDOWN(G133,0)&gt;=ROUNDDOWN($C$360,0),IF(ROUNDDOWN(G133,0)=ROUNDDOWN($C$360,0),ROUND($E$360*VLOOKUP($B127,$P$357:$R$360,3,0)/$H$360,2),ROUND(VLOOKUP($B127,$P$357:$R$360,3,0)/$H$360,2)),0)))</f>
        <v>0</v>
      </c>
      <c r="J134" s="2890">
        <f>IF(OR($B129=0,$B129="",$B127=""),0,IF(AND(ROUNDDOWN(J133,0)&gt;=ROUNDDOWN($C$360,0),1-SUM($B134:G134)&lt;VLOOKUP($B127,$P$357:$R$360,3,0)/$H$360),1-SUM($B134:G134),IF(ROUNDDOWN(J133,0)&gt;=ROUNDDOWN($C$360,0),IF(ROUNDDOWN(J133,0)=ROUNDDOWN($C$360,0),ROUND($E$360*VLOOKUP($B127,$P$357:$R$360,3,0)/$H$360,2),ROUND(VLOOKUP($B127,$P$357:$R$360,3,0)/$H$360,2)),0)))</f>
        <v>0</v>
      </c>
      <c r="M134" s="2890">
        <f>IF(OR($B129=0,$B129="",$B127=""),0,IF(AND(ROUNDDOWN(M133,0)&gt;=ROUNDDOWN($C$360,0),1-SUM($B134:J134)&lt;VLOOKUP($B127,$P$357:$R$360,3,0)/$H$360),1-SUM($B134:J134),IF(ROUNDDOWN(M133,0)&gt;=ROUNDDOWN($C$360,0),IF(ROUNDDOWN(M133,0)=ROUNDDOWN($C$360,0),ROUND($E$360*VLOOKUP($B127,$P$357:$R$360,3,0)/$H$360,2),ROUND(VLOOKUP($B127,$P$357:$R$360,3,0)/$H$360,2)),0)))</f>
        <v>0</v>
      </c>
      <c r="P134" s="2890">
        <f>IF(OR($B129=0,$B129="",$B127=""),0,IF(AND(ROUNDDOWN(P133,0)&gt;=ROUNDDOWN($C$360,0),1-SUM($B134:M134)&lt;VLOOKUP($B127,$P$357:$R$360,3,0)/$H$360),1-SUM($B134:M134),IF(ROUNDDOWN(P133,0)&gt;=ROUNDDOWN($C$360,0),IF(ROUNDDOWN(P133,0)=ROUNDDOWN($C$360,0),ROUND($E$360*VLOOKUP($B127,$P$357:$R$360,3,0)/$H$360,2),ROUND(VLOOKUP($B127,$P$357:$R$360,3,0)/$H$360,2)),0)))</f>
        <v>0</v>
      </c>
      <c r="S134" s="2890">
        <f>IF(OR($B129=0,$B129="",$B127=""),0,IF(AND(ROUNDDOWN(S133,0)&gt;=ROUNDDOWN($C$360,0),1-SUM($B134:P134)&lt;VLOOKUP($B127,$P$357:$R$360,3,0)/$H$360),1-SUM($B134:P134),IF(ROUNDDOWN(S133,0)&gt;=ROUNDDOWN($C$360,0),IF(ROUNDDOWN(S133,0)=ROUNDDOWN($C$360,0),ROUND($E$360*VLOOKUP($B127,$P$357:$R$360,3,0)/$H$360,2),ROUND(VLOOKUP($B127,$P$357:$R$360,3,0)/$H$360,2)),0)))</f>
        <v>0</v>
      </c>
      <c r="V134" s="2890">
        <f>IF(OR($B129=0,$B129="",$B127=""),0,IF(AND(ROUNDDOWN(V133,0)&gt;=ROUNDDOWN($C$360,0),1-SUM($B134:S134)&lt;VLOOKUP($B127,$P$357:$R$360,3,0)/$H$360),1-SUM($B134:S134),IF(ROUNDDOWN(V133,0)&gt;=ROUNDDOWN($C$360,0),IF(ROUNDDOWN(V133,0)=ROUNDDOWN($C$360,0),ROUND($E$360*VLOOKUP($B127,$P$357:$R$360,3,0)/$H$360,2),ROUND(VLOOKUP($B127,$P$357:$R$360,3,0)/$H$360,2)),0)))</f>
        <v>0</v>
      </c>
      <c r="Y134" s="2890">
        <f>IF(OR($B129=0,$B129="",$B127=""),0,IF(AND(ROUNDDOWN(Y133,0)&gt;=ROUNDDOWN($C$360,0),1-SUM($B134:V134)&lt;VLOOKUP($B127,$P$357:$R$360,3,0)/$H$360),1-SUM($B134:V134),IF(ROUNDDOWN(Y133,0)&gt;=ROUNDDOWN($C$360,0),IF(ROUNDDOWN(Y133,0)=ROUNDDOWN($C$360,0),ROUND($E$360*VLOOKUP($B127,$P$357:$R$360,3,0)/$H$360,2),ROUND(VLOOKUP($B127,$P$357:$R$360,3,0)/$H$360,2)),0)))</f>
        <v>0</v>
      </c>
      <c r="AB134" s="2890">
        <f>IF(OR($B129=0,$B129="",$B127=""),0,IF(AND(ROUNDDOWN(AB133,0)&gt;=ROUNDDOWN($C$360,0),1-SUM($B134:Y134)&lt;VLOOKUP($B127,$P$357:$R$360,3,0)/$H$360),1-SUM($B134:Y134),IF(ROUNDDOWN(AB133,0)&gt;=ROUNDDOWN($C$360,0),IF(ROUNDDOWN(AB133,0)=ROUNDDOWN($C$360,0),ROUND($E$360*VLOOKUP($B127,$P$357:$R$360,3,0)/$H$360,2),ROUND(VLOOKUP($B127,$P$357:$R$360,3,0)/$H$360,2)),0)))</f>
        <v>0</v>
      </c>
      <c r="AE134" s="2890">
        <f>IF(OR($B129=0,$B129="",$B127=""),0,IF(AND(ROUNDDOWN(AE133,0)&gt;=ROUNDDOWN($C$360,0),1-SUM($B134:AB134)&lt;VLOOKUP($B127,$P$357:$R$360,3,0)/$H$360),1-SUM($B134:AB134),IF(ROUNDDOWN(AE133,0)&gt;=ROUNDDOWN($C$360,0),IF(ROUNDDOWN(AE133,0)=ROUNDDOWN($C$360,0),ROUND($E$360*VLOOKUP($B127,$P$357:$R$360,3,0)/$H$360,2),ROUND(VLOOKUP($B127,$P$357:$R$360,3,0)/$H$360,2)),0)))</f>
        <v>0</v>
      </c>
      <c r="AH134" s="2890">
        <f>IF(OR($B129=0,$B129="",$B127=""),0,IF(AND(ROUNDDOWN(AH133,0)&gt;=ROUNDDOWN($C$360,0),1-SUM($B134:AE134)&lt;VLOOKUP($B127,$P$357:$R$360,3,0)/$H$360),1-SUM($B134:AE134),IF(ROUNDDOWN(AH133,0)&gt;=ROUNDDOWN($C$360,0),IF(ROUNDDOWN(AH133,0)=ROUNDDOWN($C$360,0),ROUND($E$360*VLOOKUP($B127,$P$357:$R$360,3,0)/$H$360,2),ROUND(VLOOKUP($B127,$P$357:$R$360,3,0)/$H$360,2)),0)))</f>
        <v>0</v>
      </c>
      <c r="AK134" s="2890">
        <f>IF(OR($B129=0,$B129="",$B127=""),0,IF(AND(ROUNDDOWN(AK133,0)&gt;=ROUNDDOWN($C$360,0),1-SUM($B134:AH134)&lt;VLOOKUP($B127,$P$357:$R$360,3,0)/$H$360),1-SUM($B134:AH134),IF(ROUNDDOWN(AK133,0)&gt;=ROUNDDOWN($C$360,0),IF(ROUNDDOWN(AK133,0)=ROUNDDOWN($C$360,0),ROUND($E$360*VLOOKUP($B127,$P$357:$R$360,3,0)/$H$360,2),ROUND(VLOOKUP($B127,$P$357:$R$360,3,0)/$H$360,2)),0)))</f>
        <v>0</v>
      </c>
      <c r="AN134" s="2890">
        <f>IF(OR($B129=0,$B129="",$B127=""),0,IF(AND(ROUNDDOWN(AN133,0)&gt;=ROUNDDOWN($C$360,0),1-SUM($B134:AK134)&lt;VLOOKUP($B127,$P$357:$R$360,3,0)/$H$360),1-SUM($B134:AK134),IF(ROUNDDOWN(AN133,0)&gt;=ROUNDDOWN($C$360,0),IF(ROUNDDOWN(AN133,0)=ROUNDDOWN($C$360,0),ROUND($E$360*VLOOKUP($B127,$P$357:$R$360,3,0)/$H$360,2),ROUND(VLOOKUP($B127,$P$357:$R$360,3,0)/$H$360,2)),0)))</f>
        <v>0</v>
      </c>
      <c r="AQ134" s="2890">
        <f>IF(OR($B129=0,$B129="",$B127=""),0,IF(AND(ROUNDDOWN(AQ133,0)&gt;=ROUNDDOWN($C$360,0),1-SUM($B134:AN134)&lt;VLOOKUP($B127,$P$357:$R$360,3,0)/$H$360),1-SUM($B134:AN134),IF(ROUNDDOWN(AQ133,0)&gt;=ROUNDDOWN($C$360,0),IF(ROUNDDOWN(AQ133,0)=ROUNDDOWN($C$360,0),ROUND($E$360*VLOOKUP($B127,$P$357:$R$360,3,0)/$H$360,2),ROUND(VLOOKUP($B127,$P$357:$R$360,3,0)/$H$360,2)),0)))</f>
        <v>0</v>
      </c>
      <c r="AT134" s="2890">
        <f>IF(OR($B129=0,$B129="",$B127=""),0,IF(AND(ROUNDDOWN(AT133,0)&gt;=ROUNDDOWN($C$360,0),1-SUM($B134:AQ134)&lt;VLOOKUP($B127,$P$357:$R$360,3,0)/$H$360),1-SUM($B134:AQ134),IF(ROUNDDOWN(AT133,0)&gt;=ROUNDDOWN($C$360,0),IF(ROUNDDOWN(AT133,0)=ROUNDDOWN($C$360,0),ROUND($E$360*VLOOKUP($B127,$P$357:$R$360,3,0)/$H$360,2),ROUND(VLOOKUP($B127,$P$357:$R$360,3,0)/$H$360,2)),0)))</f>
        <v>0</v>
      </c>
      <c r="AV134" s="2883"/>
    </row>
    <row r="135" spans="1:48" x14ac:dyDescent="0.2">
      <c r="A135" s="2891" t="s">
        <v>2080</v>
      </c>
      <c r="B135" s="2892">
        <f>$B128*B134</f>
        <v>0</v>
      </c>
      <c r="D135" s="2892">
        <f ca="1">IF($B132&gt;D133,0,D134*$B128)</f>
        <v>0</v>
      </c>
      <c r="G135" s="2892">
        <f ca="1">IF($B132&gt;G133,0,G134*$B128)</f>
        <v>0</v>
      </c>
      <c r="J135" s="2892">
        <f ca="1">IF($B132&gt;J133,0,J134*$B128)</f>
        <v>0</v>
      </c>
      <c r="M135" s="2892">
        <f ca="1">IF($B132&gt;M133,0,M134*$B128)</f>
        <v>0</v>
      </c>
      <c r="P135" s="2892">
        <f ca="1">IF($B132&gt;P133,0,P134*$B128)</f>
        <v>0</v>
      </c>
      <c r="S135" s="2892">
        <f ca="1">IF($B132&gt;S133,0,S134*$B128)</f>
        <v>0</v>
      </c>
      <c r="V135" s="2892">
        <f ca="1">IF($B132&gt;V133,0,V134*$B128)</f>
        <v>0</v>
      </c>
      <c r="Y135" s="2892">
        <f ca="1">IF($B132&gt;Y133,0,Y134*$B128)</f>
        <v>0</v>
      </c>
      <c r="AB135" s="2892">
        <f ca="1">IF($B132&gt;AB133,0,AB134*$B128)</f>
        <v>0</v>
      </c>
      <c r="AE135" s="2892">
        <f ca="1">IF($B132&gt;AE133,0,AE134*$B128)</f>
        <v>0</v>
      </c>
      <c r="AH135" s="2892">
        <f ca="1">IF($B132&gt;AH133,0,AH134*$B128)</f>
        <v>0</v>
      </c>
      <c r="AK135" s="2892">
        <f ca="1">IF($B132&gt;AK133,0,AK134*$B128)</f>
        <v>0</v>
      </c>
      <c r="AN135" s="2892">
        <f ca="1">IF($B132&gt;AN133,0,AN134*$B128)</f>
        <v>0</v>
      </c>
      <c r="AQ135" s="2892">
        <f ca="1">IF($B132&gt;AQ133,0,AQ134*$B128)</f>
        <v>0</v>
      </c>
      <c r="AT135" s="2892">
        <f ca="1">IF($B132&gt;AT133,0,AT134*$B128)</f>
        <v>0</v>
      </c>
      <c r="AV135" s="2883"/>
    </row>
    <row r="136" spans="1:48" x14ac:dyDescent="0.2">
      <c r="A136" s="2885" t="s">
        <v>2081</v>
      </c>
      <c r="B136" s="2893">
        <f ca="1">IF($B132&gt;B133,0,B128-B135)</f>
        <v>0</v>
      </c>
      <c r="D136" s="2893">
        <f ca="1">IF($B132&gt;D133,0,IF($B132=D133,$B128-D135,IF(B136-D135&lt;0.005,0,B136-D135)))</f>
        <v>0</v>
      </c>
      <c r="G136" s="2893">
        <f ca="1">IF($B132&gt;G133,0,IF($B132=G133,$B128-G135,IF(+D136-G135&lt;0.005,0,+D136-G135)))</f>
        <v>0</v>
      </c>
      <c r="J136" s="2893">
        <f ca="1">IF($B132&gt;J133,0,IF($B132=J133,$B128-J135,IF(+G136-J135&lt;0.005,0,+G136-J135)))</f>
        <v>0</v>
      </c>
      <c r="M136" s="2893">
        <f ca="1">IF($B132&gt;M133,0,IF($B132=M133,$B128-M135,IF(+J136-M135&lt;0.005,0,+J136-M135)))</f>
        <v>0</v>
      </c>
      <c r="P136" s="2893">
        <f ca="1">IF($B132&gt;P133,0,IF($B132=P133,$B128-P135,IF(+M136-P135&lt;0.005,0,+M136-P135)))</f>
        <v>0</v>
      </c>
      <c r="S136" s="2893">
        <f ca="1">IF($B132&gt;S133,0,IF($B132=S133,$B128-S135,IF(+P136-S135&lt;0.005,0,+P136-S135)))</f>
        <v>0</v>
      </c>
      <c r="V136" s="2893">
        <f ca="1">IF($B132&gt;V133,0,IF($B132=V133,$B128-V135,IF(+S136-V135&lt;0.005,0,+S136-V135)))</f>
        <v>0</v>
      </c>
      <c r="Y136" s="2893">
        <f ca="1">IF($B132&gt;Y133,0,IF($B132=Y133,$B128-Y135,IF(+V136-Y135&lt;0.005,0,+V136-Y135)))</f>
        <v>0</v>
      </c>
      <c r="AB136" s="2893">
        <f ca="1">IF($B132&gt;AB133,0,IF($B132=AB133,$B128-AB135,IF(+Y136-AB135&lt;0.005,0,+Y136-AB135)))</f>
        <v>0</v>
      </c>
      <c r="AE136" s="2893">
        <f ca="1">IF($B132&gt;AE133,0,IF($B132=AE133,$B128-AE135,IF(+AB136-AE135&lt;0.005,0,+AB136-AE135)))</f>
        <v>0</v>
      </c>
      <c r="AH136" s="2893">
        <f ca="1">IF($B132&gt;AH133,0,IF($B132=AH133,$B128-AH135,IF(+AE136-AH135&lt;0.005,0,+AE136-AH135)))</f>
        <v>0</v>
      </c>
      <c r="AK136" s="2893">
        <f ca="1">IF($B132&gt;AK133,0,IF($B132=AK133,$B128-AK135,IF(+AH136-AK135&lt;0.005,0,+AH136-AK135)))</f>
        <v>0</v>
      </c>
      <c r="AN136" s="2893">
        <f ca="1">IF($B132&gt;AN133,0,IF($B132=AN133,$B128-AN135,IF(+AK136-AN135&lt;0.005,0,+AK136-AN135)))</f>
        <v>0</v>
      </c>
      <c r="AQ136" s="2893">
        <f ca="1">IF($B132&gt;AQ133,0,IF($B132=AQ133,$B128-AQ135,IF(+AN136-AQ135&lt;0.005,0,+AN136-AQ135)))</f>
        <v>0</v>
      </c>
      <c r="AT136" s="2893">
        <f ca="1">IF($B132&gt;AT133,0,IF($B132=AT133,$B128-AT135,IF(+AQ136-AT135&lt;0.005,0,+AQ136-AT135)))</f>
        <v>0</v>
      </c>
      <c r="AV136" s="2883"/>
    </row>
    <row r="137" spans="1:48" x14ac:dyDescent="0.2">
      <c r="A137" s="2889" t="s">
        <v>2082</v>
      </c>
      <c r="B137" s="2890"/>
      <c r="D137" s="2890">
        <f>B137</f>
        <v>0</v>
      </c>
      <c r="G137" s="2890">
        <f>D137</f>
        <v>0</v>
      </c>
      <c r="J137" s="2890">
        <f>G137</f>
        <v>0</v>
      </c>
      <c r="M137" s="2890">
        <f>J137</f>
        <v>0</v>
      </c>
      <c r="P137" s="2890">
        <f>M137</f>
        <v>0</v>
      </c>
      <c r="S137" s="2890">
        <f>P137</f>
        <v>0</v>
      </c>
      <c r="V137" s="2890">
        <f>S137</f>
        <v>0</v>
      </c>
      <c r="Y137" s="2890">
        <f>V137</f>
        <v>0</v>
      </c>
      <c r="AB137" s="2890">
        <f>Y137</f>
        <v>0</v>
      </c>
      <c r="AE137" s="2890">
        <f>AB137</f>
        <v>0</v>
      </c>
      <c r="AH137" s="2890">
        <f>AE137</f>
        <v>0</v>
      </c>
      <c r="AK137" s="2890">
        <f>AH137</f>
        <v>0</v>
      </c>
      <c r="AN137" s="2890">
        <f>AK137</f>
        <v>0</v>
      </c>
      <c r="AQ137" s="2890">
        <f>AN137</f>
        <v>0</v>
      </c>
      <c r="AT137" s="2890">
        <f>AQ137</f>
        <v>0</v>
      </c>
      <c r="AV137" s="2883"/>
    </row>
    <row r="138" spans="1:48" x14ac:dyDescent="0.2">
      <c r="A138" s="2889" t="s">
        <v>2083</v>
      </c>
      <c r="B138" s="2894">
        <f ca="1">IF(OR($B132&lt;&gt;B133,B137="",B137=0),0,IF(AND(B134=0,$I$360=1),B137,IF(B134=0,NOMINAL(B137,12)*IF($B132=B133,$I$360,1),IF(AND($B132=B133,ROUNDDOWN($C$360,0)=B133),$E$360,1)*NOMINAL(B137,VLOOKUP($B127,$P$357:$R$360,3,0))/VLOOKUP($B127,$P$357:$R$360,3,0)))*((IF(B134=0,1,IF(AND($B132=B133,B134&lt;ROUNDDOWN(VLOOKUP($B127,$P$357:$R$360,3,0)/$H$360,0)),ROUNDDOWN(B134*$H$360,0),IF(AND($B132&lt;B133,B134&lt;ROUNDDOWN(VLOOKUP($B127,$P$357:$R$360,3,0)/$H$360,0)),ROUND(AVERAGE(ROUNDDOWN(B134*$H$360,0),2*VLOOKUP($B127,$P$357:$R$360,3,0)),0),VLOOKUP($B127,$P$357:$R$360,3,0))))*$B128)-((B135*(IF(B134=0,1,IF(AND($B132=B133,B134&lt;ROUNDDOWN(VLOOKUP($B127,$P$357:$R$360,3,0)/$H$360,0)),ROUNDDOWN(B134*$H$360,0),IF(AND($B132&lt;B133,B134&lt;ROUNDDOWN(VLOOKUP($B127,$P$357:$R$360,3,0)/$H$360,0)),ROUND(AVERAGE(ROUNDDOWN(B134*$H$360,0),2*VLOOKUP($B127,$P$357:$R$360,3,0)),0),VLOOKUP($B127,$P$357:$R$360,3,0))))-1))/2)))</f>
        <v>0</v>
      </c>
      <c r="C138" s="2900"/>
      <c r="D138" s="2894">
        <f ca="1">IF(OR($B132&gt;D133,D137="",D137=0),0,IF(AND(D134=0,OR(D133&gt;$B132,$I$360=1)),D137,IF(D134=0,NOMINAL(D137,12)*IF($B132=D133,$I$360,1),IF(AND($B132=D133,ROUNDDOWN($C$360,0)=D133),$E$360,1)*NOMINAL(D137,VLOOKUP($B127,$P$357:$R$360,3,0))/VLOOKUP($B127,$P$357:$R$360,3,0)))*((IF(D134=0,1,IF(AND($B132=D133,D134&lt;ROUNDDOWN(VLOOKUP($B127,$P$357:$R$360,3,0)/$H$360,0)),ROUNDDOWN(D134*$H$360,0),IF(AND($B132&lt;D133,D134&lt;ROUNDDOWN(VLOOKUP($B127,$P$357:$R$360,3,0)/$H$360,0)),ROUND(AVERAGE(ROUNDDOWN(D134*$H$360,0),2*VLOOKUP($B127,$P$357:$R$360,3,0)),0),VLOOKUP($B127,$P$357:$R$360,3,0))))*IF($B132=D133,$B128,SUM(B136:B136)))-((D135*(IF(D134=0,1,IF(AND($B132=D133,D134&lt;ROUNDDOWN(VLOOKUP($B127,$P$357:$R$360,3,0)/$H$360,0)),ROUNDDOWN(D134*$H$360,0),IF(AND($B132&lt;D133,D134&lt;ROUNDDOWN(VLOOKUP($B127,$P$357:$R$360,3,0)/$H$360,0)),ROUND(AVERAGE(ROUNDDOWN(D134*$H$360,0),2*VLOOKUP($B127,$P$357:$R$360,3,0)),0),VLOOKUP($B127,$P$357:$R$360,3,0))))-1))/2)))</f>
        <v>0</v>
      </c>
      <c r="E138" s="2901"/>
      <c r="F138" s="2901"/>
      <c r="G138" s="2894">
        <f ca="1">IF(OR($B132&gt;G133,G137="",G137=0),0,IF(AND(G134=0,OR(G133&gt;$B132,$I$360=1)),G137,IF(G134=0,NOMINAL(G137,12)*IF($B132=G133,$I$360,1),IF(AND($B132=G133,ROUNDDOWN($C$360,0)=G133),$E$360,1)*NOMINAL(G137,VLOOKUP($B127,$P$357:$R$360,3,0))/VLOOKUP($B127,$P$357:$R$360,3,0)))*((IF(G134=0,1,IF(AND($B132=G133,G134&lt;ROUNDDOWN(VLOOKUP($B127,$P$357:$R$360,3,0)/$H$360,0)),ROUNDDOWN(G134*$H$360,0),IF(AND($B132&lt;G133,G134&lt;ROUNDDOWN(VLOOKUP($B127,$P$357:$R$360,3,0)/$H$360,0)),ROUND(AVERAGE(ROUNDDOWN(G134*$H$360,0),2*VLOOKUP($B127,$P$357:$R$360,3,0)),0),VLOOKUP($B127,$P$357:$R$360,3,0))))*IF($B132=G133,$B128,SUM(D136:D136)))-((G135*(IF(G134=0,1,IF(AND($B132=G133,G134&lt;ROUNDDOWN(VLOOKUP($B127,$P$357:$R$360,3,0)/$H$360,0)),ROUNDDOWN(G134*$H$360,0),IF(AND($B132&lt;G133,G134&lt;ROUNDDOWN(VLOOKUP($B127,$P$357:$R$360,3,0)/$H$360,0)),ROUND(AVERAGE(ROUNDDOWN(G134*$H$360,0),2*VLOOKUP($B127,$P$357:$R$360,3,0)),0),VLOOKUP($B127,$P$357:$R$360,3,0))))-1))/2)))</f>
        <v>0</v>
      </c>
      <c r="H138" s="2901"/>
      <c r="I138" s="2901"/>
      <c r="J138" s="2894">
        <f ca="1">IF(OR($B132&gt;J133,J137="",J137=0),0,IF(AND(J134=0,OR(J133&gt;$B132,$I$360=1)),J137,IF(J134=0,NOMINAL(J137,12)*IF($B132=J133,$I$360,1),IF(AND($B132=J133,ROUNDDOWN($C$360,0)=J133),$E$360,1)*NOMINAL(J137,VLOOKUP($B127,$P$357:$R$360,3,0))/VLOOKUP($B127,$P$357:$R$360,3,0)))*((IF(J134=0,1,IF(AND($B132=J133,J134&lt;ROUNDDOWN(VLOOKUP($B127,$P$357:$R$360,3,0)/$H$360,0)),ROUNDDOWN(J134*$H$360,0),IF(AND($B132&lt;J133,J134&lt;ROUNDDOWN(VLOOKUP($B127,$P$357:$R$360,3,0)/$H$360,0)),ROUND(AVERAGE(ROUNDDOWN(J134*$H$360,0),2*VLOOKUP($B127,$P$357:$R$360,3,0)),0),VLOOKUP($B127,$P$357:$R$360,3,0))))*IF($B132=J133,$B128,SUM(G136:G136)))-((J135*(IF(J134=0,1,IF(AND($B132=J133,J134&lt;ROUNDDOWN(VLOOKUP($B127,$P$357:$R$360,3,0)/$H$360,0)),ROUNDDOWN(J134*$H$360,0),IF(AND($B132&lt;J133,J134&lt;ROUNDDOWN(VLOOKUP($B127,$P$357:$R$360,3,0)/$H$360,0)),ROUND(AVERAGE(ROUNDDOWN(J134*$H$360,0),2*VLOOKUP($B127,$P$357:$R$360,3,0)),0),VLOOKUP($B127,$P$357:$R$360,3,0))))-1))/2)))</f>
        <v>0</v>
      </c>
      <c r="K138" s="2901"/>
      <c r="L138" s="2901"/>
      <c r="M138" s="2894">
        <f ca="1">IF(OR($B132&gt;M133,M137="",M137=0),0,IF(AND(M134=0,OR(M133&gt;$B132,$I$360=1)),M137,IF(M134=0,NOMINAL(M137,12)*IF($B132=M133,$I$360,1),IF(AND($B132=M133,ROUNDDOWN($C$360,0)=M133),$E$360,1)*NOMINAL(M137,VLOOKUP($B127,$P$357:$R$360,3,0))/VLOOKUP($B127,$P$357:$R$360,3,0)))*((IF(M134=0,1,IF(AND($B132=M133,M134&lt;ROUNDDOWN(VLOOKUP($B127,$P$357:$R$360,3,0)/$H$360,0)),ROUNDDOWN(M134*$H$360,0),IF(AND($B132&lt;M133,M134&lt;ROUNDDOWN(VLOOKUP($B127,$P$357:$R$360,3,0)/$H$360,0)),ROUND(AVERAGE(ROUNDDOWN(M134*$H$360,0),2*VLOOKUP($B127,$P$357:$R$360,3,0)),0),VLOOKUP($B127,$P$357:$R$360,3,0))))*IF($B132=M133,$B128,SUM(J136:J136)))-((M135*(IF(M134=0,1,IF(AND($B132=M133,M134&lt;ROUNDDOWN(VLOOKUP($B127,$P$357:$R$360,3,0)/$H$360,0)),ROUNDDOWN(M134*$H$360,0),IF(AND($B132&lt;M133,M134&lt;ROUNDDOWN(VLOOKUP($B127,$P$357:$R$360,3,0)/$H$360,0)),ROUND(AVERAGE(ROUNDDOWN(M134*$H$360,0),2*VLOOKUP($B127,$P$357:$R$360,3,0)),0),VLOOKUP($B127,$P$357:$R$360,3,0))))-1))/2)))</f>
        <v>0</v>
      </c>
      <c r="N138" s="2901"/>
      <c r="O138" s="2901"/>
      <c r="P138" s="2894">
        <f ca="1">IF(OR($B132&gt;P133,P137="",P137=0),0,IF(AND(P134=0,OR(P133&gt;$B132,$I$360=1)),P137,IF(P134=0,NOMINAL(P137,12)*IF($B132=P133,$I$360,1),IF(AND($B132=P133,ROUNDDOWN($C$360,0)=P133),$E$360,1)*NOMINAL(P137,VLOOKUP($B127,$P$357:$R$360,3,0))/VLOOKUP($B127,$P$357:$R$360,3,0)))*((IF(P134=0,1,IF(AND($B132=P133,P134&lt;ROUNDDOWN(VLOOKUP($B127,$P$357:$R$360,3,0)/$H$360,0)),ROUNDDOWN(P134*$H$360,0),IF(AND($B132&lt;P133,P134&lt;ROUNDDOWN(VLOOKUP($B127,$P$357:$R$360,3,0)/$H$360,0)),ROUND(AVERAGE(ROUNDDOWN(P134*$H$360,0),2*VLOOKUP($B127,$P$357:$R$360,3,0)),0),VLOOKUP($B127,$P$357:$R$360,3,0))))*IF($B132=P133,$B128,SUM(M136:M136)))-((P135*(IF(P134=0,1,IF(AND($B132=P133,P134&lt;ROUNDDOWN(VLOOKUP($B127,$P$357:$R$360,3,0)/$H$360,0)),ROUNDDOWN(P134*$H$360,0),IF(AND($B132&lt;P133,P134&lt;ROUNDDOWN(VLOOKUP($B127,$P$357:$R$360,3,0)/$H$360,0)),ROUND(AVERAGE(ROUNDDOWN(P134*$H$360,0),2*VLOOKUP($B127,$P$357:$R$360,3,0)),0),VLOOKUP($B127,$P$357:$R$360,3,0))))-1))/2)))</f>
        <v>0</v>
      </c>
      <c r="Q138" s="2901"/>
      <c r="R138" s="2901"/>
      <c r="S138" s="2894">
        <f ca="1">IF(OR($B132&gt;S133,S137="",S137=0),0,IF(AND(S134=0,OR(S133&gt;$B132,$I$360=1)),S137,IF(S134=0,NOMINAL(S137,12)*IF($B132=S133,$I$360,1),IF(AND($B132=S133,ROUNDDOWN($C$360,0)=S133),$E$360,1)*NOMINAL(S137,VLOOKUP($B127,$P$357:$R$360,3,0))/VLOOKUP($B127,$P$357:$R$360,3,0)))*((IF(S134=0,1,IF(AND($B132=S133,S134&lt;ROUNDDOWN(VLOOKUP($B127,$P$357:$R$360,3,0)/$H$360,0)),ROUNDDOWN(S134*$H$360,0),IF(AND($B132&lt;S133,S134&lt;ROUNDDOWN(VLOOKUP($B127,$P$357:$R$360,3,0)/$H$360,0)),ROUND(AVERAGE(ROUNDDOWN(S134*$H$360,0),2*VLOOKUP($B127,$P$357:$R$360,3,0)),0),VLOOKUP($B127,$P$357:$R$360,3,0))))*IF($B132=S133,$B128,SUM(P136:P136)))-((S135*(IF(S134=0,1,IF(AND($B132=S133,S134&lt;ROUNDDOWN(VLOOKUP($B127,$P$357:$R$360,3,0)/$H$360,0)),ROUNDDOWN(S134*$H$360,0),IF(AND($B132&lt;S133,S134&lt;ROUNDDOWN(VLOOKUP($B127,$P$357:$R$360,3,0)/$H$360,0)),ROUND(AVERAGE(ROUNDDOWN(S134*$H$360,0),2*VLOOKUP($B127,$P$357:$R$360,3,0)),0),VLOOKUP($B127,$P$357:$R$360,3,0))))-1))/2)))</f>
        <v>0</v>
      </c>
      <c r="T138" s="2901"/>
      <c r="U138" s="2901"/>
      <c r="V138" s="2894">
        <f ca="1">IF(OR($B132&gt;V133,V137="",V137=0),0,IF(AND(V134=0,OR(V133&gt;$B132,$I$360=1)),V137,IF(V134=0,NOMINAL(V137,12)*IF($B132=V133,$I$360,1),IF(AND($B132=V133,ROUNDDOWN($C$360,0)=V133),$E$360,1)*NOMINAL(V137,VLOOKUP($B127,$P$357:$R$360,3,0))/VLOOKUP($B127,$P$357:$R$360,3,0)))*((IF(V134=0,1,IF(AND($B132=V133,V134&lt;ROUNDDOWN(VLOOKUP($B127,$P$357:$R$360,3,0)/$H$360,0)),ROUNDDOWN(V134*$H$360,0),IF(AND($B132&lt;V133,V134&lt;ROUNDDOWN(VLOOKUP($B127,$P$357:$R$360,3,0)/$H$360,0)),ROUND(AVERAGE(ROUNDDOWN(V134*$H$360,0),2*VLOOKUP($B127,$P$357:$R$360,3,0)),0),VLOOKUP($B127,$P$357:$R$360,3,0))))*IF($B132=V133,$B128,SUM(S136:S136)))-((V135*(IF(V134=0,1,IF(AND($B132=V133,V134&lt;ROUNDDOWN(VLOOKUP($B127,$P$357:$R$360,3,0)/$H$360,0)),ROUNDDOWN(V134*$H$360,0),IF(AND($B132&lt;V133,V134&lt;ROUNDDOWN(VLOOKUP($B127,$P$357:$R$360,3,0)/$H$360,0)),ROUND(AVERAGE(ROUNDDOWN(V134*$H$360,0),2*VLOOKUP($B127,$P$357:$R$360,3,0)),0),VLOOKUP($B127,$P$357:$R$360,3,0))))-1))/2)))</f>
        <v>0</v>
      </c>
      <c r="W138" s="2901"/>
      <c r="X138" s="2901"/>
      <c r="Y138" s="2894">
        <f ca="1">IF(OR($B132&gt;Y133,Y137="",Y137=0),0,IF(AND(Y134=0,OR(Y133&gt;$B132,$I$360=1)),Y137,IF(Y134=0,NOMINAL(Y137,12)*IF($B132=Y133,$I$360,1),IF(AND($B132=Y133,ROUNDDOWN($C$360,0)=Y133),$E$360,1)*NOMINAL(Y137,VLOOKUP($B127,$P$357:$R$360,3,0))/VLOOKUP($B127,$P$357:$R$360,3,0)))*((IF(Y134=0,1,IF(AND($B132=Y133,Y134&lt;ROUNDDOWN(VLOOKUP($B127,$P$357:$R$360,3,0)/$H$360,0)),ROUNDDOWN(Y134*$H$360,0),IF(AND($B132&lt;Y133,Y134&lt;ROUNDDOWN(VLOOKUP($B127,$P$357:$R$360,3,0)/$H$360,0)),ROUND(AVERAGE(ROUNDDOWN(Y134*$H$360,0),2*VLOOKUP($B127,$P$357:$R$360,3,0)),0),VLOOKUP($B127,$P$357:$R$360,3,0))))*IF($B132=Y133,$B128,SUM(V136:V136)))-((Y135*(IF(Y134=0,1,IF(AND($B132=Y133,Y134&lt;ROUNDDOWN(VLOOKUP($B127,$P$357:$R$360,3,0)/$H$360,0)),ROUNDDOWN(Y134*$H$360,0),IF(AND($B132&lt;Y133,Y134&lt;ROUNDDOWN(VLOOKUP($B127,$P$357:$R$360,3,0)/$H$360,0)),ROUND(AVERAGE(ROUNDDOWN(Y134*$H$360,0),2*VLOOKUP($B127,$P$357:$R$360,3,0)),0),VLOOKUP($B127,$P$357:$R$360,3,0))))-1))/2)))</f>
        <v>0</v>
      </c>
      <c r="Z138" s="2901"/>
      <c r="AA138" s="2901"/>
      <c r="AB138" s="2894">
        <f ca="1">IF(OR($B132&gt;AB133,AB137="",AB137=0),0,IF(AND(AB134=0,OR(AB133&gt;$B132,$I$360=1)),AB137,IF(AB134=0,NOMINAL(AB137,12)*IF($B132=AB133,$I$360,1),IF(AND($B132=AB133,ROUNDDOWN($C$360,0)=AB133),$E$360,1)*NOMINAL(AB137,VLOOKUP($B127,$P$357:$R$360,3,0))/VLOOKUP($B127,$P$357:$R$360,3,0)))*((IF(AB134=0,1,IF(AND($B132=AB133,AB134&lt;ROUNDDOWN(VLOOKUP($B127,$P$357:$R$360,3,0)/$H$360,0)),ROUNDDOWN(AB134*$H$360,0),IF(AND($B132&lt;AB133,AB134&lt;ROUNDDOWN(VLOOKUP($B127,$P$357:$R$360,3,0)/$H$360,0)),ROUND(AVERAGE(ROUNDDOWN(AB134*$H$360,0),2*VLOOKUP($B127,$P$357:$R$360,3,0)),0),VLOOKUP($B127,$P$357:$R$360,3,0))))*IF($B132=AB133,$B128,SUM(Y136:Y136)))-((AB135*(IF(AB134=0,1,IF(AND($B132=AB133,AB134&lt;ROUNDDOWN(VLOOKUP($B127,$P$357:$R$360,3,0)/$H$360,0)),ROUNDDOWN(AB134*$H$360,0),IF(AND($B132&lt;AB133,AB134&lt;ROUNDDOWN(VLOOKUP($B127,$P$357:$R$360,3,0)/$H$360,0)),ROUND(AVERAGE(ROUNDDOWN(AB134*$H$360,0),2*VLOOKUP($B127,$P$357:$R$360,3,0)),0),VLOOKUP($B127,$P$357:$R$360,3,0))))-1))/2)))</f>
        <v>0</v>
      </c>
      <c r="AC138" s="2901"/>
      <c r="AD138" s="2901"/>
      <c r="AE138" s="2894">
        <f ca="1">IF(OR($B132&gt;AE133,AE137="",AE137=0),0,IF(AND(AE134=0,OR(AE133&gt;$B132,$I$360=1)),AE137,IF(AE134=0,NOMINAL(AE137,12)*IF($B132=AE133,$I$360,1),IF(AND($B132=AE133,ROUNDDOWN($C$360,0)=AE133),$E$360,1)*NOMINAL(AE137,VLOOKUP($B127,$P$357:$R$360,3,0))/VLOOKUP($B127,$P$357:$R$360,3,0)))*((IF(AE134=0,1,IF(AND($B132=AE133,AE134&lt;ROUNDDOWN(VLOOKUP($B127,$P$357:$R$360,3,0)/$H$360,0)),ROUNDDOWN(AE134*$H$360,0),IF(AND($B132&lt;AE133,AE134&lt;ROUNDDOWN(VLOOKUP($B127,$P$357:$R$360,3,0)/$H$360,0)),ROUND(AVERAGE(ROUNDDOWN(AE134*$H$360,0),2*VLOOKUP($B127,$P$357:$R$360,3,0)),0),VLOOKUP($B127,$P$357:$R$360,3,0))))*IF($B132=AE133,$B128,SUM(AB136:AB136)))-((AE135*(IF(AE134=0,1,IF(AND($B132=AE133,AE134&lt;ROUNDDOWN(VLOOKUP($B127,$P$357:$R$360,3,0)/$H$360,0)),ROUNDDOWN(AE134*$H$360,0),IF(AND($B132&lt;AE133,AE134&lt;ROUNDDOWN(VLOOKUP($B127,$P$357:$R$360,3,0)/$H$360,0)),ROUND(AVERAGE(ROUNDDOWN(AE134*$H$360,0),2*VLOOKUP($B127,$P$357:$R$360,3,0)),0),VLOOKUP($B127,$P$357:$R$360,3,0))))-1))/2)))</f>
        <v>0</v>
      </c>
      <c r="AF138" s="2900"/>
      <c r="AG138" s="2901"/>
      <c r="AH138" s="2894">
        <f ca="1">IF(OR($B132&gt;AH133,AH137="",AH137=0),0,IF(AND(AH134=0,OR(AH133&gt;$B132,$I$360=1)),AH137,IF(AH134=0,NOMINAL(AH137,12)*IF($B132=AH133,$I$360,1),IF(AND($B132=AH133,ROUNDDOWN($C$360,0)=AH133),$E$360,1)*NOMINAL(AH137,VLOOKUP($B127,$P$357:$R$360,3,0))/VLOOKUP($B127,$P$357:$R$360,3,0)))*((IF(AH134=0,1,IF(AND($B132=AH133,AH134&lt;ROUNDDOWN(VLOOKUP($B127,$P$357:$R$360,3,0)/$H$360,0)),ROUNDDOWN(AH134*$H$360,0),IF(AND($B132&lt;AH133,AH134&lt;ROUNDDOWN(VLOOKUP($B127,$P$357:$R$360,3,0)/$H$360,0)),ROUND(AVERAGE(ROUNDDOWN(AH134*$H$360,0),2*VLOOKUP($B127,$P$357:$R$360,3,0)),0),VLOOKUP($B127,$P$357:$R$360,3,0))))*IF($B132=AH133,$B128,SUM(AE136:AE136)))-((AH135*(IF(AH134=0,1,IF(AND($B132=AH133,AH134&lt;ROUNDDOWN(VLOOKUP($B127,$P$357:$R$360,3,0)/$H$360,0)),ROUNDDOWN(AH134*$H$360,0),IF(AND($B132&lt;AH133,AH134&lt;ROUNDDOWN(VLOOKUP($B127,$P$357:$R$360,3,0)/$H$360,0)),ROUND(AVERAGE(ROUNDDOWN(AH134*$H$360,0),2*VLOOKUP($B127,$P$357:$R$360,3,0)),0),VLOOKUP($B127,$P$357:$R$360,3,0))))-1))/2)))</f>
        <v>0</v>
      </c>
      <c r="AI138" s="2901"/>
      <c r="AJ138" s="2901"/>
      <c r="AK138" s="2894">
        <f ca="1">IF(OR($B132&gt;AK133,AK137="",AK137=0),0,IF(AND(AK134=0,OR(AK133&gt;$B132,$I$360=1)),AK137,IF(AK134=0,NOMINAL(AK137,12)*IF($B132=AK133,$I$360,1),IF(AND($B132=AK133,ROUNDDOWN($C$360,0)=AK133),$E$360,1)*NOMINAL(AK137,VLOOKUP($B127,$P$357:$R$360,3,0))/VLOOKUP($B127,$P$357:$R$360,3,0)))*((IF(AK134=0,1,IF(AND($B132=AK133,AK134&lt;ROUNDDOWN(VLOOKUP($B127,$P$357:$R$360,3,0)/$H$360,0)),ROUNDDOWN(AK134*$H$360,0),IF(AND($B132&lt;AK133,AK134&lt;ROUNDDOWN(VLOOKUP($B127,$P$357:$R$360,3,0)/$H$360,0)),ROUND(AVERAGE(ROUNDDOWN(AK134*$H$360,0),2*VLOOKUP($B127,$P$357:$R$360,3,0)),0),VLOOKUP($B127,$P$357:$R$360,3,0))))*IF($B132=AK133,$B128,SUM(AH136:AH136)))-((AK135*(IF(AK134=0,1,IF(AND($B132=AK133,AK134&lt;ROUNDDOWN(VLOOKUP($B127,$P$357:$R$360,3,0)/$H$360,0)),ROUNDDOWN(AK134*$H$360,0),IF(AND($B132&lt;AK133,AK134&lt;ROUNDDOWN(VLOOKUP($B127,$P$357:$R$360,3,0)/$H$360,0)),ROUND(AVERAGE(ROUNDDOWN(AK134*$H$360,0),2*VLOOKUP($B127,$P$357:$R$360,3,0)),0),VLOOKUP($B127,$P$357:$R$360,3,0))))-1))/2)))</f>
        <v>0</v>
      </c>
      <c r="AL138" s="2901"/>
      <c r="AM138" s="2901"/>
      <c r="AN138" s="2894">
        <f ca="1">IF(OR($B132&gt;AN133,AN137="",AN137=0),0,IF(AND(AN134=0,OR(AN133&gt;$B132,$I$360=1)),AN137,IF(AN134=0,NOMINAL(AN137,12)*IF($B132=AN133,$I$360,1),IF(AND($B132=AN133,ROUNDDOWN($C$360,0)=AN133),$E$360,1)*NOMINAL(AN137,VLOOKUP($B127,$P$357:$R$360,3,0))/VLOOKUP($B127,$P$357:$R$360,3,0)))*((IF(AN134=0,1,IF(AND($B132=AN133,AN134&lt;ROUNDDOWN(VLOOKUP($B127,$P$357:$R$360,3,0)/$H$360,0)),ROUNDDOWN(AN134*$H$360,0),IF(AND($B132&lt;AN133,AN134&lt;ROUNDDOWN(VLOOKUP($B127,$P$357:$R$360,3,0)/$H$360,0)),ROUND(AVERAGE(ROUNDDOWN(AN134*$H$360,0),2*VLOOKUP($B127,$P$357:$R$360,3,0)),0),VLOOKUP($B127,$P$357:$R$360,3,0))))*IF($B132=AN133,$B128,SUM(AK136:AK136)))-((AN135*(IF(AN134=0,1,IF(AND($B132=AN133,AN134&lt;ROUNDDOWN(VLOOKUP($B127,$P$357:$R$360,3,0)/$H$360,0)),ROUNDDOWN(AN134*$H$360,0),IF(AND($B132&lt;AN133,AN134&lt;ROUNDDOWN(VLOOKUP($B127,$P$357:$R$360,3,0)/$H$360,0)),ROUND(AVERAGE(ROUNDDOWN(AN134*$H$360,0),2*VLOOKUP($B127,$P$357:$R$360,3,0)),0),VLOOKUP($B127,$P$357:$R$360,3,0))))-1))/2)))</f>
        <v>0</v>
      </c>
      <c r="AO138" s="2901"/>
      <c r="AP138" s="2901"/>
      <c r="AQ138" s="2894">
        <f ca="1">IF(OR($B132&gt;AQ133,AQ137="",AQ137=0),0,IF(AND(AQ134=0,OR(AQ133&gt;$B132,$I$360=1)),AQ137,IF(AQ134=0,NOMINAL(AQ137,12)*IF($B132=AQ133,$I$360,1),IF(AND($B132=AQ133,ROUNDDOWN($C$360,0)=AQ133),$E$360,1)*NOMINAL(AQ137,VLOOKUP($B127,$P$357:$R$360,3,0))/VLOOKUP($B127,$P$357:$R$360,3,0)))*((IF(AQ134=0,1,IF(AND($B132=AQ133,AQ134&lt;ROUNDDOWN(VLOOKUP($B127,$P$357:$R$360,3,0)/$H$360,0)),ROUNDDOWN(AQ134*$H$360,0),IF(AND($B132&lt;AQ133,AQ134&lt;ROUNDDOWN(VLOOKUP($B127,$P$357:$R$360,3,0)/$H$360,0)),ROUND(AVERAGE(ROUNDDOWN(AQ134*$H$360,0),2*VLOOKUP($B127,$P$357:$R$360,3,0)),0),VLOOKUP($B127,$P$357:$R$360,3,0))))*IF($B132=AQ133,$B128,SUM(AN136:AN136)))-((AQ135*(IF(AQ134=0,1,IF(AND($B132=AQ133,AQ134&lt;ROUNDDOWN(VLOOKUP($B127,$P$357:$R$360,3,0)/$H$360,0)),ROUNDDOWN(AQ134*$H$360,0),IF(AND($B132&lt;AQ133,AQ134&lt;ROUNDDOWN(VLOOKUP($B127,$P$357:$R$360,3,0)/$H$360,0)),ROUND(AVERAGE(ROUNDDOWN(AQ134*$H$360,0),2*VLOOKUP($B127,$P$357:$R$360,3,0)),0),VLOOKUP($B127,$P$357:$R$360,3,0))))-1))/2)))</f>
        <v>0</v>
      </c>
      <c r="AR138" s="2901"/>
      <c r="AS138" s="2901"/>
      <c r="AT138" s="2894">
        <f ca="1">IF(OR($B132&gt;AT133,AT137="",AT137=0),0,IF(AND(AT134=0,OR(AT133&gt;$B132,$I$360=1)),AT137,IF(AT134=0,NOMINAL(AT137,12)*IF($B132=AT133,$I$360,1),IF(AND($B132=AT133,ROUNDDOWN($C$360,0)=AT133),$E$360,1)*NOMINAL(AT137,VLOOKUP($B127,$P$357:$R$360,3,0))/VLOOKUP($B127,$P$357:$R$360,3,0)))*((IF(AT134=0,1,IF(AND($B132=AT133,AT134&lt;ROUNDDOWN(VLOOKUP($B127,$P$357:$R$360,3,0)/$H$360,0)),ROUNDDOWN(AT134*$H$360,0),IF(AND($B132&lt;AT133,AT134&lt;ROUNDDOWN(VLOOKUP($B127,$P$357:$R$360,3,0)/$H$360,0)),ROUND(AVERAGE(ROUNDDOWN(AT134*$H$360,0),2*VLOOKUP($B127,$P$357:$R$360,3,0)),0),VLOOKUP($B127,$P$357:$R$360,3,0))))*IF($B132=AT133,$B128,SUM(AQ136:AQ136)))-((AT135*(IF(AT134=0,1,IF(AND($B132=AT133,AT134&lt;ROUNDDOWN(VLOOKUP($B127,$P$357:$R$360,3,0)/$H$360,0)),ROUNDDOWN(AT134*$H$360,0),IF(AND($B132&lt;AT133,AT134&lt;ROUNDDOWN(VLOOKUP($B127,$P$357:$R$360,3,0)/$H$360,0)),ROUND(AVERAGE(ROUNDDOWN(AT134*$H$360,0),2*VLOOKUP($B127,$P$357:$R$360,3,0)),0),VLOOKUP($B127,$P$357:$R$360,3,0))))-1))/2)))</f>
        <v>0</v>
      </c>
      <c r="AU138" s="2900"/>
      <c r="AV138" s="2902"/>
    </row>
    <row r="139" spans="1:48" x14ac:dyDescent="0.2"/>
    <row r="140" spans="1:48" x14ac:dyDescent="0.2">
      <c r="A140" s="2903" t="s">
        <v>2084</v>
      </c>
      <c r="B140" s="2904">
        <f>SUM(B83,B96,B109,B122,B135)</f>
        <v>0</v>
      </c>
      <c r="C140" s="2905"/>
      <c r="D140" s="2904">
        <f ca="1">SUM(D83,D96,D109,D122,D135)</f>
        <v>0</v>
      </c>
      <c r="E140" s="2905"/>
      <c r="F140" s="2905"/>
      <c r="G140" s="2904">
        <f ca="1">SUM(G83,G96,G109,G122,G135)</f>
        <v>0</v>
      </c>
      <c r="H140" s="2905"/>
      <c r="I140" s="2905"/>
      <c r="J140" s="2904">
        <f ca="1">SUM(J83,J96,J109,J122,J135)</f>
        <v>0</v>
      </c>
      <c r="K140" s="2905"/>
      <c r="L140" s="2905"/>
      <c r="M140" s="2904">
        <f ca="1">SUM(M83,M96,M109,M122,M135)</f>
        <v>0</v>
      </c>
      <c r="N140" s="2905"/>
      <c r="O140" s="2905"/>
      <c r="P140" s="2904">
        <f ca="1">SUM(P83,P96,P109,P122,P135)</f>
        <v>0</v>
      </c>
      <c r="Q140" s="2905"/>
      <c r="R140" s="2905"/>
      <c r="S140" s="2904">
        <f ca="1">SUM(S83,S96,S109,S122,S135)</f>
        <v>0</v>
      </c>
      <c r="T140" s="2905"/>
      <c r="U140" s="2905"/>
      <c r="V140" s="2904">
        <f ca="1">SUM(V83,V96,V109,V122,V135)</f>
        <v>0</v>
      </c>
      <c r="W140" s="2905"/>
      <c r="X140" s="2905"/>
      <c r="Y140" s="2904">
        <f ca="1">SUM(Y83,Y96,Y109,Y122,Y135)</f>
        <v>0</v>
      </c>
      <c r="Z140" s="2905"/>
      <c r="AA140" s="2905"/>
      <c r="AB140" s="2904">
        <f ca="1">SUM(AB83,AB96,AB109,AB122,AB135)</f>
        <v>0</v>
      </c>
      <c r="AC140" s="2905"/>
      <c r="AD140" s="2905"/>
      <c r="AE140" s="2904">
        <f ca="1">SUM(AE83,AE96,AE109,AE122,AE135)</f>
        <v>0</v>
      </c>
      <c r="AF140" s="2905"/>
      <c r="AG140" s="2905"/>
      <c r="AH140" s="2904">
        <f ca="1">SUM(AH83,AH96,AH109,AH122,AH135)</f>
        <v>0</v>
      </c>
      <c r="AI140" s="2905"/>
      <c r="AJ140" s="2905"/>
      <c r="AK140" s="2904">
        <f ca="1">SUM(AK83,AK96,AK109,AK122,AK135)</f>
        <v>0</v>
      </c>
      <c r="AL140" s="2905"/>
      <c r="AM140" s="2905"/>
      <c r="AN140" s="2904">
        <f ca="1">SUM(AN83,AN96,AN109,AN122,AN135)</f>
        <v>0</v>
      </c>
      <c r="AO140" s="2905"/>
      <c r="AP140" s="2905"/>
      <c r="AQ140" s="2904">
        <f ca="1">SUM(AQ83,AQ96,AQ109,AQ122,AQ135)</f>
        <v>0</v>
      </c>
      <c r="AR140" s="2905"/>
      <c r="AS140" s="2905"/>
      <c r="AT140" s="2904">
        <f ca="1">SUM(AT83,AT96,AT109,AT122,AT135)</f>
        <v>0</v>
      </c>
      <c r="AU140" s="2905"/>
      <c r="AV140" s="2906"/>
    </row>
    <row r="141" spans="1:48" x14ac:dyDescent="0.2">
      <c r="A141" s="2903" t="s">
        <v>2085</v>
      </c>
      <c r="B141" s="2904">
        <f ca="1">SUM(B84,B97,B110,B123,B136)</f>
        <v>0</v>
      </c>
      <c r="D141" s="2904">
        <f ca="1">SUM(D84,D97,D110,D123,D136)</f>
        <v>0</v>
      </c>
      <c r="G141" s="2904">
        <f ca="1">SUM(G84,G97,G110,G123,G136)</f>
        <v>0</v>
      </c>
      <c r="J141" s="2904">
        <f ca="1">SUM(J84,J97,J110,J123,J136)</f>
        <v>0</v>
      </c>
      <c r="M141" s="2904">
        <f ca="1">SUM(M84,M97,M110,M123,M136)</f>
        <v>0</v>
      </c>
      <c r="P141" s="2904">
        <f ca="1">SUM(P84,P97,P110,P123,P136)</f>
        <v>0</v>
      </c>
      <c r="S141" s="2904">
        <f ca="1">SUM(S84,S97,S110,S123,S136)</f>
        <v>0</v>
      </c>
      <c r="V141" s="2904">
        <f ca="1">SUM(V84,V97,V110,V123,V136)</f>
        <v>0</v>
      </c>
      <c r="Y141" s="2904">
        <f ca="1">SUM(Y84,Y97,Y110,Y123,Y136)</f>
        <v>0</v>
      </c>
      <c r="AB141" s="2904">
        <f ca="1">SUM(AB84,AB97,AB110,AB123,AB136)</f>
        <v>0</v>
      </c>
      <c r="AE141" s="2904">
        <f ca="1">SUM(AE84,AE97,AE110,AE123,AE136)</f>
        <v>0</v>
      </c>
      <c r="AH141" s="2904">
        <f ca="1">SUM(AH84,AH97,AH110,AH123,AH136)</f>
        <v>0</v>
      </c>
      <c r="AK141" s="2904">
        <f ca="1">SUM(AK84,AK97,AK110,AK123,AK136)</f>
        <v>0</v>
      </c>
      <c r="AN141" s="2904">
        <f ca="1">SUM(AN84,AN97,AN110,AN123,AN136)</f>
        <v>0</v>
      </c>
      <c r="AQ141" s="2904">
        <f ca="1">SUM(AQ84,AQ97,AQ110,AQ123,AQ136)</f>
        <v>0</v>
      </c>
      <c r="AT141" s="2904">
        <f ca="1">SUM(AT84,AT97,AT110,AT123,AT136)</f>
        <v>0</v>
      </c>
      <c r="AV141" s="2883"/>
    </row>
    <row r="142" spans="1:48" ht="13.5" thickBot="1" x14ac:dyDescent="0.25">
      <c r="A142" s="2907" t="s">
        <v>2086</v>
      </c>
      <c r="B142" s="2908">
        <f ca="1">SUM(B86,B99,B112,B125,B138)</f>
        <v>0</v>
      </c>
      <c r="C142" s="2909"/>
      <c r="D142" s="2908">
        <f ca="1">SUM(D86,D99,D112,D125,D138)</f>
        <v>0</v>
      </c>
      <c r="E142" s="2909"/>
      <c r="F142" s="2909"/>
      <c r="G142" s="2908">
        <f ca="1">SUM(G86,G99,G112,G125,G138)</f>
        <v>0</v>
      </c>
      <c r="H142" s="2909"/>
      <c r="I142" s="2909"/>
      <c r="J142" s="2908">
        <f ca="1">SUM(J86,J99,J112,J125,J138)</f>
        <v>0</v>
      </c>
      <c r="K142" s="2909"/>
      <c r="L142" s="2909"/>
      <c r="M142" s="2908">
        <f ca="1">SUM(M86,M99,M112,M125,M138)</f>
        <v>0</v>
      </c>
      <c r="N142" s="2909"/>
      <c r="O142" s="2909"/>
      <c r="P142" s="2908">
        <f ca="1">SUM(P86,P99,P112,P125,P138)</f>
        <v>0</v>
      </c>
      <c r="Q142" s="2909"/>
      <c r="R142" s="2909"/>
      <c r="S142" s="2908">
        <f ca="1">SUM(S86,S99,S112,S125,S138)</f>
        <v>0</v>
      </c>
      <c r="T142" s="2909"/>
      <c r="U142" s="2909"/>
      <c r="V142" s="2908">
        <f ca="1">SUM(V86,V99,V112,V125,V138)</f>
        <v>0</v>
      </c>
      <c r="W142" s="2909"/>
      <c r="X142" s="2909"/>
      <c r="Y142" s="2908">
        <f ca="1">SUM(Y86,Y99,Y112,Y125,Y138)</f>
        <v>0</v>
      </c>
      <c r="Z142" s="2909"/>
      <c r="AA142" s="2909"/>
      <c r="AB142" s="2908">
        <f ca="1">SUM(AB86,AB99,AB112,AB125,AB138)</f>
        <v>0</v>
      </c>
      <c r="AC142" s="2909"/>
      <c r="AD142" s="2909"/>
      <c r="AE142" s="2908">
        <f ca="1">SUM(AE86,AE99,AE112,AE125,AE138)</f>
        <v>0</v>
      </c>
      <c r="AF142" s="2909"/>
      <c r="AG142" s="2909"/>
      <c r="AH142" s="2908">
        <f ca="1">SUM(AH86,AH99,AH112,AH125,AH138)</f>
        <v>0</v>
      </c>
      <c r="AI142" s="2909"/>
      <c r="AJ142" s="2909"/>
      <c r="AK142" s="2908">
        <f ca="1">SUM(AK86,AK99,AK112,AK125,AK138)</f>
        <v>0</v>
      </c>
      <c r="AL142" s="2909"/>
      <c r="AM142" s="2909"/>
      <c r="AN142" s="2908">
        <f ca="1">SUM(AN86,AN99,AN112,AN125,AN138)</f>
        <v>0</v>
      </c>
      <c r="AO142" s="2909"/>
      <c r="AP142" s="2909"/>
      <c r="AQ142" s="2908">
        <f ca="1">SUM(AQ86,AQ99,AQ112,AQ125,AQ138)</f>
        <v>0</v>
      </c>
      <c r="AR142" s="2909"/>
      <c r="AS142" s="2909"/>
      <c r="AT142" s="2908">
        <f ca="1">SUM(AT86,AT99,AT112,AT125,AT138)</f>
        <v>0</v>
      </c>
      <c r="AU142" s="2909"/>
      <c r="AV142" s="2910"/>
    </row>
    <row r="143" spans="1:48" x14ac:dyDescent="0.2"/>
    <row r="144" spans="1:48" x14ac:dyDescent="0.2"/>
    <row r="145" spans="1:48" ht="13.5" thickBot="1" x14ac:dyDescent="0.25"/>
    <row r="146" spans="1:48" ht="13.5" thickBot="1" x14ac:dyDescent="0.25">
      <c r="A146" s="2911" t="s">
        <v>2087</v>
      </c>
      <c r="B146" s="2912"/>
      <c r="C146" s="2912"/>
      <c r="D146" s="2912"/>
      <c r="E146" s="2913"/>
    </row>
    <row r="147" spans="1:48" x14ac:dyDescent="0.2">
      <c r="A147" s="2914" t="str">
        <f>IF(AND(A153=0,A153=""),"","1er. DESEMBOLSO - ")&amp;"AMORTIZACIÓN DE CAPITAL"</f>
        <v>AMORTIZACIÓN DE CAPITAL</v>
      </c>
      <c r="B147" s="2915"/>
      <c r="C147" s="2912"/>
      <c r="D147" s="2912"/>
      <c r="E147" s="2912"/>
      <c r="F147" s="2912"/>
      <c r="G147" s="2912"/>
      <c r="H147" s="2912"/>
      <c r="I147" s="2912"/>
      <c r="J147" s="2912"/>
      <c r="K147" s="2912"/>
      <c r="L147" s="2912"/>
      <c r="M147" s="2912"/>
      <c r="N147" s="2912"/>
      <c r="O147" s="2912"/>
      <c r="P147" s="2912"/>
      <c r="Q147" s="2912"/>
      <c r="R147" s="2912"/>
      <c r="S147" s="2912"/>
      <c r="T147" s="2912"/>
      <c r="U147" s="2912"/>
      <c r="V147" s="2912"/>
      <c r="W147" s="2912"/>
      <c r="X147" s="2912"/>
      <c r="Y147" s="2912"/>
      <c r="Z147" s="2912"/>
      <c r="AA147" s="2912"/>
      <c r="AB147" s="2912"/>
      <c r="AC147" s="2912"/>
      <c r="AD147" s="2912"/>
      <c r="AE147" s="2912"/>
      <c r="AF147" s="2912"/>
      <c r="AG147" s="2912"/>
      <c r="AH147" s="2912"/>
      <c r="AI147" s="2912"/>
      <c r="AJ147" s="2912"/>
      <c r="AK147" s="2912"/>
      <c r="AL147" s="2912"/>
      <c r="AM147" s="2912"/>
      <c r="AN147" s="2912"/>
      <c r="AO147" s="2912"/>
      <c r="AP147" s="2912"/>
      <c r="AQ147" s="2912"/>
      <c r="AR147" s="2912"/>
      <c r="AS147" s="2912"/>
      <c r="AT147" s="2912"/>
      <c r="AU147" s="2912"/>
      <c r="AV147" s="2913"/>
    </row>
    <row r="148" spans="1:48" x14ac:dyDescent="0.2">
      <c r="A148" s="2916" t="str">
        <f>IF(AND(A153=0,A153=""),"","1er. DESEMBOLSO - ")&amp;"MONTO DEL CRÉDITO"</f>
        <v>MONTO DEL CRÉDITO</v>
      </c>
      <c r="B148" s="2917"/>
      <c r="AV148" s="2918"/>
    </row>
    <row r="149" spans="1:48" x14ac:dyDescent="0.2">
      <c r="A149" s="2916" t="str">
        <f>IF(AND(A153=0,A153=""),"","1er. DESEMBOLSO - ")&amp;"PLAZO (AÑOS) CON PERÍODO DE GRACIA"</f>
        <v>PLAZO (AÑOS) CON PERÍODO DE GRACIA</v>
      </c>
      <c r="B149" s="2917"/>
      <c r="AV149" s="2918"/>
    </row>
    <row r="150" spans="1:48" x14ac:dyDescent="0.2">
      <c r="A150" s="2916" t="str">
        <f>IF(AND(A153=0,A153=""),"","1er. DESEMBOLSO - ")&amp;"PERÍODO DE GRACIA (MESES)"</f>
        <v>PERÍODO DE GRACIA (MESES)</v>
      </c>
      <c r="B150" s="2917"/>
      <c r="AV150" s="2918"/>
    </row>
    <row r="151" spans="1:48" x14ac:dyDescent="0.2">
      <c r="A151" s="2916" t="str">
        <f>IF(AND(A153=0,A153=""),"","1er. DESEMBOLSO - ")&amp;"MES DE DESEMBOLSO"</f>
        <v>MES DE DESEMBOLSO</v>
      </c>
      <c r="B151" s="2917"/>
      <c r="AV151" s="2918"/>
    </row>
    <row r="152" spans="1:48" x14ac:dyDescent="0.2">
      <c r="A152" s="2919" t="str">
        <f>IF(AND(A153=0,A153=""),"","1er. DESEMBOLSO - ")&amp;"AÑO DE DESEMBOLSO"</f>
        <v>AÑO DE DESEMBOLSO</v>
      </c>
      <c r="B152" s="2920"/>
      <c r="AV152" s="2918"/>
    </row>
    <row r="153" spans="1:48" x14ac:dyDescent="0.2">
      <c r="A153" s="2921"/>
      <c r="B153" s="2922">
        <f ca="1">B$11</f>
        <v>2023</v>
      </c>
      <c r="D153" s="2922">
        <f ca="1">D$11</f>
        <v>2024</v>
      </c>
      <c r="G153" s="2922">
        <f ca="1">G$11</f>
        <v>2025</v>
      </c>
      <c r="J153" s="2922">
        <f ca="1">J$11</f>
        <v>2026</v>
      </c>
      <c r="M153" s="2922">
        <f ca="1">M$11</f>
        <v>2027</v>
      </c>
      <c r="P153" s="2922">
        <f ca="1">P$11</f>
        <v>2028</v>
      </c>
      <c r="S153" s="2922">
        <f ca="1">S$11</f>
        <v>2029</v>
      </c>
      <c r="V153" s="2922">
        <f ca="1">V$11</f>
        <v>2030</v>
      </c>
      <c r="Y153" s="2922">
        <f ca="1">Y$11</f>
        <v>2031</v>
      </c>
      <c r="AB153" s="2922">
        <f ca="1">AB$11</f>
        <v>2032</v>
      </c>
      <c r="AE153" s="2922">
        <f ca="1">AE$11</f>
        <v>2033</v>
      </c>
      <c r="AH153" s="2922">
        <f ca="1">AH$11</f>
        <v>2034</v>
      </c>
      <c r="AK153" s="2922">
        <f ca="1">AK$11</f>
        <v>2035</v>
      </c>
      <c r="AN153" s="2922">
        <f ca="1">AN$11</f>
        <v>2036</v>
      </c>
      <c r="AQ153" s="2922">
        <f ca="1">AQ$11</f>
        <v>2037</v>
      </c>
      <c r="AT153" s="2922">
        <f ca="1">AT$11</f>
        <v>2038</v>
      </c>
      <c r="AV153" s="2918"/>
    </row>
    <row r="154" spans="1:48" x14ac:dyDescent="0.2">
      <c r="A154" s="2923" t="str">
        <f>IF(AND(A153=0,A153=""),"","1er. DESEMBOLSO - ")&amp;"% AMORTIZACIÓN ANUAL"</f>
        <v>% AMORTIZACIÓN ANUAL</v>
      </c>
      <c r="B154" s="2924">
        <f>IF(OR($B149=0,$B149="",$B147=""),0,IF(AND(B153-$B152&gt;=0,B153&lt;=$B152+$B149,ROUNDDOWN(B153,0)=ROUNDDOWN($C$366,0)),IF(ROUNDDOWN(B153,0)=ROUNDDOWN($C$366,0),ROUND($E$366*VLOOKUP($B147,$P$357:$R$360,3,0)/$H$366,2),ROUND(VLOOKUP($B147,$P$357:$R$360,3,0)/$H$366,2)),0))</f>
        <v>0</v>
      </c>
      <c r="D154" s="2924">
        <f>IF(OR($B149=0,$B149="",$B147=""),0,IF(AND(ROUNDDOWN(D153,0)&gt;=ROUNDDOWN($C$366,0),1-$B154&lt;VLOOKUP($B147,$P$357:$R$360,3,0)/$H$366),1-$B154,IF(ROUNDDOWN(D153,0)&gt;=ROUNDDOWN($C$366,0),IF(ROUNDDOWN(D153,0)=ROUNDDOWN($C$366,0),ROUND($E$366*VLOOKUP($B147,$P$357:$R$360,3,0)/$H$366,2),ROUND(VLOOKUP($B147,$P$357:$R$360,3,0)/$H$366,2)),0)))</f>
        <v>0</v>
      </c>
      <c r="G154" s="2924">
        <f>IF(OR($B149=0,$B149="",$B147=""),0,IF(AND(ROUNDDOWN(G153,0)&gt;=ROUNDDOWN($C$366,0),1-SUM($B154:D154)&lt;VLOOKUP($B147,$P$357:$R$360,3,0)/$H$366),1-SUM($B154:D154),IF(ROUNDDOWN(G153,0)&gt;=ROUNDDOWN($C$366,0),IF(ROUNDDOWN(G153,0)=ROUNDDOWN($C$366,0),ROUND($E$366*VLOOKUP($B147,$P$357:$R$360,3,0)/$H$366,2),ROUND(VLOOKUP($B147,$P$357:$R$360,3,0)/$H$366,2)),0)))</f>
        <v>0</v>
      </c>
      <c r="J154" s="2924">
        <f>IF(OR($B149=0,$B149="",$B147=""),0,IF(AND(ROUNDDOWN(J153,0)&gt;=ROUNDDOWN($C$366,0),1-SUM($B154:G154)&lt;VLOOKUP($B147,$P$357:$R$360,3,0)/$H$366),1-SUM($B154:G154),IF(ROUNDDOWN(J153,0)&gt;=ROUNDDOWN($C$366,0),IF(ROUNDDOWN(J153,0)=ROUNDDOWN($C$366,0),ROUND($E$366*VLOOKUP($B147,$P$357:$R$360,3,0)/$H$366,2),ROUND(VLOOKUP($B147,$P$357:$R$360,3,0)/$H$366,2)),0)))</f>
        <v>0</v>
      </c>
      <c r="M154" s="2924">
        <f>IF(OR($B149=0,$B149="",$B147=""),0,IF(AND(ROUNDDOWN(M153,0)&gt;=ROUNDDOWN($C$366,0),1-SUM($B154:J154)&lt;VLOOKUP($B147,$P$357:$R$360,3,0)/$H$366),1-SUM($B154:J154),IF(ROUNDDOWN(M153,0)&gt;=ROUNDDOWN($C$366,0),IF(ROUNDDOWN(M153,0)=ROUNDDOWN($C$366,0),ROUND($E$366*VLOOKUP($B147,$P$357:$R$360,3,0)/$H$366,2),ROUND(VLOOKUP($B147,$P$357:$R$360,3,0)/$H$366,2)),0)))</f>
        <v>0</v>
      </c>
      <c r="P154" s="2924">
        <f>IF(OR($B149=0,$B149="",$B147=""),0,IF(AND(ROUNDDOWN(P153,0)&gt;=ROUNDDOWN($C$366,0),1-SUM($B154:M154)&lt;VLOOKUP($B147,$P$357:$R$360,3,0)/$H$366),1-SUM($B154:M154),IF(ROUNDDOWN(P153,0)&gt;=ROUNDDOWN($C$366,0),IF(ROUNDDOWN(P153,0)=ROUNDDOWN($C$366,0),ROUND($E$366*VLOOKUP($B147,$P$357:$R$360,3,0)/$H$366,2),ROUND(VLOOKUP($B147,$P$357:$R$360,3,0)/$H$366,2)),0)))</f>
        <v>0</v>
      </c>
      <c r="S154" s="2924">
        <f>IF(OR($B149=0,$B149="",$B147=""),0,IF(AND(ROUNDDOWN(S153,0)&gt;=ROUNDDOWN($C$366,0),1-SUM($B154:P154)&lt;VLOOKUP($B147,$P$357:$R$360,3,0)/$H$366),1-SUM($B154:P154),IF(ROUNDDOWN(S153,0)&gt;=ROUNDDOWN($C$366,0),IF(ROUNDDOWN(S153,0)=ROUNDDOWN($C$366,0),ROUND($E$366*VLOOKUP($B147,$P$357:$R$360,3,0)/$H$366,2),ROUND(VLOOKUP($B147,$P$357:$R$360,3,0)/$H$366,2)),0)))</f>
        <v>0</v>
      </c>
      <c r="V154" s="2924">
        <f>IF(OR($B149=0,$B149="",$B147=""),0,IF(AND(ROUNDDOWN(V153,0)&gt;=ROUNDDOWN($C$366,0),1-SUM($B154:S154)&lt;VLOOKUP($B147,$P$357:$R$360,3,0)/$H$366),1-SUM($B154:S154),IF(ROUNDDOWN(V153,0)&gt;=ROUNDDOWN($C$366,0),IF(ROUNDDOWN(V153,0)=ROUNDDOWN($C$366,0),ROUND($E$366*VLOOKUP($B147,$P$357:$R$360,3,0)/$H$366,2),ROUND(VLOOKUP($B147,$P$357:$R$360,3,0)/$H$366,2)),0)))</f>
        <v>0</v>
      </c>
      <c r="Y154" s="2924">
        <f>IF(OR($B149=0,$B149="",$B147=""),0,IF(AND(ROUNDDOWN(Y153,0)&gt;=ROUNDDOWN($C$366,0),1-SUM($B154:V154)&lt;VLOOKUP($B147,$P$357:$R$360,3,0)/$H$366),1-SUM($B154:V154),IF(ROUNDDOWN(Y153,0)&gt;=ROUNDDOWN($C$366,0),IF(ROUNDDOWN(Y153,0)=ROUNDDOWN($C$366,0),ROUND($E$366*VLOOKUP($B147,$P$357:$R$360,3,0)/$H$366,2),ROUND(VLOOKUP($B147,$P$357:$R$360,3,0)/$H$366,2)),0)))</f>
        <v>0</v>
      </c>
      <c r="AB154" s="2924">
        <f>IF(OR($B149=0,$B149="",$B147=""),0,IF(AND(ROUNDDOWN(AB153,0)&gt;=ROUNDDOWN($C$366,0),1-SUM($B154:Y154)&lt;VLOOKUP($B147,$P$357:$R$360,3,0)/$H$366),1-SUM($B154:Y154),IF(ROUNDDOWN(AB153,0)&gt;=ROUNDDOWN($C$366,0),IF(ROUNDDOWN(AB153,0)=ROUNDDOWN($C$366,0),ROUND($E$366*VLOOKUP($B147,$P$357:$R$360,3,0)/$H$366,2),ROUND(VLOOKUP($B147,$P$357:$R$360,3,0)/$H$366,2)),0)))</f>
        <v>0</v>
      </c>
      <c r="AE154" s="2924">
        <f>IF(OR($B149=0,$B149="",$B147=""),0,IF(AND(ROUNDDOWN(AE153,0)&gt;=ROUNDDOWN($C$366,0),1-SUM($B154:AB154)&lt;VLOOKUP($B147,$P$357:$R$360,3,0)/$H$366),1-SUM($B154:AB154),IF(ROUNDDOWN(AE153,0)&gt;=ROUNDDOWN($C$366,0),IF(ROUNDDOWN(AE153,0)=ROUNDDOWN($C$366,0),ROUND($E$366*VLOOKUP($B147,$P$357:$R$360,3,0)/$H$366,2),ROUND(VLOOKUP($B147,$P$357:$R$360,3,0)/$H$366,2)),0)))</f>
        <v>0</v>
      </c>
      <c r="AH154" s="2924">
        <f>IF(OR($B149=0,$B149="",$B147=""),0,IF(AND(ROUNDDOWN(AH153,0)&gt;=ROUNDDOWN($C$366,0),1-SUM($B154:AE154)&lt;VLOOKUP($B147,$P$357:$R$360,3,0)/$H$366),1-SUM($B154:AE154),IF(ROUNDDOWN(AH153,0)&gt;=ROUNDDOWN($C$366,0),IF(ROUNDDOWN(AH153,0)=ROUNDDOWN($C$366,0),ROUND($E$366*VLOOKUP($B147,$P$357:$R$360,3,0)/$H$366,2),ROUND(VLOOKUP($B147,$P$357:$R$360,3,0)/$H$366,2)),0)))</f>
        <v>0</v>
      </c>
      <c r="AK154" s="2924">
        <f>IF(OR($B149=0,$B149="",$B147=""),0,IF(AND(ROUNDDOWN(AK153,0)&gt;=ROUNDDOWN($C$366,0),1-SUM($B154:AH154)&lt;VLOOKUP($B147,$P$357:$R$360,3,0)/$H$366),1-SUM($B154:AH154),IF(ROUNDDOWN(AK153,0)&gt;=ROUNDDOWN($C$366,0),IF(ROUNDDOWN(AK153,0)=ROUNDDOWN($C$366,0),ROUND($E$366*VLOOKUP($B147,$P$357:$R$360,3,0)/$H$366,2),ROUND(VLOOKUP($B147,$P$357:$R$360,3,0)/$H$366,2)),0)))</f>
        <v>0</v>
      </c>
      <c r="AN154" s="2924">
        <f>IF(OR($B149=0,$B149="",$B147=""),0,IF(AND(ROUNDDOWN(AN153,0)&gt;=ROUNDDOWN($C$366,0),1-SUM($B154:AK154)&lt;VLOOKUP($B147,$P$357:$R$360,3,0)/$H$366),1-SUM($B154:AK154),IF(ROUNDDOWN(AN153,0)&gt;=ROUNDDOWN($C$366,0),IF(ROUNDDOWN(AN153,0)=ROUNDDOWN($C$366,0),ROUND($E$366*VLOOKUP($B147,$P$357:$R$360,3,0)/$H$366,2),ROUND(VLOOKUP($B147,$P$357:$R$360,3,0)/$H$366,2)),0)))</f>
        <v>0</v>
      </c>
      <c r="AQ154" s="2924">
        <f>IF(OR($B149=0,$B149="",$B147=""),0,IF(AND(ROUNDDOWN(AQ153,0)&gt;=ROUNDDOWN($C$366,0),1-SUM($B154:AN154)&lt;VLOOKUP($B147,$P$357:$R$360,3,0)/$H$366),1-SUM($B154:AN154),IF(ROUNDDOWN(AQ153,0)&gt;=ROUNDDOWN($C$366,0),IF(ROUNDDOWN(AQ153,0)=ROUNDDOWN($C$366,0),ROUND($E$366*VLOOKUP($B147,$P$357:$R$360,3,0)/$H$366,2),ROUND(VLOOKUP($B147,$P$357:$R$360,3,0)/$H$366,2)),0)))</f>
        <v>0</v>
      </c>
      <c r="AT154" s="2924">
        <f>IF(OR($B149=0,$B149="",$B147=""),0,IF(AND(ROUNDDOWN(AT153,0)&gt;=ROUNDDOWN($C$366,0),1-SUM($B154:AQ154)&lt;VLOOKUP($B147,$P$357:$R$360,3,0)/$H$366),1-SUM($B154:AQ154),IF(ROUNDDOWN(AT153,0)&gt;=ROUNDDOWN($C$366,0),IF(ROUNDDOWN(AT153,0)=ROUNDDOWN($C$366,0),ROUND($E$366*VLOOKUP($B147,$P$357:$R$360,3,0)/$H$366,2),ROUND(VLOOKUP($B147,$P$357:$R$360,3,0)/$H$366,2)),0)))</f>
        <v>0</v>
      </c>
      <c r="AV154" s="2918"/>
    </row>
    <row r="155" spans="1:48" x14ac:dyDescent="0.2">
      <c r="A155" s="2925" t="str">
        <f>IF(AND(A153=0,A153=""),"","1er. DESEMBOLSO - ")&amp;"AMORTIZACIÓN"</f>
        <v>AMORTIZACIÓN</v>
      </c>
      <c r="B155" s="2926">
        <f>$B148*B154</f>
        <v>0</v>
      </c>
      <c r="D155" s="2926">
        <f ca="1">IF($B152&gt;D153,0,D154*$B148)</f>
        <v>0</v>
      </c>
      <c r="G155" s="2926">
        <f ca="1">IF($B152&gt;G153,0,G154*$B148)</f>
        <v>0</v>
      </c>
      <c r="J155" s="2926">
        <f ca="1">IF($B152&gt;J153,0,J154*$B148)</f>
        <v>0</v>
      </c>
      <c r="M155" s="2926">
        <f ca="1">IF($B152&gt;M153,0,M154*$B148)</f>
        <v>0</v>
      </c>
      <c r="P155" s="2926">
        <f ca="1">IF($B152&gt;P153,0,P154*$B148)</f>
        <v>0</v>
      </c>
      <c r="S155" s="2926">
        <f ca="1">IF($B152&gt;S153,0,S154*$B148)</f>
        <v>0</v>
      </c>
      <c r="V155" s="2926">
        <f ca="1">IF($B152&gt;V153,0,V154*$B148)</f>
        <v>0</v>
      </c>
      <c r="Y155" s="2926">
        <f ca="1">IF($B152&gt;Y153,0,Y154*$B148)</f>
        <v>0</v>
      </c>
      <c r="AB155" s="2926">
        <f ca="1">IF($B152&gt;AB153,0,AB154*$B148)</f>
        <v>0</v>
      </c>
      <c r="AE155" s="2926">
        <f ca="1">IF($B152&gt;AE153,0,AE154*$B148)</f>
        <v>0</v>
      </c>
      <c r="AH155" s="2926">
        <f ca="1">IF($B152&gt;AH153,0,AH154*$B148)</f>
        <v>0</v>
      </c>
      <c r="AK155" s="2926">
        <f ca="1">IF($B152&gt;AK153,0,AK154*$B148)</f>
        <v>0</v>
      </c>
      <c r="AN155" s="2926">
        <f ca="1">IF($B152&gt;AN153,0,AN154*$B148)</f>
        <v>0</v>
      </c>
      <c r="AQ155" s="2926">
        <f ca="1">IF($B152&gt;AQ153,0,AQ154*$B148)</f>
        <v>0</v>
      </c>
      <c r="AT155" s="2926">
        <f ca="1">IF($B152&gt;AT153,0,AT154*$B148)</f>
        <v>0</v>
      </c>
      <c r="AV155" s="2918"/>
    </row>
    <row r="156" spans="1:48" x14ac:dyDescent="0.2">
      <c r="A156" s="2919" t="str">
        <f>IF(AND(A153=0,A153=""),"","1er. DESEMBOLSO - ")&amp;"SALDO "</f>
        <v xml:space="preserve">SALDO </v>
      </c>
      <c r="B156" s="2927">
        <f ca="1">IF($B152&gt;B153,0,B148-B155)</f>
        <v>0</v>
      </c>
      <c r="D156" s="2927">
        <f ca="1">IF($B152&gt;D153,0,IF($B152=D153,$B148-D155,IF(+B156-D155&lt;0.005,0,B156-D155)))</f>
        <v>0</v>
      </c>
      <c r="G156" s="2927">
        <f ca="1">IF($B152&gt;G153,0,IF($B152=G153,$B148-G155,IF(D156-G155&lt;0.005,0,D156-G155)))</f>
        <v>0</v>
      </c>
      <c r="J156" s="2927">
        <f ca="1">IF($B152&gt;J153,0,IF($B152=J153,$B148-J155,IF(G156-J155&lt;0.005,0,G156-J155)))</f>
        <v>0</v>
      </c>
      <c r="M156" s="2927">
        <f ca="1">IF($B152&gt;M153,0,IF($B152=M153,$B148-M155,IF(J156-M155&lt;0.005,0,J156-M155)))</f>
        <v>0</v>
      </c>
      <c r="P156" s="2927">
        <f ca="1">IF($B152&gt;P153,0,IF($B152=P153,$B148-P155,IF(M156-P155&lt;0.005,0,M156-P155)))</f>
        <v>0</v>
      </c>
      <c r="S156" s="2927">
        <f ca="1">IF($B152&gt;S153,0,IF($B152=S153,$B148-S155,IF(P156-S155&lt;0.005,0,P156-S155)))</f>
        <v>0</v>
      </c>
      <c r="V156" s="2927">
        <f ca="1">IF($B152&gt;V153,0,IF($B152=V153,$B148-V155,IF(S156-V155&lt;0.005,0,S156-V155)))</f>
        <v>0</v>
      </c>
      <c r="Y156" s="2927">
        <f ca="1">IF($B152&gt;Y153,0,IF($B152=Y153,$B148-Y155,IF(V156-Y155&lt;0.005,0,V156-Y155)))</f>
        <v>0</v>
      </c>
      <c r="AB156" s="2927">
        <f ca="1">IF($B152&gt;AB153,0,IF($B152=AB153,$B148-AB155,IF(Y156-AB155&lt;0.005,0,Y156-AB155)))</f>
        <v>0</v>
      </c>
      <c r="AE156" s="2927">
        <f ca="1">IF($B152&gt;AE153,0,IF($B152=AE153,$B148-AE155,IF(AB156-AE155&lt;0.005,0,AB156-AE155)))</f>
        <v>0</v>
      </c>
      <c r="AH156" s="2927">
        <f ca="1">IF($B152&gt;AH153,0,IF($B152=AH153,$B148-AH155,IF(AE156-AH155&lt;0.005,0,AE156-AH155)))</f>
        <v>0</v>
      </c>
      <c r="AK156" s="2927">
        <f ca="1">IF($B152&gt;AK153,0,IF($B152=AK153,$B148-AK155,IF(AH156-AK155&lt;0.005,0,AH156-AK155)))</f>
        <v>0</v>
      </c>
      <c r="AN156" s="2927">
        <f ca="1">IF($B152&gt;AN153,0,IF($B152=AN153,$B148-AN155,IF(AK156-AN155&lt;0.005,0,AK156-AN155)))</f>
        <v>0</v>
      </c>
      <c r="AQ156" s="2927">
        <f ca="1">IF($B152&gt;AQ153,0,IF($B152=AQ153,$B148-AQ155,IF(AN156-AQ155&lt;0.005,0,AN156-AQ155)))</f>
        <v>0</v>
      </c>
      <c r="AT156" s="2927">
        <f ca="1">IF($B152&gt;AT153,0,IF($B152=AT153,$B148-AT155,IF(AQ156-AT155&lt;0.005,0,AQ156-AT155)))</f>
        <v>0</v>
      </c>
      <c r="AV156" s="2918"/>
    </row>
    <row r="157" spans="1:48" x14ac:dyDescent="0.2">
      <c r="A157" s="2923" t="str">
        <f>IF(AND(A153=0,A153=""),"","1er. DESEMBOLSO - ")&amp;"TASA DE FINANCIACIÓN E.A."</f>
        <v>TASA DE FINANCIACIÓN E.A.</v>
      </c>
      <c r="B157" s="2924"/>
      <c r="D157" s="2924">
        <f>B157</f>
        <v>0</v>
      </c>
      <c r="G157" s="2924">
        <f>D157</f>
        <v>0</v>
      </c>
      <c r="J157" s="2924">
        <f>G157</f>
        <v>0</v>
      </c>
      <c r="M157" s="2924">
        <f>J157</f>
        <v>0</v>
      </c>
      <c r="P157" s="2924">
        <f>M157</f>
        <v>0</v>
      </c>
      <c r="S157" s="2924">
        <f>P157</f>
        <v>0</v>
      </c>
      <c r="V157" s="2924">
        <f>S157</f>
        <v>0</v>
      </c>
      <c r="Y157" s="2924">
        <f>V157</f>
        <v>0</v>
      </c>
      <c r="AB157" s="2924">
        <f>Y157</f>
        <v>0</v>
      </c>
      <c r="AE157" s="2924">
        <f>AB157</f>
        <v>0</v>
      </c>
      <c r="AH157" s="2924">
        <f>AE157</f>
        <v>0</v>
      </c>
      <c r="AK157" s="2924">
        <f>AH157</f>
        <v>0</v>
      </c>
      <c r="AN157" s="2924">
        <f>AK157</f>
        <v>0</v>
      </c>
      <c r="AQ157" s="2924">
        <f>AN157</f>
        <v>0</v>
      </c>
      <c r="AT157" s="2924">
        <f>AQ157</f>
        <v>0</v>
      </c>
      <c r="AV157" s="2918"/>
    </row>
    <row r="158" spans="1:48" x14ac:dyDescent="0.2">
      <c r="A158" s="2923" t="str">
        <f>IF(AND(A153=0,A153=""),"","1er. DESEMBOLSO - ")&amp;"CÁLCULO INTERESES"</f>
        <v>CÁLCULO INTERESES</v>
      </c>
      <c r="B158" s="2928">
        <f ca="1">IF(OR($B152&lt;&gt;B153,B157="",B157=0),0,IF(AND(B154=0,$I$366=1),B157,IF(B154=0,NOMINAL(B157,12)*IF($B152=B153,$I$366,1),IF(AND($B152=B153,ROUNDDOWN($C$366,0)=B153),$E$366,1)*NOMINAL(B157,VLOOKUP($B147,$P$357:$R$360,3,0))/VLOOKUP($B147,$P$357:$R$360,3,0)))*((IF(B154=0,1,IF(AND($B152=B153,B154&lt;ROUNDDOWN(VLOOKUP($B147,$P$357:$R$360,3,0)/$H$366,0)),ROUNDDOWN(B154*$H$366,0),IF(AND($B152&lt;B153,B154&lt;ROUNDDOWN(VLOOKUP($B147,$P$357:$R$360,3,0)/$H$366,0)),ROUND(AVERAGE(ROUNDDOWN(B154*$H$366,0),2*VLOOKUP($B147,$P$357:$R$360,3,0)),0),VLOOKUP($B147,$P$357:$R$360,3,0))))*$B148)-((B155*(IF(B154=0,1,IF(AND($B152=B153,B154&lt;ROUNDDOWN(VLOOKUP($B147,$P$357:$R$360,3,0)/$H$366,0)),ROUNDDOWN(B154*$H$366,0),IF(AND($B152&lt;B153,B154&lt;ROUNDDOWN(VLOOKUP($B147,$P$357:$R$360,3,0)/$H$366,0)),ROUND(AVERAGE(ROUNDDOWN(B154*$H$366,0),2*VLOOKUP($B147,$P$357:$R$360,3,0)),0),VLOOKUP($B147,$P$357:$R$360,3,0))))-1))/2)))</f>
        <v>0</v>
      </c>
      <c r="C158" s="21"/>
      <c r="D158" s="2928">
        <f ca="1">IF(OR($B152&gt;D153,D157="",D157=0),0,IF(AND(D154=0,OR(D153&gt;$B152,$I$366=1)),D157,IF(D154=0,NOMINAL(D157,12)*IF($B152=D153,$I$366,1),IF(AND($B152=D153,ROUNDDOWN($C$366,0)=D153),$E$366,1)*NOMINAL(D157,VLOOKUP($B147,$P$357:$R$360,3,0))/VLOOKUP($B147,$P$357:$R$360,3,0)))*((IF(D154=0,1,IF(AND($B152=D153,D154&lt;ROUNDDOWN(VLOOKUP($B147,$P$357:$R$360,3,0)/$H$366,0)),ROUNDDOWN(D154*$H$366,0),IF(AND($B152&lt;D153,D154&lt;ROUNDDOWN(VLOOKUP($B147,$P$357:$R$360,3,0)/$H$366,0)),ROUND(AVERAGE(ROUNDDOWN(D154*$H$366,0),2*VLOOKUP($B147,$P$357:$R$360,3,0)),0),VLOOKUP($B147,$P$357:$R$360,3,0))))*IF($B152=D153,$B148,SUM(B156:B156)))-((D155*(IF(D154=0,1,IF(AND($B152=D153,D154&lt;ROUNDDOWN(VLOOKUP($B147,$P$357:$R$360,3,0)/$H$366,0)),ROUNDDOWN(D154*$H$366,0),IF(AND($B152&lt;D153,D154&lt;ROUNDDOWN(VLOOKUP($B147,$P$357:$R$360,3,0)/$H$366,0)),ROUND(AVERAGE(ROUNDDOWN(D154*$H$366,0),2*VLOOKUP($B147,$P$357:$R$360,3,0)),0),VLOOKUP($B147,$P$357:$R$360,3,0))))-1))/2)))</f>
        <v>0</v>
      </c>
      <c r="E158" s="21"/>
      <c r="F158" s="21"/>
      <c r="G158" s="2928">
        <f ca="1">IF(OR($B152&gt;G153,G157="",G157=0),0,IF(AND(G154=0,OR(G153&gt;$B152,$I$366=1)),G157,IF(G154=0,NOMINAL(G157,12)*IF($B152=G153,$I$366,1),IF(AND($B152=G153,ROUNDDOWN($C$366,0)=G153),$E$366,1)*NOMINAL(G157,VLOOKUP($B147,$P$357:$R$360,3,0))/VLOOKUP($B147,$P$357:$R$360,3,0)))*((IF(G154=0,1,IF(AND($B152=G153,G154&lt;ROUNDDOWN(VLOOKUP($B147,$P$357:$R$360,3,0)/$H$366,0)),ROUNDDOWN(G154*$H$366,0),IF(AND($B152&lt;G153,G154&lt;ROUNDDOWN(VLOOKUP($B147,$P$357:$R$360,3,0)/$H$366,0)),ROUND(AVERAGE(ROUNDDOWN(G154*$H$366,0),2*VLOOKUP($B147,$P$357:$R$360,3,0)),0),VLOOKUP($B147,$P$357:$R$360,3,0))))*IF($B152=G153,$B148,SUM(D156:D156)))-((G155*(IF(G154=0,1,IF(AND($B152=G153,G154&lt;ROUNDDOWN(VLOOKUP($B147,$P$357:$R$360,3,0)/$H$366,0)),ROUNDDOWN(G154*$H$366,0),IF(AND($B152&lt;G153,G154&lt;ROUNDDOWN(VLOOKUP($B147,$P$357:$R$360,3,0)/$H$366,0)),ROUND(AVERAGE(ROUNDDOWN(G154*$H$366,0),2*VLOOKUP($B147,$P$357:$R$360,3,0)),0),VLOOKUP($B147,$P$357:$R$360,3,0))))-1))/2)))</f>
        <v>0</v>
      </c>
      <c r="H158" s="21"/>
      <c r="I158" s="21"/>
      <c r="J158" s="2928">
        <f ca="1">IF(OR($B152&gt;J153,J157="",J157=0),0,IF(AND(J154=0,OR(J153&gt;$B152,$I$366=1)),J157,IF(J154=0,NOMINAL(J157,12)*IF($B152=J153,$I$366,1),IF(AND($B152=J153,ROUNDDOWN($C$366,0)=J153),$E$366,1)*NOMINAL(J157,VLOOKUP($B147,$P$357:$R$360,3,0))/VLOOKUP($B147,$P$357:$R$360,3,0)))*((IF(J154=0,1,IF(AND($B152=J153,J154&lt;ROUNDDOWN(VLOOKUP($B147,$P$357:$R$360,3,0)/$H$366,0)),ROUNDDOWN(J154*$H$366,0),IF(AND($B152&lt;J153,J154&lt;ROUNDDOWN(VLOOKUP($B147,$P$357:$R$360,3,0)/$H$366,0)),ROUND(AVERAGE(ROUNDDOWN(J154*$H$366,0),2*VLOOKUP($B147,$P$357:$R$360,3,0)),0),VLOOKUP($B147,$P$357:$R$360,3,0))))*IF($B152=J153,$B148,SUM(G156:G156)))-((J155*(IF(J154=0,1,IF(AND($B152=J153,J154&lt;ROUNDDOWN(VLOOKUP($B147,$P$357:$R$360,3,0)/$H$366,0)),ROUNDDOWN(J154*$H$366,0),IF(AND($B152&lt;J153,J154&lt;ROUNDDOWN(VLOOKUP($B147,$P$357:$R$360,3,0)/$H$366,0)),ROUND(AVERAGE(ROUNDDOWN(J154*$H$366,0),2*VLOOKUP($B147,$P$357:$R$360,3,0)),0),VLOOKUP($B147,$P$357:$R$360,3,0))))-1))/2)))</f>
        <v>0</v>
      </c>
      <c r="K158" s="21"/>
      <c r="L158" s="21"/>
      <c r="M158" s="2928">
        <f ca="1">IF(OR($B152&gt;M153,M157="",M157=0),0,IF(AND(M154=0,OR(M153&gt;$B152,$I$366=1)),M157,IF(M154=0,NOMINAL(M157,12)*IF($B152=M153,$I$366,1),IF(AND($B152=M153,ROUNDDOWN($C$366,0)=M153),$E$366,1)*NOMINAL(M157,VLOOKUP($B147,$P$357:$R$360,3,0))/VLOOKUP($B147,$P$357:$R$360,3,0)))*((IF(M154=0,1,IF(AND($B152=M153,M154&lt;ROUNDDOWN(VLOOKUP($B147,$P$357:$R$360,3,0)/$H$366,0)),ROUNDDOWN(M154*$H$366,0),IF(AND($B152&lt;M153,M154&lt;ROUNDDOWN(VLOOKUP($B147,$P$357:$R$360,3,0)/$H$366,0)),ROUND(AVERAGE(ROUNDDOWN(M154*$H$366,0),2*VLOOKUP($B147,$P$357:$R$360,3,0)),0),VLOOKUP($B147,$P$357:$R$360,3,0))))*IF($B152=M153,$B148,SUM(J156:J156)))-((M155*(IF(M154=0,1,IF(AND($B152=M153,M154&lt;ROUNDDOWN(VLOOKUP($B147,$P$357:$R$360,3,0)/$H$366,0)),ROUNDDOWN(M154*$H$366,0),IF(AND($B152&lt;M153,M154&lt;ROUNDDOWN(VLOOKUP($B147,$P$357:$R$360,3,0)/$H$366,0)),ROUND(AVERAGE(ROUNDDOWN(M154*$H$366,0),2*VLOOKUP($B147,$P$357:$R$360,3,0)),0),VLOOKUP($B147,$P$357:$R$360,3,0))))-1))/2)))</f>
        <v>0</v>
      </c>
      <c r="N158" s="21"/>
      <c r="O158" s="21"/>
      <c r="P158" s="2928">
        <f ca="1">IF(OR($B152&gt;P153,P157="",P157=0),0,IF(AND(P154=0,OR(P153&gt;$B152,$I$366=1)),P157,IF(P154=0,NOMINAL(P157,12)*IF($B152=P153,$I$366,1),IF(AND($B152=P153,ROUNDDOWN($C$366,0)=P153),$E$366,1)*NOMINAL(P157,VLOOKUP($B147,$P$357:$R$360,3,0))/VLOOKUP($B147,$P$357:$R$360,3,0)))*((IF(P154=0,1,IF(AND($B152=P153,P154&lt;ROUNDDOWN(VLOOKUP($B147,$P$357:$R$360,3,0)/$H$366,0)),ROUNDDOWN(P154*$H$366,0),IF(AND($B152&lt;P153,P154&lt;ROUNDDOWN(VLOOKUP($B147,$P$357:$R$360,3,0)/$H$366,0)),ROUND(AVERAGE(ROUNDDOWN(P154*$H$366,0),2*VLOOKUP($B147,$P$357:$R$360,3,0)),0),VLOOKUP($B147,$P$357:$R$360,3,0))))*IF($B152=P153,$B148,SUM(M156:M156)))-((P155*(IF(P154=0,1,IF(AND($B152=P153,P154&lt;ROUNDDOWN(VLOOKUP($B147,$P$357:$R$360,3,0)/$H$366,0)),ROUNDDOWN(P154*$H$366,0),IF(AND($B152&lt;P153,P154&lt;ROUNDDOWN(VLOOKUP($B147,$P$357:$R$360,3,0)/$H$366,0)),ROUND(AVERAGE(ROUNDDOWN(P154*$H$366,0),2*VLOOKUP($B147,$P$357:$R$360,3,0)),0),VLOOKUP($B147,$P$357:$R$360,3,0))))-1))/2)))</f>
        <v>0</v>
      </c>
      <c r="Q158" s="21"/>
      <c r="R158" s="21"/>
      <c r="S158" s="2928">
        <f ca="1">IF(OR($B152&gt;S153,S157="",S157=0),0,IF(AND(S154=0,OR(S153&gt;$B152,$I$366=1)),S157,IF(S154=0,NOMINAL(S157,12)*IF($B152=S153,$I$366,1),IF(AND($B152=S153,ROUNDDOWN($C$366,0)=S153),$E$366,1)*NOMINAL(S157,VLOOKUP($B147,$P$357:$R$360,3,0))/VLOOKUP($B147,$P$357:$R$360,3,0)))*((IF(S154=0,1,IF(AND($B152=S153,S154&lt;ROUNDDOWN(VLOOKUP($B147,$P$357:$R$360,3,0)/$H$366,0)),ROUNDDOWN(S154*$H$366,0),IF(AND($B152&lt;S153,S154&lt;ROUNDDOWN(VLOOKUP($B147,$P$357:$R$360,3,0)/$H$366,0)),ROUND(AVERAGE(ROUNDDOWN(S154*$H$366,0),2*VLOOKUP($B147,$P$357:$R$360,3,0)),0),VLOOKUP($B147,$P$357:$R$360,3,0))))*IF($B152=S153,$B148,SUM(P156:P156)))-((S155*(IF(S154=0,1,IF(AND($B152=S153,S154&lt;ROUNDDOWN(VLOOKUP($B147,$P$357:$R$360,3,0)/$H$366,0)),ROUNDDOWN(S154*$H$366,0),IF(AND($B152&lt;S153,S154&lt;ROUNDDOWN(VLOOKUP($B147,$P$357:$R$360,3,0)/$H$366,0)),ROUND(AVERAGE(ROUNDDOWN(S154*$H$366,0),2*VLOOKUP($B147,$P$357:$R$360,3,0)),0),VLOOKUP($B147,$P$357:$R$360,3,0))))-1))/2)))</f>
        <v>0</v>
      </c>
      <c r="T158" s="21"/>
      <c r="U158" s="21"/>
      <c r="V158" s="2928">
        <f ca="1">IF(OR($B152&gt;V153,V157="",V157=0),0,IF(AND(V154=0,OR(V153&gt;$B152,$I$366=1)),V157,IF(V154=0,NOMINAL(V157,12)*IF($B152=V153,$I$366,1),IF(AND($B152=V153,ROUNDDOWN($C$366,0)=V153),$E$366,1)*NOMINAL(V157,VLOOKUP($B147,$P$357:$R$360,3,0))/VLOOKUP($B147,$P$357:$R$360,3,0)))*((IF(V154=0,1,IF(AND($B152=V153,V154&lt;ROUNDDOWN(VLOOKUP($B147,$P$357:$R$360,3,0)/$H$366,0)),ROUNDDOWN(V154*$H$366,0),IF(AND($B152&lt;V153,V154&lt;ROUNDDOWN(VLOOKUP($B147,$P$357:$R$360,3,0)/$H$366,0)),ROUND(AVERAGE(ROUNDDOWN(V154*$H$366,0),2*VLOOKUP($B147,$P$357:$R$360,3,0)),0),VLOOKUP($B147,$P$357:$R$360,3,0))))*IF($B152=V153,$B148,SUM(S156:S156)))-((V155*(IF(V154=0,1,IF(AND($B152=V153,V154&lt;ROUNDDOWN(VLOOKUP($B147,$P$357:$R$360,3,0)/$H$366,0)),ROUNDDOWN(V154*$H$366,0),IF(AND($B152&lt;V153,V154&lt;ROUNDDOWN(VLOOKUP($B147,$P$357:$R$360,3,0)/$H$366,0)),ROUND(AVERAGE(ROUNDDOWN(V154*$H$366,0),2*VLOOKUP($B147,$P$357:$R$360,3,0)),0),VLOOKUP($B147,$P$357:$R$360,3,0))))-1))/2)))</f>
        <v>0</v>
      </c>
      <c r="W158" s="21"/>
      <c r="X158" s="21"/>
      <c r="Y158" s="2928">
        <f ca="1">IF(OR($B152&gt;Y153,Y157="",Y157=0),0,IF(AND(Y154=0,OR(Y153&gt;$B152,$I$366=1)),Y157,IF(Y154=0,NOMINAL(Y157,12)*IF($B152=Y153,$I$366,1),IF(AND($B152=Y153,ROUNDDOWN($C$366,0)=Y153),$E$366,1)*NOMINAL(Y157,VLOOKUP($B147,$P$357:$R$360,3,0))/VLOOKUP($B147,$P$357:$R$360,3,0)))*((IF(Y154=0,1,IF(AND($B152=Y153,Y154&lt;ROUNDDOWN(VLOOKUP($B147,$P$357:$R$360,3,0)/$H$366,0)),ROUNDDOWN(Y154*$H$366,0),IF(AND($B152&lt;Y153,Y154&lt;ROUNDDOWN(VLOOKUP($B147,$P$357:$R$360,3,0)/$H$366,0)),ROUND(AVERAGE(ROUNDDOWN(Y154*$H$366,0),2*VLOOKUP($B147,$P$357:$R$360,3,0)),0),VLOOKUP($B147,$P$357:$R$360,3,0))))*IF($B152=Y153,$B148,SUM(V156:V156)))-((Y155*(IF(Y154=0,1,IF(AND($B152=Y153,Y154&lt;ROUNDDOWN(VLOOKUP($B147,$P$357:$R$360,3,0)/$H$366,0)),ROUNDDOWN(Y154*$H$366,0),IF(AND($B152&lt;Y153,Y154&lt;ROUNDDOWN(VLOOKUP($B147,$P$357:$R$360,3,0)/$H$366,0)),ROUND(AVERAGE(ROUNDDOWN(Y154*$H$366,0),2*VLOOKUP($B147,$P$357:$R$360,3,0)),0),VLOOKUP($B147,$P$357:$R$360,3,0))))-1))/2)))</f>
        <v>0</v>
      </c>
      <c r="Z158" s="21"/>
      <c r="AA158" s="21"/>
      <c r="AB158" s="2928">
        <f ca="1">IF(OR($B152&gt;AB153,AB157="",AB157=0),0,IF(AND(AB154=0,OR(AB153&gt;$B152,$I$366=1)),AB157,IF(AB154=0,NOMINAL(AB157,12)*IF($B152=AB153,$I$366,1),IF(AND($B152=AB153,ROUNDDOWN($C$366,0)=AB153),$E$366,1)*NOMINAL(AB157,VLOOKUP($B147,$P$357:$R$360,3,0))/VLOOKUP($B147,$P$357:$R$360,3,0)))*((IF(AB154=0,1,IF(AND($B152=AB153,AB154&lt;ROUNDDOWN(VLOOKUP($B147,$P$357:$R$360,3,0)/$H$366,0)),ROUNDDOWN(AB154*$H$366,0),IF(AND($B152&lt;AB153,AB154&lt;ROUNDDOWN(VLOOKUP($B147,$P$357:$R$360,3,0)/$H$366,0)),ROUND(AVERAGE(ROUNDDOWN(AB154*$H$366,0),2*VLOOKUP($B147,$P$357:$R$360,3,0)),0),VLOOKUP($B147,$P$357:$R$360,3,0))))*IF($B152=AB153,$B148,SUM(Y156:Y156)))-((AB155*(IF(AB154=0,1,IF(AND($B152=AB153,AB154&lt;ROUNDDOWN(VLOOKUP($B147,$P$357:$R$360,3,0)/$H$366,0)),ROUNDDOWN(AB154*$H$366,0),IF(AND($B152&lt;AB153,AB154&lt;ROUNDDOWN(VLOOKUP($B147,$P$357:$R$360,3,0)/$H$366,0)),ROUND(AVERAGE(ROUNDDOWN(AB154*$H$366,0),2*VLOOKUP($B147,$P$357:$R$360,3,0)),0),VLOOKUP($B147,$P$357:$R$360,3,0))))-1))/2)))</f>
        <v>0</v>
      </c>
      <c r="AC158" s="21"/>
      <c r="AD158" s="21"/>
      <c r="AE158" s="2928">
        <f ca="1">IF(OR($B152&gt;AE153,AE157="",AE157=0),0,IF(AND(AE154=0,OR(AE153&gt;$B152,$I$366=1)),AE157,IF(AE154=0,NOMINAL(AE157,12)*IF($B152=AE153,$I$366,1),IF(AND($B152=AE153,ROUNDDOWN($C$366,0)=AE153),$E$366,1)*NOMINAL(AE157,VLOOKUP($B147,$P$357:$R$360,3,0))/VLOOKUP($B147,$P$357:$R$360,3,0)))*((IF(AE154=0,1,IF(AND($B152=AE153,AE154&lt;ROUNDDOWN(VLOOKUP($B147,$P$357:$R$360,3,0)/$H$366,0)),ROUNDDOWN(AE154*$H$366,0),IF(AND($B152&lt;AE153,AE154&lt;ROUNDDOWN(VLOOKUP($B147,$P$357:$R$360,3,0)/$H$366,0)),ROUND(AVERAGE(ROUNDDOWN(AE154*$H$366,0),2*VLOOKUP($B147,$P$357:$R$360,3,0)),0),VLOOKUP($B147,$P$357:$R$360,3,0))))*IF($B152=AE153,$B148,SUM(AB156:AB156)))-((AE155*(IF(AE154=0,1,IF(AND($B152=AE153,AE154&lt;ROUNDDOWN(VLOOKUP($B147,$P$357:$R$360,3,0)/$H$366,0)),ROUNDDOWN(AE154*$H$366,0),IF(AND($B152&lt;AE153,AE154&lt;ROUNDDOWN(VLOOKUP($B147,$P$357:$R$360,3,0)/$H$366,0)),ROUND(AVERAGE(ROUNDDOWN(AE154*$H$366,0),2*VLOOKUP($B147,$P$357:$R$360,3,0)),0),VLOOKUP($B147,$P$357:$R$360,3,0))))-1))/2)))</f>
        <v>0</v>
      </c>
      <c r="AF158" s="2929"/>
      <c r="AG158" s="21"/>
      <c r="AH158" s="2928">
        <f ca="1">IF(OR($B152&gt;AH153,AH157="",AH157=0),0,IF(AND(AH154=0,OR(AH153&gt;$B152,$I$366=1)),AH157,IF(AH154=0,NOMINAL(AH157,12)*IF($B152=AH153,$I$366,1),IF(AND($B152=AH153,ROUNDDOWN($C$366,0)=AH153),$E$366,1)*NOMINAL(AH157,VLOOKUP($B147,$P$357:$R$360,3,0))/VLOOKUP($B147,$P$357:$R$360,3,0)))*((IF(AH154=0,1,IF(AND($B152=AH153,AH154&lt;ROUNDDOWN(VLOOKUP($B147,$P$357:$R$360,3,0)/$H$366,0)),ROUNDDOWN(AH154*$H$366,0),IF(AND($B152&lt;AH153,AH154&lt;ROUNDDOWN(VLOOKUP($B147,$P$357:$R$360,3,0)/$H$366,0)),ROUND(AVERAGE(ROUNDDOWN(AH154*$H$366,0),2*VLOOKUP($B147,$P$357:$R$360,3,0)),0),VLOOKUP($B147,$P$357:$R$360,3,0))))*IF($B152=AH153,$B148,SUM(AE156:AE156)))-((AH155*(IF(AH154=0,1,IF(AND($B152=AH153,AH154&lt;ROUNDDOWN(VLOOKUP($B147,$P$357:$R$360,3,0)/$H$366,0)),ROUNDDOWN(AH154*$H$366,0),IF(AND($B152&lt;AH153,AH154&lt;ROUNDDOWN(VLOOKUP($B147,$P$357:$R$360,3,0)/$H$366,0)),ROUND(AVERAGE(ROUNDDOWN(AH154*$H$366,0),2*VLOOKUP($B147,$P$357:$R$360,3,0)),0),VLOOKUP($B147,$P$357:$R$360,3,0))))-1))/2)))</f>
        <v>0</v>
      </c>
      <c r="AI158" s="21"/>
      <c r="AJ158" s="21"/>
      <c r="AK158" s="2928">
        <f ca="1">IF(OR($B152&gt;AK153,AK157="",AK157=0),0,IF(AND(AK154=0,OR(AK153&gt;$B152,$I$366=1)),AK157,IF(AK154=0,NOMINAL(AK157,12)*IF($B152=AK153,$I$366,1),IF(AND($B152=AK153,ROUNDDOWN($C$366,0)=AK153),$E$366,1)*NOMINAL(AK157,VLOOKUP($B147,$P$357:$R$360,3,0))/VLOOKUP($B147,$P$357:$R$360,3,0)))*((IF(AK154=0,1,IF(AND($B152=AK153,AK154&lt;ROUNDDOWN(VLOOKUP($B147,$P$357:$R$360,3,0)/$H$366,0)),ROUNDDOWN(AK154*$H$366,0),IF(AND($B152&lt;AK153,AK154&lt;ROUNDDOWN(VLOOKUP($B147,$P$357:$R$360,3,0)/$H$366,0)),ROUND(AVERAGE(ROUNDDOWN(AK154*$H$366,0),2*VLOOKUP($B147,$P$357:$R$360,3,0)),0),VLOOKUP($B147,$P$357:$R$360,3,0))))*IF($B152=AK153,$B148,SUM(AH156:AH156)))-((AK155*(IF(AK154=0,1,IF(AND($B152=AK153,AK154&lt;ROUNDDOWN(VLOOKUP($B147,$P$357:$R$360,3,0)/$H$366,0)),ROUNDDOWN(AK154*$H$366,0),IF(AND($B152&lt;AK153,AK154&lt;ROUNDDOWN(VLOOKUP($B147,$P$357:$R$360,3,0)/$H$366,0)),ROUND(AVERAGE(ROUNDDOWN(AK154*$H$366,0),2*VLOOKUP($B147,$P$357:$R$360,3,0)),0),VLOOKUP($B147,$P$357:$R$360,3,0))))-1))/2)))</f>
        <v>0</v>
      </c>
      <c r="AL158" s="21"/>
      <c r="AM158" s="21"/>
      <c r="AN158" s="2928">
        <f ca="1">IF(OR($B152&gt;AN153,AN157="",AN157=0),0,IF(AND(AN154=0,OR(AN153&gt;$B152,$I$366=1)),AN157,IF(AN154=0,NOMINAL(AN157,12)*IF($B152=AN153,$I$366,1),IF(AND($B152=AN153,ROUNDDOWN($C$366,0)=AN153),$E$366,1)*NOMINAL(AN157,VLOOKUP($B147,$P$357:$R$360,3,0))/VLOOKUP($B147,$P$357:$R$360,3,0)))*((IF(AN154=0,1,IF(AND($B152=AN153,AN154&lt;ROUNDDOWN(VLOOKUP($B147,$P$357:$R$360,3,0)/$H$366,0)),ROUNDDOWN(AN154*$H$366,0),IF(AND($B152&lt;AN153,AN154&lt;ROUNDDOWN(VLOOKUP($B147,$P$357:$R$360,3,0)/$H$366,0)),ROUND(AVERAGE(ROUNDDOWN(AN154*$H$366,0),2*VLOOKUP($B147,$P$357:$R$360,3,0)),0),VLOOKUP($B147,$P$357:$R$360,3,0))))*IF($B152=AN153,$B148,SUM(AK156:AK156)))-((AN155*(IF(AN154=0,1,IF(AND($B152=AN153,AN154&lt;ROUNDDOWN(VLOOKUP($B147,$P$357:$R$360,3,0)/$H$366,0)),ROUNDDOWN(AN154*$H$366,0),IF(AND($B152&lt;AN153,AN154&lt;ROUNDDOWN(VLOOKUP($B147,$P$357:$R$360,3,0)/$H$366,0)),ROUND(AVERAGE(ROUNDDOWN(AN154*$H$366,0),2*VLOOKUP($B147,$P$357:$R$360,3,0)),0),VLOOKUP($B147,$P$357:$R$360,3,0))))-1))/2)))</f>
        <v>0</v>
      </c>
      <c r="AO158" s="21"/>
      <c r="AP158" s="21"/>
      <c r="AQ158" s="2928">
        <f ca="1">IF(OR($B152&gt;AQ153,AQ157="",AQ157=0),0,IF(AND(AQ154=0,OR(AQ153&gt;$B152,$I$366=1)),AQ157,IF(AQ154=0,NOMINAL(AQ157,12)*IF($B152=AQ153,$I$366,1),IF(AND($B152=AQ153,ROUNDDOWN($C$366,0)=AQ153),$E$366,1)*NOMINAL(AQ157,VLOOKUP($B147,$P$357:$R$360,3,0))/VLOOKUP($B147,$P$357:$R$360,3,0)))*((IF(AQ154=0,1,IF(AND($B152=AQ153,AQ154&lt;ROUNDDOWN(VLOOKUP($B147,$P$357:$R$360,3,0)/$H$366,0)),ROUNDDOWN(AQ154*$H$366,0),IF(AND($B152&lt;AQ153,AQ154&lt;ROUNDDOWN(VLOOKUP($B147,$P$357:$R$360,3,0)/$H$366,0)),ROUND(AVERAGE(ROUNDDOWN(AQ154*$H$366,0),2*VLOOKUP($B147,$P$357:$R$360,3,0)),0),VLOOKUP($B147,$P$357:$R$360,3,0))))*IF($B152=AQ153,$B148,SUM(AN156:AN156)))-((AQ155*(IF(AQ154=0,1,IF(AND($B152=AQ153,AQ154&lt;ROUNDDOWN(VLOOKUP($B147,$P$357:$R$360,3,0)/$H$366,0)),ROUNDDOWN(AQ154*$H$366,0),IF(AND($B152&lt;AQ153,AQ154&lt;ROUNDDOWN(VLOOKUP($B147,$P$357:$R$360,3,0)/$H$366,0)),ROUND(AVERAGE(ROUNDDOWN(AQ154*$H$366,0),2*VLOOKUP($B147,$P$357:$R$360,3,0)),0),VLOOKUP($B147,$P$357:$R$360,3,0))))-1))/2)))</f>
        <v>0</v>
      </c>
      <c r="AR158" s="21"/>
      <c r="AS158" s="21"/>
      <c r="AT158" s="2928">
        <f ca="1">IF(OR($B152&gt;AT153,AT157="",AT157=0),0,IF(AND(AT154=0,OR(AT153&gt;$B152,$I$366=1)),AT157,IF(AT154=0,NOMINAL(AT157,12)*IF($B152=AT153,$I$366,1),IF(AND($B152=AT153,ROUNDDOWN($C$366,0)=AT153),$E$366,1)*NOMINAL(AT157,VLOOKUP($B147,$P$357:$R$360,3,0))/VLOOKUP($B147,$P$357:$R$360,3,0)))*((IF(AT154=0,1,IF(AND($B152=AT153,AT154&lt;ROUNDDOWN(VLOOKUP($B147,$P$357:$R$360,3,0)/$H$366,0)),ROUNDDOWN(AT154*$H$366,0),IF(AND($B152&lt;AT153,AT154&lt;ROUNDDOWN(VLOOKUP($B147,$P$357:$R$360,3,0)/$H$366,0)),ROUND(AVERAGE(ROUNDDOWN(AT154*$H$366,0),2*VLOOKUP($B147,$P$357:$R$360,3,0)),0),VLOOKUP($B147,$P$357:$R$360,3,0))))*IF($B152=AT153,$B148,SUM(AQ156:AQ156)))-((AT155*(IF(AT154=0,1,IF(AND($B152=AT153,AT154&lt;ROUNDDOWN(VLOOKUP($B147,$P$357:$R$360,3,0)/$H$366,0)),ROUNDDOWN(AT154*$H$366,0),IF(AND($B152&lt;AT153,AT154&lt;ROUNDDOWN(VLOOKUP($B147,$P$357:$R$360,3,0)/$H$366,0)),ROUND(AVERAGE(ROUNDDOWN(AT154*$H$366,0),2*VLOOKUP($B147,$P$357:$R$360,3,0)),0),VLOOKUP($B147,$P$357:$R$360,3,0))))-1))/2)))</f>
        <v>0</v>
      </c>
      <c r="AU158" s="2929"/>
      <c r="AV158" s="2918"/>
    </row>
    <row r="159" spans="1:48" ht="13.5" thickBot="1" x14ac:dyDescent="0.25">
      <c r="AV159" s="2918"/>
    </row>
    <row r="160" spans="1:48" x14ac:dyDescent="0.2">
      <c r="A160" s="2930" t="s">
        <v>1316</v>
      </c>
      <c r="B160" s="2931"/>
      <c r="C160" s="2932"/>
      <c r="D160" s="2932"/>
      <c r="E160" s="2932"/>
      <c r="F160" s="2932"/>
      <c r="G160" s="2932"/>
      <c r="H160" s="2932"/>
      <c r="I160" s="2932"/>
      <c r="J160" s="2932"/>
      <c r="K160" s="2932"/>
      <c r="L160" s="2932"/>
      <c r="M160" s="2932"/>
      <c r="N160" s="2932"/>
      <c r="O160" s="2932"/>
      <c r="P160" s="2932"/>
      <c r="Q160" s="2932"/>
      <c r="R160" s="2932"/>
      <c r="S160" s="2932"/>
      <c r="T160" s="2932"/>
      <c r="U160" s="2932"/>
      <c r="V160" s="2932"/>
      <c r="W160" s="2932"/>
      <c r="X160" s="2932"/>
      <c r="Y160" s="2932"/>
      <c r="Z160" s="2932"/>
      <c r="AA160" s="2932"/>
      <c r="AB160" s="2932"/>
      <c r="AC160" s="2932"/>
      <c r="AD160" s="2932"/>
      <c r="AE160" s="2932"/>
      <c r="AF160" s="2932"/>
      <c r="AG160" s="2932"/>
      <c r="AH160" s="2932"/>
      <c r="AI160" s="2932"/>
      <c r="AJ160" s="2932"/>
      <c r="AK160" s="2932"/>
      <c r="AL160" s="2932"/>
      <c r="AM160" s="2932"/>
      <c r="AN160" s="2932"/>
      <c r="AO160" s="2932"/>
      <c r="AP160" s="2932"/>
      <c r="AQ160" s="2932"/>
      <c r="AR160" s="2932"/>
      <c r="AS160" s="2932"/>
      <c r="AT160" s="2932"/>
      <c r="AU160" s="2932"/>
      <c r="AV160" s="2933"/>
    </row>
    <row r="161" spans="1:48" x14ac:dyDescent="0.2">
      <c r="A161" s="2916" t="s">
        <v>2044</v>
      </c>
      <c r="B161" s="2917"/>
      <c r="AV161" s="2918"/>
    </row>
    <row r="162" spans="1:48" x14ac:dyDescent="0.2">
      <c r="A162" s="2916" t="s">
        <v>2045</v>
      </c>
      <c r="B162" s="2917"/>
      <c r="AV162" s="2918"/>
    </row>
    <row r="163" spans="1:48" x14ac:dyDescent="0.2">
      <c r="A163" s="2916" t="s">
        <v>1312</v>
      </c>
      <c r="B163" s="2917"/>
      <c r="AV163" s="2918"/>
    </row>
    <row r="164" spans="1:48" x14ac:dyDescent="0.2">
      <c r="A164" s="2916" t="s">
        <v>1313</v>
      </c>
      <c r="B164" s="2917"/>
      <c r="AV164" s="2918"/>
    </row>
    <row r="165" spans="1:48" x14ac:dyDescent="0.2">
      <c r="A165" s="2919" t="s">
        <v>1314</v>
      </c>
      <c r="B165" s="2920"/>
      <c r="AV165" s="2918"/>
    </row>
    <row r="166" spans="1:48" x14ac:dyDescent="0.2">
      <c r="A166" s="2921" t="s">
        <v>2046</v>
      </c>
      <c r="B166" s="2922">
        <f ca="1">B$11</f>
        <v>2023</v>
      </c>
      <c r="D166" s="2922">
        <f ca="1">D$11</f>
        <v>2024</v>
      </c>
      <c r="G166" s="2922">
        <f ca="1">G$11</f>
        <v>2025</v>
      </c>
      <c r="J166" s="2922">
        <f ca="1">J$11</f>
        <v>2026</v>
      </c>
      <c r="M166" s="2922">
        <f ca="1">M$11</f>
        <v>2027</v>
      </c>
      <c r="P166" s="2922">
        <f ca="1">P$11</f>
        <v>2028</v>
      </c>
      <c r="S166" s="2922">
        <f ca="1">S$11</f>
        <v>2029</v>
      </c>
      <c r="V166" s="2922">
        <f ca="1">V$11</f>
        <v>2030</v>
      </c>
      <c r="Y166" s="2922">
        <f ca="1">Y$11</f>
        <v>2031</v>
      </c>
      <c r="AB166" s="2922">
        <f ca="1">AB$11</f>
        <v>2032</v>
      </c>
      <c r="AE166" s="2922">
        <f ca="1">AE$11</f>
        <v>2033</v>
      </c>
      <c r="AH166" s="2922">
        <f ca="1">AH$11</f>
        <v>2034</v>
      </c>
      <c r="AK166" s="2922">
        <f ca="1">AK$11</f>
        <v>2035</v>
      </c>
      <c r="AN166" s="2922">
        <f ca="1">AN$11</f>
        <v>2036</v>
      </c>
      <c r="AQ166" s="2922">
        <f ca="1">AQ$11</f>
        <v>2037</v>
      </c>
      <c r="AT166" s="2922">
        <f ca="1">AT$11</f>
        <v>2038</v>
      </c>
      <c r="AV166" s="2918"/>
    </row>
    <row r="167" spans="1:48" x14ac:dyDescent="0.2">
      <c r="A167" s="2923" t="s">
        <v>2047</v>
      </c>
      <c r="B167" s="2924">
        <f>IF(OR($B162=0,$B162="",$B160=""),0,IF(AND(B166-$B165&gt;=0,B166&lt;=$B165+$B162,ROUNDDOWN(B166,0)=ROUNDDOWN($C$367,0)),IF(ROUNDDOWN(B166,0)=ROUNDDOWN($C$367,0),ROUND($E$367*VLOOKUP($B160,$P$357:$R$360,3,0)/$H$367,2),ROUND(VLOOKUP($B160,$P$357:$R$360,3,0)/$H$367,2)),0))</f>
        <v>0</v>
      </c>
      <c r="D167" s="2924">
        <f>IF(OR($B162=0,$B162="",$B160=""),0,IF(AND(ROUNDDOWN(D166,0)&gt;=ROUNDDOWN($C$367,0),1-$B167&lt;VLOOKUP($B160,$P$357:$R$360,3,0)/$H$367),1-$B167,IF(ROUNDDOWN(D166,0)&gt;=ROUNDDOWN($C$367,0),IF(ROUNDDOWN(D166,0)=ROUNDDOWN($C$367,0),ROUND($E$367*VLOOKUP($B160,$P$357:$R$360,3,0)/$H$367,2),ROUND(VLOOKUP($B160,$P$357:$R$360,3,0)/$H$367,2)),0)))</f>
        <v>0</v>
      </c>
      <c r="G167" s="2924">
        <f>IF(OR($B162=0,$B162="",$B160=""),0,IF(AND(ROUNDDOWN(G166,0)&gt;=ROUNDDOWN($C$367,0),1-SUM($B167:D167)&lt;VLOOKUP($B160,$P$357:$R$360,3,0)/$H$367),1-SUM($B167:D167),IF(ROUNDDOWN(G166,0)&gt;=ROUNDDOWN($C$367,0),IF(ROUNDDOWN(G166,0)=ROUNDDOWN($C$367,0),ROUND($E$367*VLOOKUP($B160,$P$357:$R$360,3,0)/$H$367,2),ROUND(VLOOKUP($B160,$P$357:$R$360,3,0)/$H$367,2)),0)))</f>
        <v>0</v>
      </c>
      <c r="J167" s="2924">
        <f>IF(OR($B162=0,$B162="",$B160=""),0,IF(AND(ROUNDDOWN(J166,0)&gt;=ROUNDDOWN($C$367,0),1-SUM($B167:G167)&lt;VLOOKUP($B160,$P$357:$R$360,3,0)/$H$367),1-SUM($B167:G167),IF(ROUNDDOWN(J166,0)&gt;=ROUNDDOWN($C$367,0),IF(ROUNDDOWN(J166,0)=ROUNDDOWN($C$367,0),ROUND($E$367*VLOOKUP($B160,$P$357:$R$360,3,0)/$H$367,2),ROUND(VLOOKUP($B160,$P$357:$R$360,3,0)/$H$367,2)),0)))</f>
        <v>0</v>
      </c>
      <c r="M167" s="2924">
        <f>IF(OR($B162=0,$B162="",$B160=""),0,IF(AND(ROUNDDOWN(M166,0)&gt;=ROUNDDOWN($C$367,0),1-SUM($B167:J167)&lt;VLOOKUP($B160,$P$357:$R$360,3,0)/$H$367),1-SUM($B167:J167),IF(ROUNDDOWN(M166,0)&gt;=ROUNDDOWN($C$367,0),IF(ROUNDDOWN(M166,0)=ROUNDDOWN($C$367,0),ROUND($E$367*VLOOKUP($B160,$P$357:$R$360,3,0)/$H$367,2),ROUND(VLOOKUP($B160,$P$357:$R$360,3,0)/$H$367,2)),0)))</f>
        <v>0</v>
      </c>
      <c r="P167" s="2924">
        <f>IF(OR($B162=0,$B162="",$B160=""),0,IF(AND(ROUNDDOWN(P166,0)&gt;=ROUNDDOWN($C$367,0),1-SUM($B167:M167)&lt;VLOOKUP($B160,$P$357:$R$360,3,0)/$H$367),1-SUM($B167:M167),IF(ROUNDDOWN(P166,0)&gt;=ROUNDDOWN($C$367,0),IF(ROUNDDOWN(P166,0)=ROUNDDOWN($C$367,0),ROUND($E$367*VLOOKUP($B160,$P$357:$R$360,3,0)/$H$367,2),ROUND(VLOOKUP($B160,$P$357:$R$360,3,0)/$H$367,2)),0)))</f>
        <v>0</v>
      </c>
      <c r="S167" s="2924">
        <f>IF(OR($B162=0,$B162="",$B160=""),0,IF(AND(ROUNDDOWN(S166,0)&gt;=ROUNDDOWN($C$367,0),1-SUM($B167:P167)&lt;VLOOKUP($B160,$P$357:$R$360,3,0)/$H$367),1-SUM($B167:P167),IF(ROUNDDOWN(S166,0)&gt;=ROUNDDOWN($C$367,0),IF(ROUNDDOWN(S166,0)=ROUNDDOWN($C$367,0),ROUND($E$367*VLOOKUP($B160,$P$357:$R$360,3,0)/$H$367,2),ROUND(VLOOKUP($B160,$P$357:$R$360,3,0)/$H$367,2)),0)))</f>
        <v>0</v>
      </c>
      <c r="V167" s="2924">
        <f>IF(OR($B162=0,$B162="",$B160=""),0,IF(AND(ROUNDDOWN(V166,0)&gt;=ROUNDDOWN($C$367,0),1-SUM($B167:S167)&lt;VLOOKUP($B160,$P$357:$R$360,3,0)/$H$367),1-SUM($B167:S167),IF(ROUNDDOWN(V166,0)&gt;=ROUNDDOWN($C$367,0),IF(ROUNDDOWN(V166,0)=ROUNDDOWN($C$367,0),ROUND($E$367*VLOOKUP($B160,$P$357:$R$360,3,0)/$H$367,2),ROUND(VLOOKUP($B160,$P$357:$R$360,3,0)/$H$367,2)),0)))</f>
        <v>0</v>
      </c>
      <c r="Y167" s="2924">
        <f>IF(OR($B162=0,$B162="",$B160=""),0,IF(AND(ROUNDDOWN(Y166,0)&gt;=ROUNDDOWN($C$367,0),1-SUM($B167:V167)&lt;VLOOKUP($B160,$P$357:$R$360,3,0)/$H$367),1-SUM($B167:V167),IF(ROUNDDOWN(Y166,0)&gt;=ROUNDDOWN($C$367,0),IF(ROUNDDOWN(Y166,0)=ROUNDDOWN($C$367,0),ROUND($E$367*VLOOKUP($B160,$P$357:$R$360,3,0)/$H$367,2),ROUND(VLOOKUP($B160,$P$357:$R$360,3,0)/$H$367,2)),0)))</f>
        <v>0</v>
      </c>
      <c r="AB167" s="2924">
        <f>IF(OR($B162=0,$B162="",$B160=""),0,IF(AND(ROUNDDOWN(AB166,0)&gt;=ROUNDDOWN($C$367,0),1-SUM($B167:Y167)&lt;VLOOKUP($B160,$P$357:$R$360,3,0)/$H$367),1-SUM($B167:Y167),IF(ROUNDDOWN(AB166,0)&gt;=ROUNDDOWN($C$367,0),IF(ROUNDDOWN(AB166,0)=ROUNDDOWN($C$367,0),ROUND($E$367*VLOOKUP($B160,$P$357:$R$360,3,0)/$H$367,2),ROUND(VLOOKUP($B160,$P$357:$R$360,3,0)/$H$367,2)),0)))</f>
        <v>0</v>
      </c>
      <c r="AE167" s="2924">
        <f>IF(OR($B162=0,$B162="",$B160=""),0,IF(AND(ROUNDDOWN(AE166,0)&gt;=ROUNDDOWN($C$367,0),1-SUM($B167:AB167)&lt;VLOOKUP($B160,$P$357:$R$360,3,0)/$H$367),1-SUM($B167:AB167),IF(ROUNDDOWN(AE166,0)&gt;=ROUNDDOWN($C$367,0),IF(ROUNDDOWN(AE166,0)=ROUNDDOWN($C$367,0),ROUND($E$367*VLOOKUP($B160,$P$357:$R$360,3,0)/$H$367,2),ROUND(VLOOKUP($B160,$P$357:$R$360,3,0)/$H$367,2)),0)))</f>
        <v>0</v>
      </c>
      <c r="AH167" s="2924">
        <f>IF(OR($B162=0,$B162="",$B160=""),0,IF(AND(ROUNDDOWN(AH166,0)&gt;=ROUNDDOWN($C$367,0),1-SUM($B167:AE167)&lt;VLOOKUP($B160,$P$357:$R$360,3,0)/$H$367),1-SUM($B167:AE167),IF(ROUNDDOWN(AH166,0)&gt;=ROUNDDOWN($C$367,0),IF(ROUNDDOWN(AH166,0)=ROUNDDOWN($C$367,0),ROUND($E$367*VLOOKUP($B160,$P$357:$R$360,3,0)/$H$367,2),ROUND(VLOOKUP($B160,$P$357:$R$360,3,0)/$H$367,2)),0)))</f>
        <v>0</v>
      </c>
      <c r="AK167" s="2924">
        <f>IF(OR($B162=0,$B162="",$B160=""),0,IF(AND(ROUNDDOWN(AK166,0)&gt;=ROUNDDOWN($C$367,0),1-SUM($B167:AH167)&lt;VLOOKUP($B160,$P$357:$R$360,3,0)/$H$367),1-SUM($B167:AH167),IF(ROUNDDOWN(AK166,0)&gt;=ROUNDDOWN($C$367,0),IF(ROUNDDOWN(AK166,0)=ROUNDDOWN($C$367,0),ROUND($E$367*VLOOKUP($B160,$P$357:$R$360,3,0)/$H$367,2),ROUND(VLOOKUP($B160,$P$357:$R$360,3,0)/$H$367,2)),0)))</f>
        <v>0</v>
      </c>
      <c r="AN167" s="2924">
        <f>IF(OR($B162=0,$B162="",$B160=""),0,IF(AND(ROUNDDOWN(AN166,0)&gt;=ROUNDDOWN($C$367,0),1-SUM($B167:AK167)&lt;VLOOKUP($B160,$P$357:$R$360,3,0)/$H$367),1-SUM($B167:AK167),IF(ROUNDDOWN(AN166,0)&gt;=ROUNDDOWN($C$367,0),IF(ROUNDDOWN(AN166,0)=ROUNDDOWN($C$367,0),ROUND($E$367*VLOOKUP($B160,$P$357:$R$360,3,0)/$H$367,2),ROUND(VLOOKUP($B160,$P$357:$R$360,3,0)/$H$367,2)),0)))</f>
        <v>0</v>
      </c>
      <c r="AQ167" s="2924">
        <f>IF(OR($B162=0,$B162="",$B160=""),0,IF(AND(ROUNDDOWN(AQ166,0)&gt;=ROUNDDOWN($C$367,0),1-SUM($B167:AN167)&lt;VLOOKUP($B160,$P$357:$R$360,3,0)/$H$367),1-SUM($B167:AN167),IF(ROUNDDOWN(AQ166,0)&gt;=ROUNDDOWN($C$367,0),IF(ROUNDDOWN(AQ166,0)=ROUNDDOWN($C$367,0),ROUND($E$367*VLOOKUP($B160,$P$357:$R$360,3,0)/$H$367,2),ROUND(VLOOKUP($B160,$P$357:$R$360,3,0)/$H$367,2)),0)))</f>
        <v>0</v>
      </c>
      <c r="AT167" s="2924">
        <f>IF(OR($B162=0,$B162="",$B160=""),0,IF(AND(ROUNDDOWN(AT166,0)&gt;=ROUNDDOWN($C$367,0),1-SUM($B167:AQ167)&lt;VLOOKUP($B160,$P$357:$R$360,3,0)/$H$367),1-SUM($B167:AQ167),IF(ROUNDDOWN(AT166,0)&gt;=ROUNDDOWN($C$367,0),IF(ROUNDDOWN(AT166,0)=ROUNDDOWN($C$367,0),ROUND($E$367*VLOOKUP($B160,$P$357:$R$360,3,0)/$H$367,2),ROUND(VLOOKUP($B160,$P$357:$R$360,3,0)/$H$367,2)),0)))</f>
        <v>0</v>
      </c>
      <c r="AV167" s="2918"/>
    </row>
    <row r="168" spans="1:48" x14ac:dyDescent="0.2">
      <c r="A168" s="2925" t="s">
        <v>2048</v>
      </c>
      <c r="B168" s="2926">
        <f>$B161*B167</f>
        <v>0</v>
      </c>
      <c r="D168" s="2926">
        <f ca="1">IF($B165&gt;D166,0,D167*$B161)</f>
        <v>0</v>
      </c>
      <c r="G168" s="2926">
        <f ca="1">IF($B165&gt;G166,0,G167*$B161)</f>
        <v>0</v>
      </c>
      <c r="J168" s="2926">
        <f ca="1">IF($B165&gt;J166,0,J167*$B161)</f>
        <v>0</v>
      </c>
      <c r="M168" s="2926">
        <f ca="1">IF($B165&gt;M166,0,M167*$B161)</f>
        <v>0</v>
      </c>
      <c r="P168" s="2926">
        <f ca="1">IF($B165&gt;P166,0,P167*$B161)</f>
        <v>0</v>
      </c>
      <c r="S168" s="2926">
        <f ca="1">IF($B165&gt;S166,0,S167*$B161)</f>
        <v>0</v>
      </c>
      <c r="V168" s="2926">
        <f ca="1">IF($B165&gt;V166,0,V167*$B161)</f>
        <v>0</v>
      </c>
      <c r="Y168" s="2926">
        <f ca="1">IF($B165&gt;Y166,0,Y167*$B161)</f>
        <v>0</v>
      </c>
      <c r="AB168" s="2926">
        <f ca="1">IF($B165&gt;AB166,0,AB167*$B161)</f>
        <v>0</v>
      </c>
      <c r="AE168" s="2926">
        <f ca="1">IF($B165&gt;AE166,0,AE167*$B161)</f>
        <v>0</v>
      </c>
      <c r="AH168" s="2926">
        <f ca="1">IF($B165&gt;AH166,0,AH167*$B161)</f>
        <v>0</v>
      </c>
      <c r="AK168" s="2926">
        <f ca="1">IF($B165&gt;AK166,0,AK167*$B161)</f>
        <v>0</v>
      </c>
      <c r="AN168" s="2926">
        <f ca="1">IF($B165&gt;AN166,0,AN167*$B161)</f>
        <v>0</v>
      </c>
      <c r="AQ168" s="2926">
        <f ca="1">IF($B165&gt;AQ166,0,AQ167*$B161)</f>
        <v>0</v>
      </c>
      <c r="AT168" s="2926">
        <f ca="1">IF($B165&gt;AT166,0,AT167*$B161)</f>
        <v>0</v>
      </c>
      <c r="AV168" s="2918"/>
    </row>
    <row r="169" spans="1:48" x14ac:dyDescent="0.2">
      <c r="A169" s="2919" t="s">
        <v>2049</v>
      </c>
      <c r="B169" s="2927">
        <f ca="1">IF($B165&gt;B166,0,B161-B168)</f>
        <v>0</v>
      </c>
      <c r="D169" s="2927">
        <f ca="1">IF($B165&gt;D166,0,IF($B165=D166,$B161-D168,IF(+B169-D168&lt;0.005,0,B169-D168)))</f>
        <v>0</v>
      </c>
      <c r="G169" s="2927">
        <f ca="1">IF($B165&gt;G166,0,IF($B165=G166,$B161-G168,IF(D169-G168&lt;0.005,0,D169-G168)))</f>
        <v>0</v>
      </c>
      <c r="J169" s="2927">
        <f ca="1">IF($B165&gt;J166,0,IF($B165=J166,$B161-J168,IF(G169-J168&lt;0.005,0,G169-J168)))</f>
        <v>0</v>
      </c>
      <c r="M169" s="2927">
        <f ca="1">IF($B165&gt;M166,0,IF($B165=M166,$B161-M168,IF(J169-M168&lt;0.005,0,J169-M168)))</f>
        <v>0</v>
      </c>
      <c r="P169" s="2927">
        <f ca="1">IF($B165&gt;P166,0,IF($B165=P166,$B161-P168,IF(M169-P168&lt;0.005,0,M169-P168)))</f>
        <v>0</v>
      </c>
      <c r="S169" s="2927">
        <f ca="1">IF($B165&gt;S166,0,IF($B165=S166,$B161-S168,IF(P169-S168&lt;0.005,0,P169-S168)))</f>
        <v>0</v>
      </c>
      <c r="V169" s="2927">
        <f ca="1">IF($B165&gt;V166,0,IF($B165=V166,$B161-V168,IF(S169-V168&lt;0.005,0,S169-V168)))</f>
        <v>0</v>
      </c>
      <c r="Y169" s="2927">
        <f ca="1">IF($B165&gt;Y166,0,IF($B165=Y166,$B161-Y168,IF(V169-Y168&lt;0.005,0,V169-Y168)))</f>
        <v>0</v>
      </c>
      <c r="AB169" s="2927">
        <f ca="1">IF($B165&gt;AB166,0,IF($B165=AB166,$B161-AB168,IF(Y169-AB168&lt;0.005,0,Y169-AB168)))</f>
        <v>0</v>
      </c>
      <c r="AE169" s="2927">
        <f ca="1">IF($B165&gt;AE166,0,IF($B165=AE166,$B161-AE168,IF(AB169-AE168&lt;0.005,0,AB169-AE168)))</f>
        <v>0</v>
      </c>
      <c r="AH169" s="2927">
        <f ca="1">IF($B165&gt;AH166,0,IF($B165=AH166,$B161-AH168,IF(AE169-AH168&lt;0.005,0,AE169-AH168)))</f>
        <v>0</v>
      </c>
      <c r="AK169" s="2927">
        <f ca="1">IF($B165&gt;AK166,0,IF($B165=AK166,$B161-AK168,IF(AH169-AK168&lt;0.005,0,AH169-AK168)))</f>
        <v>0</v>
      </c>
      <c r="AN169" s="2927">
        <f ca="1">IF($B165&gt;AN166,0,IF($B165=AN166,$B161-AN168,IF(AK169-AN168&lt;0.005,0,AK169-AN168)))</f>
        <v>0</v>
      </c>
      <c r="AQ169" s="2927">
        <f ca="1">IF($B165&gt;AQ166,0,IF($B165=AQ166,$B161-AQ168,IF(AN169-AQ168&lt;0.005,0,AN169-AQ168)))</f>
        <v>0</v>
      </c>
      <c r="AT169" s="2927">
        <f ca="1">IF($B165&gt;AT166,0,IF($B165=AT166,$B161-AT168,IF(AQ169-AT168&lt;0.005,0,AQ169-AT168)))</f>
        <v>0</v>
      </c>
      <c r="AV169" s="2918"/>
    </row>
    <row r="170" spans="1:48" x14ac:dyDescent="0.2">
      <c r="A170" s="2923" t="s">
        <v>2050</v>
      </c>
      <c r="B170" s="2924"/>
      <c r="D170" s="2924">
        <f>B170</f>
        <v>0</v>
      </c>
      <c r="G170" s="2924">
        <f>D170</f>
        <v>0</v>
      </c>
      <c r="J170" s="2924">
        <f>G170</f>
        <v>0</v>
      </c>
      <c r="M170" s="2924">
        <f>J170</f>
        <v>0</v>
      </c>
      <c r="P170" s="2924">
        <f>M170</f>
        <v>0</v>
      </c>
      <c r="S170" s="2924">
        <f>P170</f>
        <v>0</v>
      </c>
      <c r="V170" s="2924">
        <f>S170</f>
        <v>0</v>
      </c>
      <c r="Y170" s="2924">
        <f>V170</f>
        <v>0</v>
      </c>
      <c r="AB170" s="2924">
        <f>Y170</f>
        <v>0</v>
      </c>
      <c r="AE170" s="2924">
        <f>AB170</f>
        <v>0</v>
      </c>
      <c r="AH170" s="2924">
        <f>AE170</f>
        <v>0</v>
      </c>
      <c r="AK170" s="2924">
        <f>AH170</f>
        <v>0</v>
      </c>
      <c r="AN170" s="2924">
        <f>AK170</f>
        <v>0</v>
      </c>
      <c r="AQ170" s="2924">
        <f>AN170</f>
        <v>0</v>
      </c>
      <c r="AT170" s="2924">
        <f>AQ170</f>
        <v>0</v>
      </c>
      <c r="AV170" s="2918"/>
    </row>
    <row r="171" spans="1:48" x14ac:dyDescent="0.2">
      <c r="A171" s="2923" t="s">
        <v>2051</v>
      </c>
      <c r="B171" s="2928">
        <f ca="1">IF(OR($B165&lt;&gt;B166,B170="",B170=0),0,IF(AND(B167=0,$I$367=1),B170,IF(B167=0,NOMINAL(B170,12)*IF($B165=B166,$I$367,1),IF(AND($B165=B166,ROUNDDOWN($C$367,0)=B166),$E$367,1)*NOMINAL(B170,VLOOKUP($B160,$P$357:$R$360,3,0))/VLOOKUP($B160,$P$357:$R$360,3,0)))*((IF(B167=0,1,IF(AND($B165=B166,B167&lt;ROUNDDOWN(VLOOKUP($B160,$P$357:$R$360,3,0)/$H$367,0)),ROUNDDOWN(B167*$H$367,0),IF(AND($B165&lt;B166,B167&lt;ROUNDDOWN(VLOOKUP($B160,$P$357:$R$360,3,0)/$H$367,0)),ROUND(AVERAGE(ROUNDDOWN(B167*$H$367,0),2*VLOOKUP($B160,$P$357:$R$360,3,0)),0),VLOOKUP($B160,$P$357:$R$360,3,0))))*$B161)-((B168*(IF(B167=0,1,IF(AND($B165=B166,B167&lt;ROUNDDOWN(VLOOKUP($B160,$P$357:$R$360,3,0)/$H$367,0)),ROUNDDOWN(B167*$H$367,0),IF(AND($B165&lt;B166,B167&lt;ROUNDDOWN(VLOOKUP($B160,$P$357:$R$360,3,0)/$H$367,0)),ROUND(AVERAGE(ROUNDDOWN(B167*$H$367,0),2*VLOOKUP($B160,$P$357:$R$360,3,0)),0),VLOOKUP($B160,$P$357:$R$360,3,0))))-1))/2)))</f>
        <v>0</v>
      </c>
      <c r="C171" s="21"/>
      <c r="D171" s="2928">
        <f ca="1">IF(OR($B165&gt;D166,D170="",D170=0),0,IF(AND(D167=0,OR(D166&gt;$B165,$I$367=1)),D170,IF(D167=0,NOMINAL(D170,12)*IF($B165=D166,$I$367,1),IF(AND($B165=D166,ROUNDDOWN($C$367,0)=D166),$E$367,1)*NOMINAL(D170,VLOOKUP($B160,$P$357:$R$360,3,0))/VLOOKUP($B160,$P$357:$R$360,3,0)))*((IF(D167=0,1,IF(AND($B165=D166,D167&lt;ROUNDDOWN(VLOOKUP($B160,$P$357:$R$360,3,0)/$H$367,0)),ROUNDDOWN(D167*$H$367,0),IF(AND($B165&lt;D166,D167&lt;ROUNDDOWN(VLOOKUP($B160,$P$357:$R$360,3,0)/$H$367,0)),ROUND(AVERAGE(ROUNDDOWN(D167*$H$367,0),2*VLOOKUP($B160,$P$357:$R$360,3,0)),0),VLOOKUP($B160,$P$357:$R$360,3,0))))*IF($B165=D166,$B161,SUM(B169:B169)))-((D168*(IF(D167=0,1,IF(AND($B165=D166,D167&lt;ROUNDDOWN(VLOOKUP($B160,$P$357:$R$360,3,0)/$H$367,0)),ROUNDDOWN(D167*$H$367,0),IF(AND($B165&lt;D166,D167&lt;ROUNDDOWN(VLOOKUP($B160,$P$357:$R$360,3,0)/$H$367,0)),ROUND(AVERAGE(ROUNDDOWN(D167*$H$367,0),2*VLOOKUP($B160,$P$357:$R$360,3,0)),0),VLOOKUP($B160,$P$357:$R$360,3,0))))-1))/2)))</f>
        <v>0</v>
      </c>
      <c r="E171" s="21"/>
      <c r="F171" s="21"/>
      <c r="G171" s="2928">
        <f ca="1">IF(OR($B165&gt;G166,G170="",G170=0),0,IF(AND(G167=0,OR(G166&gt;$B165,$I$367=1)),G170,IF(G167=0,NOMINAL(G170,12)*IF($B165=G166,$I$367,1),IF(AND($B165=G166,ROUNDDOWN($C$367,0)=G166),$E$367,1)*NOMINAL(G170,VLOOKUP($B160,$P$357:$R$360,3,0))/VLOOKUP($B160,$P$357:$R$360,3,0)))*((IF(G167=0,1,IF(AND($B165=G166,G167&lt;ROUNDDOWN(VLOOKUP($B160,$P$357:$R$360,3,0)/$H$367,0)),ROUNDDOWN(G167*$H$367,0),IF(AND($B165&lt;G166,G167&lt;ROUNDDOWN(VLOOKUP($B160,$P$357:$R$360,3,0)/$H$367,0)),ROUND(AVERAGE(ROUNDDOWN(G167*$H$367,0),2*VLOOKUP($B160,$P$357:$R$360,3,0)),0),VLOOKUP($B160,$P$357:$R$360,3,0))))*IF($B165=G166,$B161,SUM(D169:D169)))-((G168*(IF(G167=0,1,IF(AND($B165=G166,G167&lt;ROUNDDOWN(VLOOKUP($B160,$P$357:$R$360,3,0)/$H$367,0)),ROUNDDOWN(G167*$H$367,0),IF(AND($B165&lt;G166,G167&lt;ROUNDDOWN(VLOOKUP($B160,$P$357:$R$360,3,0)/$H$367,0)),ROUND(AVERAGE(ROUNDDOWN(G167*$H$367,0),2*VLOOKUP($B160,$P$357:$R$360,3,0)),0),VLOOKUP($B160,$P$357:$R$360,3,0))))-1))/2)))</f>
        <v>0</v>
      </c>
      <c r="H171" s="21"/>
      <c r="I171" s="21"/>
      <c r="J171" s="2928">
        <f ca="1">IF(OR($B165&gt;J166,J170="",J170=0),0,IF(AND(J167=0,OR(J166&gt;$B165,$I$367=1)),J170,IF(J167=0,NOMINAL(J170,12)*IF($B165=J166,$I$367,1),IF(AND($B165=J166,ROUNDDOWN($C$367,0)=J166),$E$367,1)*NOMINAL(J170,VLOOKUP($B160,$P$357:$R$360,3,0))/VLOOKUP($B160,$P$357:$R$360,3,0)))*((IF(J167=0,1,IF(AND($B165=J166,J167&lt;ROUNDDOWN(VLOOKUP($B160,$P$357:$R$360,3,0)/$H$367,0)),ROUNDDOWN(J167*$H$367,0),IF(AND($B165&lt;J166,J167&lt;ROUNDDOWN(VLOOKUP($B160,$P$357:$R$360,3,0)/$H$367,0)),ROUND(AVERAGE(ROUNDDOWN(J167*$H$367,0),2*VLOOKUP($B160,$P$357:$R$360,3,0)),0),VLOOKUP($B160,$P$357:$R$360,3,0))))*IF($B165=J166,$B161,SUM(G169:G169)))-((J168*(IF(J167=0,1,IF(AND($B165=J166,J167&lt;ROUNDDOWN(VLOOKUP($B160,$P$357:$R$360,3,0)/$H$367,0)),ROUNDDOWN(J167*$H$367,0),IF(AND($B165&lt;J166,J167&lt;ROUNDDOWN(VLOOKUP($B160,$P$357:$R$360,3,0)/$H$367,0)),ROUND(AVERAGE(ROUNDDOWN(J167*$H$367,0),2*VLOOKUP($B160,$P$357:$R$360,3,0)),0),VLOOKUP($B160,$P$357:$R$360,3,0))))-1))/2)))</f>
        <v>0</v>
      </c>
      <c r="K171" s="21"/>
      <c r="L171" s="21"/>
      <c r="M171" s="2928">
        <f ca="1">IF(OR($B165&gt;M166,M170="",M170=0),0,IF(AND(M167=0,OR(M166&gt;$B165,$I$367=1)),M170,IF(M167=0,NOMINAL(M170,12)*IF($B165=M166,$I$367,1),IF(AND($B165=M166,ROUNDDOWN($C$367,0)=M166),$E$367,1)*NOMINAL(M170,VLOOKUP($B160,$P$357:$R$360,3,0))/VLOOKUP($B160,$P$357:$R$360,3,0)))*((IF(M167=0,1,IF(AND($B165=M166,M167&lt;ROUNDDOWN(VLOOKUP($B160,$P$357:$R$360,3,0)/$H$367,0)),ROUNDDOWN(M167*$H$367,0),IF(AND($B165&lt;M166,M167&lt;ROUNDDOWN(VLOOKUP($B160,$P$357:$R$360,3,0)/$H$367,0)),ROUND(AVERAGE(ROUNDDOWN(M167*$H$367,0),2*VLOOKUP($B160,$P$357:$R$360,3,0)),0),VLOOKUP($B160,$P$357:$R$360,3,0))))*IF($B165=M166,$B161,SUM(J169:J169)))-((M168*(IF(M167=0,1,IF(AND($B165=M166,M167&lt;ROUNDDOWN(VLOOKUP($B160,$P$357:$R$360,3,0)/$H$367,0)),ROUNDDOWN(M167*$H$367,0),IF(AND($B165&lt;M166,M167&lt;ROUNDDOWN(VLOOKUP($B160,$P$357:$R$360,3,0)/$H$367,0)),ROUND(AVERAGE(ROUNDDOWN(M167*$H$367,0),2*VLOOKUP($B160,$P$357:$R$360,3,0)),0),VLOOKUP($B160,$P$357:$R$360,3,0))))-1))/2)))</f>
        <v>0</v>
      </c>
      <c r="N171" s="21"/>
      <c r="O171" s="21"/>
      <c r="P171" s="2928">
        <f ca="1">IF(OR($B165&gt;P166,P170="",P170=0),0,IF(AND(P167=0,OR(P166&gt;$B165,$I$367=1)),P170,IF(P167=0,NOMINAL(P170,12)*IF($B165=P166,$I$367,1),IF(AND($B165=P166,ROUNDDOWN($C$367,0)=P166),$E$367,1)*NOMINAL(P170,VLOOKUP($B160,$P$357:$R$360,3,0))/VLOOKUP($B160,$P$357:$R$360,3,0)))*((IF(P167=0,1,IF(AND($B165=P166,P167&lt;ROUNDDOWN(VLOOKUP($B160,$P$357:$R$360,3,0)/$H$367,0)),ROUNDDOWN(P167*$H$367,0),IF(AND($B165&lt;P166,P167&lt;ROUNDDOWN(VLOOKUP($B160,$P$357:$R$360,3,0)/$H$367,0)),ROUND(AVERAGE(ROUNDDOWN(P167*$H$367,0),2*VLOOKUP($B160,$P$357:$R$360,3,0)),0),VLOOKUP($B160,$P$357:$R$360,3,0))))*IF($B165=P166,$B161,SUM(M169:M169)))-((P168*(IF(P167=0,1,IF(AND($B165=P166,P167&lt;ROUNDDOWN(VLOOKUP($B160,$P$357:$R$360,3,0)/$H$367,0)),ROUNDDOWN(P167*$H$367,0),IF(AND($B165&lt;P166,P167&lt;ROUNDDOWN(VLOOKUP($B160,$P$357:$R$360,3,0)/$H$367,0)),ROUND(AVERAGE(ROUNDDOWN(P167*$H$367,0),2*VLOOKUP($B160,$P$357:$R$360,3,0)),0),VLOOKUP($B160,$P$357:$R$360,3,0))))-1))/2)))</f>
        <v>0</v>
      </c>
      <c r="Q171" s="21"/>
      <c r="R171" s="21"/>
      <c r="S171" s="2928">
        <f ca="1">IF(OR($B165&gt;S166,S170="",S170=0),0,IF(AND(S167=0,OR(S166&gt;$B165,$I$367=1)),S170,IF(S167=0,NOMINAL(S170,12)*IF($B165=S166,$I$367,1),IF(AND($B165=S166,ROUNDDOWN($C$367,0)=S166),$E$367,1)*NOMINAL(S170,VLOOKUP($B160,$P$357:$R$360,3,0))/VLOOKUP($B160,$P$357:$R$360,3,0)))*((IF(S167=0,1,IF(AND($B165=S166,S167&lt;ROUNDDOWN(VLOOKUP($B160,$P$357:$R$360,3,0)/$H$367,0)),ROUNDDOWN(S167*$H$367,0),IF(AND($B165&lt;S166,S167&lt;ROUNDDOWN(VLOOKUP($B160,$P$357:$R$360,3,0)/$H$367,0)),ROUND(AVERAGE(ROUNDDOWN(S167*$H$367,0),2*VLOOKUP($B160,$P$357:$R$360,3,0)),0),VLOOKUP($B160,$P$357:$R$360,3,0))))*IF($B165=S166,$B161,SUM(P169:P169)))-((S168*(IF(S167=0,1,IF(AND($B165=S166,S167&lt;ROUNDDOWN(VLOOKUP($B160,$P$357:$R$360,3,0)/$H$367,0)),ROUNDDOWN(S167*$H$367,0),IF(AND($B165&lt;S166,S167&lt;ROUNDDOWN(VLOOKUP($B160,$P$357:$R$360,3,0)/$H$367,0)),ROUND(AVERAGE(ROUNDDOWN(S167*$H$367,0),2*VLOOKUP($B160,$P$357:$R$360,3,0)),0),VLOOKUP($B160,$P$357:$R$360,3,0))))-1))/2)))</f>
        <v>0</v>
      </c>
      <c r="T171" s="21"/>
      <c r="U171" s="21"/>
      <c r="V171" s="2928">
        <f ca="1">IF(OR($B165&gt;V166,V170="",V170=0),0,IF(AND(V167=0,OR(V166&gt;$B165,$I$367=1)),V170,IF(V167=0,NOMINAL(V170,12)*IF($B165=V166,$I$367,1),IF(AND($B165=V166,ROUNDDOWN($C$367,0)=V166),$E$367,1)*NOMINAL(V170,VLOOKUP($B160,$P$357:$R$360,3,0))/VLOOKUP($B160,$P$357:$R$360,3,0)))*((IF(V167=0,1,IF(AND($B165=V166,V167&lt;ROUNDDOWN(VLOOKUP($B160,$P$357:$R$360,3,0)/$H$367,0)),ROUNDDOWN(V167*$H$367,0),IF(AND($B165&lt;V166,V167&lt;ROUNDDOWN(VLOOKUP($B160,$P$357:$R$360,3,0)/$H$367,0)),ROUND(AVERAGE(ROUNDDOWN(V167*$H$367,0),2*VLOOKUP($B160,$P$357:$R$360,3,0)),0),VLOOKUP($B160,$P$357:$R$360,3,0))))*IF($B165=V166,$B161,SUM(S169:S169)))-((V168*(IF(V167=0,1,IF(AND($B165=V166,V167&lt;ROUNDDOWN(VLOOKUP($B160,$P$357:$R$360,3,0)/$H$367,0)),ROUNDDOWN(V167*$H$367,0),IF(AND($B165&lt;V166,V167&lt;ROUNDDOWN(VLOOKUP($B160,$P$357:$R$360,3,0)/$H$367,0)),ROUND(AVERAGE(ROUNDDOWN(V167*$H$367,0),2*VLOOKUP($B160,$P$357:$R$360,3,0)),0),VLOOKUP($B160,$P$357:$R$360,3,0))))-1))/2)))</f>
        <v>0</v>
      </c>
      <c r="W171" s="21"/>
      <c r="X171" s="21"/>
      <c r="Y171" s="2928">
        <f ca="1">IF(OR($B165&gt;Y166,Y170="",Y170=0),0,IF(AND(Y167=0,OR(Y166&gt;$B165,$I$367=1)),Y170,IF(Y167=0,NOMINAL(Y170,12)*IF($B165=Y166,$I$367,1),IF(AND($B165=Y166,ROUNDDOWN($C$367,0)=Y166),$E$367,1)*NOMINAL(Y170,VLOOKUP($B160,$P$357:$R$360,3,0))/VLOOKUP($B160,$P$357:$R$360,3,0)))*((IF(Y167=0,1,IF(AND($B165=Y166,Y167&lt;ROUNDDOWN(VLOOKUP($B160,$P$357:$R$360,3,0)/$H$367,0)),ROUNDDOWN(Y167*$H$367,0),IF(AND($B165&lt;Y166,Y167&lt;ROUNDDOWN(VLOOKUP($B160,$P$357:$R$360,3,0)/$H$367,0)),ROUND(AVERAGE(ROUNDDOWN(Y167*$H$367,0),2*VLOOKUP($B160,$P$357:$R$360,3,0)),0),VLOOKUP($B160,$P$357:$R$360,3,0))))*IF($B165=Y166,$B161,SUM(V169:V169)))-((Y168*(IF(Y167=0,1,IF(AND($B165=Y166,Y167&lt;ROUNDDOWN(VLOOKUP($B160,$P$357:$R$360,3,0)/$H$367,0)),ROUNDDOWN(Y167*$H$367,0),IF(AND($B165&lt;Y166,Y167&lt;ROUNDDOWN(VLOOKUP($B160,$P$357:$R$360,3,0)/$H$367,0)),ROUND(AVERAGE(ROUNDDOWN(Y167*$H$367,0),2*VLOOKUP($B160,$P$357:$R$360,3,0)),0),VLOOKUP($B160,$P$357:$R$360,3,0))))-1))/2)))</f>
        <v>0</v>
      </c>
      <c r="Z171" s="21"/>
      <c r="AA171" s="21"/>
      <c r="AB171" s="2928">
        <f ca="1">IF(OR($B165&gt;AB166,AB170="",AB170=0),0,IF(AND(AB167=0,OR(AB166&gt;$B165,$I$367=1)),AB170,IF(AB167=0,NOMINAL(AB170,12)*IF($B165=AB166,$I$367,1),IF(AND($B165=AB166,ROUNDDOWN($C$367,0)=AB166),$E$367,1)*NOMINAL(AB170,VLOOKUP($B160,$P$357:$R$360,3,0))/VLOOKUP($B160,$P$357:$R$360,3,0)))*((IF(AB167=0,1,IF(AND($B165=AB166,AB167&lt;ROUNDDOWN(VLOOKUP($B160,$P$357:$R$360,3,0)/$H$367,0)),ROUNDDOWN(AB167*$H$367,0),IF(AND($B165&lt;AB166,AB167&lt;ROUNDDOWN(VLOOKUP($B160,$P$357:$R$360,3,0)/$H$367,0)),ROUND(AVERAGE(ROUNDDOWN(AB167*$H$367,0),2*VLOOKUP($B160,$P$357:$R$360,3,0)),0),VLOOKUP($B160,$P$357:$R$360,3,0))))*IF($B165=AB166,$B161,SUM(Y169:Y169)))-((AB168*(IF(AB167=0,1,IF(AND($B165=AB166,AB167&lt;ROUNDDOWN(VLOOKUP($B160,$P$357:$R$360,3,0)/$H$367,0)),ROUNDDOWN(AB167*$H$367,0),IF(AND($B165&lt;AB166,AB167&lt;ROUNDDOWN(VLOOKUP($B160,$P$357:$R$360,3,0)/$H$367,0)),ROUND(AVERAGE(ROUNDDOWN(AB167*$H$367,0),2*VLOOKUP($B160,$P$357:$R$360,3,0)),0),VLOOKUP($B160,$P$357:$R$360,3,0))))-1))/2)))</f>
        <v>0</v>
      </c>
      <c r="AC171" s="21"/>
      <c r="AD171" s="21"/>
      <c r="AE171" s="2928">
        <f ca="1">IF(OR($B165&gt;AE166,AE170="",AE170=0),0,IF(AND(AE167=0,OR(AE166&gt;$B165,$I$367=1)),AE170,IF(AE167=0,NOMINAL(AE170,12)*IF($B165=AE166,$I$367,1),IF(AND($B165=AE166,ROUNDDOWN($C$367,0)=AE166),$E$367,1)*NOMINAL(AE170,VLOOKUP($B160,$P$357:$R$360,3,0))/VLOOKUP($B160,$P$357:$R$360,3,0)))*((IF(AE167=0,1,IF(AND($B165=AE166,AE167&lt;ROUNDDOWN(VLOOKUP($B160,$P$357:$R$360,3,0)/$H$367,0)),ROUNDDOWN(AE167*$H$367,0),IF(AND($B165&lt;AE166,AE167&lt;ROUNDDOWN(VLOOKUP($B160,$P$357:$R$360,3,0)/$H$367,0)),ROUND(AVERAGE(ROUNDDOWN(AE167*$H$367,0),2*VLOOKUP($B160,$P$357:$R$360,3,0)),0),VLOOKUP($B160,$P$357:$R$360,3,0))))*IF($B165=AE166,$B161,SUM(AB169:AB169)))-((AE168*(IF(AE167=0,1,IF(AND($B165=AE166,AE167&lt;ROUNDDOWN(VLOOKUP($B160,$P$357:$R$360,3,0)/$H$367,0)),ROUNDDOWN(AE167*$H$367,0),IF(AND($B165&lt;AE166,AE167&lt;ROUNDDOWN(VLOOKUP($B160,$P$357:$R$360,3,0)/$H$367,0)),ROUND(AVERAGE(ROUNDDOWN(AE167*$H$367,0),2*VLOOKUP($B160,$P$357:$R$360,3,0)),0),VLOOKUP($B160,$P$357:$R$360,3,0))))-1))/2)))</f>
        <v>0</v>
      </c>
      <c r="AF171" s="2929"/>
      <c r="AG171" s="21"/>
      <c r="AH171" s="2928">
        <f ca="1">IF(OR($B165&gt;AH166,AH170="",AH170=0),0,IF(AND(AH167=0,OR(AH166&gt;$B165,$I$367=1)),AH170,IF(AH167=0,NOMINAL(AH170,12)*IF($B165=AH166,$I$367,1),IF(AND($B165=AH166,ROUNDDOWN($C$367,0)=AH166),$E$367,1)*NOMINAL(AH170,VLOOKUP($B160,$P$357:$R$360,3,0))/VLOOKUP($B160,$P$357:$R$360,3,0)))*((IF(AH167=0,1,IF(AND($B165=AH166,AH167&lt;ROUNDDOWN(VLOOKUP($B160,$P$357:$R$360,3,0)/$H$367,0)),ROUNDDOWN(AH167*$H$367,0),IF(AND($B165&lt;AH166,AH167&lt;ROUNDDOWN(VLOOKUP($B160,$P$357:$R$360,3,0)/$H$367,0)),ROUND(AVERAGE(ROUNDDOWN(AH167*$H$367,0),2*VLOOKUP($B160,$P$357:$R$360,3,0)),0),VLOOKUP($B160,$P$357:$R$360,3,0))))*IF($B165=AH166,$B161,SUM(AE169:AE169)))-((AH168*(IF(AH167=0,1,IF(AND($B165=AH166,AH167&lt;ROUNDDOWN(VLOOKUP($B160,$P$357:$R$360,3,0)/$H$367,0)),ROUNDDOWN(AH167*$H$367,0),IF(AND($B165&lt;AH166,AH167&lt;ROUNDDOWN(VLOOKUP($B160,$P$357:$R$360,3,0)/$H$367,0)),ROUND(AVERAGE(ROUNDDOWN(AH167*$H$367,0),2*VLOOKUP($B160,$P$357:$R$360,3,0)),0),VLOOKUP($B160,$P$357:$R$360,3,0))))-1))/2)))</f>
        <v>0</v>
      </c>
      <c r="AI171" s="21"/>
      <c r="AJ171" s="21"/>
      <c r="AK171" s="2928">
        <f ca="1">IF(OR($B165&gt;AK166,AK170="",AK170=0),0,IF(AND(AK167=0,OR(AK166&gt;$B165,$I$367=1)),AK170,IF(AK167=0,NOMINAL(AK170,12)*IF($B165=AK166,$I$367,1),IF(AND($B165=AK166,ROUNDDOWN($C$367,0)=AK166),$E$367,1)*NOMINAL(AK170,VLOOKUP($B160,$P$357:$R$360,3,0))/VLOOKUP($B160,$P$357:$R$360,3,0)))*((IF(AK167=0,1,IF(AND($B165=AK166,AK167&lt;ROUNDDOWN(VLOOKUP($B160,$P$357:$R$360,3,0)/$H$367,0)),ROUNDDOWN(AK167*$H$367,0),IF(AND($B165&lt;AK166,AK167&lt;ROUNDDOWN(VLOOKUP($B160,$P$357:$R$360,3,0)/$H$367,0)),ROUND(AVERAGE(ROUNDDOWN(AK167*$H$367,0),2*VLOOKUP($B160,$P$357:$R$360,3,0)),0),VLOOKUP($B160,$P$357:$R$360,3,0))))*IF($B165=AK166,$B161,SUM(AH169:AH169)))-((AK168*(IF(AK167=0,1,IF(AND($B165=AK166,AK167&lt;ROUNDDOWN(VLOOKUP($B160,$P$357:$R$360,3,0)/$H$367,0)),ROUNDDOWN(AK167*$H$367,0),IF(AND($B165&lt;AK166,AK167&lt;ROUNDDOWN(VLOOKUP($B160,$P$357:$R$360,3,0)/$H$367,0)),ROUND(AVERAGE(ROUNDDOWN(AK167*$H$367,0),2*VLOOKUP($B160,$P$357:$R$360,3,0)),0),VLOOKUP($B160,$P$357:$R$360,3,0))))-1))/2)))</f>
        <v>0</v>
      </c>
      <c r="AL171" s="21"/>
      <c r="AM171" s="21"/>
      <c r="AN171" s="2928">
        <f ca="1">IF(OR($B165&gt;AN166,AN170="",AN170=0),0,IF(AND(AN167=0,OR(AN166&gt;$B165,$I$367=1)),AN170,IF(AN167=0,NOMINAL(AN170,12)*IF($B165=AN166,$I$367,1),IF(AND($B165=AN166,ROUNDDOWN($C$367,0)=AN166),$E$367,1)*NOMINAL(AN170,VLOOKUP($B160,$P$357:$R$360,3,0))/VLOOKUP($B160,$P$357:$R$360,3,0)))*((IF(AN167=0,1,IF(AND($B165=AN166,AN167&lt;ROUNDDOWN(VLOOKUP($B160,$P$357:$R$360,3,0)/$H$367,0)),ROUNDDOWN(AN167*$H$367,0),IF(AND($B165&lt;AN166,AN167&lt;ROUNDDOWN(VLOOKUP($B160,$P$357:$R$360,3,0)/$H$367,0)),ROUND(AVERAGE(ROUNDDOWN(AN167*$H$367,0),2*VLOOKUP($B160,$P$357:$R$360,3,0)),0),VLOOKUP($B160,$P$357:$R$360,3,0))))*IF($B165=AN166,$B161,SUM(AK169:AK169)))-((AN168*(IF(AN167=0,1,IF(AND($B165=AN166,AN167&lt;ROUNDDOWN(VLOOKUP($B160,$P$357:$R$360,3,0)/$H$367,0)),ROUNDDOWN(AN167*$H$367,0),IF(AND($B165&lt;AN166,AN167&lt;ROUNDDOWN(VLOOKUP($B160,$P$357:$R$360,3,0)/$H$367,0)),ROUND(AVERAGE(ROUNDDOWN(AN167*$H$367,0),2*VLOOKUP($B160,$P$357:$R$360,3,0)),0),VLOOKUP($B160,$P$357:$R$360,3,0))))-1))/2)))</f>
        <v>0</v>
      </c>
      <c r="AO171" s="21"/>
      <c r="AP171" s="21"/>
      <c r="AQ171" s="2928">
        <f ca="1">IF(OR($B165&gt;AQ166,AQ170="",AQ170=0),0,IF(AND(AQ167=0,OR(AQ166&gt;$B165,$I$367=1)),AQ170,IF(AQ167=0,NOMINAL(AQ170,12)*IF($B165=AQ166,$I$367,1),IF(AND($B165=AQ166,ROUNDDOWN($C$367,0)=AQ166),$E$367,1)*NOMINAL(AQ170,VLOOKUP($B160,$P$357:$R$360,3,0))/VLOOKUP($B160,$P$357:$R$360,3,0)))*((IF(AQ167=0,1,IF(AND($B165=AQ166,AQ167&lt;ROUNDDOWN(VLOOKUP($B160,$P$357:$R$360,3,0)/$H$367,0)),ROUNDDOWN(AQ167*$H$367,0),IF(AND($B165&lt;AQ166,AQ167&lt;ROUNDDOWN(VLOOKUP($B160,$P$357:$R$360,3,0)/$H$367,0)),ROUND(AVERAGE(ROUNDDOWN(AQ167*$H$367,0),2*VLOOKUP($B160,$P$357:$R$360,3,0)),0),VLOOKUP($B160,$P$357:$R$360,3,0))))*IF($B165=AQ166,$B161,SUM(AN169:AN169)))-((AQ168*(IF(AQ167=0,1,IF(AND($B165=AQ166,AQ167&lt;ROUNDDOWN(VLOOKUP($B160,$P$357:$R$360,3,0)/$H$367,0)),ROUNDDOWN(AQ167*$H$367,0),IF(AND($B165&lt;AQ166,AQ167&lt;ROUNDDOWN(VLOOKUP($B160,$P$357:$R$360,3,0)/$H$367,0)),ROUND(AVERAGE(ROUNDDOWN(AQ167*$H$367,0),2*VLOOKUP($B160,$P$357:$R$360,3,0)),0),VLOOKUP($B160,$P$357:$R$360,3,0))))-1))/2)))</f>
        <v>0</v>
      </c>
      <c r="AR171" s="21"/>
      <c r="AS171" s="21"/>
      <c r="AT171" s="2928">
        <f ca="1">IF(OR($B165&gt;AT166,AT170="",AT170=0),0,IF(AND(AT167=0,OR(AT166&gt;$B165,$I$367=1)),AT170,IF(AT167=0,NOMINAL(AT170,12)*IF($B165=AT166,$I$367,1),IF(AND($B165=AT166,ROUNDDOWN($C$367,0)=AT166),$E$367,1)*NOMINAL(AT170,VLOOKUP($B160,$P$357:$R$360,3,0))/VLOOKUP($B160,$P$357:$R$360,3,0)))*((IF(AT167=0,1,IF(AND($B165=AT166,AT167&lt;ROUNDDOWN(VLOOKUP($B160,$P$357:$R$360,3,0)/$H$367,0)),ROUNDDOWN(AT167*$H$367,0),IF(AND($B165&lt;AT166,AT167&lt;ROUNDDOWN(VLOOKUP($B160,$P$357:$R$360,3,0)/$H$367,0)),ROUND(AVERAGE(ROUNDDOWN(AT167*$H$367,0),2*VLOOKUP($B160,$P$357:$R$360,3,0)),0),VLOOKUP($B160,$P$357:$R$360,3,0))))*IF($B165=AT166,$B161,SUM(AQ169:AQ169)))-((AT168*(IF(AT167=0,1,IF(AND($B165=AT166,AT167&lt;ROUNDDOWN(VLOOKUP($B160,$P$357:$R$360,3,0)/$H$367,0)),ROUNDDOWN(AT167*$H$367,0),IF(AND($B165&lt;AT166,AT167&lt;ROUNDDOWN(VLOOKUP($B160,$P$357:$R$360,3,0)/$H$367,0)),ROUND(AVERAGE(ROUNDDOWN(AT167*$H$367,0),2*VLOOKUP($B160,$P$357:$R$360,3,0)),0),VLOOKUP($B160,$P$357:$R$360,3,0))))-1))/2)))</f>
        <v>0</v>
      </c>
      <c r="AU171" s="2929"/>
      <c r="AV171" s="2918"/>
    </row>
    <row r="172" spans="1:48" ht="13.5" thickBot="1" x14ac:dyDescent="0.25">
      <c r="AV172" s="2918"/>
    </row>
    <row r="173" spans="1:48" x14ac:dyDescent="0.2">
      <c r="A173" s="2930" t="s">
        <v>1324</v>
      </c>
      <c r="B173" s="2931"/>
      <c r="C173" s="2932"/>
      <c r="D173" s="2932"/>
      <c r="E173" s="2932"/>
      <c r="F173" s="2932"/>
      <c r="G173" s="2932"/>
      <c r="H173" s="2932"/>
      <c r="I173" s="2932"/>
      <c r="J173" s="2932"/>
      <c r="K173" s="2932"/>
      <c r="L173" s="2932"/>
      <c r="M173" s="2932"/>
      <c r="N173" s="2932"/>
      <c r="O173" s="2932"/>
      <c r="P173" s="2932"/>
      <c r="Q173" s="2932"/>
      <c r="R173" s="2932"/>
      <c r="S173" s="2932"/>
      <c r="T173" s="2932"/>
      <c r="U173" s="2932"/>
      <c r="V173" s="2932"/>
      <c r="W173" s="2932"/>
      <c r="X173" s="2932"/>
      <c r="Y173" s="2932"/>
      <c r="Z173" s="2932"/>
      <c r="AA173" s="2932"/>
      <c r="AB173" s="2932"/>
      <c r="AC173" s="2932"/>
      <c r="AD173" s="2932"/>
      <c r="AE173" s="2932"/>
      <c r="AF173" s="2932"/>
      <c r="AG173" s="2932"/>
      <c r="AH173" s="2932"/>
      <c r="AI173" s="2932"/>
      <c r="AJ173" s="2932"/>
      <c r="AK173" s="2932"/>
      <c r="AL173" s="2932"/>
      <c r="AM173" s="2932"/>
      <c r="AN173" s="2932"/>
      <c r="AO173" s="2932"/>
      <c r="AP173" s="2932"/>
      <c r="AQ173" s="2932"/>
      <c r="AR173" s="2932"/>
      <c r="AS173" s="2932"/>
      <c r="AT173" s="2932"/>
      <c r="AU173" s="2932"/>
      <c r="AV173" s="2933"/>
    </row>
    <row r="174" spans="1:48" x14ac:dyDescent="0.2">
      <c r="A174" s="2916" t="s">
        <v>2052</v>
      </c>
      <c r="B174" s="2917"/>
      <c r="AV174" s="2918"/>
    </row>
    <row r="175" spans="1:48" x14ac:dyDescent="0.2">
      <c r="A175" s="2916" t="s">
        <v>2053</v>
      </c>
      <c r="B175" s="2917"/>
      <c r="AV175" s="2918"/>
    </row>
    <row r="176" spans="1:48" x14ac:dyDescent="0.2">
      <c r="A176" s="2916" t="s">
        <v>1320</v>
      </c>
      <c r="B176" s="2917"/>
      <c r="AV176" s="2918"/>
    </row>
    <row r="177" spans="1:48" x14ac:dyDescent="0.2">
      <c r="A177" s="2916" t="s">
        <v>1321</v>
      </c>
      <c r="B177" s="2917"/>
      <c r="AV177" s="2918"/>
    </row>
    <row r="178" spans="1:48" x14ac:dyDescent="0.2">
      <c r="A178" s="2919" t="s">
        <v>1322</v>
      </c>
      <c r="B178" s="2920"/>
      <c r="AV178" s="2918"/>
    </row>
    <row r="179" spans="1:48" x14ac:dyDescent="0.2">
      <c r="A179" s="2921" t="s">
        <v>2054</v>
      </c>
      <c r="B179" s="2922">
        <f ca="1">B$11</f>
        <v>2023</v>
      </c>
      <c r="D179" s="2922">
        <f ca="1">D$11</f>
        <v>2024</v>
      </c>
      <c r="G179" s="2922">
        <f ca="1">G$11</f>
        <v>2025</v>
      </c>
      <c r="J179" s="2922">
        <f ca="1">J$11</f>
        <v>2026</v>
      </c>
      <c r="M179" s="2922">
        <f ca="1">M$11</f>
        <v>2027</v>
      </c>
      <c r="P179" s="2922">
        <f ca="1">P$11</f>
        <v>2028</v>
      </c>
      <c r="S179" s="2922">
        <f ca="1">S$11</f>
        <v>2029</v>
      </c>
      <c r="V179" s="2922">
        <f ca="1">V$11</f>
        <v>2030</v>
      </c>
      <c r="Y179" s="2922">
        <f ca="1">Y$11</f>
        <v>2031</v>
      </c>
      <c r="AB179" s="2922">
        <f ca="1">AB$11</f>
        <v>2032</v>
      </c>
      <c r="AE179" s="2922">
        <f ca="1">AE$11</f>
        <v>2033</v>
      </c>
      <c r="AH179" s="2922">
        <f ca="1">AH$11</f>
        <v>2034</v>
      </c>
      <c r="AK179" s="2922">
        <f ca="1">AK$11</f>
        <v>2035</v>
      </c>
      <c r="AN179" s="2922">
        <f ca="1">AN$11</f>
        <v>2036</v>
      </c>
      <c r="AQ179" s="2922">
        <f ca="1">AQ$11</f>
        <v>2037</v>
      </c>
      <c r="AT179" s="2922">
        <f ca="1">AT$11</f>
        <v>2038</v>
      </c>
      <c r="AV179" s="2918"/>
    </row>
    <row r="180" spans="1:48" x14ac:dyDescent="0.2">
      <c r="A180" s="2923" t="s">
        <v>2055</v>
      </c>
      <c r="B180" s="2924">
        <f>IF(OR($B175=0,$B175="",$B173=""),0,IF(AND(B179-$B178&gt;=0,B179&lt;=$B178+$B175,ROUNDDOWN(B179,0)=ROUNDDOWN($C$368,0)),IF(ROUNDDOWN(B179,0)=ROUNDDOWN($C$368,0),ROUND($E$368*VLOOKUP($B173,$P$357:$R$360,3,0)/$H$368,2),ROUND(VLOOKUP($B173,$P$357:$R$360,3,0)/$H$368,2)),0))</f>
        <v>0</v>
      </c>
      <c r="D180" s="2924">
        <f>IF(OR($B175=0,$B175="",$B173=""),0,IF(AND(ROUNDDOWN(D179,0)&gt;=ROUNDDOWN($C$368,0),1-$B180&lt;VLOOKUP($B173,$P$357:$R$360,3,0)/$H$368),1-$B180,IF(ROUNDDOWN(D179,0)&gt;=ROUNDDOWN($C$368,0),IF(ROUNDDOWN(D179,0)=ROUNDDOWN($C$368,0),ROUND($E$368*VLOOKUP($B173,$P$357:$R$360,3,0)/$H$368,2),ROUND(VLOOKUP($B173,$P$357:$R$360,3,0)/$H$368,2)),0)))</f>
        <v>0</v>
      </c>
      <c r="G180" s="2924">
        <f>IF(OR($B175=0,$B175="",$B173=""),0,IF(AND(ROUNDDOWN(G179,0)&gt;=ROUNDDOWN($C$368,0),1-SUM($B180:D180)&lt;VLOOKUP($B173,$P$357:$R$360,3,0)/$H$368),1-SUM($B180:D180),IF(ROUNDDOWN(G179,0)&gt;=ROUNDDOWN($C$368,0),IF(ROUNDDOWN(G179,0)=ROUNDDOWN($C$368,0),ROUND($E$368*VLOOKUP($B173,$P$357:$R$360,3,0)/$H$368,2),ROUND(VLOOKUP($B173,$P$357:$R$360,3,0)/$H$368,2)),0)))</f>
        <v>0</v>
      </c>
      <c r="J180" s="2924">
        <f>IF(OR($B175=0,$B175="",$B173=""),0,IF(AND(ROUNDDOWN(J179,0)&gt;=ROUNDDOWN($C$368,0),1-SUM($B180:G180)&lt;VLOOKUP($B173,$P$357:$R$360,3,0)/$H$368),1-SUM($B180:G180),IF(ROUNDDOWN(J179,0)&gt;=ROUNDDOWN($C$368,0),IF(ROUNDDOWN(J179,0)=ROUNDDOWN($C$368,0),ROUND($E$368*VLOOKUP($B173,$P$357:$R$360,3,0)/$H$368,2),ROUND(VLOOKUP($B173,$P$357:$R$360,3,0)/$H$368,2)),0)))</f>
        <v>0</v>
      </c>
      <c r="M180" s="2924">
        <f>IF(OR($B175=0,$B175="",$B173=""),0,IF(AND(ROUNDDOWN(M179,0)&gt;=ROUNDDOWN($C$368,0),1-SUM($B180:J180)&lt;VLOOKUP($B173,$P$357:$R$360,3,0)/$H$368),1-SUM($B180:J180),IF(ROUNDDOWN(M179,0)&gt;=ROUNDDOWN($C$368,0),IF(ROUNDDOWN(M179,0)=ROUNDDOWN($C$368,0),ROUND($E$368*VLOOKUP($B173,$P$357:$R$360,3,0)/$H$368,2),ROUND(VLOOKUP($B173,$P$357:$R$360,3,0)/$H$368,2)),0)))</f>
        <v>0</v>
      </c>
      <c r="P180" s="2924">
        <f>IF(OR($B175=0,$B175="",$B173=""),0,IF(AND(ROUNDDOWN(P179,0)&gt;=ROUNDDOWN($C$368,0),1-SUM($B180:M180)&lt;VLOOKUP($B173,$P$357:$R$360,3,0)/$H$368),1-SUM($B180:M180),IF(ROUNDDOWN(P179,0)&gt;=ROUNDDOWN($C$368,0),IF(ROUNDDOWN(P179,0)=ROUNDDOWN($C$368,0),ROUND($E$368*VLOOKUP($B173,$P$357:$R$360,3,0)/$H$368,2),ROUND(VLOOKUP($B173,$P$357:$R$360,3,0)/$H$368,2)),0)))</f>
        <v>0</v>
      </c>
      <c r="S180" s="2924">
        <f>IF(OR($B175=0,$B175="",$B173=""),0,IF(AND(ROUNDDOWN(S179,0)&gt;=ROUNDDOWN($C$368,0),1-SUM($B180:P180)&lt;VLOOKUP($B173,$P$357:$R$360,3,0)/$H$368),1-SUM($B180:P180),IF(ROUNDDOWN(S179,0)&gt;=ROUNDDOWN($C$368,0),IF(ROUNDDOWN(S179,0)=ROUNDDOWN($C$368,0),ROUND($E$368*VLOOKUP($B173,$P$357:$R$360,3,0)/$H$368,2),ROUND(VLOOKUP($B173,$P$357:$R$360,3,0)/$H$368,2)),0)))</f>
        <v>0</v>
      </c>
      <c r="V180" s="2924">
        <f>IF(OR($B175=0,$B175="",$B173=""),0,IF(AND(ROUNDDOWN(V179,0)&gt;=ROUNDDOWN($C$368,0),1-SUM($B180:S180)&lt;VLOOKUP($B173,$P$357:$R$360,3,0)/$H$368),1-SUM($B180:S180),IF(ROUNDDOWN(V179,0)&gt;=ROUNDDOWN($C$368,0),IF(ROUNDDOWN(V179,0)=ROUNDDOWN($C$368,0),ROUND($E$368*VLOOKUP($B173,$P$357:$R$360,3,0)/$H$368,2),ROUND(VLOOKUP($B173,$P$357:$R$360,3,0)/$H$368,2)),0)))</f>
        <v>0</v>
      </c>
      <c r="Y180" s="2924">
        <f>IF(OR($B175=0,$B175="",$B173=""),0,IF(AND(ROUNDDOWN(Y179,0)&gt;=ROUNDDOWN($C$368,0),1-SUM($B180:V180)&lt;VLOOKUP($B173,$P$357:$R$360,3,0)/$H$368),1-SUM($B180:V180),IF(ROUNDDOWN(Y179,0)&gt;=ROUNDDOWN($C$368,0),IF(ROUNDDOWN(Y179,0)=ROUNDDOWN($C$368,0),ROUND($E$368*VLOOKUP($B173,$P$357:$R$360,3,0)/$H$368,2),ROUND(VLOOKUP($B173,$P$357:$R$360,3,0)/$H$368,2)),0)))</f>
        <v>0</v>
      </c>
      <c r="AB180" s="2924">
        <f>IF(OR($B175=0,$B175="",$B173=""),0,IF(AND(ROUNDDOWN(AB179,0)&gt;=ROUNDDOWN($C$368,0),1-SUM($B180:Y180)&lt;VLOOKUP($B173,$P$357:$R$360,3,0)/$H$368),1-SUM($B180:Y180),IF(ROUNDDOWN(AB179,0)&gt;=ROUNDDOWN($C$368,0),IF(ROUNDDOWN(AB179,0)=ROUNDDOWN($C$368,0),ROUND($E$368*VLOOKUP($B173,$P$357:$R$360,3,0)/$H$368,2),ROUND(VLOOKUP($B173,$P$357:$R$360,3,0)/$H$368,2)),0)))</f>
        <v>0</v>
      </c>
      <c r="AE180" s="2924">
        <f>IF(OR($B175=0,$B175="",$B173=""),0,IF(AND(ROUNDDOWN(AE179,0)&gt;=ROUNDDOWN($C$368,0),1-SUM($B180:AB180)&lt;VLOOKUP($B173,$P$357:$R$360,3,0)/$H$368),1-SUM($B180:AB180),IF(ROUNDDOWN(AE179,0)&gt;=ROUNDDOWN($C$368,0),IF(ROUNDDOWN(AE179,0)=ROUNDDOWN($C$368,0),ROUND($E$368*VLOOKUP($B173,$P$357:$R$360,3,0)/$H$368,2),ROUND(VLOOKUP($B173,$P$357:$R$360,3,0)/$H$368,2)),0)))</f>
        <v>0</v>
      </c>
      <c r="AH180" s="2924">
        <f>IF(OR($B175=0,$B175="",$B173=""),0,IF(AND(ROUNDDOWN(AH179,0)&gt;=ROUNDDOWN($C$368,0),1-SUM($B180:AE180)&lt;VLOOKUP($B173,$P$357:$R$360,3,0)/$H$368),1-SUM($B180:AE180),IF(ROUNDDOWN(AH179,0)&gt;=ROUNDDOWN($C$368,0),IF(ROUNDDOWN(AH179,0)=ROUNDDOWN($C$368,0),ROUND($E$368*VLOOKUP($B173,$P$357:$R$360,3,0)/$H$368,2),ROUND(VLOOKUP($B173,$P$357:$R$360,3,0)/$H$368,2)),0)))</f>
        <v>0</v>
      </c>
      <c r="AK180" s="2924">
        <f>IF(OR($B175=0,$B175="",$B173=""),0,IF(AND(ROUNDDOWN(AK179,0)&gt;=ROUNDDOWN($C$368,0),1-SUM($B180:AH180)&lt;VLOOKUP($B173,$P$357:$R$360,3,0)/$H$368),1-SUM($B180:AH180),IF(ROUNDDOWN(AK179,0)&gt;=ROUNDDOWN($C$368,0),IF(ROUNDDOWN(AK179,0)=ROUNDDOWN($C$368,0),ROUND($E$368*VLOOKUP($B173,$P$357:$R$360,3,0)/$H$368,2),ROUND(VLOOKUP($B173,$P$357:$R$360,3,0)/$H$368,2)),0)))</f>
        <v>0</v>
      </c>
      <c r="AN180" s="2924">
        <f>IF(OR($B175=0,$B175="",$B173=""),0,IF(AND(ROUNDDOWN(AN179,0)&gt;=ROUNDDOWN($C$368,0),1-SUM($B180:AK180)&lt;VLOOKUP($B173,$P$357:$R$360,3,0)/$H$368),1-SUM($B180:AK180),IF(ROUNDDOWN(AN179,0)&gt;=ROUNDDOWN($C$368,0),IF(ROUNDDOWN(AN179,0)=ROUNDDOWN($C$368,0),ROUND($E$368*VLOOKUP($B173,$P$357:$R$360,3,0)/$H$368,2),ROUND(VLOOKUP($B173,$P$357:$R$360,3,0)/$H$368,2)),0)))</f>
        <v>0</v>
      </c>
      <c r="AQ180" s="2924">
        <f>IF(OR($B175=0,$B175="",$B173=""),0,IF(AND(ROUNDDOWN(AQ179,0)&gt;=ROUNDDOWN($C$368,0),1-SUM($B180:AN180)&lt;VLOOKUP($B173,$P$357:$R$360,3,0)/$H$368),1-SUM($B180:AN180),IF(ROUNDDOWN(AQ179,0)&gt;=ROUNDDOWN($C$368,0),IF(ROUNDDOWN(AQ179,0)=ROUNDDOWN($C$368,0),ROUND($E$368*VLOOKUP($B173,$P$357:$R$360,3,0)/$H$368,2),ROUND(VLOOKUP($B173,$P$357:$R$360,3,0)/$H$368,2)),0)))</f>
        <v>0</v>
      </c>
      <c r="AT180" s="2924">
        <f>IF(OR($B175=0,$B175="",$B173=""),0,IF(AND(ROUNDDOWN(AT179,0)&gt;=ROUNDDOWN($C$368,0),1-SUM($B180:AQ180)&lt;VLOOKUP($B173,$P$357:$R$360,3,0)/$H$368),1-SUM($B180:AQ180),IF(ROUNDDOWN(AT179,0)&gt;=ROUNDDOWN($C$368,0),IF(ROUNDDOWN(AT179,0)=ROUNDDOWN($C$368,0),ROUND($E$368*VLOOKUP($B173,$P$357:$R$360,3,0)/$H$368,2),ROUND(VLOOKUP($B173,$P$357:$R$360,3,0)/$H$368,2)),0)))</f>
        <v>0</v>
      </c>
      <c r="AV180" s="2918"/>
    </row>
    <row r="181" spans="1:48" x14ac:dyDescent="0.2">
      <c r="A181" s="2925" t="s">
        <v>2056</v>
      </c>
      <c r="B181" s="2926">
        <f>$B174*B180</f>
        <v>0</v>
      </c>
      <c r="D181" s="2926">
        <f ca="1">IF($B178&gt;D179,0,D180*$B174)</f>
        <v>0</v>
      </c>
      <c r="G181" s="2926">
        <f ca="1">IF($B178&gt;G179,0,G180*$B174)</f>
        <v>0</v>
      </c>
      <c r="J181" s="2926">
        <f ca="1">IF($B178&gt;J179,0,J180*$B174)</f>
        <v>0</v>
      </c>
      <c r="M181" s="2926">
        <f ca="1">IF($B178&gt;M179,0,M180*$B174)</f>
        <v>0</v>
      </c>
      <c r="P181" s="2926">
        <f ca="1">IF($B178&gt;P179,0,P180*$B174)</f>
        <v>0</v>
      </c>
      <c r="S181" s="2926">
        <f ca="1">IF($B178&gt;S179,0,S180*$B174)</f>
        <v>0</v>
      </c>
      <c r="V181" s="2926">
        <f ca="1">IF($B178&gt;V179,0,V180*$B174)</f>
        <v>0</v>
      </c>
      <c r="Y181" s="2926">
        <f ca="1">IF($B178&gt;Y179,0,Y180*$B174)</f>
        <v>0</v>
      </c>
      <c r="AB181" s="2926">
        <f ca="1">IF($B178&gt;AB179,0,AB180*$B174)</f>
        <v>0</v>
      </c>
      <c r="AE181" s="2926">
        <f ca="1">IF($B178&gt;AE179,0,AE180*$B174)</f>
        <v>0</v>
      </c>
      <c r="AH181" s="2926">
        <f ca="1">IF($B178&gt;AH179,0,AH180*$B174)</f>
        <v>0</v>
      </c>
      <c r="AK181" s="2926">
        <f ca="1">IF($B178&gt;AK179,0,AK180*$B174)</f>
        <v>0</v>
      </c>
      <c r="AN181" s="2926">
        <f ca="1">IF($B178&gt;AN179,0,AN180*$B174)</f>
        <v>0</v>
      </c>
      <c r="AQ181" s="2926">
        <f ca="1">IF($B178&gt;AQ179,0,AQ180*$B174)</f>
        <v>0</v>
      </c>
      <c r="AT181" s="2926">
        <f ca="1">IF($B178&gt;AT179,0,AT180*$B174)</f>
        <v>0</v>
      </c>
      <c r="AV181" s="2918"/>
    </row>
    <row r="182" spans="1:48" x14ac:dyDescent="0.2">
      <c r="A182" s="2919" t="s">
        <v>2057</v>
      </c>
      <c r="B182" s="2927">
        <f ca="1">IF($B178&gt;B179,0,B174-B181)</f>
        <v>0</v>
      </c>
      <c r="D182" s="2927">
        <f ca="1">IF($B178&gt;D179,0,IF($B178=D179,$B174-D181,IF(+B182-D181&lt;0.005,0,B182-D181)))</f>
        <v>0</v>
      </c>
      <c r="G182" s="2927">
        <f ca="1">IF($B178&gt;G179,0,IF($B178=G179,$B174-G181,IF(D182-G181&lt;0.005,0,D182-G181)))</f>
        <v>0</v>
      </c>
      <c r="J182" s="2927">
        <f ca="1">IF($B178&gt;J179,0,IF($B178=J179,$B174-J181,IF(G182-J181&lt;0.005,0,G182-J181)))</f>
        <v>0</v>
      </c>
      <c r="M182" s="2927">
        <f ca="1">IF($B178&gt;M179,0,IF($B178=M179,$B174-M181,IF(J182-M181&lt;0.005,0,J182-M181)))</f>
        <v>0</v>
      </c>
      <c r="P182" s="2927">
        <f ca="1">IF($B178&gt;P179,0,IF($B178=P179,$B174-P181,IF(M182-P181&lt;0.005,0,M182-P181)))</f>
        <v>0</v>
      </c>
      <c r="S182" s="2927">
        <f ca="1">IF($B178&gt;S179,0,IF($B178=S179,$B174-S181,IF(P182-S181&lt;0.005,0,P182-S181)))</f>
        <v>0</v>
      </c>
      <c r="V182" s="2927">
        <f ca="1">IF($B178&gt;V179,0,IF($B178=V179,$B174-V181,IF(S182-V181&lt;0.005,0,S182-V181)))</f>
        <v>0</v>
      </c>
      <c r="Y182" s="2927">
        <f ca="1">IF($B178&gt;Y179,0,IF($B178=Y179,$B174-Y181,IF(V182-Y181&lt;0.005,0,V182-Y181)))</f>
        <v>0</v>
      </c>
      <c r="AB182" s="2927">
        <f ca="1">IF($B178&gt;AB179,0,IF($B178=AB179,$B174-AB181,IF(Y182-AB181&lt;0.005,0,Y182-AB181)))</f>
        <v>0</v>
      </c>
      <c r="AE182" s="2927">
        <f ca="1">IF($B178&gt;AE179,0,IF($B178=AE179,$B174-AE181,IF(AB182-AE181&lt;0.005,0,AB182-AE181)))</f>
        <v>0</v>
      </c>
      <c r="AH182" s="2927">
        <f ca="1">IF($B178&gt;AH179,0,IF($B178=AH179,$B174-AH181,IF(AE182-AH181&lt;0.005,0,AE182-AH181)))</f>
        <v>0</v>
      </c>
      <c r="AK182" s="2927">
        <f ca="1">IF($B178&gt;AK179,0,IF($B178=AK179,$B174-AK181,IF(AH182-AK181&lt;0.005,0,AH182-AK181)))</f>
        <v>0</v>
      </c>
      <c r="AN182" s="2927">
        <f ca="1">IF($B178&gt;AN179,0,IF($B178=AN179,$B174-AN181,IF(AK182-AN181&lt;0.005,0,AK182-AN181)))</f>
        <v>0</v>
      </c>
      <c r="AQ182" s="2927">
        <f ca="1">IF($B178&gt;AQ179,0,IF($B178=AQ179,$B174-AQ181,IF(AN182-AQ181&lt;0.005,0,AN182-AQ181)))</f>
        <v>0</v>
      </c>
      <c r="AT182" s="2927">
        <f ca="1">IF($B178&gt;AT179,0,IF($B178=AT179,$B174-AT181,IF(AQ182-AT181&lt;0.005,0,AQ182-AT181)))</f>
        <v>0</v>
      </c>
      <c r="AV182" s="2918"/>
    </row>
    <row r="183" spans="1:48" x14ac:dyDescent="0.2">
      <c r="A183" s="2923" t="s">
        <v>2058</v>
      </c>
      <c r="B183" s="2924"/>
      <c r="D183" s="2924">
        <f>B183</f>
        <v>0</v>
      </c>
      <c r="G183" s="2924">
        <f>D183</f>
        <v>0</v>
      </c>
      <c r="J183" s="2924">
        <f>G183</f>
        <v>0</v>
      </c>
      <c r="M183" s="2924">
        <f>J183</f>
        <v>0</v>
      </c>
      <c r="P183" s="2924">
        <f>M183</f>
        <v>0</v>
      </c>
      <c r="S183" s="2924">
        <f>P183</f>
        <v>0</v>
      </c>
      <c r="V183" s="2924">
        <f>S183</f>
        <v>0</v>
      </c>
      <c r="Y183" s="2924">
        <f>V183</f>
        <v>0</v>
      </c>
      <c r="AB183" s="2924">
        <f>Y183</f>
        <v>0</v>
      </c>
      <c r="AE183" s="2924">
        <f>AB183</f>
        <v>0</v>
      </c>
      <c r="AH183" s="2924">
        <f>AE183</f>
        <v>0</v>
      </c>
      <c r="AK183" s="2924">
        <f>AH183</f>
        <v>0</v>
      </c>
      <c r="AN183" s="2924">
        <f>AK183</f>
        <v>0</v>
      </c>
      <c r="AQ183" s="2924">
        <f>AN183</f>
        <v>0</v>
      </c>
      <c r="AT183" s="2924">
        <f>AQ183</f>
        <v>0</v>
      </c>
      <c r="AV183" s="2918"/>
    </row>
    <row r="184" spans="1:48" x14ac:dyDescent="0.2">
      <c r="A184" s="2923" t="s">
        <v>2059</v>
      </c>
      <c r="B184" s="2928">
        <f ca="1">IF(OR($B178&lt;&gt;B179,B183="",B183=0),0,IF(AND(B180=0,$I$368=1),B183,IF(B180=0,NOMINAL(B183,12)*IF($B178=B179,$I$368,1),IF(AND($B178=B179,ROUNDDOWN($C$368,0)=B179),$E$368,1)*NOMINAL(B183,VLOOKUP($B173,$P$357:$R$360,3,0))/VLOOKUP($B173,$P$357:$R$360,3,0)))*((IF(B180=0,1,IF(AND($B178=B179,B180&lt;ROUNDDOWN(VLOOKUP($B173,$P$357:$R$360,3,0)/$H$368,0)),ROUNDDOWN(B180*$H$368,0),IF(AND($B178&lt;B179,B180&lt;ROUNDDOWN(VLOOKUP($B173,$P$357:$R$360,3,0)/$H$368,0)),ROUND(AVERAGE(ROUNDDOWN(B180*$H$368,0),2*VLOOKUP($B173,$P$357:$R$360,3,0)),0),VLOOKUP($B173,$P$357:$R$360,3,0))))*$B174)-((B181*(IF(B180=0,1,IF(AND($B178=B179,B180&lt;ROUNDDOWN(VLOOKUP($B173,$P$357:$R$360,3,0)/$H$368,0)),ROUNDDOWN(B180*$H$368,0),IF(AND($B178&lt;B179,B180&lt;ROUNDDOWN(VLOOKUP($B173,$P$357:$R$360,3,0)/$H$368,0)),ROUND(AVERAGE(ROUNDDOWN(B180*$H$368,0),2*VLOOKUP($B173,$P$357:$R$360,3,0)),0),VLOOKUP($B173,$P$357:$R$360,3,0))))-1))/2)))</f>
        <v>0</v>
      </c>
      <c r="C184" s="21"/>
      <c r="D184" s="2928">
        <f ca="1">IF(OR($B178&gt;D179,D183="",D183=0),0,IF(AND(D180=0,OR(D179&gt;$B178,$I$368=1)),D183,IF(D180=0,NOMINAL(D183,12)*IF($B178=D179,$I$368,1),IF(AND($B178=D179,ROUNDDOWN($C$368,0)=D179),$E$368,1)*NOMINAL(D183,VLOOKUP($B173,$P$357:$R$360,3,0))/VLOOKUP($B173,$P$357:$R$360,3,0)))*((IF(D180=0,1,IF(AND($B178=D179,D180&lt;ROUNDDOWN(VLOOKUP($B173,$P$357:$R$360,3,0)/$H$368,0)),ROUNDDOWN(D180*$H$368,0),IF(AND($B178&lt;D179,D180&lt;ROUNDDOWN(VLOOKUP($B173,$P$357:$R$360,3,0)/$H$368,0)),ROUND(AVERAGE(ROUNDDOWN(D180*$H$368,0),2*VLOOKUP($B173,$P$357:$R$360,3,0)),0),VLOOKUP($B173,$P$357:$R$360,3,0))))*IF($B178=D179,$B174,SUM(B182:B182)))-((D181*(IF(D180=0,1,IF(AND($B178=D179,D180&lt;ROUNDDOWN(VLOOKUP($B173,$P$357:$R$360,3,0)/$H$368,0)),ROUNDDOWN(D180*$H$368,0),IF(AND($B178&lt;D179,D180&lt;ROUNDDOWN(VLOOKUP($B173,$P$357:$R$360,3,0)/$H$368,0)),ROUND(AVERAGE(ROUNDDOWN(D180*$H$368,0),2*VLOOKUP($B173,$P$357:$R$360,3,0)),0),VLOOKUP($B173,$P$357:$R$360,3,0))))-1))/2)))</f>
        <v>0</v>
      </c>
      <c r="E184" s="21"/>
      <c r="F184" s="21"/>
      <c r="G184" s="2928">
        <f ca="1">IF(OR($B178&gt;G179,G183="",G183=0),0,IF(AND(G180=0,OR(G179&gt;$B178,$I$368=1)),G183,IF(G180=0,NOMINAL(G183,12)*IF($B178=G179,$I$368,1),IF(AND($B178=G179,ROUNDDOWN($C$368,0)=G179),$E$368,1)*NOMINAL(G183,VLOOKUP($B173,$P$357:$R$360,3,0))/VLOOKUP($B173,$P$357:$R$360,3,0)))*((IF(G180=0,1,IF(AND($B178=G179,G180&lt;ROUNDDOWN(VLOOKUP($B173,$P$357:$R$360,3,0)/$H$368,0)),ROUNDDOWN(G180*$H$368,0),IF(AND($B178&lt;G179,G180&lt;ROUNDDOWN(VLOOKUP($B173,$P$357:$R$360,3,0)/$H$368,0)),ROUND(AVERAGE(ROUNDDOWN(G180*$H$368,0),2*VLOOKUP($B173,$P$357:$R$360,3,0)),0),VLOOKUP($B173,$P$357:$R$360,3,0))))*IF($B178=G179,$B174,SUM(D182:D182)))-((G181*(IF(G180=0,1,IF(AND($B178=G179,G180&lt;ROUNDDOWN(VLOOKUP($B173,$P$357:$R$360,3,0)/$H$368,0)),ROUNDDOWN(G180*$H$368,0),IF(AND($B178&lt;G179,G180&lt;ROUNDDOWN(VLOOKUP($B173,$P$357:$R$360,3,0)/$H$368,0)),ROUND(AVERAGE(ROUNDDOWN(G180*$H$368,0),2*VLOOKUP($B173,$P$357:$R$360,3,0)),0),VLOOKUP($B173,$P$357:$R$360,3,0))))-1))/2)))</f>
        <v>0</v>
      </c>
      <c r="H184" s="21"/>
      <c r="I184" s="21"/>
      <c r="J184" s="2928">
        <f ca="1">IF(OR($B178&gt;J179,J183="",J183=0),0,IF(AND(J180=0,OR(J179&gt;$B178,$I$368=1)),J183,IF(J180=0,NOMINAL(J183,12)*IF($B178=J179,$I$368,1),IF(AND($B178=J179,ROUNDDOWN($C$368,0)=J179),$E$368,1)*NOMINAL(J183,VLOOKUP($B173,$P$357:$R$360,3,0))/VLOOKUP($B173,$P$357:$R$360,3,0)))*((IF(J180=0,1,IF(AND($B178=J179,J180&lt;ROUNDDOWN(VLOOKUP($B173,$P$357:$R$360,3,0)/$H$368,0)),ROUNDDOWN(J180*$H$368,0),IF(AND($B178&lt;J179,J180&lt;ROUNDDOWN(VLOOKUP($B173,$P$357:$R$360,3,0)/$H$368,0)),ROUND(AVERAGE(ROUNDDOWN(J180*$H$368,0),2*VLOOKUP($B173,$P$357:$R$360,3,0)),0),VLOOKUP($B173,$P$357:$R$360,3,0))))*IF($B178=J179,$B174,SUM(G182:G182)))-((J181*(IF(J180=0,1,IF(AND($B178=J179,J180&lt;ROUNDDOWN(VLOOKUP($B173,$P$357:$R$360,3,0)/$H$368,0)),ROUNDDOWN(J180*$H$368,0),IF(AND($B178&lt;J179,J180&lt;ROUNDDOWN(VLOOKUP($B173,$P$357:$R$360,3,0)/$H$368,0)),ROUND(AVERAGE(ROUNDDOWN(J180*$H$368,0),2*VLOOKUP($B173,$P$357:$R$360,3,0)),0),VLOOKUP($B173,$P$357:$R$360,3,0))))-1))/2)))</f>
        <v>0</v>
      </c>
      <c r="K184" s="21"/>
      <c r="L184" s="21"/>
      <c r="M184" s="2928">
        <f ca="1">IF(OR($B178&gt;M179,M183="",M183=0),0,IF(AND(M180=0,OR(M179&gt;$B178,$I$368=1)),M183,IF(M180=0,NOMINAL(M183,12)*IF($B178=M179,$I$368,1),IF(AND($B178=M179,ROUNDDOWN($C$368,0)=M179),$E$368,1)*NOMINAL(M183,VLOOKUP($B173,$P$357:$R$360,3,0))/VLOOKUP($B173,$P$357:$R$360,3,0)))*((IF(M180=0,1,IF(AND($B178=M179,M180&lt;ROUNDDOWN(VLOOKUP($B173,$P$357:$R$360,3,0)/$H$368,0)),ROUNDDOWN(M180*$H$368,0),IF(AND($B178&lt;M179,M180&lt;ROUNDDOWN(VLOOKUP($B173,$P$357:$R$360,3,0)/$H$368,0)),ROUND(AVERAGE(ROUNDDOWN(M180*$H$368,0),2*VLOOKUP($B173,$P$357:$R$360,3,0)),0),VLOOKUP($B173,$P$357:$R$360,3,0))))*IF($B178=M179,$B174,SUM(J182:J182)))-((M181*(IF(M180=0,1,IF(AND($B178=M179,M180&lt;ROUNDDOWN(VLOOKUP($B173,$P$357:$R$360,3,0)/$H$368,0)),ROUNDDOWN(M180*$H$368,0),IF(AND($B178&lt;M179,M180&lt;ROUNDDOWN(VLOOKUP($B173,$P$357:$R$360,3,0)/$H$368,0)),ROUND(AVERAGE(ROUNDDOWN(M180*$H$368,0),2*VLOOKUP($B173,$P$357:$R$360,3,0)),0),VLOOKUP($B173,$P$357:$R$360,3,0))))-1))/2)))</f>
        <v>0</v>
      </c>
      <c r="N184" s="21"/>
      <c r="O184" s="21"/>
      <c r="P184" s="2928">
        <f ca="1">IF(OR($B178&gt;P179,P183="",P183=0),0,IF(AND(P180=0,OR(P179&gt;$B178,$I$368=1)),P183,IF(P180=0,NOMINAL(P183,12)*IF($B178=P179,$I$368,1),IF(AND($B178=P179,ROUNDDOWN($C$368,0)=P179),$E$368,1)*NOMINAL(P183,VLOOKUP($B173,$P$357:$R$360,3,0))/VLOOKUP($B173,$P$357:$R$360,3,0)))*((IF(P180=0,1,IF(AND($B178=P179,P180&lt;ROUNDDOWN(VLOOKUP($B173,$P$357:$R$360,3,0)/$H$368,0)),ROUNDDOWN(P180*$H$368,0),IF(AND($B178&lt;P179,P180&lt;ROUNDDOWN(VLOOKUP($B173,$P$357:$R$360,3,0)/$H$368,0)),ROUND(AVERAGE(ROUNDDOWN(P180*$H$368,0),2*VLOOKUP($B173,$P$357:$R$360,3,0)),0),VLOOKUP($B173,$P$357:$R$360,3,0))))*IF($B178=P179,$B174,SUM(M182:M182)))-((P181*(IF(P180=0,1,IF(AND($B178=P179,P180&lt;ROUNDDOWN(VLOOKUP($B173,$P$357:$R$360,3,0)/$H$368,0)),ROUNDDOWN(P180*$H$368,0),IF(AND($B178&lt;P179,P180&lt;ROUNDDOWN(VLOOKUP($B173,$P$357:$R$360,3,0)/$H$368,0)),ROUND(AVERAGE(ROUNDDOWN(P180*$H$368,0),2*VLOOKUP($B173,$P$357:$R$360,3,0)),0),VLOOKUP($B173,$P$357:$R$360,3,0))))-1))/2)))</f>
        <v>0</v>
      </c>
      <c r="Q184" s="21"/>
      <c r="R184" s="21"/>
      <c r="S184" s="2928">
        <f ca="1">IF(OR($B178&gt;S179,S183="",S183=0),0,IF(AND(S180=0,OR(S179&gt;$B178,$I$368=1)),S183,IF(S180=0,NOMINAL(S183,12)*IF($B178=S179,$I$368,1),IF(AND($B178=S179,ROUNDDOWN($C$368,0)=S179),$E$368,1)*NOMINAL(S183,VLOOKUP($B173,$P$357:$R$360,3,0))/VLOOKUP($B173,$P$357:$R$360,3,0)))*((IF(S180=0,1,IF(AND($B178=S179,S180&lt;ROUNDDOWN(VLOOKUP($B173,$P$357:$R$360,3,0)/$H$368,0)),ROUNDDOWN(S180*$H$368,0),IF(AND($B178&lt;S179,S180&lt;ROUNDDOWN(VLOOKUP($B173,$P$357:$R$360,3,0)/$H$368,0)),ROUND(AVERAGE(ROUNDDOWN(S180*$H$368,0),2*VLOOKUP($B173,$P$357:$R$360,3,0)),0),VLOOKUP($B173,$P$357:$R$360,3,0))))*IF($B178=S179,$B174,SUM(P182:P182)))-((S181*(IF(S180=0,1,IF(AND($B178=S179,S180&lt;ROUNDDOWN(VLOOKUP($B173,$P$357:$R$360,3,0)/$H$368,0)),ROUNDDOWN(S180*$H$368,0),IF(AND($B178&lt;S179,S180&lt;ROUNDDOWN(VLOOKUP($B173,$P$357:$R$360,3,0)/$H$368,0)),ROUND(AVERAGE(ROUNDDOWN(S180*$H$368,0),2*VLOOKUP($B173,$P$357:$R$360,3,0)),0),VLOOKUP($B173,$P$357:$R$360,3,0))))-1))/2)))</f>
        <v>0</v>
      </c>
      <c r="T184" s="21"/>
      <c r="U184" s="21"/>
      <c r="V184" s="2928">
        <f ca="1">IF(OR($B178&gt;V179,V183="",V183=0),0,IF(AND(V180=0,OR(V179&gt;$B178,$I$368=1)),V183,IF(V180=0,NOMINAL(V183,12)*IF($B178=V179,$I$368,1),IF(AND($B178=V179,ROUNDDOWN($C$368,0)=V179),$E$368,1)*NOMINAL(V183,VLOOKUP($B173,$P$357:$R$360,3,0))/VLOOKUP($B173,$P$357:$R$360,3,0)))*((IF(V180=0,1,IF(AND($B178=V179,V180&lt;ROUNDDOWN(VLOOKUP($B173,$P$357:$R$360,3,0)/$H$368,0)),ROUNDDOWN(V180*$H$368,0),IF(AND($B178&lt;V179,V180&lt;ROUNDDOWN(VLOOKUP($B173,$P$357:$R$360,3,0)/$H$368,0)),ROUND(AVERAGE(ROUNDDOWN(V180*$H$368,0),2*VLOOKUP($B173,$P$357:$R$360,3,0)),0),VLOOKUP($B173,$P$357:$R$360,3,0))))*IF($B178=V179,$B174,SUM(S182:S182)))-((V181*(IF(V180=0,1,IF(AND($B178=V179,V180&lt;ROUNDDOWN(VLOOKUP($B173,$P$357:$R$360,3,0)/$H$368,0)),ROUNDDOWN(V180*$H$368,0),IF(AND($B178&lt;V179,V180&lt;ROUNDDOWN(VLOOKUP($B173,$P$357:$R$360,3,0)/$H$368,0)),ROUND(AVERAGE(ROUNDDOWN(V180*$H$368,0),2*VLOOKUP($B173,$P$357:$R$360,3,0)),0),VLOOKUP($B173,$P$357:$R$360,3,0))))-1))/2)))</f>
        <v>0</v>
      </c>
      <c r="W184" s="21"/>
      <c r="X184" s="21"/>
      <c r="Y184" s="2928">
        <f ca="1">IF(OR($B178&gt;Y179,Y183="",Y183=0),0,IF(AND(Y180=0,OR(Y179&gt;$B178,$I$368=1)),Y183,IF(Y180=0,NOMINAL(Y183,12)*IF($B178=Y179,$I$368,1),IF(AND($B178=Y179,ROUNDDOWN($C$368,0)=Y179),$E$368,1)*NOMINAL(Y183,VLOOKUP($B173,$P$357:$R$360,3,0))/VLOOKUP($B173,$P$357:$R$360,3,0)))*((IF(Y180=0,1,IF(AND($B178=Y179,Y180&lt;ROUNDDOWN(VLOOKUP($B173,$P$357:$R$360,3,0)/$H$368,0)),ROUNDDOWN(Y180*$H$368,0),IF(AND($B178&lt;Y179,Y180&lt;ROUNDDOWN(VLOOKUP($B173,$P$357:$R$360,3,0)/$H$368,0)),ROUND(AVERAGE(ROUNDDOWN(Y180*$H$368,0),2*VLOOKUP($B173,$P$357:$R$360,3,0)),0),VLOOKUP($B173,$P$357:$R$360,3,0))))*IF($B178=Y179,$B174,SUM(V182:V182)))-((Y181*(IF(Y180=0,1,IF(AND($B178=Y179,Y180&lt;ROUNDDOWN(VLOOKUP($B173,$P$357:$R$360,3,0)/$H$368,0)),ROUNDDOWN(Y180*$H$368,0),IF(AND($B178&lt;Y179,Y180&lt;ROUNDDOWN(VLOOKUP($B173,$P$357:$R$360,3,0)/$H$368,0)),ROUND(AVERAGE(ROUNDDOWN(Y180*$H$368,0),2*VLOOKUP($B173,$P$357:$R$360,3,0)),0),VLOOKUP($B173,$P$357:$R$360,3,0))))-1))/2)))</f>
        <v>0</v>
      </c>
      <c r="Z184" s="21"/>
      <c r="AA184" s="21"/>
      <c r="AB184" s="2928">
        <f ca="1">IF(OR($B178&gt;AB179,AB183="",AB183=0),0,IF(AND(AB180=0,OR(AB179&gt;$B178,$I$368=1)),AB183,IF(AB180=0,NOMINAL(AB183,12)*IF($B178=AB179,$I$368,1),IF(AND($B178=AB179,ROUNDDOWN($C$368,0)=AB179),$E$368,1)*NOMINAL(AB183,VLOOKUP($B173,$P$357:$R$360,3,0))/VLOOKUP($B173,$P$357:$R$360,3,0)))*((IF(AB180=0,1,IF(AND($B178=AB179,AB180&lt;ROUNDDOWN(VLOOKUP($B173,$P$357:$R$360,3,0)/$H$368,0)),ROUNDDOWN(AB180*$H$368,0),IF(AND($B178&lt;AB179,AB180&lt;ROUNDDOWN(VLOOKUP($B173,$P$357:$R$360,3,0)/$H$368,0)),ROUND(AVERAGE(ROUNDDOWN(AB180*$H$368,0),2*VLOOKUP($B173,$P$357:$R$360,3,0)),0),VLOOKUP($B173,$P$357:$R$360,3,0))))*IF($B178=AB179,$B174,SUM(Y182:Y182)))-((AB181*(IF(AB180=0,1,IF(AND($B178=AB179,AB180&lt;ROUNDDOWN(VLOOKUP($B173,$P$357:$R$360,3,0)/$H$368,0)),ROUNDDOWN(AB180*$H$368,0),IF(AND($B178&lt;AB179,AB180&lt;ROUNDDOWN(VLOOKUP($B173,$P$357:$R$360,3,0)/$H$368,0)),ROUND(AVERAGE(ROUNDDOWN(AB180*$H$368,0),2*VLOOKUP($B173,$P$357:$R$360,3,0)),0),VLOOKUP($B173,$P$357:$R$360,3,0))))-1))/2)))</f>
        <v>0</v>
      </c>
      <c r="AC184" s="21"/>
      <c r="AD184" s="21"/>
      <c r="AE184" s="2928">
        <f ca="1">IF(OR($B178&gt;AE179,AE183="",AE183=0),0,IF(AND(AE180=0,OR(AE179&gt;$B178,$I$368=1)),AE183,IF(AE180=0,NOMINAL(AE183,12)*IF($B178=AE179,$I$368,1),IF(AND($B178=AE179,ROUNDDOWN($C$368,0)=AE179),$E$368,1)*NOMINAL(AE183,VLOOKUP($B173,$P$357:$R$360,3,0))/VLOOKUP($B173,$P$357:$R$360,3,0)))*((IF(AE180=0,1,IF(AND($B178=AE179,AE180&lt;ROUNDDOWN(VLOOKUP($B173,$P$357:$R$360,3,0)/$H$368,0)),ROUNDDOWN(AE180*$H$368,0),IF(AND($B178&lt;AE179,AE180&lt;ROUNDDOWN(VLOOKUP($B173,$P$357:$R$360,3,0)/$H$368,0)),ROUND(AVERAGE(ROUNDDOWN(AE180*$H$368,0),2*VLOOKUP($B173,$P$357:$R$360,3,0)),0),VLOOKUP($B173,$P$357:$R$360,3,0))))*IF($B178=AE179,$B174,SUM(AB182:AB182)))-((AE181*(IF(AE180=0,1,IF(AND($B178=AE179,AE180&lt;ROUNDDOWN(VLOOKUP($B173,$P$357:$R$360,3,0)/$H$368,0)),ROUNDDOWN(AE180*$H$368,0),IF(AND($B178&lt;AE179,AE180&lt;ROUNDDOWN(VLOOKUP($B173,$P$357:$R$360,3,0)/$H$368,0)),ROUND(AVERAGE(ROUNDDOWN(AE180*$H$368,0),2*VLOOKUP($B173,$P$357:$R$360,3,0)),0),VLOOKUP($B173,$P$357:$R$360,3,0))))-1))/2)))</f>
        <v>0</v>
      </c>
      <c r="AF184" s="2929"/>
      <c r="AG184" s="21"/>
      <c r="AH184" s="2928">
        <f ca="1">IF(OR($B178&gt;AH179,AH183="",AH183=0),0,IF(AND(AH180=0,OR(AH179&gt;$B178,$I$368=1)),AH183,IF(AH180=0,NOMINAL(AH183,12)*IF($B178=AH179,$I$368,1),IF(AND($B178=AH179,ROUNDDOWN($C$368,0)=AH179),$E$368,1)*NOMINAL(AH183,VLOOKUP($B173,$P$357:$R$360,3,0))/VLOOKUP($B173,$P$357:$R$360,3,0)))*((IF(AH180=0,1,IF(AND($B178=AH179,AH180&lt;ROUNDDOWN(VLOOKUP($B173,$P$357:$R$360,3,0)/$H$368,0)),ROUNDDOWN(AH180*$H$368,0),IF(AND($B178&lt;AH179,AH180&lt;ROUNDDOWN(VLOOKUP($B173,$P$357:$R$360,3,0)/$H$368,0)),ROUND(AVERAGE(ROUNDDOWN(AH180*$H$368,0),2*VLOOKUP($B173,$P$357:$R$360,3,0)),0),VLOOKUP($B173,$P$357:$R$360,3,0))))*IF($B178=AH179,$B174,SUM(AE182:AE182)))-((AH181*(IF(AH180=0,1,IF(AND($B178=AH179,AH180&lt;ROUNDDOWN(VLOOKUP($B173,$P$357:$R$360,3,0)/$H$368,0)),ROUNDDOWN(AH180*$H$368,0),IF(AND($B178&lt;AH179,AH180&lt;ROUNDDOWN(VLOOKUP($B173,$P$357:$R$360,3,0)/$H$368,0)),ROUND(AVERAGE(ROUNDDOWN(AH180*$H$368,0),2*VLOOKUP($B173,$P$357:$R$360,3,0)),0),VLOOKUP($B173,$P$357:$R$360,3,0))))-1))/2)))</f>
        <v>0</v>
      </c>
      <c r="AI184" s="21"/>
      <c r="AJ184" s="21"/>
      <c r="AK184" s="2928">
        <f ca="1">IF(OR($B178&gt;AK179,AK183="",AK183=0),0,IF(AND(AK180=0,OR(AK179&gt;$B178,$I$368=1)),AK183,IF(AK180=0,NOMINAL(AK183,12)*IF($B178=AK179,$I$368,1),IF(AND($B178=AK179,ROUNDDOWN($C$368,0)=AK179),$E$368,1)*NOMINAL(AK183,VLOOKUP($B173,$P$357:$R$360,3,0))/VLOOKUP($B173,$P$357:$R$360,3,0)))*((IF(AK180=0,1,IF(AND($B178=AK179,AK180&lt;ROUNDDOWN(VLOOKUP($B173,$P$357:$R$360,3,0)/$H$368,0)),ROUNDDOWN(AK180*$H$368,0),IF(AND($B178&lt;AK179,AK180&lt;ROUNDDOWN(VLOOKUP($B173,$P$357:$R$360,3,0)/$H$368,0)),ROUND(AVERAGE(ROUNDDOWN(AK180*$H$368,0),2*VLOOKUP($B173,$P$357:$R$360,3,0)),0),VLOOKUP($B173,$P$357:$R$360,3,0))))*IF($B178=AK179,$B174,SUM(AH182:AH182)))-((AK181*(IF(AK180=0,1,IF(AND($B178=AK179,AK180&lt;ROUNDDOWN(VLOOKUP($B173,$P$357:$R$360,3,0)/$H$368,0)),ROUNDDOWN(AK180*$H$368,0),IF(AND($B178&lt;AK179,AK180&lt;ROUNDDOWN(VLOOKUP($B173,$P$357:$R$360,3,0)/$H$368,0)),ROUND(AVERAGE(ROUNDDOWN(AK180*$H$368,0),2*VLOOKUP($B173,$P$357:$R$360,3,0)),0),VLOOKUP($B173,$P$357:$R$360,3,0))))-1))/2)))</f>
        <v>0</v>
      </c>
      <c r="AL184" s="21"/>
      <c r="AM184" s="21"/>
      <c r="AN184" s="2928">
        <f ca="1">IF(OR($B178&gt;AN179,AN183="",AN183=0),0,IF(AND(AN180=0,OR(AN179&gt;$B178,$I$368=1)),AN183,IF(AN180=0,NOMINAL(AN183,12)*IF($B178=AN179,$I$368,1),IF(AND($B178=AN179,ROUNDDOWN($C$368,0)=AN179),$E$368,1)*NOMINAL(AN183,VLOOKUP($B173,$P$357:$R$360,3,0))/VLOOKUP($B173,$P$357:$R$360,3,0)))*((IF(AN180=0,1,IF(AND($B178=AN179,AN180&lt;ROUNDDOWN(VLOOKUP($B173,$P$357:$R$360,3,0)/$H$368,0)),ROUNDDOWN(AN180*$H$368,0),IF(AND($B178&lt;AN179,AN180&lt;ROUNDDOWN(VLOOKUP($B173,$P$357:$R$360,3,0)/$H$368,0)),ROUND(AVERAGE(ROUNDDOWN(AN180*$H$368,0),2*VLOOKUP($B173,$P$357:$R$360,3,0)),0),VLOOKUP($B173,$P$357:$R$360,3,0))))*IF($B178=AN179,$B174,SUM(AK182:AK182)))-((AN181*(IF(AN180=0,1,IF(AND($B178=AN179,AN180&lt;ROUNDDOWN(VLOOKUP($B173,$P$357:$R$360,3,0)/$H$368,0)),ROUNDDOWN(AN180*$H$368,0),IF(AND($B178&lt;AN179,AN180&lt;ROUNDDOWN(VLOOKUP($B173,$P$357:$R$360,3,0)/$H$368,0)),ROUND(AVERAGE(ROUNDDOWN(AN180*$H$368,0),2*VLOOKUP($B173,$P$357:$R$360,3,0)),0),VLOOKUP($B173,$P$357:$R$360,3,0))))-1))/2)))</f>
        <v>0</v>
      </c>
      <c r="AO184" s="21"/>
      <c r="AP184" s="21"/>
      <c r="AQ184" s="2928">
        <f ca="1">IF(OR($B178&gt;AQ179,AQ183="",AQ183=0),0,IF(AND(AQ180=0,OR(AQ179&gt;$B178,$I$368=1)),AQ183,IF(AQ180=0,NOMINAL(AQ183,12)*IF($B178=AQ179,$I$368,1),IF(AND($B178=AQ179,ROUNDDOWN($C$368,0)=AQ179),$E$368,1)*NOMINAL(AQ183,VLOOKUP($B173,$P$357:$R$360,3,0))/VLOOKUP($B173,$P$357:$R$360,3,0)))*((IF(AQ180=0,1,IF(AND($B178=AQ179,AQ180&lt;ROUNDDOWN(VLOOKUP($B173,$P$357:$R$360,3,0)/$H$368,0)),ROUNDDOWN(AQ180*$H$368,0),IF(AND($B178&lt;AQ179,AQ180&lt;ROUNDDOWN(VLOOKUP($B173,$P$357:$R$360,3,0)/$H$368,0)),ROUND(AVERAGE(ROUNDDOWN(AQ180*$H$368,0),2*VLOOKUP($B173,$P$357:$R$360,3,0)),0),VLOOKUP($B173,$P$357:$R$360,3,0))))*IF($B178=AQ179,$B174,SUM(AN182:AN182)))-((AQ181*(IF(AQ180=0,1,IF(AND($B178=AQ179,AQ180&lt;ROUNDDOWN(VLOOKUP($B173,$P$357:$R$360,3,0)/$H$368,0)),ROUNDDOWN(AQ180*$H$368,0),IF(AND($B178&lt;AQ179,AQ180&lt;ROUNDDOWN(VLOOKUP($B173,$P$357:$R$360,3,0)/$H$368,0)),ROUND(AVERAGE(ROUNDDOWN(AQ180*$H$368,0),2*VLOOKUP($B173,$P$357:$R$360,3,0)),0),VLOOKUP($B173,$P$357:$R$360,3,0))))-1))/2)))</f>
        <v>0</v>
      </c>
      <c r="AR184" s="21"/>
      <c r="AS184" s="21"/>
      <c r="AT184" s="2928">
        <f ca="1">IF(OR($B178&gt;AT179,AT183="",AT183=0),0,IF(AND(AT180=0,OR(AT179&gt;$B178,$I$368=1)),AT183,IF(AT180=0,NOMINAL(AT183,12)*IF($B178=AT179,$I$368,1),IF(AND($B178=AT179,ROUNDDOWN($C$368,0)=AT179),$E$368,1)*NOMINAL(AT183,VLOOKUP($B173,$P$357:$R$360,3,0))/VLOOKUP($B173,$P$357:$R$360,3,0)))*((IF(AT180=0,1,IF(AND($B178=AT179,AT180&lt;ROUNDDOWN(VLOOKUP($B173,$P$357:$R$360,3,0)/$H$368,0)),ROUNDDOWN(AT180*$H$368,0),IF(AND($B178&lt;AT179,AT180&lt;ROUNDDOWN(VLOOKUP($B173,$P$357:$R$360,3,0)/$H$368,0)),ROUND(AVERAGE(ROUNDDOWN(AT180*$H$368,0),2*VLOOKUP($B173,$P$357:$R$360,3,0)),0),VLOOKUP($B173,$P$357:$R$360,3,0))))*IF($B178=AT179,$B174,SUM(AQ182:AQ182)))-((AT181*(IF(AT180=0,1,IF(AND($B178=AT179,AT180&lt;ROUNDDOWN(VLOOKUP($B173,$P$357:$R$360,3,0)/$H$368,0)),ROUNDDOWN(AT180*$H$368,0),IF(AND($B178&lt;AT179,AT180&lt;ROUNDDOWN(VLOOKUP($B173,$P$357:$R$360,3,0)/$H$368,0)),ROUND(AVERAGE(ROUNDDOWN(AT180*$H$368,0),2*VLOOKUP($B173,$P$357:$R$360,3,0)),0),VLOOKUP($B173,$P$357:$R$360,3,0))))-1))/2)))</f>
        <v>0</v>
      </c>
      <c r="AU184" s="2929"/>
      <c r="AV184" s="2918"/>
    </row>
    <row r="185" spans="1:48" ht="13.5" thickBot="1" x14ac:dyDescent="0.25">
      <c r="AV185" s="2918"/>
    </row>
    <row r="186" spans="1:48" x14ac:dyDescent="0.2">
      <c r="A186" s="2930" t="s">
        <v>2060</v>
      </c>
      <c r="B186" s="2931"/>
      <c r="C186" s="2932"/>
      <c r="D186" s="2932"/>
      <c r="E186" s="2932"/>
      <c r="F186" s="2932"/>
      <c r="G186" s="2932"/>
      <c r="H186" s="2932"/>
      <c r="I186" s="2932"/>
      <c r="J186" s="2932"/>
      <c r="K186" s="2932"/>
      <c r="L186" s="2932"/>
      <c r="M186" s="2932"/>
      <c r="N186" s="2932"/>
      <c r="O186" s="2932"/>
      <c r="P186" s="2932"/>
      <c r="Q186" s="2932"/>
      <c r="R186" s="2932"/>
      <c r="S186" s="2932"/>
      <c r="T186" s="2932"/>
      <c r="U186" s="2932"/>
      <c r="V186" s="2932"/>
      <c r="W186" s="2932"/>
      <c r="X186" s="2932"/>
      <c r="Y186" s="2932"/>
      <c r="Z186" s="2932"/>
      <c r="AA186" s="2932"/>
      <c r="AB186" s="2932"/>
      <c r="AC186" s="2932"/>
      <c r="AD186" s="2932"/>
      <c r="AE186" s="2932"/>
      <c r="AF186" s="2932"/>
      <c r="AG186" s="2932"/>
      <c r="AH186" s="2932"/>
      <c r="AI186" s="2932"/>
      <c r="AJ186" s="2932"/>
      <c r="AK186" s="2932"/>
      <c r="AL186" s="2932"/>
      <c r="AM186" s="2932"/>
      <c r="AN186" s="2932"/>
      <c r="AO186" s="2932"/>
      <c r="AP186" s="2932"/>
      <c r="AQ186" s="2932"/>
      <c r="AR186" s="2932"/>
      <c r="AS186" s="2932"/>
      <c r="AT186" s="2932"/>
      <c r="AU186" s="2932"/>
      <c r="AV186" s="2933"/>
    </row>
    <row r="187" spans="1:48" x14ac:dyDescent="0.2">
      <c r="A187" s="2916" t="s">
        <v>2061</v>
      </c>
      <c r="B187" s="2917"/>
      <c r="AV187" s="2918"/>
    </row>
    <row r="188" spans="1:48" x14ac:dyDescent="0.2">
      <c r="A188" s="2916" t="s">
        <v>2062</v>
      </c>
      <c r="B188" s="2917"/>
      <c r="AV188" s="2918"/>
    </row>
    <row r="189" spans="1:48" x14ac:dyDescent="0.2">
      <c r="A189" s="2916" t="s">
        <v>2063</v>
      </c>
      <c r="B189" s="2917"/>
      <c r="AV189" s="2918"/>
    </row>
    <row r="190" spans="1:48" x14ac:dyDescent="0.2">
      <c r="A190" s="2916" t="s">
        <v>2064</v>
      </c>
      <c r="B190" s="2917"/>
      <c r="AV190" s="2918"/>
    </row>
    <row r="191" spans="1:48" x14ac:dyDescent="0.2">
      <c r="A191" s="2919" t="s">
        <v>2065</v>
      </c>
      <c r="B191" s="2920"/>
      <c r="AV191" s="2918"/>
    </row>
    <row r="192" spans="1:48" x14ac:dyDescent="0.2">
      <c r="A192" s="2921" t="s">
        <v>2066</v>
      </c>
      <c r="B192" s="2922">
        <f ca="1">B$11</f>
        <v>2023</v>
      </c>
      <c r="D192" s="2922">
        <f ca="1">D$11</f>
        <v>2024</v>
      </c>
      <c r="G192" s="2922">
        <f ca="1">G$11</f>
        <v>2025</v>
      </c>
      <c r="J192" s="2922">
        <f ca="1">J$11</f>
        <v>2026</v>
      </c>
      <c r="M192" s="2922">
        <f ca="1">M$11</f>
        <v>2027</v>
      </c>
      <c r="P192" s="2922">
        <f ca="1">P$11</f>
        <v>2028</v>
      </c>
      <c r="S192" s="2922">
        <f ca="1">S$11</f>
        <v>2029</v>
      </c>
      <c r="V192" s="2922">
        <f ca="1">V$11</f>
        <v>2030</v>
      </c>
      <c r="Y192" s="2922">
        <f ca="1">Y$11</f>
        <v>2031</v>
      </c>
      <c r="AB192" s="2922">
        <f ca="1">AB$11</f>
        <v>2032</v>
      </c>
      <c r="AE192" s="2922">
        <f ca="1">AE$11</f>
        <v>2033</v>
      </c>
      <c r="AH192" s="2922">
        <f ca="1">AH$11</f>
        <v>2034</v>
      </c>
      <c r="AK192" s="2922">
        <f ca="1">AK$11</f>
        <v>2035</v>
      </c>
      <c r="AN192" s="2922">
        <f ca="1">AN$11</f>
        <v>2036</v>
      </c>
      <c r="AQ192" s="2922">
        <f ca="1">AQ$11</f>
        <v>2037</v>
      </c>
      <c r="AT192" s="2922">
        <f ca="1">AT$11</f>
        <v>2038</v>
      </c>
      <c r="AV192" s="2918"/>
    </row>
    <row r="193" spans="1:48" x14ac:dyDescent="0.2">
      <c r="A193" s="2923" t="s">
        <v>2067</v>
      </c>
      <c r="B193" s="2924">
        <f>IF(OR($B188=0,$B188="",$B186=""),0,IF(AND(B192-$B191&gt;=0,B192&lt;=$B191+$B188,ROUNDDOWN(B192,0)=ROUNDDOWN($C$369,0)),IF(ROUNDDOWN(B192,0)=ROUNDDOWN($C$369,0),ROUND($E$369*VLOOKUP($B186,$P$357:$R$360,3,0)/$H$369,2),ROUND(VLOOKUP($B186,$P$357:$R$360,3,0)/$H$369,2)),0))</f>
        <v>0</v>
      </c>
      <c r="D193" s="2924">
        <f>IF(OR($B188=0,$B188="",$B186=""),0,IF(AND(ROUNDDOWN(D192,0)&gt;=ROUNDDOWN($C$369,0),1-$B193&lt;VLOOKUP($B186,$P$357:$R$360,3,0)/$H$369),1-$B193,IF(ROUNDDOWN(D192,0)&gt;=ROUNDDOWN($C$369,0),IF(ROUNDDOWN(D192,0)=ROUNDDOWN($C$369,0),ROUND($E$369*VLOOKUP($B186,$P$357:$R$360,3,0)/$H$369,2),ROUND(VLOOKUP($B186,$P$357:$R$360,3,0)/$H$369,2)),0)))</f>
        <v>0</v>
      </c>
      <c r="G193" s="2924">
        <f>IF(OR($B188=0,$B188="",$B186=""),0,IF(AND(ROUNDDOWN(G192,0)&gt;=ROUNDDOWN($C$369,0),1-SUM($B193:D193)&lt;VLOOKUP($B186,$P$357:$R$360,3,0)/$H$369),1-SUM($B193:D193),IF(ROUNDDOWN(G192,0)&gt;=ROUNDDOWN($C$369,0),IF(ROUNDDOWN(G192,0)=ROUNDDOWN($C$369,0),ROUND($E$369*VLOOKUP($B186,$P$357:$R$360,3,0)/$H$369,2),ROUND(VLOOKUP($B186,$P$357:$R$360,3,0)/$H$369,2)),0)))</f>
        <v>0</v>
      </c>
      <c r="J193" s="2924">
        <f>IF(OR($B188=0,$B188="",$B186=""),0,IF(AND(ROUNDDOWN(J192,0)&gt;=ROUNDDOWN($C$369,0),1-SUM($B193:G193)&lt;VLOOKUP($B186,$P$357:$R$360,3,0)/$H$369),1-SUM($B193:G193),IF(ROUNDDOWN(J192,0)&gt;=ROUNDDOWN($C$369,0),IF(ROUNDDOWN(J192,0)=ROUNDDOWN($C$369,0),ROUND($E$369*VLOOKUP($B186,$P$357:$R$360,3,0)/$H$369,2),ROUND(VLOOKUP($B186,$P$357:$R$360,3,0)/$H$369,2)),0)))</f>
        <v>0</v>
      </c>
      <c r="M193" s="2924">
        <f>IF(OR($B188=0,$B188="",$B186=""),0,IF(AND(ROUNDDOWN(M192,0)&gt;=ROUNDDOWN($C$369,0),1-SUM($B193:J193)&lt;VLOOKUP($B186,$P$357:$R$360,3,0)/$H$369),1-SUM($B193:J193),IF(ROUNDDOWN(M192,0)&gt;=ROUNDDOWN($C$369,0),IF(ROUNDDOWN(M192,0)=ROUNDDOWN($C$369,0),ROUND($E$369*VLOOKUP($B186,$P$357:$R$360,3,0)/$H$369,2),ROUND(VLOOKUP($B186,$P$357:$R$360,3,0)/$H$369,2)),0)))</f>
        <v>0</v>
      </c>
      <c r="P193" s="2924">
        <f>IF(OR($B188=0,$B188="",$B186=""),0,IF(AND(ROUNDDOWN(P192,0)&gt;=ROUNDDOWN($C$369,0),1-SUM($B193:M193)&lt;VLOOKUP($B186,$P$357:$R$360,3,0)/$H$369),1-SUM($B193:M193),IF(ROUNDDOWN(P192,0)&gt;=ROUNDDOWN($C$369,0),IF(ROUNDDOWN(P192,0)=ROUNDDOWN($C$369,0),ROUND($E$369*VLOOKUP($B186,$P$357:$R$360,3,0)/$H$369,2),ROUND(VLOOKUP($B186,$P$357:$R$360,3,0)/$H$369,2)),0)))</f>
        <v>0</v>
      </c>
      <c r="S193" s="2924">
        <f>IF(OR($B188=0,$B188="",$B186=""),0,IF(AND(ROUNDDOWN(S192,0)&gt;=ROUNDDOWN($C$369,0),1-SUM($B193:P193)&lt;VLOOKUP($B186,$P$357:$R$360,3,0)/$H$369),1-SUM($B193:P193),IF(ROUNDDOWN(S192,0)&gt;=ROUNDDOWN($C$369,0),IF(ROUNDDOWN(S192,0)=ROUNDDOWN($C$369,0),ROUND($E$369*VLOOKUP($B186,$P$357:$R$360,3,0)/$H$369,2),ROUND(VLOOKUP($B186,$P$357:$R$360,3,0)/$H$369,2)),0)))</f>
        <v>0</v>
      </c>
      <c r="V193" s="2924">
        <f>IF(OR($B188=0,$B188="",$B186=""),0,IF(AND(ROUNDDOWN(V192,0)&gt;=ROUNDDOWN($C$369,0),1-SUM($B193:S193)&lt;VLOOKUP($B186,$P$357:$R$360,3,0)/$H$369),1-SUM($B193:S193),IF(ROUNDDOWN(V192,0)&gt;=ROUNDDOWN($C$369,0),IF(ROUNDDOWN(V192,0)=ROUNDDOWN($C$369,0),ROUND($E$369*VLOOKUP($B186,$P$357:$R$360,3,0)/$H$369,2),ROUND(VLOOKUP($B186,$P$357:$R$360,3,0)/$H$369,2)),0)))</f>
        <v>0</v>
      </c>
      <c r="Y193" s="2924">
        <f>IF(OR($B188=0,$B188="",$B186=""),0,IF(AND(ROUNDDOWN(Y192,0)&gt;=ROUNDDOWN($C$369,0),1-SUM($B193:V193)&lt;VLOOKUP($B186,$P$357:$R$360,3,0)/$H$369),1-SUM($B193:V193),IF(ROUNDDOWN(Y192,0)&gt;=ROUNDDOWN($C$369,0),IF(ROUNDDOWN(Y192,0)=ROUNDDOWN($C$369,0),ROUND($E$369*VLOOKUP($B186,$P$357:$R$360,3,0)/$H$369,2),ROUND(VLOOKUP($B186,$P$357:$R$360,3,0)/$H$369,2)),0)))</f>
        <v>0</v>
      </c>
      <c r="AB193" s="2924">
        <f>IF(OR($B188=0,$B188="",$B186=""),0,IF(AND(ROUNDDOWN(AB192,0)&gt;=ROUNDDOWN($C$369,0),1-SUM($B193:Y193)&lt;VLOOKUP($B186,$P$357:$R$360,3,0)/$H$369),1-SUM($B193:Y193),IF(ROUNDDOWN(AB192,0)&gt;=ROUNDDOWN($C$369,0),IF(ROUNDDOWN(AB192,0)=ROUNDDOWN($C$369,0),ROUND($E$369*VLOOKUP($B186,$P$357:$R$360,3,0)/$H$369,2),ROUND(VLOOKUP($B186,$P$357:$R$360,3,0)/$H$369,2)),0)))</f>
        <v>0</v>
      </c>
      <c r="AE193" s="2924">
        <f>IF(OR($B188=0,$B188="",$B186=""),0,IF(AND(ROUNDDOWN(AE192,0)&gt;=ROUNDDOWN($C$369,0),1-SUM($B193:AB193)&lt;VLOOKUP($B186,$P$357:$R$360,3,0)/$H$369),1-SUM($B193:AB193),IF(ROUNDDOWN(AE192,0)&gt;=ROUNDDOWN($C$369,0),IF(ROUNDDOWN(AE192,0)=ROUNDDOWN($C$369,0),ROUND($E$369*VLOOKUP($B186,$P$357:$R$360,3,0)/$H$369,2),ROUND(VLOOKUP($B186,$P$357:$R$360,3,0)/$H$369,2)),0)))</f>
        <v>0</v>
      </c>
      <c r="AH193" s="2924">
        <f>IF(OR($B188=0,$B188="",$B186=""),0,IF(AND(ROUNDDOWN(AH192,0)&gt;=ROUNDDOWN($C$369,0),1-SUM($B193:AE193)&lt;VLOOKUP($B186,$P$357:$R$360,3,0)/$H$369),1-SUM($B193:AE193),IF(ROUNDDOWN(AH192,0)&gt;=ROUNDDOWN($C$369,0),IF(ROUNDDOWN(AH192,0)=ROUNDDOWN($C$369,0),ROUND($E$369*VLOOKUP($B186,$P$357:$R$360,3,0)/$H$369,2),ROUND(VLOOKUP($B186,$P$357:$R$360,3,0)/$H$369,2)),0)))</f>
        <v>0</v>
      </c>
      <c r="AK193" s="2924">
        <f>IF(OR($B188=0,$B188="",$B186=""),0,IF(AND(ROUNDDOWN(AK192,0)&gt;=ROUNDDOWN($C$369,0),1-SUM($B193:AH193)&lt;VLOOKUP($B186,$P$357:$R$360,3,0)/$H$369),1-SUM($B193:AH193),IF(ROUNDDOWN(AK192,0)&gt;=ROUNDDOWN($C$369,0),IF(ROUNDDOWN(AK192,0)=ROUNDDOWN($C$369,0),ROUND($E$369*VLOOKUP($B186,$P$357:$R$360,3,0)/$H$369,2),ROUND(VLOOKUP($B186,$P$357:$R$360,3,0)/$H$369,2)),0)))</f>
        <v>0</v>
      </c>
      <c r="AN193" s="2924">
        <f>IF(OR($B188=0,$B188="",$B186=""),0,IF(AND(ROUNDDOWN(AN192,0)&gt;=ROUNDDOWN($C$369,0),1-SUM($B193:AK193)&lt;VLOOKUP($B186,$P$357:$R$360,3,0)/$H$369),1-SUM($B193:AK193),IF(ROUNDDOWN(AN192,0)&gt;=ROUNDDOWN($C$369,0),IF(ROUNDDOWN(AN192,0)=ROUNDDOWN($C$369,0),ROUND($E$369*VLOOKUP($B186,$P$357:$R$360,3,0)/$H$369,2),ROUND(VLOOKUP($B186,$P$357:$R$360,3,0)/$H$369,2)),0)))</f>
        <v>0</v>
      </c>
      <c r="AQ193" s="2924">
        <f>IF(OR($B188=0,$B188="",$B186=""),0,IF(AND(ROUNDDOWN(AQ192,0)&gt;=ROUNDDOWN($C$369,0),1-SUM($B193:AN193)&lt;VLOOKUP($B186,$P$357:$R$360,3,0)/$H$369),1-SUM($B193:AN193),IF(ROUNDDOWN(AQ192,0)&gt;=ROUNDDOWN($C$369,0),IF(ROUNDDOWN(AQ192,0)=ROUNDDOWN($C$369,0),ROUND($E$369*VLOOKUP($B186,$P$357:$R$360,3,0)/$H$369,2),ROUND(VLOOKUP($B186,$P$357:$R$360,3,0)/$H$369,2)),0)))</f>
        <v>0</v>
      </c>
      <c r="AT193" s="2924">
        <f>IF(OR($B188=0,$B188="",$B186=""),0,IF(AND(ROUNDDOWN(AT192,0)&gt;=ROUNDDOWN($C$369,0),1-SUM($B193:AQ193)&lt;VLOOKUP($B186,$P$357:$R$360,3,0)/$H$369),1-SUM($B193:AQ193),IF(ROUNDDOWN(AT192,0)&gt;=ROUNDDOWN($C$369,0),IF(ROUNDDOWN(AT192,0)=ROUNDDOWN($C$369,0),ROUND($E$369*VLOOKUP($B186,$P$357:$R$360,3,0)/$H$369,2),ROUND(VLOOKUP($B186,$P$357:$R$360,3,0)/$H$369,2)),0)))</f>
        <v>0</v>
      </c>
      <c r="AV193" s="2918"/>
    </row>
    <row r="194" spans="1:48" x14ac:dyDescent="0.2">
      <c r="A194" s="2925" t="s">
        <v>2068</v>
      </c>
      <c r="B194" s="2926">
        <f>$B187*B193</f>
        <v>0</v>
      </c>
      <c r="D194" s="2926">
        <f ca="1">IF($B191&gt;D192,0,D193*$B187)</f>
        <v>0</v>
      </c>
      <c r="G194" s="2926">
        <f ca="1">IF($B191&gt;G192,0,G193*$B187)</f>
        <v>0</v>
      </c>
      <c r="J194" s="2926">
        <f ca="1">IF($B191&gt;J192,0,J193*$B187)</f>
        <v>0</v>
      </c>
      <c r="M194" s="2926">
        <f ca="1">IF($B191&gt;M192,0,M193*$B187)</f>
        <v>0</v>
      </c>
      <c r="P194" s="2926">
        <f ca="1">IF($B191&gt;P192,0,P193*$B187)</f>
        <v>0</v>
      </c>
      <c r="S194" s="2926">
        <f ca="1">IF($B191&gt;S192,0,S193*$B187)</f>
        <v>0</v>
      </c>
      <c r="V194" s="2926">
        <f ca="1">IF($B191&gt;V192,0,V193*$B187)</f>
        <v>0</v>
      </c>
      <c r="Y194" s="2926">
        <f ca="1">IF($B191&gt;Y192,0,Y193*$B187)</f>
        <v>0</v>
      </c>
      <c r="AB194" s="2926">
        <f ca="1">IF($B191&gt;AB192,0,AB193*$B187)</f>
        <v>0</v>
      </c>
      <c r="AE194" s="2926">
        <f ca="1">IF($B191&gt;AE192,0,AE193*$B187)</f>
        <v>0</v>
      </c>
      <c r="AH194" s="2926">
        <f ca="1">IF($B191&gt;AH192,0,AH193*$B187)</f>
        <v>0</v>
      </c>
      <c r="AK194" s="2926">
        <f ca="1">IF($B191&gt;AK192,0,AK193*$B187)</f>
        <v>0</v>
      </c>
      <c r="AN194" s="2926">
        <f ca="1">IF($B191&gt;AN192,0,AN193*$B187)</f>
        <v>0</v>
      </c>
      <c r="AQ194" s="2926">
        <f ca="1">IF($B191&gt;AQ192,0,AQ193*$B187)</f>
        <v>0</v>
      </c>
      <c r="AT194" s="2926">
        <f ca="1">IF($B191&gt;AT192,0,AT193*$B187)</f>
        <v>0</v>
      </c>
      <c r="AV194" s="2918"/>
    </row>
    <row r="195" spans="1:48" x14ac:dyDescent="0.2">
      <c r="A195" s="2919" t="s">
        <v>2069</v>
      </c>
      <c r="B195" s="2927">
        <f ca="1">IF($B191&gt;B192,0,B187-B194)</f>
        <v>0</v>
      </c>
      <c r="D195" s="2927">
        <f ca="1">IF($B191&gt;D192,0,IF($B191=D192,$B187-D194,IF(+B195-D194&lt;0.005,0,B195-D194)))</f>
        <v>0</v>
      </c>
      <c r="G195" s="2927">
        <f ca="1">IF($B191&gt;G192,0,IF($B191=G192,$B187-G194,IF(D195-G194&lt;0.005,0,D195-G194)))</f>
        <v>0</v>
      </c>
      <c r="J195" s="2927">
        <f ca="1">IF($B191&gt;J192,0,IF($B191=J192,$B187-J194,IF(G195-J194&lt;0.005,0,G195-J194)))</f>
        <v>0</v>
      </c>
      <c r="M195" s="2927">
        <f ca="1">IF($B191&gt;M192,0,IF($B191=M192,$B187-M194,IF(J195-M194&lt;0.005,0,J195-M194)))</f>
        <v>0</v>
      </c>
      <c r="P195" s="2927">
        <f ca="1">IF($B191&gt;P192,0,IF($B191=P192,$B187-P194,IF(M195-P194&lt;0.005,0,M195-P194)))</f>
        <v>0</v>
      </c>
      <c r="S195" s="2927">
        <f ca="1">IF($B191&gt;S192,0,IF($B191=S192,$B187-S194,IF(P195-S194&lt;0.005,0,P195-S194)))</f>
        <v>0</v>
      </c>
      <c r="V195" s="2927">
        <f ca="1">IF($B191&gt;V192,0,IF($B191=V192,$B187-V194,IF(S195-V194&lt;0.005,0,S195-V194)))</f>
        <v>0</v>
      </c>
      <c r="Y195" s="2927">
        <f ca="1">IF($B191&gt;Y192,0,IF($B191=Y192,$B187-Y194,IF(V195-Y194&lt;0.005,0,V195-Y194)))</f>
        <v>0</v>
      </c>
      <c r="AB195" s="2927">
        <f ca="1">IF($B191&gt;AB192,0,IF($B191=AB192,$B187-AB194,IF(Y195-AB194&lt;0.005,0,Y195-AB194)))</f>
        <v>0</v>
      </c>
      <c r="AE195" s="2927">
        <f ca="1">IF($B191&gt;AE192,0,IF($B191=AE192,$B187-AE194,IF(AB195-AE194&lt;0.005,0,AB195-AE194)))</f>
        <v>0</v>
      </c>
      <c r="AH195" s="2927">
        <f ca="1">IF($B191&gt;AH192,0,IF($B191=AH192,$B187-AH194,IF(AE195-AH194&lt;0.005,0,AE195-AH194)))</f>
        <v>0</v>
      </c>
      <c r="AK195" s="2927">
        <f ca="1">IF($B191&gt;AK192,0,IF($B191=AK192,$B187-AK194,IF(AH195-AK194&lt;0.005,0,AH195-AK194)))</f>
        <v>0</v>
      </c>
      <c r="AN195" s="2927">
        <f ca="1">IF($B191&gt;AN192,0,IF($B191=AN192,$B187-AN194,IF(AK195-AN194&lt;0.005,0,AK195-AN194)))</f>
        <v>0</v>
      </c>
      <c r="AQ195" s="2927">
        <f ca="1">IF($B191&gt;AQ192,0,IF($B191=AQ192,$B187-AQ194,IF(AN195-AQ194&lt;0.005,0,AN195-AQ194)))</f>
        <v>0</v>
      </c>
      <c r="AT195" s="2927">
        <f ca="1">IF($B191&gt;AT192,0,IF($B191=AT192,$B187-AT194,IF(AQ195-AT194&lt;0.005,0,AQ195-AT194)))</f>
        <v>0</v>
      </c>
      <c r="AV195" s="2918"/>
    </row>
    <row r="196" spans="1:48" x14ac:dyDescent="0.2">
      <c r="A196" s="2923" t="s">
        <v>2070</v>
      </c>
      <c r="B196" s="2924"/>
      <c r="D196" s="2924">
        <f>B196</f>
        <v>0</v>
      </c>
      <c r="G196" s="2924">
        <f>D196</f>
        <v>0</v>
      </c>
      <c r="J196" s="2924">
        <f>G196</f>
        <v>0</v>
      </c>
      <c r="M196" s="2924">
        <f>J196</f>
        <v>0</v>
      </c>
      <c r="P196" s="2924">
        <f>M196</f>
        <v>0</v>
      </c>
      <c r="S196" s="2924">
        <f>P196</f>
        <v>0</v>
      </c>
      <c r="V196" s="2924">
        <f>S196</f>
        <v>0</v>
      </c>
      <c r="Y196" s="2924">
        <f>V196</f>
        <v>0</v>
      </c>
      <c r="AB196" s="2924">
        <f>Y196</f>
        <v>0</v>
      </c>
      <c r="AE196" s="2924">
        <f>AB196</f>
        <v>0</v>
      </c>
      <c r="AH196" s="2924">
        <f>AE196</f>
        <v>0</v>
      </c>
      <c r="AK196" s="2924">
        <f>AH196</f>
        <v>0</v>
      </c>
      <c r="AN196" s="2924">
        <f>AK196</f>
        <v>0</v>
      </c>
      <c r="AQ196" s="2924">
        <f>AN196</f>
        <v>0</v>
      </c>
      <c r="AT196" s="2924">
        <f>AQ196</f>
        <v>0</v>
      </c>
      <c r="AV196" s="2918"/>
    </row>
    <row r="197" spans="1:48" x14ac:dyDescent="0.2">
      <c r="A197" s="2923" t="s">
        <v>2071</v>
      </c>
      <c r="B197" s="2928">
        <f ca="1">IF(OR($B191&lt;&gt;B192,B196="",B196=0),0,IF(AND(B193=0,$I$369=1),B196,IF(B193=0,NOMINAL(B196,12)*IF($B191=B192,$I$369,1),IF(AND($B191=B192,ROUNDDOWN($C$369,0)=B192),$E$369,1)*NOMINAL(B196,VLOOKUP($B186,$P$357:$R$360,3,0))/VLOOKUP($B186,$P$357:$R$360,3,0)))*((IF(B193=0,1,IF(AND($B191=B192,B193&lt;ROUNDDOWN(VLOOKUP($B186,$P$357:$R$360,3,0)/$H$369,0)),ROUNDDOWN(B193*$H$369,0),IF(AND($B191&lt;B192,B193&lt;ROUNDDOWN(VLOOKUP($B186,$P$357:$R$360,3,0)/$H$369,0)),ROUND(AVERAGE(ROUNDDOWN(B193*$H$369,0),2*VLOOKUP($B186,$P$357:$R$360,3,0)),0),VLOOKUP($B186,$P$357:$R$360,3,0))))*$B187)-((B194*(IF(B193=0,1,IF(AND($B191=B192,B193&lt;ROUNDDOWN(VLOOKUP($B186,$P$357:$R$360,3,0)/$H$369,0)),ROUNDDOWN(B193*$H$369,0),IF(AND($B191&lt;B192,B193&lt;ROUNDDOWN(VLOOKUP($B186,$P$357:$R$360,3,0)/$H$369,0)),ROUND(AVERAGE(ROUNDDOWN(B193*$H$369,0),2*VLOOKUP($B186,$P$357:$R$360,3,0)),0),VLOOKUP($B186,$P$357:$R$360,3,0))))-1))/2)))</f>
        <v>0</v>
      </c>
      <c r="C197" s="21"/>
      <c r="D197" s="2928">
        <f ca="1">IF(OR($B191&gt;D192,D196="",D196=0),0,IF(AND(D193=0,OR(D192&gt;$B191,$I$369=1)),D196,IF(D193=0,NOMINAL(D196,12)*IF($B191=D192,$I$369,1),IF(AND($B191=D192,ROUNDDOWN($C$369,0)=D192),$E$369,1)*NOMINAL(D196,VLOOKUP($B186,$P$357:$R$360,3,0))/VLOOKUP($B186,$P$357:$R$360,3,0)))*((IF(D193=0,1,IF(AND($B191=D192,D193&lt;ROUNDDOWN(VLOOKUP($B186,$P$357:$R$360,3,0)/$H$369,0)),ROUNDDOWN(D193*$H$369,0),IF(AND($B191&lt;D192,D193&lt;ROUNDDOWN(VLOOKUP($B186,$P$357:$R$360,3,0)/$H$369,0)),ROUND(AVERAGE(ROUNDDOWN(D193*$H$369,0),2*VLOOKUP($B186,$P$357:$R$360,3,0)),0),VLOOKUP($B186,$P$357:$R$360,3,0))))*IF($B191=D192,$B187,SUM(B195:B195)))-((D194*(IF(D193=0,1,IF(AND($B191=D192,D193&lt;ROUNDDOWN(VLOOKUP($B186,$P$357:$R$360,3,0)/$H$369,0)),ROUNDDOWN(D193*$H$369,0),IF(AND($B191&lt;D192,D193&lt;ROUNDDOWN(VLOOKUP($B186,$P$357:$R$360,3,0)/$H$369,0)),ROUND(AVERAGE(ROUNDDOWN(D193*$H$369,0),2*VLOOKUP($B186,$P$357:$R$360,3,0)),0),VLOOKUP($B186,$P$357:$R$360,3,0))))-1))/2)))</f>
        <v>0</v>
      </c>
      <c r="E197" s="21"/>
      <c r="F197" s="21"/>
      <c r="G197" s="2928">
        <f ca="1">IF(OR($B191&gt;G192,G196="",G196=0),0,IF(AND(G193=0,OR(G192&gt;$B191,$I$369=1)),G196,IF(G193=0,NOMINAL(G196,12)*IF($B191=G192,$I$369,1),IF(AND($B191=G192,ROUNDDOWN($C$369,0)=G192),$E$369,1)*NOMINAL(G196,VLOOKUP($B186,$P$357:$R$360,3,0))/VLOOKUP($B186,$P$357:$R$360,3,0)))*((IF(G193=0,1,IF(AND($B191=G192,G193&lt;ROUNDDOWN(VLOOKUP($B186,$P$357:$R$360,3,0)/$H$369,0)),ROUNDDOWN(G193*$H$369,0),IF(AND($B191&lt;G192,G193&lt;ROUNDDOWN(VLOOKUP($B186,$P$357:$R$360,3,0)/$H$369,0)),ROUND(AVERAGE(ROUNDDOWN(G193*$H$369,0),2*VLOOKUP($B186,$P$357:$R$360,3,0)),0),VLOOKUP($B186,$P$357:$R$360,3,0))))*IF($B191=G192,$B187,SUM(D195:D195)))-((G194*(IF(G193=0,1,IF(AND($B191=G192,G193&lt;ROUNDDOWN(VLOOKUP($B186,$P$357:$R$360,3,0)/$H$369,0)),ROUNDDOWN(G193*$H$369,0),IF(AND($B191&lt;G192,G193&lt;ROUNDDOWN(VLOOKUP($B186,$P$357:$R$360,3,0)/$H$369,0)),ROUND(AVERAGE(ROUNDDOWN(G193*$H$369,0),2*VLOOKUP($B186,$P$357:$R$360,3,0)),0),VLOOKUP($B186,$P$357:$R$360,3,0))))-1))/2)))</f>
        <v>0</v>
      </c>
      <c r="H197" s="21"/>
      <c r="I197" s="21"/>
      <c r="J197" s="2928">
        <f ca="1">IF(OR($B191&gt;J192,J196="",J196=0),0,IF(AND(J193=0,OR(J192&gt;$B191,$I$369=1)),J196,IF(J193=0,NOMINAL(J196,12)*IF($B191=J192,$I$369,1),IF(AND($B191=J192,ROUNDDOWN($C$369,0)=J192),$E$369,1)*NOMINAL(J196,VLOOKUP($B186,$P$357:$R$360,3,0))/VLOOKUP($B186,$P$357:$R$360,3,0)))*((IF(J193=0,1,IF(AND($B191=J192,J193&lt;ROUNDDOWN(VLOOKUP($B186,$P$357:$R$360,3,0)/$H$369,0)),ROUNDDOWN(J193*$H$369,0),IF(AND($B191&lt;J192,J193&lt;ROUNDDOWN(VLOOKUP($B186,$P$357:$R$360,3,0)/$H$369,0)),ROUND(AVERAGE(ROUNDDOWN(J193*$H$369,0),2*VLOOKUP($B186,$P$357:$R$360,3,0)),0),VLOOKUP($B186,$P$357:$R$360,3,0))))*IF($B191=J192,$B187,SUM(G195:G195)))-((J194*(IF(J193=0,1,IF(AND($B191=J192,J193&lt;ROUNDDOWN(VLOOKUP($B186,$P$357:$R$360,3,0)/$H$369,0)),ROUNDDOWN(J193*$H$369,0),IF(AND($B191&lt;J192,J193&lt;ROUNDDOWN(VLOOKUP($B186,$P$357:$R$360,3,0)/$H$369,0)),ROUND(AVERAGE(ROUNDDOWN(J193*$H$369,0),2*VLOOKUP($B186,$P$357:$R$360,3,0)),0),VLOOKUP($B186,$P$357:$R$360,3,0))))-1))/2)))</f>
        <v>0</v>
      </c>
      <c r="K197" s="21"/>
      <c r="L197" s="21"/>
      <c r="M197" s="2928">
        <f ca="1">IF(OR($B191&gt;M192,M196="",M196=0),0,IF(AND(M193=0,OR(M192&gt;$B191,$I$369=1)),M196,IF(M193=0,NOMINAL(M196,12)*IF($B191=M192,$I$369,1),IF(AND($B191=M192,ROUNDDOWN($C$369,0)=M192),$E$369,1)*NOMINAL(M196,VLOOKUP($B186,$P$357:$R$360,3,0))/VLOOKUP($B186,$P$357:$R$360,3,0)))*((IF(M193=0,1,IF(AND($B191=M192,M193&lt;ROUNDDOWN(VLOOKUP($B186,$P$357:$R$360,3,0)/$H$369,0)),ROUNDDOWN(M193*$H$369,0),IF(AND($B191&lt;M192,M193&lt;ROUNDDOWN(VLOOKUP($B186,$P$357:$R$360,3,0)/$H$369,0)),ROUND(AVERAGE(ROUNDDOWN(M193*$H$369,0),2*VLOOKUP($B186,$P$357:$R$360,3,0)),0),VLOOKUP($B186,$P$357:$R$360,3,0))))*IF($B191=M192,$B187,SUM(J195:J195)))-((M194*(IF(M193=0,1,IF(AND($B191=M192,M193&lt;ROUNDDOWN(VLOOKUP($B186,$P$357:$R$360,3,0)/$H$369,0)),ROUNDDOWN(M193*$H$369,0),IF(AND($B191&lt;M192,M193&lt;ROUNDDOWN(VLOOKUP($B186,$P$357:$R$360,3,0)/$H$369,0)),ROUND(AVERAGE(ROUNDDOWN(M193*$H$369,0),2*VLOOKUP($B186,$P$357:$R$360,3,0)),0),VLOOKUP($B186,$P$357:$R$360,3,0))))-1))/2)))</f>
        <v>0</v>
      </c>
      <c r="N197" s="21"/>
      <c r="O197" s="21"/>
      <c r="P197" s="2928">
        <f ca="1">IF(OR($B191&gt;P192,P196="",P196=0),0,IF(AND(P193=0,OR(P192&gt;$B191,$I$369=1)),P196,IF(P193=0,NOMINAL(P196,12)*IF($B191=P192,$I$369,1),IF(AND($B191=P192,ROUNDDOWN($C$369,0)=P192),$E$369,1)*NOMINAL(P196,VLOOKUP($B186,$P$357:$R$360,3,0))/VLOOKUP($B186,$P$357:$R$360,3,0)))*((IF(P193=0,1,IF(AND($B191=P192,P193&lt;ROUNDDOWN(VLOOKUP($B186,$P$357:$R$360,3,0)/$H$369,0)),ROUNDDOWN(P193*$H$369,0),IF(AND($B191&lt;P192,P193&lt;ROUNDDOWN(VLOOKUP($B186,$P$357:$R$360,3,0)/$H$369,0)),ROUND(AVERAGE(ROUNDDOWN(P193*$H$369,0),2*VLOOKUP($B186,$P$357:$R$360,3,0)),0),VLOOKUP($B186,$P$357:$R$360,3,0))))*IF($B191=P192,$B187,SUM(M195:M195)))-((P194*(IF(P193=0,1,IF(AND($B191=P192,P193&lt;ROUNDDOWN(VLOOKUP($B186,$P$357:$R$360,3,0)/$H$369,0)),ROUNDDOWN(P193*$H$369,0),IF(AND($B191&lt;P192,P193&lt;ROUNDDOWN(VLOOKUP($B186,$P$357:$R$360,3,0)/$H$369,0)),ROUND(AVERAGE(ROUNDDOWN(P193*$H$369,0),2*VLOOKUP($B186,$P$357:$R$360,3,0)),0),VLOOKUP($B186,$P$357:$R$360,3,0))))-1))/2)))</f>
        <v>0</v>
      </c>
      <c r="Q197" s="21"/>
      <c r="R197" s="21"/>
      <c r="S197" s="2928">
        <f ca="1">IF(OR($B191&gt;S192,S196="",S196=0),0,IF(AND(S193=0,OR(S192&gt;$B191,$I$369=1)),S196,IF(S193=0,NOMINAL(S196,12)*IF($B191=S192,$I$369,1),IF(AND($B191=S192,ROUNDDOWN($C$369,0)=S192),$E$369,1)*NOMINAL(S196,VLOOKUP($B186,$P$357:$R$360,3,0))/VLOOKUP($B186,$P$357:$R$360,3,0)))*((IF(S193=0,1,IF(AND($B191=S192,S193&lt;ROUNDDOWN(VLOOKUP($B186,$P$357:$R$360,3,0)/$H$369,0)),ROUNDDOWN(S193*$H$369,0),IF(AND($B191&lt;S192,S193&lt;ROUNDDOWN(VLOOKUP($B186,$P$357:$R$360,3,0)/$H$369,0)),ROUND(AVERAGE(ROUNDDOWN(S193*$H$369,0),2*VLOOKUP($B186,$P$357:$R$360,3,0)),0),VLOOKUP($B186,$P$357:$R$360,3,0))))*IF($B191=S192,$B187,SUM(P195:P195)))-((S194*(IF(S193=0,1,IF(AND($B191=S192,S193&lt;ROUNDDOWN(VLOOKUP($B186,$P$357:$R$360,3,0)/$H$369,0)),ROUNDDOWN(S193*$H$369,0),IF(AND($B191&lt;S192,S193&lt;ROUNDDOWN(VLOOKUP($B186,$P$357:$R$360,3,0)/$H$369,0)),ROUND(AVERAGE(ROUNDDOWN(S193*$H$369,0),2*VLOOKUP($B186,$P$357:$R$360,3,0)),0),VLOOKUP($B186,$P$357:$R$360,3,0))))-1))/2)))</f>
        <v>0</v>
      </c>
      <c r="T197" s="21"/>
      <c r="U197" s="21"/>
      <c r="V197" s="2928">
        <f ca="1">IF(OR($B191&gt;V192,V196="",V196=0),0,IF(AND(V193=0,OR(V192&gt;$B191,$I$369=1)),V196,IF(V193=0,NOMINAL(V196,12)*IF($B191=V192,$I$369,1),IF(AND($B191=V192,ROUNDDOWN($C$369,0)=V192),$E$369,1)*NOMINAL(V196,VLOOKUP($B186,$P$357:$R$360,3,0))/VLOOKUP($B186,$P$357:$R$360,3,0)))*((IF(V193=0,1,IF(AND($B191=V192,V193&lt;ROUNDDOWN(VLOOKUP($B186,$P$357:$R$360,3,0)/$H$369,0)),ROUNDDOWN(V193*$H$369,0),IF(AND($B191&lt;V192,V193&lt;ROUNDDOWN(VLOOKUP($B186,$P$357:$R$360,3,0)/$H$369,0)),ROUND(AVERAGE(ROUNDDOWN(V193*$H$369,0),2*VLOOKUP($B186,$P$357:$R$360,3,0)),0),VLOOKUP($B186,$P$357:$R$360,3,0))))*IF($B191=V192,$B187,SUM(S195:S195)))-((V194*(IF(V193=0,1,IF(AND($B191=V192,V193&lt;ROUNDDOWN(VLOOKUP($B186,$P$357:$R$360,3,0)/$H$369,0)),ROUNDDOWN(V193*$H$369,0),IF(AND($B191&lt;V192,V193&lt;ROUNDDOWN(VLOOKUP($B186,$P$357:$R$360,3,0)/$H$369,0)),ROUND(AVERAGE(ROUNDDOWN(V193*$H$369,0),2*VLOOKUP($B186,$P$357:$R$360,3,0)),0),VLOOKUP($B186,$P$357:$R$360,3,0))))-1))/2)))</f>
        <v>0</v>
      </c>
      <c r="W197" s="21"/>
      <c r="X197" s="21"/>
      <c r="Y197" s="2928">
        <f ca="1">IF(OR($B191&gt;Y192,Y196="",Y196=0),0,IF(AND(Y193=0,OR(Y192&gt;$B191,$I$369=1)),Y196,IF(Y193=0,NOMINAL(Y196,12)*IF($B191=Y192,$I$369,1),IF(AND($B191=Y192,ROUNDDOWN($C$369,0)=Y192),$E$369,1)*NOMINAL(Y196,VLOOKUP($B186,$P$357:$R$360,3,0))/VLOOKUP($B186,$P$357:$R$360,3,0)))*((IF(Y193=0,1,IF(AND($B191=Y192,Y193&lt;ROUNDDOWN(VLOOKUP($B186,$P$357:$R$360,3,0)/$H$369,0)),ROUNDDOWN(Y193*$H$369,0),IF(AND($B191&lt;Y192,Y193&lt;ROUNDDOWN(VLOOKUP($B186,$P$357:$R$360,3,0)/$H$369,0)),ROUND(AVERAGE(ROUNDDOWN(Y193*$H$369,0),2*VLOOKUP($B186,$P$357:$R$360,3,0)),0),VLOOKUP($B186,$P$357:$R$360,3,0))))*IF($B191=Y192,$B187,SUM(V195:V195)))-((Y194*(IF(Y193=0,1,IF(AND($B191=Y192,Y193&lt;ROUNDDOWN(VLOOKUP($B186,$P$357:$R$360,3,0)/$H$369,0)),ROUNDDOWN(Y193*$H$369,0),IF(AND($B191&lt;Y192,Y193&lt;ROUNDDOWN(VLOOKUP($B186,$P$357:$R$360,3,0)/$H$369,0)),ROUND(AVERAGE(ROUNDDOWN(Y193*$H$369,0),2*VLOOKUP($B186,$P$357:$R$360,3,0)),0),VLOOKUP($B186,$P$357:$R$360,3,0))))-1))/2)))</f>
        <v>0</v>
      </c>
      <c r="Z197" s="21"/>
      <c r="AA197" s="21"/>
      <c r="AB197" s="2928">
        <f ca="1">IF(OR($B191&gt;AB192,AB196="",AB196=0),0,IF(AND(AB193=0,OR(AB192&gt;$B191,$I$369=1)),AB196,IF(AB193=0,NOMINAL(AB196,12)*IF($B191=AB192,$I$369,1),IF(AND($B191=AB192,ROUNDDOWN($C$369,0)=AB192),$E$369,1)*NOMINAL(AB196,VLOOKUP($B186,$P$357:$R$360,3,0))/VLOOKUP($B186,$P$357:$R$360,3,0)))*((IF(AB193=0,1,IF(AND($B191=AB192,AB193&lt;ROUNDDOWN(VLOOKUP($B186,$P$357:$R$360,3,0)/$H$369,0)),ROUNDDOWN(AB193*$H$369,0),IF(AND($B191&lt;AB192,AB193&lt;ROUNDDOWN(VLOOKUP($B186,$P$357:$R$360,3,0)/$H$369,0)),ROUND(AVERAGE(ROUNDDOWN(AB193*$H$369,0),2*VLOOKUP($B186,$P$357:$R$360,3,0)),0),VLOOKUP($B186,$P$357:$R$360,3,0))))*IF($B191=AB192,$B187,SUM(Y195:Y195)))-((AB194*(IF(AB193=0,1,IF(AND($B191=AB192,AB193&lt;ROUNDDOWN(VLOOKUP($B186,$P$357:$R$360,3,0)/$H$369,0)),ROUNDDOWN(AB193*$H$369,0),IF(AND($B191&lt;AB192,AB193&lt;ROUNDDOWN(VLOOKUP($B186,$P$357:$R$360,3,0)/$H$369,0)),ROUND(AVERAGE(ROUNDDOWN(AB193*$H$369,0),2*VLOOKUP($B186,$P$357:$R$360,3,0)),0),VLOOKUP($B186,$P$357:$R$360,3,0))))-1))/2)))</f>
        <v>0</v>
      </c>
      <c r="AC197" s="21"/>
      <c r="AD197" s="21"/>
      <c r="AE197" s="2928">
        <f ca="1">IF(OR($B191&gt;AE192,AE196="",AE196=0),0,IF(AND(AE193=0,OR(AE192&gt;$B191,$I$369=1)),AE196,IF(AE193=0,NOMINAL(AE196,12)*IF($B191=AE192,$I$369,1),IF(AND($B191=AE192,ROUNDDOWN($C$369,0)=AE192),$E$369,1)*NOMINAL(AE196,VLOOKUP($B186,$P$357:$R$360,3,0))/VLOOKUP($B186,$P$357:$R$360,3,0)))*((IF(AE193=0,1,IF(AND($B191=AE192,AE193&lt;ROUNDDOWN(VLOOKUP($B186,$P$357:$R$360,3,0)/$H$369,0)),ROUNDDOWN(AE193*$H$369,0),IF(AND($B191&lt;AE192,AE193&lt;ROUNDDOWN(VLOOKUP($B186,$P$357:$R$360,3,0)/$H$369,0)),ROUND(AVERAGE(ROUNDDOWN(AE193*$H$369,0),2*VLOOKUP($B186,$P$357:$R$360,3,0)),0),VLOOKUP($B186,$P$357:$R$360,3,0))))*IF($B191=AE192,$B187,SUM(AB195:AB195)))-((AE194*(IF(AE193=0,1,IF(AND($B191=AE192,AE193&lt;ROUNDDOWN(VLOOKUP($B186,$P$357:$R$360,3,0)/$H$369,0)),ROUNDDOWN(AE193*$H$369,0),IF(AND($B191&lt;AE192,AE193&lt;ROUNDDOWN(VLOOKUP($B186,$P$357:$R$360,3,0)/$H$369,0)),ROUND(AVERAGE(ROUNDDOWN(AE193*$H$369,0),2*VLOOKUP($B186,$P$357:$R$360,3,0)),0),VLOOKUP($B186,$P$357:$R$360,3,0))))-1))/2)))</f>
        <v>0</v>
      </c>
      <c r="AF197" s="2929"/>
      <c r="AG197" s="21"/>
      <c r="AH197" s="2928">
        <f ca="1">IF(OR($B191&gt;AH192,AH196="",AH196=0),0,IF(AND(AH193=0,OR(AH192&gt;$B191,$I$369=1)),AH196,IF(AH193=0,NOMINAL(AH196,12)*IF($B191=AH192,$I$369,1),IF(AND($B191=AH192,ROUNDDOWN($C$369,0)=AH192),$E$369,1)*NOMINAL(AH196,VLOOKUP($B186,$P$357:$R$360,3,0))/VLOOKUP($B186,$P$357:$R$360,3,0)))*((IF(AH193=0,1,IF(AND($B191=AH192,AH193&lt;ROUNDDOWN(VLOOKUP($B186,$P$357:$R$360,3,0)/$H$369,0)),ROUNDDOWN(AH193*$H$369,0),IF(AND($B191&lt;AH192,AH193&lt;ROUNDDOWN(VLOOKUP($B186,$P$357:$R$360,3,0)/$H$369,0)),ROUND(AVERAGE(ROUNDDOWN(AH193*$H$369,0),2*VLOOKUP($B186,$P$357:$R$360,3,0)),0),VLOOKUP($B186,$P$357:$R$360,3,0))))*IF($B191=AH192,$B187,SUM(AE195:AE195)))-((AH194*(IF(AH193=0,1,IF(AND($B191=AH192,AH193&lt;ROUNDDOWN(VLOOKUP($B186,$P$357:$R$360,3,0)/$H$369,0)),ROUNDDOWN(AH193*$H$369,0),IF(AND($B191&lt;AH192,AH193&lt;ROUNDDOWN(VLOOKUP($B186,$P$357:$R$360,3,0)/$H$369,0)),ROUND(AVERAGE(ROUNDDOWN(AH193*$H$369,0),2*VLOOKUP($B186,$P$357:$R$360,3,0)),0),VLOOKUP($B186,$P$357:$R$360,3,0))))-1))/2)))</f>
        <v>0</v>
      </c>
      <c r="AI197" s="21"/>
      <c r="AJ197" s="21"/>
      <c r="AK197" s="2928">
        <f ca="1">IF(OR($B191&gt;AK192,AK196="",AK196=0),0,IF(AND(AK193=0,OR(AK192&gt;$B191,$I$369=1)),AK196,IF(AK193=0,NOMINAL(AK196,12)*IF($B191=AK192,$I$369,1),IF(AND($B191=AK192,ROUNDDOWN($C$369,0)=AK192),$E$369,1)*NOMINAL(AK196,VLOOKUP($B186,$P$357:$R$360,3,0))/VLOOKUP($B186,$P$357:$R$360,3,0)))*((IF(AK193=0,1,IF(AND($B191=AK192,AK193&lt;ROUNDDOWN(VLOOKUP($B186,$P$357:$R$360,3,0)/$H$369,0)),ROUNDDOWN(AK193*$H$369,0),IF(AND($B191&lt;AK192,AK193&lt;ROUNDDOWN(VLOOKUP($B186,$P$357:$R$360,3,0)/$H$369,0)),ROUND(AVERAGE(ROUNDDOWN(AK193*$H$369,0),2*VLOOKUP($B186,$P$357:$R$360,3,0)),0),VLOOKUP($B186,$P$357:$R$360,3,0))))*IF($B191=AK192,$B187,SUM(AH195:AH195)))-((AK194*(IF(AK193=0,1,IF(AND($B191=AK192,AK193&lt;ROUNDDOWN(VLOOKUP($B186,$P$357:$R$360,3,0)/$H$369,0)),ROUNDDOWN(AK193*$H$369,0),IF(AND($B191&lt;AK192,AK193&lt;ROUNDDOWN(VLOOKUP($B186,$P$357:$R$360,3,0)/$H$369,0)),ROUND(AVERAGE(ROUNDDOWN(AK193*$H$369,0),2*VLOOKUP($B186,$P$357:$R$360,3,0)),0),VLOOKUP($B186,$P$357:$R$360,3,0))))-1))/2)))</f>
        <v>0</v>
      </c>
      <c r="AL197" s="21"/>
      <c r="AM197" s="21"/>
      <c r="AN197" s="2928">
        <f ca="1">IF(OR($B191&gt;AN192,AN196="",AN196=0),0,IF(AND(AN193=0,OR(AN192&gt;$B191,$I$369=1)),AN196,IF(AN193=0,NOMINAL(AN196,12)*IF($B191=AN192,$I$369,1),IF(AND($B191=AN192,ROUNDDOWN($C$369,0)=AN192),$E$369,1)*NOMINAL(AN196,VLOOKUP($B186,$P$357:$R$360,3,0))/VLOOKUP($B186,$P$357:$R$360,3,0)))*((IF(AN193=0,1,IF(AND($B191=AN192,AN193&lt;ROUNDDOWN(VLOOKUP($B186,$P$357:$R$360,3,0)/$H$369,0)),ROUNDDOWN(AN193*$H$369,0),IF(AND($B191&lt;AN192,AN193&lt;ROUNDDOWN(VLOOKUP($B186,$P$357:$R$360,3,0)/$H$369,0)),ROUND(AVERAGE(ROUNDDOWN(AN193*$H$369,0),2*VLOOKUP($B186,$P$357:$R$360,3,0)),0),VLOOKUP($B186,$P$357:$R$360,3,0))))*IF($B191=AN192,$B187,SUM(AK195:AK195)))-((AN194*(IF(AN193=0,1,IF(AND($B191=AN192,AN193&lt;ROUNDDOWN(VLOOKUP($B186,$P$357:$R$360,3,0)/$H$369,0)),ROUNDDOWN(AN193*$H$369,0),IF(AND($B191&lt;AN192,AN193&lt;ROUNDDOWN(VLOOKUP($B186,$P$357:$R$360,3,0)/$H$369,0)),ROUND(AVERAGE(ROUNDDOWN(AN193*$H$369,0),2*VLOOKUP($B186,$P$357:$R$360,3,0)),0),VLOOKUP($B186,$P$357:$R$360,3,0))))-1))/2)))</f>
        <v>0</v>
      </c>
      <c r="AO197" s="21"/>
      <c r="AP197" s="21"/>
      <c r="AQ197" s="2928">
        <f ca="1">IF(OR($B191&gt;AQ192,AQ196="",AQ196=0),0,IF(AND(AQ193=0,OR(AQ192&gt;$B191,$I$369=1)),AQ196,IF(AQ193=0,NOMINAL(AQ196,12)*IF($B191=AQ192,$I$369,1),IF(AND($B191=AQ192,ROUNDDOWN($C$369,0)=AQ192),$E$369,1)*NOMINAL(AQ196,VLOOKUP($B186,$P$357:$R$360,3,0))/VLOOKUP($B186,$P$357:$R$360,3,0)))*((IF(AQ193=0,1,IF(AND($B191=AQ192,AQ193&lt;ROUNDDOWN(VLOOKUP($B186,$P$357:$R$360,3,0)/$H$369,0)),ROUNDDOWN(AQ193*$H$369,0),IF(AND($B191&lt;AQ192,AQ193&lt;ROUNDDOWN(VLOOKUP($B186,$P$357:$R$360,3,0)/$H$369,0)),ROUND(AVERAGE(ROUNDDOWN(AQ193*$H$369,0),2*VLOOKUP($B186,$P$357:$R$360,3,0)),0),VLOOKUP($B186,$P$357:$R$360,3,0))))*IF($B191=AQ192,$B187,SUM(AN195:AN195)))-((AQ194*(IF(AQ193=0,1,IF(AND($B191=AQ192,AQ193&lt;ROUNDDOWN(VLOOKUP($B186,$P$357:$R$360,3,0)/$H$369,0)),ROUNDDOWN(AQ193*$H$369,0),IF(AND($B191&lt;AQ192,AQ193&lt;ROUNDDOWN(VLOOKUP($B186,$P$357:$R$360,3,0)/$H$369,0)),ROUND(AVERAGE(ROUNDDOWN(AQ193*$H$369,0),2*VLOOKUP($B186,$P$357:$R$360,3,0)),0),VLOOKUP($B186,$P$357:$R$360,3,0))))-1))/2)))</f>
        <v>0</v>
      </c>
      <c r="AR197" s="21"/>
      <c r="AS197" s="21"/>
      <c r="AT197" s="2928">
        <f ca="1">IF(OR($B191&gt;AT192,AT196="",AT196=0),0,IF(AND(AT193=0,OR(AT192&gt;$B191,$I$369=1)),AT196,IF(AT193=0,NOMINAL(AT196,12)*IF($B191=AT192,$I$369,1),IF(AND($B191=AT192,ROUNDDOWN($C$369,0)=AT192),$E$369,1)*NOMINAL(AT196,VLOOKUP($B186,$P$357:$R$360,3,0))/VLOOKUP($B186,$P$357:$R$360,3,0)))*((IF(AT193=0,1,IF(AND($B191=AT192,AT193&lt;ROUNDDOWN(VLOOKUP($B186,$P$357:$R$360,3,0)/$H$369,0)),ROUNDDOWN(AT193*$H$369,0),IF(AND($B191&lt;AT192,AT193&lt;ROUNDDOWN(VLOOKUP($B186,$P$357:$R$360,3,0)/$H$369,0)),ROUND(AVERAGE(ROUNDDOWN(AT193*$H$369,0),2*VLOOKUP($B186,$P$357:$R$360,3,0)),0),VLOOKUP($B186,$P$357:$R$360,3,0))))*IF($B191=AT192,$B187,SUM(AQ195:AQ195)))-((AT194*(IF(AT193=0,1,IF(AND($B191=AT192,AT193&lt;ROUNDDOWN(VLOOKUP($B186,$P$357:$R$360,3,0)/$H$369,0)),ROUNDDOWN(AT193*$H$369,0),IF(AND($B191&lt;AT192,AT193&lt;ROUNDDOWN(VLOOKUP($B186,$P$357:$R$360,3,0)/$H$369,0)),ROUND(AVERAGE(ROUNDDOWN(AT193*$H$369,0),2*VLOOKUP($B186,$P$357:$R$360,3,0)),0),VLOOKUP($B186,$P$357:$R$360,3,0))))-1))/2)))</f>
        <v>0</v>
      </c>
      <c r="AU197" s="2929"/>
      <c r="AV197" s="2918"/>
    </row>
    <row r="198" spans="1:48" x14ac:dyDescent="0.2">
      <c r="AV198" s="2918"/>
    </row>
    <row r="199" spans="1:48" x14ac:dyDescent="0.2">
      <c r="A199" s="2934" t="s">
        <v>2084</v>
      </c>
      <c r="B199" s="2935">
        <f>SUM(B155,B168,B181,B194)</f>
        <v>0</v>
      </c>
      <c r="C199" s="2936"/>
      <c r="D199" s="2935">
        <f ca="1">SUM(D155,D168,D181,D194)</f>
        <v>0</v>
      </c>
      <c r="E199" s="2936"/>
      <c r="F199" s="2936"/>
      <c r="G199" s="2935">
        <f ca="1">SUM(G155,G168,G181,G194)</f>
        <v>0</v>
      </c>
      <c r="H199" s="2936"/>
      <c r="I199" s="2936"/>
      <c r="J199" s="2935">
        <f ca="1">SUM(J155,J168,J181,J194)</f>
        <v>0</v>
      </c>
      <c r="K199" s="2936"/>
      <c r="L199" s="2936"/>
      <c r="M199" s="2935">
        <f ca="1">SUM(M155,M168,M181,M194)</f>
        <v>0</v>
      </c>
      <c r="N199" s="2936"/>
      <c r="O199" s="2936"/>
      <c r="P199" s="2935">
        <f ca="1">SUM(P155,P168,P181,P194)</f>
        <v>0</v>
      </c>
      <c r="Q199" s="2936"/>
      <c r="R199" s="2936"/>
      <c r="S199" s="2935">
        <f ca="1">SUM(S155,S168,S181,S194)</f>
        <v>0</v>
      </c>
      <c r="T199" s="2936"/>
      <c r="U199" s="2936"/>
      <c r="V199" s="2935">
        <f ca="1">SUM(V155,V168,V181,V194)</f>
        <v>0</v>
      </c>
      <c r="W199" s="2936"/>
      <c r="X199" s="2936"/>
      <c r="Y199" s="2935">
        <f ca="1">SUM(Y155,Y168,Y181,Y194)</f>
        <v>0</v>
      </c>
      <c r="Z199" s="2936"/>
      <c r="AA199" s="2936"/>
      <c r="AB199" s="2935">
        <f ca="1">SUM(AB155,AB168,AB181,AB194)</f>
        <v>0</v>
      </c>
      <c r="AC199" s="2936"/>
      <c r="AD199" s="2936"/>
      <c r="AE199" s="2935">
        <f ca="1">SUM(AE155,AE168,AE181,AE194)</f>
        <v>0</v>
      </c>
      <c r="AF199" s="2936"/>
      <c r="AG199" s="2936"/>
      <c r="AH199" s="2935">
        <f ca="1">SUM(AH155,AH168,AH181,AH194)</f>
        <v>0</v>
      </c>
      <c r="AI199" s="2936"/>
      <c r="AJ199" s="2936"/>
      <c r="AK199" s="2935">
        <f ca="1">SUM(AK155,AK168,AK181,AK194)</f>
        <v>0</v>
      </c>
      <c r="AL199" s="2936"/>
      <c r="AM199" s="2936"/>
      <c r="AN199" s="2935">
        <f ca="1">SUM(AN155,AN168,AN181,AN194)</f>
        <v>0</v>
      </c>
      <c r="AO199" s="2936"/>
      <c r="AP199" s="2936"/>
      <c r="AQ199" s="2935">
        <f ca="1">SUM(AQ155,AQ168,AQ181,AQ194)</f>
        <v>0</v>
      </c>
      <c r="AR199" s="2936"/>
      <c r="AS199" s="2936"/>
      <c r="AT199" s="2935">
        <f ca="1">SUM(AT155,AT168,AT181,AT194)</f>
        <v>0</v>
      </c>
      <c r="AU199" s="2936"/>
      <c r="AV199" s="2937"/>
    </row>
    <row r="200" spans="1:48" x14ac:dyDescent="0.2">
      <c r="A200" s="2934" t="s">
        <v>2085</v>
      </c>
      <c r="B200" s="2935">
        <f ca="1">SUM(B156,B169,B182,B195)</f>
        <v>0</v>
      </c>
      <c r="D200" s="2935">
        <f ca="1">SUM(D156,D169,D182,D195)</f>
        <v>0</v>
      </c>
      <c r="G200" s="2935">
        <f ca="1">SUM(G156,G169,G182,G195)</f>
        <v>0</v>
      </c>
      <c r="J200" s="2935">
        <f ca="1">SUM(J156,J169,J182,J195)</f>
        <v>0</v>
      </c>
      <c r="M200" s="2935">
        <f ca="1">SUM(M156,M169,M182,M195)</f>
        <v>0</v>
      </c>
      <c r="P200" s="2935">
        <f ca="1">SUM(P156,P169,P182,P195)</f>
        <v>0</v>
      </c>
      <c r="S200" s="2935">
        <f ca="1">SUM(S156,S169,S182,S195)</f>
        <v>0</v>
      </c>
      <c r="V200" s="2935">
        <f ca="1">SUM(V156,V169,V182,V195)</f>
        <v>0</v>
      </c>
      <c r="Y200" s="2935">
        <f ca="1">SUM(Y156,Y169,Y182,Y195)</f>
        <v>0</v>
      </c>
      <c r="AB200" s="2935">
        <f ca="1">SUM(AB156,AB169,AB182,AB195)</f>
        <v>0</v>
      </c>
      <c r="AE200" s="2935">
        <f ca="1">SUM(AE156,AE169,AE182,AE195)</f>
        <v>0</v>
      </c>
      <c r="AH200" s="2935">
        <f ca="1">SUM(AH156,AH169,AH182,AH195)</f>
        <v>0</v>
      </c>
      <c r="AK200" s="2935">
        <f ca="1">SUM(AK156,AK169,AK182,AK195)</f>
        <v>0</v>
      </c>
      <c r="AN200" s="2935">
        <f ca="1">SUM(AN156,AN169,AN182,AN195)</f>
        <v>0</v>
      </c>
      <c r="AQ200" s="2935">
        <f ca="1">SUM(AQ156,AQ169,AQ182,AQ195)</f>
        <v>0</v>
      </c>
      <c r="AT200" s="2935">
        <f ca="1">SUM(AT156,AT169,AT182,AT195)</f>
        <v>0</v>
      </c>
      <c r="AV200" s="2918"/>
    </row>
    <row r="201" spans="1:48" ht="13.5" thickBot="1" x14ac:dyDescent="0.25">
      <c r="A201" s="2938" t="s">
        <v>2086</v>
      </c>
      <c r="B201" s="2939">
        <f ca="1">SUM(B158,B171,B184,B197)</f>
        <v>0</v>
      </c>
      <c r="C201" s="2940"/>
      <c r="D201" s="2939">
        <f ca="1">SUM(D158,D171,D184,D197)</f>
        <v>0</v>
      </c>
      <c r="E201" s="2940"/>
      <c r="F201" s="2940"/>
      <c r="G201" s="2939">
        <f ca="1">SUM(G158,G171,G184,G197)</f>
        <v>0</v>
      </c>
      <c r="H201" s="2940"/>
      <c r="I201" s="2940"/>
      <c r="J201" s="2939">
        <f ca="1">SUM(J158,J171,J184,J197)</f>
        <v>0</v>
      </c>
      <c r="K201" s="2940"/>
      <c r="L201" s="2940"/>
      <c r="M201" s="2939">
        <f ca="1">SUM(M158,M171,M184,M197)</f>
        <v>0</v>
      </c>
      <c r="N201" s="2940"/>
      <c r="O201" s="2940"/>
      <c r="P201" s="2939">
        <f ca="1">SUM(P158,P171,P184,P197)</f>
        <v>0</v>
      </c>
      <c r="Q201" s="2940"/>
      <c r="R201" s="2940"/>
      <c r="S201" s="2939">
        <f ca="1">SUM(S158,S171,S184,S197)</f>
        <v>0</v>
      </c>
      <c r="T201" s="2940"/>
      <c r="U201" s="2940"/>
      <c r="V201" s="2939">
        <f ca="1">SUM(V158,V171,V184,V197)</f>
        <v>0</v>
      </c>
      <c r="W201" s="2940"/>
      <c r="X201" s="2940"/>
      <c r="Y201" s="2939">
        <f ca="1">SUM(Y158,Y171,Y184,Y197)</f>
        <v>0</v>
      </c>
      <c r="Z201" s="2940"/>
      <c r="AA201" s="2940"/>
      <c r="AB201" s="2939">
        <f ca="1">SUM(AB158,AB171,AB184,AB197)</f>
        <v>0</v>
      </c>
      <c r="AC201" s="2940"/>
      <c r="AD201" s="2940"/>
      <c r="AE201" s="2939">
        <f ca="1">SUM(AE158,AE171,AE184,AE197)</f>
        <v>0</v>
      </c>
      <c r="AF201" s="2940"/>
      <c r="AG201" s="2940"/>
      <c r="AH201" s="2939">
        <f ca="1">SUM(AH158,AH171,AH184,AH197)</f>
        <v>0</v>
      </c>
      <c r="AI201" s="2940"/>
      <c r="AJ201" s="2940"/>
      <c r="AK201" s="2939">
        <f ca="1">SUM(AK158,AK171,AK184,AK197)</f>
        <v>0</v>
      </c>
      <c r="AL201" s="2940"/>
      <c r="AM201" s="2940"/>
      <c r="AN201" s="2939">
        <f ca="1">SUM(AN158,AN171,AN184,AN197)</f>
        <v>0</v>
      </c>
      <c r="AO201" s="2940"/>
      <c r="AP201" s="2940"/>
      <c r="AQ201" s="2939">
        <f ca="1">SUM(AQ158,AQ171,AQ184,AQ197)</f>
        <v>0</v>
      </c>
      <c r="AR201" s="2940"/>
      <c r="AS201" s="2940"/>
      <c r="AT201" s="2939">
        <f ca="1">SUM(AT158,AT171,AT184,AT197)</f>
        <v>0</v>
      </c>
      <c r="AU201" s="2940"/>
      <c r="AV201" s="2941"/>
    </row>
    <row r="202" spans="1:48" x14ac:dyDescent="0.2"/>
    <row r="203" spans="1:48" x14ac:dyDescent="0.2"/>
    <row r="204" spans="1:48" ht="13.5" thickBot="1" x14ac:dyDescent="0.25"/>
    <row r="205" spans="1:48" ht="13.5" thickBot="1" x14ac:dyDescent="0.25">
      <c r="A205" s="2942" t="str">
        <f>"PROYECCIÓN: ESCENARIO "&amp;B72</f>
        <v>PROYECCIÓN: ESCENARIO BASE</v>
      </c>
    </row>
    <row r="206" spans="1:48" ht="13.5" thickBot="1" x14ac:dyDescent="0.25">
      <c r="A206" s="2943"/>
      <c r="B206" s="2943"/>
      <c r="C206" s="2943"/>
      <c r="D206" s="2943"/>
      <c r="E206" s="2943"/>
      <c r="F206" s="2943"/>
      <c r="G206" s="2943"/>
      <c r="H206" s="2943"/>
      <c r="I206" s="2943"/>
      <c r="J206" s="2943"/>
      <c r="K206" s="2943"/>
      <c r="L206" s="2943"/>
      <c r="M206" s="2943"/>
      <c r="N206" s="2943"/>
      <c r="O206" s="2943"/>
      <c r="P206" s="2943"/>
      <c r="Q206" s="2943"/>
      <c r="R206" s="2943"/>
      <c r="S206" s="2943"/>
      <c r="T206" s="2943"/>
      <c r="U206" s="2943"/>
      <c r="V206" s="2943"/>
      <c r="W206" s="2943"/>
      <c r="X206" s="2943"/>
      <c r="Y206" s="2943"/>
      <c r="Z206" s="2943"/>
      <c r="AA206" s="2943"/>
      <c r="AB206" s="2943"/>
      <c r="AC206" s="2943"/>
      <c r="AD206" s="2943"/>
      <c r="AE206" s="2943"/>
      <c r="AF206" s="2943"/>
      <c r="AG206" s="2943"/>
      <c r="AH206" s="2943"/>
      <c r="AI206" s="2943"/>
      <c r="AJ206" s="2943"/>
      <c r="AK206" s="2943"/>
      <c r="AL206" s="2943"/>
      <c r="AM206" s="2943"/>
      <c r="AN206" s="2943"/>
      <c r="AO206" s="2943"/>
      <c r="AP206" s="2943"/>
      <c r="AQ206" s="2943"/>
      <c r="AR206" s="2943"/>
      <c r="AS206" s="2943"/>
      <c r="AT206" s="2943"/>
      <c r="AU206" s="2943"/>
      <c r="AV206" s="2943"/>
    </row>
    <row r="207" spans="1:48" x14ac:dyDescent="0.2">
      <c r="A207" s="2944" t="str">
        <f>$A$235</f>
        <v>FLUJO DE CAJA LIBRE OPERATIVO</v>
      </c>
      <c r="B207" s="2945">
        <f ca="1">B$11</f>
        <v>2023</v>
      </c>
      <c r="C207" s="2787"/>
      <c r="D207" s="2945">
        <f ca="1">D$11</f>
        <v>2024</v>
      </c>
      <c r="E207" s="2787"/>
      <c r="F207" s="2787"/>
      <c r="G207" s="2945">
        <f ca="1">G$11</f>
        <v>2025</v>
      </c>
      <c r="H207" s="2787"/>
      <c r="I207" s="2787"/>
      <c r="J207" s="2945">
        <f ca="1">J$11</f>
        <v>2026</v>
      </c>
      <c r="K207" s="2787"/>
      <c r="L207" s="2787"/>
      <c r="M207" s="2945">
        <f ca="1">M$11</f>
        <v>2027</v>
      </c>
      <c r="N207" s="2787"/>
      <c r="O207" s="2787"/>
      <c r="P207" s="2945">
        <f ca="1">P$11</f>
        <v>2028</v>
      </c>
      <c r="Q207" s="2787"/>
      <c r="R207" s="2787"/>
      <c r="S207" s="2945">
        <f ca="1">S$11</f>
        <v>2029</v>
      </c>
      <c r="T207" s="2787"/>
      <c r="U207" s="2787"/>
      <c r="V207" s="2945">
        <f ca="1">V$11</f>
        <v>2030</v>
      </c>
      <c r="W207" s="2787"/>
      <c r="X207" s="2787"/>
      <c r="Y207" s="2945">
        <f ca="1">Y$11</f>
        <v>2031</v>
      </c>
      <c r="Z207" s="2787"/>
      <c r="AA207" s="2787"/>
      <c r="AB207" s="2945">
        <f ca="1">AB$11</f>
        <v>2032</v>
      </c>
      <c r="AC207" s="2787"/>
      <c r="AD207" s="2787"/>
      <c r="AE207" s="2945">
        <f ca="1">AE$11</f>
        <v>2033</v>
      </c>
      <c r="AF207" s="2787"/>
      <c r="AG207" s="2787"/>
      <c r="AH207" s="2945">
        <f ca="1">AH$11</f>
        <v>2034</v>
      </c>
      <c r="AI207" s="2787"/>
      <c r="AJ207" s="2787"/>
      <c r="AK207" s="2945">
        <f ca="1">AK$11</f>
        <v>2035</v>
      </c>
      <c r="AL207" s="2787"/>
      <c r="AM207" s="2787"/>
      <c r="AN207" s="2945">
        <f ca="1">AN$11</f>
        <v>2036</v>
      </c>
      <c r="AO207" s="2787"/>
      <c r="AP207" s="2787"/>
      <c r="AQ207" s="2945">
        <f ca="1">AQ$11</f>
        <v>2037</v>
      </c>
      <c r="AR207" s="2787"/>
      <c r="AS207" s="2787"/>
      <c r="AT207" s="2945">
        <f ca="1">AT$11</f>
        <v>2038</v>
      </c>
      <c r="AU207" s="2787"/>
      <c r="AV207" s="2788"/>
    </row>
    <row r="208" spans="1:48" x14ac:dyDescent="0.2">
      <c r="A208" s="2946" t="str">
        <f>$A$236</f>
        <v>INGRESOS OPERACIONALES (COL B.  - $MM / COL. D - VAR. %)</v>
      </c>
      <c r="B208" s="2947">
        <f>IF($B$72=$B$317,B236,IF($B$72=$B$318,B263,IF($B$72=$B$319,B290,"SELECCIONAR ESCENARIO")))</f>
        <v>0</v>
      </c>
      <c r="D208" s="2948">
        <f>IF($B$72=$B$317,D236,IF($B$72=$B$318,D263,IF($B$72=$B$319,D290,"SELECCIONAR ESCENARIO")))</f>
        <v>0</v>
      </c>
      <c r="G208" s="2948">
        <f>IF($B$72=$B$317,G236,IF($B$72=$B$318,G263,IF($B$72=$B$319,G290,"SELECCIONAR ESCENARIO")))</f>
        <v>0</v>
      </c>
      <c r="J208" s="2948">
        <f>IF($B$72=$B$317,J236,IF($B$72=$B$318,J263,IF($B$72=$B$319,J290,"SELECCIONAR ESCENARIO")))</f>
        <v>0</v>
      </c>
      <c r="M208" s="2948">
        <f>IF($B$72=$B$317,M236,IF($B$72=$B$318,M263,IF($B$72=$B$319,M290,"SELECCIONAR ESCENARIO")))</f>
        <v>0</v>
      </c>
      <c r="P208" s="2948">
        <f>IF($B$72=$B$317,P236,IF($B$72=$B$318,P263,IF($B$72=$B$319,P290,"SELECCIONAR ESCENARIO")))</f>
        <v>0</v>
      </c>
      <c r="S208" s="2948">
        <f>IF($B$72=$B$317,S236,IF($B$72=$B$318,S263,IF($B$72=$B$319,S290,"SELECCIONAR ESCENARIO")))</f>
        <v>0</v>
      </c>
      <c r="V208" s="2948">
        <f>IF($B$72=$B$317,V236,IF($B$72=$B$318,V263,IF($B$72=$B$319,V290,"SELECCIONAR ESCENARIO")))</f>
        <v>0</v>
      </c>
      <c r="Y208" s="2948">
        <f>IF($B$72=$B$317,Y236,IF($B$72=$B$318,Y263,IF($B$72=$B$319,Y290,"SELECCIONAR ESCENARIO")))</f>
        <v>0</v>
      </c>
      <c r="AB208" s="2948">
        <f>IF($B$72=$B$317,AB236,IF($B$72=$B$318,AB263,IF($B$72=$B$319,AB290,"SELECCIONAR ESCENARIO")))</f>
        <v>0</v>
      </c>
      <c r="AE208" s="2948">
        <f>IF($B$72=$B$317,AE236,IF($B$72=$B$318,AE263,IF($B$72=$B$319,AE290,"SELECCIONAR ESCENARIO")))</f>
        <v>0</v>
      </c>
      <c r="AH208" s="2948">
        <f>IF($B$72=$B$317,AH236,IF($B$72=$B$318,AH263,IF($B$72=$B$319,AH290,"SELECCIONAR ESCENARIO")))</f>
        <v>0</v>
      </c>
      <c r="AK208" s="2948">
        <f>IF($B$72=$B$317,AK236,IF($B$72=$B$318,AK263,IF($B$72=$B$319,AK290,"SELECCIONAR ESCENARIO")))</f>
        <v>0</v>
      </c>
      <c r="AN208" s="2948">
        <f>IF($B$72=$B$317,AN236,IF($B$72=$B$318,AN263,IF($B$72=$B$319,AN290,"SELECCIONAR ESCENARIO")))</f>
        <v>0</v>
      </c>
      <c r="AQ208" s="2948">
        <f>IF($B$72=$B$317,AQ236,IF($B$72=$B$318,AQ263,IF($B$72=$B$319,AQ290,"SELECCIONAR ESCENARIO")))</f>
        <v>0</v>
      </c>
      <c r="AT208" s="2948">
        <f>IF($B$72=$B$317,AT236,IF($B$72=$B$318,AT263,IF($B$72=$B$319,AT290,"SELECCIONAR ESCENARIO")))</f>
        <v>0</v>
      </c>
      <c r="AV208" s="2791"/>
    </row>
    <row r="209" spans="1:48" x14ac:dyDescent="0.2">
      <c r="A209" s="2949" t="str">
        <f>$A$237</f>
        <v>MARGEN OPERACIONAL</v>
      </c>
      <c r="B209" s="2950">
        <f>IF($B$72=$B$317,B237,IF($B$72=$B$318,B264,IF($B$72=$B$319,B291,"SELECCIONAR ESCENARIO")))</f>
        <v>0</v>
      </c>
      <c r="D209" s="2950">
        <f>IF($B$72=$B$317,D237,IF($B$72=$B$318,D264,IF($B$72=$B$319,D291,"SELECCIONAR ESCENARIO")))</f>
        <v>0</v>
      </c>
      <c r="G209" s="2950">
        <f>IF($B$72=$B$317,G237,IF($B$72=$B$318,G264,IF($B$72=$B$319,G291,"SELECCIONAR ESCENARIO")))</f>
        <v>0</v>
      </c>
      <c r="J209" s="2950">
        <f>IF($B$72=$B$317,J237,IF($B$72=$B$318,J264,IF($B$72=$B$319,J291,"SELECCIONAR ESCENARIO")))</f>
        <v>0</v>
      </c>
      <c r="M209" s="2950">
        <f>IF($B$72=$B$317,M237,IF($B$72=$B$318,M264,IF($B$72=$B$319,M291,"SELECCIONAR ESCENARIO")))</f>
        <v>0</v>
      </c>
      <c r="P209" s="2950">
        <f>IF($B$72=$B$317,P237,IF($B$72=$B$318,P264,IF($B$72=$B$319,P291,"SELECCIONAR ESCENARIO")))</f>
        <v>0</v>
      </c>
      <c r="S209" s="2950">
        <f>IF($B$72=$B$317,S237,IF($B$72=$B$318,S264,IF($B$72=$B$319,S291,"SELECCIONAR ESCENARIO")))</f>
        <v>0</v>
      </c>
      <c r="V209" s="2950">
        <f>IF($B$72=$B$317,V237,IF($B$72=$B$318,V264,IF($B$72=$B$319,V291,"SELECCIONAR ESCENARIO")))</f>
        <v>0</v>
      </c>
      <c r="Y209" s="2950">
        <f>IF($B$72=$B$317,Y237,IF($B$72=$B$318,Y264,IF($B$72=$B$319,Y291,"SELECCIONAR ESCENARIO")))</f>
        <v>0</v>
      </c>
      <c r="AB209" s="2950">
        <f>IF($B$72=$B$317,AB237,IF($B$72=$B$318,AB264,IF($B$72=$B$319,AB291,"SELECCIONAR ESCENARIO")))</f>
        <v>0</v>
      </c>
      <c r="AE209" s="2950">
        <f>IF($B$72=$B$317,AE237,IF($B$72=$B$318,AE264,IF($B$72=$B$319,AE291,"SELECCIONAR ESCENARIO")))</f>
        <v>0</v>
      </c>
      <c r="AH209" s="2950">
        <f>IF($B$72=$B$317,AH237,IF($B$72=$B$318,AH264,IF($B$72=$B$319,AH291,"SELECCIONAR ESCENARIO")))</f>
        <v>0</v>
      </c>
      <c r="AK209" s="2950">
        <f>IF($B$72=$B$317,AK237,IF($B$72=$B$318,AK264,IF($B$72=$B$319,AK291,"SELECCIONAR ESCENARIO")))</f>
        <v>0</v>
      </c>
      <c r="AN209" s="2950">
        <f>IF($B$72=$B$317,AN237,IF($B$72=$B$318,AN264,IF($B$72=$B$319,AN291,"SELECCIONAR ESCENARIO")))</f>
        <v>0</v>
      </c>
      <c r="AQ209" s="2950">
        <f>IF($B$72=$B$317,AQ237,IF($B$72=$B$318,AQ264,IF($B$72=$B$319,AQ291,"SELECCIONAR ESCENARIO")))</f>
        <v>0</v>
      </c>
      <c r="AT209" s="2950">
        <f>IF($B$72=$B$317,AT237,IF($B$72=$B$318,AT264,IF($B$72=$B$319,AT291,"SELECCIONAR ESCENARIO")))</f>
        <v>0</v>
      </c>
      <c r="AV209" s="2791"/>
    </row>
    <row r="210" spans="1:48" x14ac:dyDescent="0.2">
      <c r="A210" s="2949" t="str">
        <f>$A$238</f>
        <v>(DEPRECIACIONES + AMORTIZACIONES) / EGRESOS OPER.</v>
      </c>
      <c r="B210" s="2950">
        <f>IF($B$72=$B$317,B238,IF($B$72=$B$318,B265,IF($B$72=$B$319,B292,"SELECCIONAR ESCENARIO")))</f>
        <v>0</v>
      </c>
      <c r="D210" s="2950">
        <f>IF($B$72=$B$317,D238,IF($B$72=$B$318,D265,IF($B$72=$B$319,D292,"SELECCIONAR ESCENARIO")))</f>
        <v>0</v>
      </c>
      <c r="G210" s="2950">
        <f>IF($B$72=$B$317,G238,IF($B$72=$B$318,G265,IF($B$72=$B$319,G292,"SELECCIONAR ESCENARIO")))</f>
        <v>0</v>
      </c>
      <c r="J210" s="2950">
        <f>IF($B$72=$B$317,J238,IF($B$72=$B$318,J265,IF($B$72=$B$319,J292,"SELECCIONAR ESCENARIO")))</f>
        <v>0</v>
      </c>
      <c r="M210" s="2950">
        <f>IF($B$72=$B$317,M238,IF($B$72=$B$318,M265,IF($B$72=$B$319,M292,"SELECCIONAR ESCENARIO")))</f>
        <v>0</v>
      </c>
      <c r="P210" s="2950">
        <f>IF($B$72=$B$317,P238,IF($B$72=$B$318,P265,IF($B$72=$B$319,P292,"SELECCIONAR ESCENARIO")))</f>
        <v>0</v>
      </c>
      <c r="S210" s="2950">
        <f>IF($B$72=$B$317,S238,IF($B$72=$B$318,S265,IF($B$72=$B$319,S292,"SELECCIONAR ESCENARIO")))</f>
        <v>0</v>
      </c>
      <c r="V210" s="2950">
        <f>IF($B$72=$B$317,V238,IF($B$72=$B$318,V265,IF($B$72=$B$319,V292,"SELECCIONAR ESCENARIO")))</f>
        <v>0</v>
      </c>
      <c r="Y210" s="2950">
        <f>IF($B$72=$B$317,Y238,IF($B$72=$B$318,Y265,IF($B$72=$B$319,Y292,"SELECCIONAR ESCENARIO")))</f>
        <v>0</v>
      </c>
      <c r="AB210" s="2950">
        <f>IF($B$72=$B$317,AB238,IF($B$72=$B$318,AB265,IF($B$72=$B$319,AB292,"SELECCIONAR ESCENARIO")))</f>
        <v>0</v>
      </c>
      <c r="AE210" s="2950">
        <f>IF($B$72=$B$317,AE238,IF($B$72=$B$318,AE265,IF($B$72=$B$319,AE292,"SELECCIONAR ESCENARIO")))</f>
        <v>0</v>
      </c>
      <c r="AH210" s="2950">
        <f>IF($B$72=$B$317,AH238,IF($B$72=$B$318,AH265,IF($B$72=$B$319,AH292,"SELECCIONAR ESCENARIO")))</f>
        <v>0</v>
      </c>
      <c r="AK210" s="2950">
        <f>IF($B$72=$B$317,AK238,IF($B$72=$B$318,AK265,IF($B$72=$B$319,AK292,"SELECCIONAR ESCENARIO")))</f>
        <v>0</v>
      </c>
      <c r="AN210" s="2950">
        <f>IF($B$72=$B$317,AN238,IF($B$72=$B$318,AN265,IF($B$72=$B$319,AN292,"SELECCIONAR ESCENARIO")))</f>
        <v>0</v>
      </c>
      <c r="AQ210" s="2950">
        <f>IF($B$72=$B$317,AQ238,IF($B$72=$B$318,AQ265,IF($B$72=$B$319,AQ292,"SELECCIONAR ESCENARIO")))</f>
        <v>0</v>
      </c>
      <c r="AT210" s="2950">
        <f>IF($B$72=$B$317,AT238,IF($B$72=$B$318,AT265,IF($B$72=$B$319,AT292,"SELECCIONAR ESCENARIO")))</f>
        <v>0</v>
      </c>
      <c r="AV210" s="2791"/>
    </row>
    <row r="211" spans="1:48" x14ac:dyDescent="0.2">
      <c r="A211" s="2951" t="str">
        <f>$A$239</f>
        <v>CAPITAL DE TRABAJO / INGRESOS OPERACIONALES</v>
      </c>
      <c r="B211" s="2950">
        <f>IF($B$72=$B$317,B239,IF($B$72=$B$318,B266,IF($B$72=$B$319,B293,"SELECCIONAR ESCENARIO")))</f>
        <v>0</v>
      </c>
      <c r="D211" s="2950">
        <f>IF($B$72=$B$317,D239,IF($B$72=$B$318,D266,IF($B$72=$B$319,D293,"SELECCIONAR ESCENARIO")))</f>
        <v>0</v>
      </c>
      <c r="G211" s="2950">
        <f>IF($B$72=$B$317,G239,IF($B$72=$B$318,G266,IF($B$72=$B$319,G293,"SELECCIONAR ESCENARIO")))</f>
        <v>0</v>
      </c>
      <c r="J211" s="2950">
        <f>IF($B$72=$B$317,J239,IF($B$72=$B$318,J266,IF($B$72=$B$319,J293,"SELECCIONAR ESCENARIO")))</f>
        <v>0</v>
      </c>
      <c r="M211" s="2950">
        <f>IF($B$72=$B$317,M239,IF($B$72=$B$318,M266,IF($B$72=$B$319,M293,"SELECCIONAR ESCENARIO")))</f>
        <v>0</v>
      </c>
      <c r="P211" s="2950">
        <f>IF($B$72=$B$317,P239,IF($B$72=$B$318,P266,IF($B$72=$B$319,P293,"SELECCIONAR ESCENARIO")))</f>
        <v>0</v>
      </c>
      <c r="S211" s="2950">
        <f>IF($B$72=$B$317,S239,IF($B$72=$B$318,S266,IF($B$72=$B$319,S293,"SELECCIONAR ESCENARIO")))</f>
        <v>0</v>
      </c>
      <c r="V211" s="2950">
        <f>IF($B$72=$B$317,V239,IF($B$72=$B$318,V266,IF($B$72=$B$319,V293,"SELECCIONAR ESCENARIO")))</f>
        <v>0</v>
      </c>
      <c r="Y211" s="2950">
        <f>IF($B$72=$B$317,Y239,IF($B$72=$B$318,Y266,IF($B$72=$B$319,Y293,"SELECCIONAR ESCENARIO")))</f>
        <v>0</v>
      </c>
      <c r="AB211" s="2950">
        <f>IF($B$72=$B$317,AB239,IF($B$72=$B$318,AB266,IF($B$72=$B$319,AB293,"SELECCIONAR ESCENARIO")))</f>
        <v>0</v>
      </c>
      <c r="AE211" s="2950">
        <f>IF($B$72=$B$317,AE239,IF($B$72=$B$318,AE266,IF($B$72=$B$319,AE293,"SELECCIONAR ESCENARIO")))</f>
        <v>0</v>
      </c>
      <c r="AH211" s="2950">
        <f>IF($B$72=$B$317,AH239,IF($B$72=$B$318,AH266,IF($B$72=$B$319,AH293,"SELECCIONAR ESCENARIO")))</f>
        <v>0</v>
      </c>
      <c r="AK211" s="2950">
        <f>IF($B$72=$B$317,AK239,IF($B$72=$B$318,AK266,IF($B$72=$B$319,AK293,"SELECCIONAR ESCENARIO")))</f>
        <v>0</v>
      </c>
      <c r="AN211" s="2950">
        <f>IF($B$72=$B$317,AN239,IF($B$72=$B$318,AN266,IF($B$72=$B$319,AN293,"SELECCIONAR ESCENARIO")))</f>
        <v>0</v>
      </c>
      <c r="AQ211" s="2950">
        <f>IF($B$72=$B$317,AQ239,IF($B$72=$B$318,AQ266,IF($B$72=$B$319,AQ293,"SELECCIONAR ESCENARIO")))</f>
        <v>0</v>
      </c>
      <c r="AT211" s="2950">
        <f>IF($B$72=$B$317,AT239,IF($B$72=$B$318,AT266,IF($B$72=$B$319,AT293,"SELECCIONAR ESCENARIO")))</f>
        <v>0</v>
      </c>
      <c r="AV211" s="2791"/>
    </row>
    <row r="212" spans="1:48" x14ac:dyDescent="0.2">
      <c r="A212" s="2952" t="str">
        <f>$A$240</f>
        <v>IMPUESTOS / INGRESOS OPERACIONALES</v>
      </c>
      <c r="B212" s="2953">
        <f>IF($B$72=$B$317,B240,IF($B$72=$B$318,B267,IF($B$72=$B$319,B294,"SELECCIONAR ESCENARIO")))</f>
        <v>0</v>
      </c>
      <c r="D212" s="2953">
        <f>IF($B$72=$B$317,D240,IF($B$72=$B$318,D267,IF($B$72=$B$319,D294,"SELECCIONAR ESCENARIO")))</f>
        <v>0</v>
      </c>
      <c r="G212" s="2953">
        <f>IF($B$72=$B$317,G240,IF($B$72=$B$318,G267,IF($B$72=$B$319,G294,"SELECCIONAR ESCENARIO")))</f>
        <v>0</v>
      </c>
      <c r="J212" s="2953">
        <f>IF($B$72=$B$317,J240,IF($B$72=$B$318,J267,IF($B$72=$B$319,J294,"SELECCIONAR ESCENARIO")))</f>
        <v>0</v>
      </c>
      <c r="M212" s="2953">
        <f>IF($B$72=$B$317,M240,IF($B$72=$B$318,M267,IF($B$72=$B$319,M294,"SELECCIONAR ESCENARIO")))</f>
        <v>0</v>
      </c>
      <c r="P212" s="2953">
        <f>IF($B$72=$B$317,P240,IF($B$72=$B$318,P267,IF($B$72=$B$319,P294,"SELECCIONAR ESCENARIO")))</f>
        <v>0</v>
      </c>
      <c r="S212" s="2953">
        <f>IF($B$72=$B$317,S240,IF($B$72=$B$318,S267,IF($B$72=$B$319,S294,"SELECCIONAR ESCENARIO")))</f>
        <v>0</v>
      </c>
      <c r="V212" s="2953">
        <f>IF($B$72=$B$317,V240,IF($B$72=$B$318,V267,IF($B$72=$B$319,V294,"SELECCIONAR ESCENARIO")))</f>
        <v>0</v>
      </c>
      <c r="Y212" s="2953">
        <f>IF($B$72=$B$317,Y240,IF($B$72=$B$318,Y267,IF($B$72=$B$319,Y294,"SELECCIONAR ESCENARIO")))</f>
        <v>0</v>
      </c>
      <c r="AB212" s="2953">
        <f>IF($B$72=$B$317,AB240,IF($B$72=$B$318,AB267,IF($B$72=$B$319,AB294,"SELECCIONAR ESCENARIO")))</f>
        <v>0</v>
      </c>
      <c r="AE212" s="2953">
        <f>IF($B$72=$B$317,AE240,IF($B$72=$B$318,AE267,IF($B$72=$B$319,AE294,"SELECCIONAR ESCENARIO")))</f>
        <v>0</v>
      </c>
      <c r="AH212" s="2953">
        <f>IF($B$72=$B$317,AH240,IF($B$72=$B$318,AH267,IF($B$72=$B$319,AH294,"SELECCIONAR ESCENARIO")))</f>
        <v>0</v>
      </c>
      <c r="AK212" s="2953">
        <f>IF($B$72=$B$317,AK240,IF($B$72=$B$318,AK267,IF($B$72=$B$319,AK294,"SELECCIONAR ESCENARIO")))</f>
        <v>0</v>
      </c>
      <c r="AN212" s="2953">
        <f>IF($B$72=$B$317,AN240,IF($B$72=$B$318,AN267,IF($B$72=$B$319,AN294,"SELECCIONAR ESCENARIO")))</f>
        <v>0</v>
      </c>
      <c r="AQ212" s="2953">
        <f>IF($B$72=$B$317,AQ240,IF($B$72=$B$318,AQ267,IF($B$72=$B$319,AQ294,"SELECCIONAR ESCENARIO")))</f>
        <v>0</v>
      </c>
      <c r="AT212" s="2953">
        <f>IF($B$72=$B$317,AT240,IF($B$72=$B$318,AT267,IF($B$72=$B$319,AT294,"SELECCIONAR ESCENARIO")))</f>
        <v>0</v>
      </c>
      <c r="AV212" s="2791"/>
    </row>
    <row r="213" spans="1:48" x14ac:dyDescent="0.2">
      <c r="AV213" s="2791"/>
    </row>
    <row r="214" spans="1:48" x14ac:dyDescent="0.2">
      <c r="A214" s="2954" t="str">
        <f>$A$242</f>
        <v>FLUJO DE CAJA - PORCIÓN NO OPERATIVA</v>
      </c>
      <c r="AV214" s="2791"/>
    </row>
    <row r="215" spans="1:48" x14ac:dyDescent="0.2">
      <c r="A215" s="2955" t="str">
        <f>$A$243</f>
        <v>CAJA MÍNIMA REQUERIDA (EN DÍAS DE INGRESOS OPER.)</v>
      </c>
      <c r="B215" s="2947">
        <f>IF($B$72=$B$317,B243,IF($B$72=$B$318,B270,IF($B$72=$B$319,B297,"SELECCIONAR ESCENARIO")))</f>
        <v>0</v>
      </c>
      <c r="D215" s="2947">
        <f>IF($B$72=$B$317,D243,IF($B$72=$B$318,D270,IF($B$72=$B$319,D297,"SELECCIONAR ESCENARIO")))</f>
        <v>0</v>
      </c>
      <c r="G215" s="2947">
        <f>IF($B$72=$B$317,G243,IF($B$72=$B$318,G270,IF($B$72=$B$319,G297,"SELECCIONAR ESCENARIO")))</f>
        <v>0</v>
      </c>
      <c r="J215" s="2947">
        <f>IF($B$72=$B$317,J243,IF($B$72=$B$318,J270,IF($B$72=$B$319,J297,"SELECCIONAR ESCENARIO")))</f>
        <v>0</v>
      </c>
      <c r="M215" s="2947">
        <f>IF($B$72=$B$317,M243,IF($B$72=$B$318,M270,IF($B$72=$B$319,M297,"SELECCIONAR ESCENARIO")))</f>
        <v>0</v>
      </c>
      <c r="P215" s="2947">
        <f>IF($B$72=$B$317,P243,IF($B$72=$B$318,P270,IF($B$72=$B$319,P297,"SELECCIONAR ESCENARIO")))</f>
        <v>0</v>
      </c>
      <c r="S215" s="2947">
        <f>IF($B$72=$B$317,S243,IF($B$72=$B$318,S270,IF($B$72=$B$319,S297,"SELECCIONAR ESCENARIO")))</f>
        <v>0</v>
      </c>
      <c r="V215" s="2947">
        <f>IF($B$72=$B$317,V243,IF($B$72=$B$318,V270,IF($B$72=$B$319,V297,"SELECCIONAR ESCENARIO")))</f>
        <v>0</v>
      </c>
      <c r="Y215" s="2947">
        <f>IF($B$72=$B$317,Y243,IF($B$72=$B$318,Y270,IF($B$72=$B$319,Y297,"SELECCIONAR ESCENARIO")))</f>
        <v>0</v>
      </c>
      <c r="AB215" s="2947">
        <f>IF($B$72=$B$317,AB243,IF($B$72=$B$318,AB270,IF($B$72=$B$319,AB297,"SELECCIONAR ESCENARIO")))</f>
        <v>0</v>
      </c>
      <c r="AE215" s="2947">
        <f>IF($B$72=$B$317,AE243,IF($B$72=$B$318,AE270,IF($B$72=$B$319,AE297,"SELECCIONAR ESCENARIO")))</f>
        <v>0</v>
      </c>
      <c r="AH215" s="2947">
        <f>IF($B$72=$B$317,AH243,IF($B$72=$B$318,AH270,IF($B$72=$B$319,AH297,"SELECCIONAR ESCENARIO")))</f>
        <v>0</v>
      </c>
      <c r="AK215" s="2947">
        <f>IF($B$72=$B$317,AK243,IF($B$72=$B$318,AK270,IF($B$72=$B$319,AK297,"SELECCIONAR ESCENARIO")))</f>
        <v>0</v>
      </c>
      <c r="AN215" s="2947">
        <f>IF($B$72=$B$317,AN243,IF($B$72=$B$318,AN270,IF($B$72=$B$319,AN297,"SELECCIONAR ESCENARIO")))</f>
        <v>0</v>
      </c>
      <c r="AQ215" s="2947">
        <f>IF($B$72=$B$317,AQ243,IF($B$72=$B$318,AQ270,IF($B$72=$B$319,AQ297,"SELECCIONAR ESCENARIO")))</f>
        <v>0</v>
      </c>
      <c r="AT215" s="2947">
        <f>IF($B$72=$B$317,AT243,IF($B$72=$B$318,AT270,IF($B$72=$B$319,AT297,"SELECCIONAR ESCENARIO")))</f>
        <v>0</v>
      </c>
      <c r="AV215" s="2791"/>
    </row>
    <row r="216" spans="1:48" x14ac:dyDescent="0.2">
      <c r="A216" s="2956" t="str">
        <f>$A$244</f>
        <v>CAPEX ($MM)</v>
      </c>
      <c r="B216" s="2957">
        <f>IF($B$72=$B$317,B244,IF($B$72=$B$318,B271,IF($B$72=$B$319,B298,"SELECCIONAR ESCENARIO")))</f>
        <v>0</v>
      </c>
      <c r="D216" s="2957">
        <f>IF($B$72=$B$317,D244,IF($B$72=$B$318,D271,IF($B$72=$B$319,D298,"SELECCIONAR ESCENARIO")))</f>
        <v>0</v>
      </c>
      <c r="G216" s="2957">
        <f>IF($B$72=$B$317,G244,IF($B$72=$B$318,G271,IF($B$72=$B$319,G298,"SELECCIONAR ESCENARIO")))</f>
        <v>0</v>
      </c>
      <c r="J216" s="2957">
        <f>IF($B$72=$B$317,J244,IF($B$72=$B$318,J271,IF($B$72=$B$319,J298,"SELECCIONAR ESCENARIO")))</f>
        <v>0</v>
      </c>
      <c r="M216" s="2957">
        <f>IF($B$72=$B$317,M244,IF($B$72=$B$318,M271,IF($B$72=$B$319,M298,"SELECCIONAR ESCENARIO")))</f>
        <v>0</v>
      </c>
      <c r="P216" s="2957">
        <f>IF($B$72=$B$317,P244,IF($B$72=$B$318,P271,IF($B$72=$B$319,P298,"SELECCIONAR ESCENARIO")))</f>
        <v>0</v>
      </c>
      <c r="S216" s="2957">
        <f>IF($B$72=$B$317,S244,IF($B$72=$B$318,S271,IF($B$72=$B$319,S298,"SELECCIONAR ESCENARIO")))</f>
        <v>0</v>
      </c>
      <c r="V216" s="2957">
        <f>IF($B$72=$B$317,V244,IF($B$72=$B$318,V271,IF($B$72=$B$319,V298,"SELECCIONAR ESCENARIO")))</f>
        <v>0</v>
      </c>
      <c r="Y216" s="2957">
        <f>IF($B$72=$B$317,Y244,IF($B$72=$B$318,Y271,IF($B$72=$B$319,Y298,"SELECCIONAR ESCENARIO")))</f>
        <v>0</v>
      </c>
      <c r="AB216" s="2957">
        <f>IF($B$72=$B$317,AB244,IF($B$72=$B$318,AB271,IF($B$72=$B$319,AB298,"SELECCIONAR ESCENARIO")))</f>
        <v>0</v>
      </c>
      <c r="AE216" s="2957">
        <f>IF($B$72=$B$317,AE244,IF($B$72=$B$318,AE271,IF($B$72=$B$319,AE298,"SELECCIONAR ESCENARIO")))</f>
        <v>0</v>
      </c>
      <c r="AH216" s="2957">
        <f>IF($B$72=$B$317,AH244,IF($B$72=$B$318,AH271,IF($B$72=$B$319,AH298,"SELECCIONAR ESCENARIO")))</f>
        <v>0</v>
      </c>
      <c r="AK216" s="2957">
        <f>IF($B$72=$B$317,AK244,IF($B$72=$B$318,AK271,IF($B$72=$B$319,AK298,"SELECCIONAR ESCENARIO")))</f>
        <v>0</v>
      </c>
      <c r="AN216" s="2957">
        <f>IF($B$72=$B$317,AN244,IF($B$72=$B$318,AN271,IF($B$72=$B$319,AN298,"SELECCIONAR ESCENARIO")))</f>
        <v>0</v>
      </c>
      <c r="AQ216" s="2957">
        <f>IF($B$72=$B$317,AQ244,IF($B$72=$B$318,AQ271,IF($B$72=$B$319,AQ298,"SELECCIONAR ESCENARIO")))</f>
        <v>0</v>
      </c>
      <c r="AT216" s="2957">
        <f>IF($B$72=$B$317,AT244,IF($B$72=$B$318,AT271,IF($B$72=$B$319,AT298,"SELECCIONAR ESCENARIO")))</f>
        <v>0</v>
      </c>
      <c r="AV216" s="2791"/>
    </row>
    <row r="217" spans="1:48" x14ac:dyDescent="0.2">
      <c r="A217" s="2951" t="str">
        <f>$A$245</f>
        <v>OTROS INGRESOS (EGRESOS) / INGRESOS OPERACIONALES</v>
      </c>
      <c r="B217" s="2950">
        <f>IF($B$72=$B$317,B245,IF($B$72=$B$318,B272,IF($B$72=$B$319,B299,"SELECCIONAR ESCENARIO")))</f>
        <v>0</v>
      </c>
      <c r="D217" s="2950">
        <f>IF($B$72=$B$317,D245,IF($B$72=$B$318,D272,IF($B$72=$B$319,D299,"SELECCIONAR ESCENARIO")))</f>
        <v>0</v>
      </c>
      <c r="G217" s="2950">
        <f>IF($B$72=$B$317,G245,IF($B$72=$B$318,G272,IF($B$72=$B$319,G299,"SELECCIONAR ESCENARIO")))</f>
        <v>0</v>
      </c>
      <c r="J217" s="2950">
        <f>IF($B$72=$B$317,J245,IF($B$72=$B$318,J272,IF($B$72=$B$319,J299,"SELECCIONAR ESCENARIO")))</f>
        <v>0</v>
      </c>
      <c r="M217" s="2950">
        <f>IF($B$72=$B$317,M245,IF($B$72=$B$318,M272,IF($B$72=$B$319,M299,"SELECCIONAR ESCENARIO")))</f>
        <v>0</v>
      </c>
      <c r="P217" s="2950">
        <f>IF($B$72=$B$317,P245,IF($B$72=$B$318,P272,IF($B$72=$B$319,P299,"SELECCIONAR ESCENARIO")))</f>
        <v>0</v>
      </c>
      <c r="S217" s="2950">
        <f>IF($B$72=$B$317,S245,IF($B$72=$B$318,S272,IF($B$72=$B$319,S299,"SELECCIONAR ESCENARIO")))</f>
        <v>0</v>
      </c>
      <c r="V217" s="2950">
        <f>IF($B$72=$B$317,V245,IF($B$72=$B$318,V272,IF($B$72=$B$319,V299,"SELECCIONAR ESCENARIO")))</f>
        <v>0</v>
      </c>
      <c r="Y217" s="2950">
        <f>IF($B$72=$B$317,Y245,IF($B$72=$B$318,Y272,IF($B$72=$B$319,Y299,"SELECCIONAR ESCENARIO")))</f>
        <v>0</v>
      </c>
      <c r="AB217" s="2950">
        <f>IF($B$72=$B$317,AB245,IF($B$72=$B$318,AB272,IF($B$72=$B$319,AB299,"SELECCIONAR ESCENARIO")))</f>
        <v>0</v>
      </c>
      <c r="AE217" s="2950">
        <f>IF($B$72=$B$317,AE245,IF($B$72=$B$318,AE272,IF($B$72=$B$319,AE299,"SELECCIONAR ESCENARIO")))</f>
        <v>0</v>
      </c>
      <c r="AH217" s="2950">
        <f>IF($B$72=$B$317,AH245,IF($B$72=$B$318,AH272,IF($B$72=$B$319,AH299,"SELECCIONAR ESCENARIO")))</f>
        <v>0</v>
      </c>
      <c r="AK217" s="2950">
        <f>IF($B$72=$B$317,AK245,IF($B$72=$B$318,AK272,IF($B$72=$B$319,AK299,"SELECCIONAR ESCENARIO")))</f>
        <v>0</v>
      </c>
      <c r="AN217" s="2950">
        <f>IF($B$72=$B$317,AN245,IF($B$72=$B$318,AN272,IF($B$72=$B$319,AN299,"SELECCIONAR ESCENARIO")))</f>
        <v>0</v>
      </c>
      <c r="AQ217" s="2950">
        <f>IF($B$72=$B$317,AQ245,IF($B$72=$B$318,AQ272,IF($B$72=$B$319,AQ299,"SELECCIONAR ESCENARIO")))</f>
        <v>0</v>
      </c>
      <c r="AT217" s="2950">
        <f>IF($B$72=$B$317,AT245,IF($B$72=$B$318,AT272,IF($B$72=$B$319,AT299,"SELECCIONAR ESCENARIO")))</f>
        <v>0</v>
      </c>
      <c r="AV217" s="2791"/>
    </row>
    <row r="218" spans="1:48" x14ac:dyDescent="0.2">
      <c r="A218" s="2951" t="str">
        <f>$A$246</f>
        <v>APORTES DE CAPITAL (EQUITY) ($MM)</v>
      </c>
      <c r="B218" s="2958">
        <f>IF($B$72=$B$317,B246,IF($B$72=$B$318,B273,IF($B$72=$B$319,B300,"SELECCIONAR ESCENARIO")))</f>
        <v>0</v>
      </c>
      <c r="D218" s="2958">
        <f>IF($B$72=$B$317,D246,IF($B$72=$B$318,D273,IF($B$72=$B$319,D300,"SELECCIONAR ESCENARIO")))</f>
        <v>0</v>
      </c>
      <c r="G218" s="2958">
        <f>IF($B$72=$B$317,G246,IF($B$72=$B$318,G273,IF($B$72=$B$319,G300,"SELECCIONAR ESCENARIO")))</f>
        <v>0</v>
      </c>
      <c r="J218" s="2958">
        <f>IF($B$72=$B$317,J246,IF($B$72=$B$318,J273,IF($B$72=$B$319,J300,"SELECCIONAR ESCENARIO")))</f>
        <v>0</v>
      </c>
      <c r="M218" s="2958">
        <f>IF($B$72=$B$317,M246,IF($B$72=$B$318,M273,IF($B$72=$B$319,M300,"SELECCIONAR ESCENARIO")))</f>
        <v>0</v>
      </c>
      <c r="P218" s="2958">
        <f>IF($B$72=$B$317,P246,IF($B$72=$B$318,P273,IF($B$72=$B$319,P300,"SELECCIONAR ESCENARIO")))</f>
        <v>0</v>
      </c>
      <c r="S218" s="2958">
        <f>IF($B$72=$B$317,S246,IF($B$72=$B$318,S273,IF($B$72=$B$319,S300,"SELECCIONAR ESCENARIO")))</f>
        <v>0</v>
      </c>
      <c r="V218" s="2958">
        <f>IF($B$72=$B$317,V246,IF($B$72=$B$318,V273,IF($B$72=$B$319,V300,"SELECCIONAR ESCENARIO")))</f>
        <v>0</v>
      </c>
      <c r="Y218" s="2958">
        <f>IF($B$72=$B$317,Y246,IF($B$72=$B$318,Y273,IF($B$72=$B$319,Y300,"SELECCIONAR ESCENARIO")))</f>
        <v>0</v>
      </c>
      <c r="AB218" s="2958">
        <f>IF($B$72=$B$317,AB246,IF($B$72=$B$318,AB273,IF($B$72=$B$319,AB300,"SELECCIONAR ESCENARIO")))</f>
        <v>0</v>
      </c>
      <c r="AE218" s="2958">
        <f>IF($B$72=$B$317,AE246,IF($B$72=$B$318,AE273,IF($B$72=$B$319,AE300,"SELECCIONAR ESCENARIO")))</f>
        <v>0</v>
      </c>
      <c r="AH218" s="2958">
        <f>IF($B$72=$B$317,AH246,IF($B$72=$B$318,AH273,IF($B$72=$B$319,AH300,"SELECCIONAR ESCENARIO")))</f>
        <v>0</v>
      </c>
      <c r="AK218" s="2958">
        <f>IF($B$72=$B$317,AK246,IF($B$72=$B$318,AK273,IF($B$72=$B$319,AK300,"SELECCIONAR ESCENARIO")))</f>
        <v>0</v>
      </c>
      <c r="AN218" s="2958">
        <f>IF($B$72=$B$317,AN246,IF($B$72=$B$318,AN273,IF($B$72=$B$319,AN300,"SELECCIONAR ESCENARIO")))</f>
        <v>0</v>
      </c>
      <c r="AQ218" s="2958">
        <f>IF($B$72=$B$317,AQ246,IF($B$72=$B$318,AQ273,IF($B$72=$B$319,AQ300,"SELECCIONAR ESCENARIO")))</f>
        <v>0</v>
      </c>
      <c r="AT218" s="2958">
        <f>IF($B$72=$B$317,AT246,IF($B$72=$B$318,AT273,IF($B$72=$B$319,AT300,"SELECCIONAR ESCENARIO")))</f>
        <v>0</v>
      </c>
      <c r="AV218" s="2791"/>
    </row>
    <row r="219" spans="1:48" x14ac:dyDescent="0.2">
      <c r="A219" s="2959" t="str">
        <f>$A$247</f>
        <v>PAGO DE EXCEDENTES / INGRESOS OPERACIONALES</v>
      </c>
      <c r="B219" s="2953">
        <f>IF($B$72=$B$317,B247,IF($B$72=$B$318,B274,IF($B$72=$B$319,B301,"SELECCIONAR ESCENARIO")))</f>
        <v>0</v>
      </c>
      <c r="D219" s="2953">
        <f>IF($B$72=$B$317,D247,IF($B$72=$B$318,D274,IF($B$72=$B$319,D301,"SELECCIONAR ESCENARIO")))</f>
        <v>0</v>
      </c>
      <c r="G219" s="2953">
        <f>IF($B$72=$B$317,G247,IF($B$72=$B$318,G274,IF($B$72=$B$319,G301,"SELECCIONAR ESCENARIO")))</f>
        <v>0</v>
      </c>
      <c r="J219" s="2953">
        <f>IF($B$72=$B$317,J247,IF($B$72=$B$318,J274,IF($B$72=$B$319,J301,"SELECCIONAR ESCENARIO")))</f>
        <v>0</v>
      </c>
      <c r="M219" s="2953">
        <f>IF($B$72=$B$317,M247,IF($B$72=$B$318,M274,IF($B$72=$B$319,M301,"SELECCIONAR ESCENARIO")))</f>
        <v>0</v>
      </c>
      <c r="P219" s="2953">
        <f>IF($B$72=$B$317,P247,IF($B$72=$B$318,P274,IF($B$72=$B$319,P301,"SELECCIONAR ESCENARIO")))</f>
        <v>0</v>
      </c>
      <c r="S219" s="2953">
        <f>IF($B$72=$B$317,S247,IF($B$72=$B$318,S274,IF($B$72=$B$319,S301,"SELECCIONAR ESCENARIO")))</f>
        <v>0</v>
      </c>
      <c r="V219" s="2953">
        <f>IF($B$72=$B$317,V247,IF($B$72=$B$318,V274,IF($B$72=$B$319,V301,"SELECCIONAR ESCENARIO")))</f>
        <v>0</v>
      </c>
      <c r="Y219" s="2953">
        <f>IF($B$72=$B$317,Y247,IF($B$72=$B$318,Y274,IF($B$72=$B$319,Y301,"SELECCIONAR ESCENARIO")))</f>
        <v>0</v>
      </c>
      <c r="AB219" s="2953">
        <f>IF($B$72=$B$317,AB247,IF($B$72=$B$318,AB274,IF($B$72=$B$319,AB301,"SELECCIONAR ESCENARIO")))</f>
        <v>0</v>
      </c>
      <c r="AE219" s="2953">
        <f>IF($B$72=$B$317,AE247,IF($B$72=$B$318,AE274,IF($B$72=$B$319,AE301,"SELECCIONAR ESCENARIO")))</f>
        <v>0</v>
      </c>
      <c r="AH219" s="2953">
        <f>IF($B$72=$B$317,AH247,IF($B$72=$B$318,AH274,IF($B$72=$B$319,AH301,"SELECCIONAR ESCENARIO")))</f>
        <v>0</v>
      </c>
      <c r="AK219" s="2953">
        <f>IF($B$72=$B$317,AK247,IF($B$72=$B$318,AK274,IF($B$72=$B$319,AK301,"SELECCIONAR ESCENARIO")))</f>
        <v>0</v>
      </c>
      <c r="AN219" s="2953">
        <f>IF($B$72=$B$317,AN247,IF($B$72=$B$318,AN274,IF($B$72=$B$319,AN301,"SELECCIONAR ESCENARIO")))</f>
        <v>0</v>
      </c>
      <c r="AQ219" s="2953">
        <f>IF($B$72=$B$317,AQ247,IF($B$72=$B$318,AQ274,IF($B$72=$B$319,AQ301,"SELECCIONAR ESCENARIO")))</f>
        <v>0</v>
      </c>
      <c r="AT219" s="2953">
        <f>IF($B$72=$B$317,AT247,IF($B$72=$B$318,AT274,IF($B$72=$B$319,AT301,"SELECCIONAR ESCENARIO")))</f>
        <v>0</v>
      </c>
      <c r="AV219" s="2791"/>
    </row>
    <row r="220" spans="1:48" x14ac:dyDescent="0.2">
      <c r="AV220" s="2791"/>
    </row>
    <row r="221" spans="1:48" x14ac:dyDescent="0.2">
      <c r="A221" s="2954" t="str">
        <f>$A$249</f>
        <v>TASA - OBLIGACIONES FINANCIERAS C.P.</v>
      </c>
      <c r="AV221" s="2791"/>
    </row>
    <row r="222" spans="1:48" x14ac:dyDescent="0.2">
      <c r="A222" s="2955" t="str">
        <f>$A$250</f>
        <v>TASA FINANCIACIÓN OBLIGACIONES FINANCIERAS C.P.</v>
      </c>
      <c r="B222" s="2948">
        <f>IF($B$72=$B$317,B250,IF($B$72=$B$318,B277,IF($B$72=$B$319,B304,"SELECCIONAR ESCENARIO")))</f>
        <v>0</v>
      </c>
      <c r="D222" s="2948">
        <f>IF($B$72=$B$317,D250,IF($B$72=$B$318,D277,IF($B$72=$B$319,D304,"SELECCIONAR ESCENARIO")))</f>
        <v>0</v>
      </c>
      <c r="G222" s="2948">
        <f>IF($B$72=$B$317,G250,IF($B$72=$B$318,G277,IF($B$72=$B$319,G304,"SELECCIONAR ESCENARIO")))</f>
        <v>0</v>
      </c>
      <c r="J222" s="2948">
        <f>IF($B$72=$B$317,J250,IF($B$72=$B$318,J277,IF($B$72=$B$319,J304,"SELECCIONAR ESCENARIO")))</f>
        <v>0</v>
      </c>
      <c r="M222" s="2948">
        <f>IF($B$72=$B$317,M250,IF($B$72=$B$318,M277,IF($B$72=$B$319,M304,"SELECCIONAR ESCENARIO")))</f>
        <v>0</v>
      </c>
      <c r="P222" s="2948">
        <f>IF($B$72=$B$317,P250,IF($B$72=$B$318,P277,IF($B$72=$B$319,P304,"SELECCIONAR ESCENARIO")))</f>
        <v>0</v>
      </c>
      <c r="S222" s="2948">
        <f>IF($B$72=$B$317,S250,IF($B$72=$B$318,S277,IF($B$72=$B$319,S304,"SELECCIONAR ESCENARIO")))</f>
        <v>0</v>
      </c>
      <c r="V222" s="2948">
        <f>IF($B$72=$B$317,V250,IF($B$72=$B$318,V277,IF($B$72=$B$319,V304,"SELECCIONAR ESCENARIO")))</f>
        <v>0</v>
      </c>
      <c r="Y222" s="2948">
        <f>IF($B$72=$B$317,Y250,IF($B$72=$B$318,Y277,IF($B$72=$B$319,Y304,"SELECCIONAR ESCENARIO")))</f>
        <v>0</v>
      </c>
      <c r="AB222" s="2948">
        <f>IF($B$72=$B$317,AB250,IF($B$72=$B$318,AB277,IF($B$72=$B$319,AB304,"SELECCIONAR ESCENARIO")))</f>
        <v>0</v>
      </c>
      <c r="AE222" s="2948">
        <f>IF($B$72=$B$317,AE250,IF($B$72=$B$318,AE277,IF($B$72=$B$319,AE304,"SELECCIONAR ESCENARIO")))</f>
        <v>0</v>
      </c>
      <c r="AH222" s="2948">
        <f>IF($B$72=$B$317,AH250,IF($B$72=$B$318,AH277,IF($B$72=$B$319,AH304,"SELECCIONAR ESCENARIO")))</f>
        <v>0</v>
      </c>
      <c r="AK222" s="2948">
        <f>IF($B$72=$B$317,AK250,IF($B$72=$B$318,AK277,IF($B$72=$B$319,AK304,"SELECCIONAR ESCENARIO")))</f>
        <v>0</v>
      </c>
      <c r="AN222" s="2948">
        <f>IF($B$72=$B$317,AN250,IF($B$72=$B$318,AN277,IF($B$72=$B$319,AN304,"SELECCIONAR ESCENARIO")))</f>
        <v>0</v>
      </c>
      <c r="AQ222" s="2948">
        <f>IF($B$72=$B$317,AQ250,IF($B$72=$B$318,AQ277,IF($B$72=$B$319,AQ304,"SELECCIONAR ESCENARIO")))</f>
        <v>0</v>
      </c>
      <c r="AT222" s="2948">
        <f>IF($B$72=$B$317,AT250,IF($B$72=$B$318,AT277,IF($B$72=$B$319,AT304,"SELECCIONAR ESCENARIO")))</f>
        <v>0</v>
      </c>
      <c r="AV222" s="2791"/>
    </row>
    <row r="223" spans="1:48" x14ac:dyDescent="0.2">
      <c r="A223" s="2959" t="str">
        <f>$A$251</f>
        <v>CÁLCULO INTERESES - OBLIGACIONES C.P.</v>
      </c>
      <c r="B223" s="2960">
        <f>IF($B$72=$B$317,B251,IF($B$72=$B$318,B278,IF($B$72=$B$319,B305,"SELECCIONAR ESCENARIO")))</f>
        <v>0</v>
      </c>
      <c r="D223" s="2960">
        <f ca="1">IF($B$72=$B$317,D251,IF($B$72=$B$318,D278,IF($B$72=$B$319,D305,"SELECCIONAR ESCENARIO")))</f>
        <v>0</v>
      </c>
      <c r="G223" s="2960">
        <f ca="1">IF($B$72=$B$317,G251,IF($B$72=$B$318,G278,IF($B$72=$B$319,G305,"SELECCIONAR ESCENARIO")))</f>
        <v>0</v>
      </c>
      <c r="J223" s="2960">
        <f ca="1">IF($B$72=$B$317,J251,IF($B$72=$B$318,J278,IF($B$72=$B$319,J305,"SELECCIONAR ESCENARIO")))</f>
        <v>0</v>
      </c>
      <c r="M223" s="2960">
        <f ca="1">IF($B$72=$B$317,M251,IF($B$72=$B$318,M278,IF($B$72=$B$319,M305,"SELECCIONAR ESCENARIO")))</f>
        <v>0</v>
      </c>
      <c r="P223" s="2960">
        <f ca="1">IF($B$72=$B$317,P251,IF($B$72=$B$318,P278,IF($B$72=$B$319,P305,"SELECCIONAR ESCENARIO")))</f>
        <v>0</v>
      </c>
      <c r="S223" s="2960">
        <f ca="1">IF($B$72=$B$317,S251,IF($B$72=$B$318,S278,IF($B$72=$B$319,S305,"SELECCIONAR ESCENARIO")))</f>
        <v>0</v>
      </c>
      <c r="V223" s="2960">
        <f ca="1">IF($B$72=$B$317,V251,IF($B$72=$B$318,V278,IF($B$72=$B$319,V305,"SELECCIONAR ESCENARIO")))</f>
        <v>0</v>
      </c>
      <c r="Y223" s="2960">
        <f ca="1">IF($B$72=$B$317,Y251,IF($B$72=$B$318,Y278,IF($B$72=$B$319,Y305,"SELECCIONAR ESCENARIO")))</f>
        <v>0</v>
      </c>
      <c r="AB223" s="2960">
        <f ca="1">IF($B$72=$B$317,AB251,IF($B$72=$B$318,AB278,IF($B$72=$B$319,AB305,"SELECCIONAR ESCENARIO")))</f>
        <v>0</v>
      </c>
      <c r="AE223" s="2960">
        <f ca="1">IF($B$72=$B$317,AE251,IF($B$72=$B$318,AE278,IF($B$72=$B$319,AE305,"SELECCIONAR ESCENARIO")))</f>
        <v>0</v>
      </c>
      <c r="AH223" s="2960">
        <f ca="1">IF($B$72=$B$317,AH251,IF($B$72=$B$318,AH278,IF($B$72=$B$319,AH305,"SELECCIONAR ESCENARIO")))</f>
        <v>0</v>
      </c>
      <c r="AK223" s="2960">
        <f ca="1">IF($B$72=$B$317,AK251,IF($B$72=$B$318,AK278,IF($B$72=$B$319,AK305,"SELECCIONAR ESCENARIO")))</f>
        <v>0</v>
      </c>
      <c r="AN223" s="2960">
        <f ca="1">IF($B$72=$B$317,AN251,IF($B$72=$B$318,AN278,IF($B$72=$B$319,AN305,"SELECCIONAR ESCENARIO")))</f>
        <v>0</v>
      </c>
      <c r="AQ223" s="2960">
        <f ca="1">IF($B$72=$B$317,AQ251,IF($B$72=$B$318,AQ278,IF($B$72=$B$319,AQ305,"SELECCIONAR ESCENARIO")))</f>
        <v>0</v>
      </c>
      <c r="AT223" s="2960">
        <f ca="1">IF($B$72=$B$317,AT251,IF($B$72=$B$318,AT278,IF($B$72=$B$319,AT305,"SELECCIONAR ESCENARIO")))</f>
        <v>0</v>
      </c>
      <c r="AV223" s="2791"/>
    </row>
    <row r="224" spans="1:48" x14ac:dyDescent="0.2">
      <c r="AV224" s="2791"/>
    </row>
    <row r="225" spans="1:48" x14ac:dyDescent="0.2">
      <c r="A225" s="2954" t="str">
        <f>$A$253</f>
        <v>VARIABLES MACROECONÓMICAS</v>
      </c>
      <c r="AV225" s="2791"/>
    </row>
    <row r="226" spans="1:48" x14ac:dyDescent="0.2">
      <c r="A226" s="2955" t="str">
        <f>$A$254</f>
        <v>CRECIMIENTO PIB (VARIACIÓN PORCENTUAL - BASE 1.994)</v>
      </c>
      <c r="B226" s="2961">
        <f ca="1">IF($B$72=$B$317,B254,IF($B$72=$B$318,B281,IF($B$72=$B$319,B308,"SELECCIONAR ESCENARIO")))</f>
        <v>2.7999999999999997E-2</v>
      </c>
      <c r="D226" s="2961">
        <f ca="1">IF($B$72=$B$317,D254,IF($B$72=$B$318,D281,IF($B$72=$B$319,D308,"SELECCIONAR ESCENARIO")))</f>
        <v>0.03</v>
      </c>
      <c r="G226" s="2961">
        <f ca="1">IF($B$72=$B$317,G254,IF($B$72=$B$318,G281,IF($B$72=$B$319,G308,"SELECCIONAR ESCENARIO")))</f>
        <v>0.03</v>
      </c>
      <c r="J226" s="2961">
        <f ca="1">IF($B$72=$B$317,J254,IF($B$72=$B$318,J281,IF($B$72=$B$319,J308,"SELECCIONAR ESCENARIO")))</f>
        <v>0.03</v>
      </c>
      <c r="M226" s="2961">
        <f ca="1">IF($B$72=$B$317,M254,IF($B$72=$B$318,M281,IF($B$72=$B$319,M308,"SELECCIONAR ESCENARIO")))</f>
        <v>0.03</v>
      </c>
      <c r="P226" s="2961">
        <f ca="1">IF($B$72=$B$317,P254,IF($B$72=$B$318,P281,IF($B$72=$B$319,P308,"SELECCIONAR ESCENARIO")))</f>
        <v>0.03</v>
      </c>
      <c r="S226" s="2961">
        <f ca="1">IF($B$72=$B$317,S254,IF($B$72=$B$318,S281,IF($B$72=$B$319,S308,"SELECCIONAR ESCENARIO")))</f>
        <v>0.03</v>
      </c>
      <c r="V226" s="2961">
        <f ca="1">IF($B$72=$B$317,V254,IF($B$72=$B$318,V281,IF($B$72=$B$319,V308,"SELECCIONAR ESCENARIO")))</f>
        <v>0.03</v>
      </c>
      <c r="Y226" s="2961">
        <f ca="1">IF($B$72=$B$317,Y254,IF($B$72=$B$318,Y281,IF($B$72=$B$319,Y308,"SELECCIONAR ESCENARIO")))</f>
        <v>0.03</v>
      </c>
      <c r="AB226" s="2961">
        <f ca="1">IF($B$72=$B$317,AB254,IF($B$72=$B$318,AB281,IF($B$72=$B$319,AB308,"SELECCIONAR ESCENARIO")))</f>
        <v>0.03</v>
      </c>
      <c r="AE226" s="2961">
        <f ca="1">IF($B$72=$B$317,AE254,IF($B$72=$B$318,AE281,IF($B$72=$B$319,AE308,"SELECCIONAR ESCENARIO")))</f>
        <v>0.03</v>
      </c>
      <c r="AH226" s="2961">
        <f ca="1">IF($B$72=$B$317,AH254,IF($B$72=$B$318,AH281,IF($B$72=$B$319,AH308,"SELECCIONAR ESCENARIO")))</f>
        <v>0.03</v>
      </c>
      <c r="AK226" s="2961">
        <f ca="1">IF($B$72=$B$317,AK254,IF($B$72=$B$318,AK281,IF($B$72=$B$319,AK308,"SELECCIONAR ESCENARIO")))</f>
        <v>0.03</v>
      </c>
      <c r="AN226" s="2961">
        <f ca="1">IF($B$72=$B$317,AN254,IF($B$72=$B$318,AN281,IF($B$72=$B$319,AN308,"SELECCIONAR ESCENARIO")))</f>
        <v>0.03</v>
      </c>
      <c r="AQ226" s="2961">
        <f ca="1">IF($B$72=$B$317,AQ254,IF($B$72=$B$318,AQ281,IF($B$72=$B$319,AQ308,"SELECCIONAR ESCENARIO")))</f>
        <v>0.03</v>
      </c>
      <c r="AT226" s="2961">
        <f ca="1">IF($B$72=$B$317,AT254,IF($B$72=$B$318,AT281,IF($B$72=$B$319,AT308,"SELECCIONAR ESCENARIO")))</f>
        <v>0.03</v>
      </c>
      <c r="AV226" s="2791"/>
    </row>
    <row r="227" spans="1:48" x14ac:dyDescent="0.2">
      <c r="A227" s="2951" t="str">
        <f>$A$255</f>
        <v>VARIACIÓN PORCENTUAL IPC (INFLACIÓN)</v>
      </c>
      <c r="B227" s="2962">
        <f ca="1">IF($B$72=$B$317,B255,IF($B$72=$B$318,B282,IF($B$72=$B$319,B309,"SELECCIONAR ESCENARIO")))</f>
        <v>3.04E-2</v>
      </c>
      <c r="D227" s="2962">
        <f ca="1">IF($B$72=$B$317,D255,IF($B$72=$B$318,D282,IF($B$72=$B$319,D309,"SELECCIONAR ESCENARIO")))</f>
        <v>2.5000000000000001E-2</v>
      </c>
      <c r="G227" s="2962">
        <f ca="1">IF($B$72=$B$317,G255,IF($B$72=$B$318,G282,IF($B$72=$B$319,G309,"SELECCIONAR ESCENARIO")))</f>
        <v>0.04</v>
      </c>
      <c r="J227" s="2962">
        <f ca="1">IF($B$72=$B$317,J255,IF($B$72=$B$318,J282,IF($B$72=$B$319,J309,"SELECCIONAR ESCENARIO")))</f>
        <v>0.04</v>
      </c>
      <c r="M227" s="2962">
        <f ca="1">IF($B$72=$B$317,M255,IF($B$72=$B$318,M282,IF($B$72=$B$319,M309,"SELECCIONAR ESCENARIO")))</f>
        <v>0.04</v>
      </c>
      <c r="P227" s="2962">
        <f ca="1">IF($B$72=$B$317,P255,IF($B$72=$B$318,P282,IF($B$72=$B$319,P309,"SELECCIONAR ESCENARIO")))</f>
        <v>0.04</v>
      </c>
      <c r="S227" s="2962">
        <f ca="1">IF($B$72=$B$317,S255,IF($B$72=$B$318,S282,IF($B$72=$B$319,S309,"SELECCIONAR ESCENARIO")))</f>
        <v>0.04</v>
      </c>
      <c r="V227" s="2962">
        <f ca="1">IF($B$72=$B$317,V255,IF($B$72=$B$318,V282,IF($B$72=$B$319,V309,"SELECCIONAR ESCENARIO")))</f>
        <v>0.04</v>
      </c>
      <c r="Y227" s="2962">
        <f ca="1">IF($B$72=$B$317,Y255,IF($B$72=$B$318,Y282,IF($B$72=$B$319,Y309,"SELECCIONAR ESCENARIO")))</f>
        <v>0.04</v>
      </c>
      <c r="AB227" s="2962">
        <f ca="1">IF($B$72=$B$317,AB255,IF($B$72=$B$318,AB282,IF($B$72=$B$319,AB309,"SELECCIONAR ESCENARIO")))</f>
        <v>0.04</v>
      </c>
      <c r="AE227" s="2962">
        <f ca="1">IF($B$72=$B$317,AE255,IF($B$72=$B$318,AE282,IF($B$72=$B$319,AE309,"SELECCIONAR ESCENARIO")))</f>
        <v>0.04</v>
      </c>
      <c r="AH227" s="2962">
        <f ca="1">IF($B$72=$B$317,AH255,IF($B$72=$B$318,AH282,IF($B$72=$B$319,AH309,"SELECCIONAR ESCENARIO")))</f>
        <v>0.04</v>
      </c>
      <c r="AK227" s="2962">
        <f ca="1">IF($B$72=$B$317,AK255,IF($B$72=$B$318,AK282,IF($B$72=$B$319,AK309,"SELECCIONAR ESCENARIO")))</f>
        <v>0.04</v>
      </c>
      <c r="AN227" s="2962">
        <f ca="1">IF($B$72=$B$317,AN255,IF($B$72=$B$318,AN282,IF($B$72=$B$319,AN309,"SELECCIONAR ESCENARIO")))</f>
        <v>0.04</v>
      </c>
      <c r="AQ227" s="2962">
        <f ca="1">IF($B$72=$B$317,AQ255,IF($B$72=$B$318,AQ282,IF($B$72=$B$319,AQ309,"SELECCIONAR ESCENARIO")))</f>
        <v>0.04</v>
      </c>
      <c r="AT227" s="2962">
        <f ca="1">IF($B$72=$B$317,AT255,IF($B$72=$B$318,AT282,IF($B$72=$B$319,AT309,"SELECCIONAR ESCENARIO")))</f>
        <v>0.04</v>
      </c>
      <c r="AV227" s="2791"/>
    </row>
    <row r="228" spans="1:48" x14ac:dyDescent="0.2">
      <c r="A228" s="2951" t="str">
        <f>$A$256</f>
        <v>VARIACIÓN TRM  (DEVAL./REVAL.) - AÑO CORRIDO</v>
      </c>
      <c r="B228" s="2962">
        <f ca="1">IF($B$72=$B$317,B256,IF($B$72=$B$318,B283,IF($B$72=$B$319,B310,"SELECCIONAR ESCENARIO")))</f>
        <v>-3.2398507017312173E-2</v>
      </c>
      <c r="D228" s="2962">
        <f ca="1">IF($B$72=$B$317,D256,IF($B$72=$B$318,D283,IF($B$72=$B$319,D310,"SELECCIONAR ESCENARIO")))</f>
        <v>2.8731041456016237E-2</v>
      </c>
      <c r="G228" s="2962">
        <f ca="1">IF($B$72=$B$317,G256,IF($B$72=$B$318,G283,IF($B$72=$B$319,G310,"SELECCIONAR ESCENARIO")))</f>
        <v>3.9998427387054392E-2</v>
      </c>
      <c r="J228" s="2962">
        <f ca="1">IF($B$72=$B$317,J256,IF($B$72=$B$318,J283,IF($B$72=$B$319,J310,"SELECCIONAR ESCENARIO")))</f>
        <v>3.5001086843522877E-2</v>
      </c>
      <c r="M228" s="2962">
        <f ca="1">IF($B$72=$B$317,M256,IF($B$72=$B$318,M283,IF($B$72=$B$319,M310,"SELECCIONAR ESCENARIO")))</f>
        <v>3.4999931515917959E-2</v>
      </c>
      <c r="P228" s="2962">
        <f>IF($B$72=$B$317,P256,IF($B$72=$B$318,P283,IF($B$72=$B$319,P310,"SELECCIONAR ESCENARIO")))</f>
        <v>3.5000000000000003E-2</v>
      </c>
      <c r="S228" s="2962">
        <f>IF($B$72=$B$317,S256,IF($B$72=$B$318,S283,IF($B$72=$B$319,S310,"SELECCIONAR ESCENARIO")))</f>
        <v>3.5000000000000003E-2</v>
      </c>
      <c r="V228" s="2962">
        <f>IF($B$72=$B$317,V256,IF($B$72=$B$318,V283,IF($B$72=$B$319,V310,"SELECCIONAR ESCENARIO")))</f>
        <v>3.5000000000000003E-2</v>
      </c>
      <c r="Y228" s="2962">
        <f>IF($B$72=$B$317,Y256,IF($B$72=$B$318,Y283,IF($B$72=$B$319,Y310,"SELECCIONAR ESCENARIO")))</f>
        <v>3.5000000000000003E-2</v>
      </c>
      <c r="AB228" s="2962">
        <f>IF($B$72=$B$317,AB256,IF($B$72=$B$318,AB283,IF($B$72=$B$319,AB310,"SELECCIONAR ESCENARIO")))</f>
        <v>3.5000000000000003E-2</v>
      </c>
      <c r="AE228" s="2962">
        <f>IF($B$72=$B$317,AE256,IF($B$72=$B$318,AE283,IF($B$72=$B$319,AE310,"SELECCIONAR ESCENARIO")))</f>
        <v>3.5000000000000003E-2</v>
      </c>
      <c r="AH228" s="2962">
        <f>IF($B$72=$B$317,AH256,IF($B$72=$B$318,AH283,IF($B$72=$B$319,AH310,"SELECCIONAR ESCENARIO")))</f>
        <v>3.5000000000000003E-2</v>
      </c>
      <c r="AK228" s="2962">
        <f>IF($B$72=$B$317,AK256,IF($B$72=$B$318,AK283,IF($B$72=$B$319,AK310,"SELECCIONAR ESCENARIO")))</f>
        <v>3.5000000000000003E-2</v>
      </c>
      <c r="AN228" s="2962">
        <f>IF($B$72=$B$317,AN256,IF($B$72=$B$318,AN283,IF($B$72=$B$319,AN310,"SELECCIONAR ESCENARIO")))</f>
        <v>3.5000000000000003E-2</v>
      </c>
      <c r="AQ228" s="2962">
        <f>IF($B$72=$B$317,AQ256,IF($B$72=$B$318,AQ283,IF($B$72=$B$319,AQ310,"SELECCIONAR ESCENARIO")))</f>
        <v>3.5000000000000003E-2</v>
      </c>
      <c r="AT228" s="2962">
        <f>IF($B$72=$B$317,AT256,IF($B$72=$B$318,AT283,IF($B$72=$B$319,AT310,"SELECCIONAR ESCENARIO")))</f>
        <v>3.5000000000000003E-2</v>
      </c>
      <c r="AV228" s="2791"/>
    </row>
    <row r="229" spans="1:48" x14ac:dyDescent="0.2">
      <c r="A229" s="2951" t="str">
        <f>$A$257</f>
        <v>TRM A 31 DE DICIEMBRE (COP POR 1 USD)</v>
      </c>
      <c r="B229" s="2963">
        <f ca="1">IF($B$72=$B$317,B257,IF($B$72=$B$318,B284,IF($B$72=$B$319,B311,"SELECCIONAR ESCENARIO")))</f>
        <v>1978</v>
      </c>
      <c r="D229" s="2963">
        <f ca="1">IF($B$72=$B$317,D257,IF($B$72=$B$318,D284,IF($B$72=$B$319,D311,"SELECCIONAR ESCENARIO")))</f>
        <v>2034.83</v>
      </c>
      <c r="G229" s="2963">
        <f ca="1">IF($B$72=$B$317,G257,IF($B$72=$B$318,G284,IF($B$72=$B$319,G311,"SELECCIONAR ESCENARIO")))</f>
        <v>2116.2199999999998</v>
      </c>
      <c r="J229" s="2963">
        <f ca="1">IF($B$72=$B$317,J257,IF($B$72=$B$318,J284,IF($B$72=$B$319,J311,"SELECCIONAR ESCENARIO")))</f>
        <v>2190.29</v>
      </c>
      <c r="M229" s="2963">
        <f ca="1">IF($B$72=$B$317,M257,IF($B$72=$B$318,M284,IF($B$72=$B$319,M311,"SELECCIONAR ESCENARIO")))</f>
        <v>2266.9499999999998</v>
      </c>
      <c r="P229" s="2963">
        <f ca="1">IF($B$72=$B$317,P257,IF($B$72=$B$318,P284,IF($B$72=$B$319,P311,"SELECCIONAR ESCENARIO")))</f>
        <v>2346.2932499999997</v>
      </c>
      <c r="S229" s="2963">
        <f ca="1">IF($B$72=$B$317,S257,IF($B$72=$B$318,S284,IF($B$72=$B$319,S311,"SELECCIONAR ESCENARIO")))</f>
        <v>2428.4135137499993</v>
      </c>
      <c r="V229" s="2963">
        <f ca="1">IF($B$72=$B$317,V257,IF($B$72=$B$318,V284,IF($B$72=$B$319,G81,"SELECCIONAR ESCENARIO")))</f>
        <v>2513.4079867312489</v>
      </c>
      <c r="Y229" s="2963">
        <f ca="1">IF($B$72=$B$317,Y257,IF($B$72=$B$318,Y284,IF($B$72=$B$319,Y311,"SELECCIONAR ESCENARIO")))</f>
        <v>2601.3772662668425</v>
      </c>
      <c r="AB229" s="2963">
        <f ca="1">IF($B$72=$B$317,AB257,IF($B$72=$B$318,AB284,IF($B$72=$B$319,AB311,"SELECCIONAR ESCENARIO")))</f>
        <v>2692.4254705861817</v>
      </c>
      <c r="AE229" s="2963">
        <f ca="1">IF($B$72=$B$317,AE257,IF($B$72=$B$318,AE284,IF($B$72=$B$319,AE311,"SELECCIONAR ESCENARIO")))</f>
        <v>2786.660362056698</v>
      </c>
      <c r="AH229" s="2963">
        <f ca="1">IF($B$72=$B$317,AH257,IF($B$72=$B$318,AH284,IF($B$72=$B$319,AH311,"SELECCIONAR ESCENARIO")))</f>
        <v>2884.1934747286823</v>
      </c>
      <c r="AK229" s="2963">
        <f ca="1">IF($B$72=$B$317,AK257,IF($B$72=$B$318,AK284,IF($B$72=$B$319,AK311,"SELECCIONAR ESCENARIO")))</f>
        <v>2985.1402463441859</v>
      </c>
      <c r="AN229" s="2963">
        <f ca="1">IF($B$72=$B$317,AN257,IF($B$72=$B$318,AN284,IF($B$72=$B$319,AN311,"SELECCIONAR ESCENARIO")))</f>
        <v>3089.6201549662323</v>
      </c>
      <c r="AQ229" s="2963">
        <f ca="1">IF($B$72=$B$317,AQ257,IF($B$72=$B$318,AQ284,IF($B$72=$B$319,AQ311,"SELECCIONAR ESCENARIO")))</f>
        <v>3197.7568603900504</v>
      </c>
      <c r="AT229" s="2963">
        <f ca="1">IF($B$72=$B$317,AT257,IF($B$72=$B$318,AT284,IF($B$72=$B$319,AT311,"SELECCIONAR ESCENARIO")))</f>
        <v>3309.6783505037019</v>
      </c>
      <c r="AV229" s="2791"/>
    </row>
    <row r="230" spans="1:48" ht="13.5" thickBot="1" x14ac:dyDescent="0.25">
      <c r="A230" s="2964" t="str">
        <f>$A$258</f>
        <v>DTF E.A.</v>
      </c>
      <c r="B230" s="2965">
        <f>IF($B$72=$B$317,B258,IF($B$72=$B$318,B285,IF($B$72=$B$319,B312,"SELECCIONAR ESCENARIO")))</f>
        <v>4.1635332757903119E-2</v>
      </c>
      <c r="C230" s="2804"/>
      <c r="D230" s="2965">
        <f>IF($B$72=$B$317,D258,IF($B$72=$B$318,D285,IF($B$72=$B$319,D312,"SELECCIONAR ESCENARIO")))</f>
        <v>4.5342834547292377E-2</v>
      </c>
      <c r="E230" s="2804"/>
      <c r="F230" s="2804"/>
      <c r="G230" s="2965">
        <f>IF($B$72=$B$317,G258,IF($B$72=$B$318,G285,IF($B$72=$B$319,G312,"SELECCIONAR ESCENARIO")))</f>
        <v>4.5342834547292377E-2</v>
      </c>
      <c r="H230" s="2804"/>
      <c r="I230" s="2804"/>
      <c r="J230" s="2965">
        <f>IF($B$72=$B$317,J258,IF($B$72=$B$318,J285,IF($B$72=$B$319,J312,"SELECCIONAR ESCENARIO")))</f>
        <v>4.5342834547292377E-2</v>
      </c>
      <c r="K230" s="2804"/>
      <c r="L230" s="2804"/>
      <c r="M230" s="2965">
        <f>IF($B$72=$B$317,M258,IF($B$72=$B$318,M285,IF($B$72=$B$319,M312,"SELECCIONAR ESCENARIO")))</f>
        <v>4.5342834547292377E-2</v>
      </c>
      <c r="N230" s="2804"/>
      <c r="O230" s="2804"/>
      <c r="P230" s="2965">
        <f>IF($B$72=$B$317,P258,IF($B$72=$B$318,P285,IF($B$72=$B$319,P312,"SELECCIONAR ESCENARIO")))</f>
        <v>4.5342834547292377E-2</v>
      </c>
      <c r="Q230" s="2804"/>
      <c r="R230" s="2804"/>
      <c r="S230" s="2965">
        <f>IF($B$72=$B$317,S258,IF($B$72=$B$318,S285,IF($B$72=$B$319,S312,"SELECCIONAR ESCENARIO")))</f>
        <v>4.5342834547292377E-2</v>
      </c>
      <c r="T230" s="2804"/>
      <c r="U230" s="2804"/>
      <c r="V230" s="2965">
        <f>IF($B$72=$B$317,V258,IF($B$72=$B$318,V285,IF($B$72=$B$319,V312,"SELECCIONAR ESCENARIO")))</f>
        <v>4.5342834547292377E-2</v>
      </c>
      <c r="W230" s="2804"/>
      <c r="X230" s="2804"/>
      <c r="Y230" s="2965">
        <f>IF($B$72=$B$317,Y258,IF($B$72=$B$318,Y285,IF($B$72=$B$319,Y312,"SELECCIONAR ESCENARIO")))</f>
        <v>4.5342834547292377E-2</v>
      </c>
      <c r="Z230" s="2804"/>
      <c r="AA230" s="2804"/>
      <c r="AB230" s="2965">
        <f>IF($B$72=$B$317,AB258,IF($B$72=$B$318,AB285,IF($B$72=$B$319,AB312,"SELECCIONAR ESCENARIO")))</f>
        <v>4.5342834547292377E-2</v>
      </c>
      <c r="AC230" s="2804"/>
      <c r="AD230" s="2804"/>
      <c r="AE230" s="2965">
        <f>IF($B$72=$B$317,AE258,IF($B$72=$B$318,AE285,IF($B$72=$B$319,AE312,"SELECCIONAR ESCENARIO")))</f>
        <v>4.5342834547292377E-2</v>
      </c>
      <c r="AF230" s="2804"/>
      <c r="AG230" s="2804"/>
      <c r="AH230" s="2965">
        <f>IF($B$72=$B$317,AH258,IF($B$72=$B$318,AH285,IF($B$72=$B$319,AH312,"SELECCIONAR ESCENARIO")))</f>
        <v>4.5342834547292377E-2</v>
      </c>
      <c r="AI230" s="2804"/>
      <c r="AJ230" s="2804"/>
      <c r="AK230" s="2965">
        <f>IF($B$72=$B$317,AK258,IF($B$72=$B$318,AK285,IF($B$72=$B$319,AK312,"SELECCIONAR ESCENARIO")))</f>
        <v>4.5342834547292377E-2</v>
      </c>
      <c r="AL230" s="2804"/>
      <c r="AM230" s="2804"/>
      <c r="AN230" s="2965">
        <f>IF($B$72=$B$317,AN258,IF($B$72=$B$318,AN285,IF($B$72=$B$319,AN312,"SELECCIONAR ESCENARIO")))</f>
        <v>4.5342834547292377E-2</v>
      </c>
      <c r="AO230" s="2804"/>
      <c r="AP230" s="2804"/>
      <c r="AQ230" s="2965">
        <f>IF($B$72=$B$317,AQ258,IF($B$72=$B$318,AQ285,IF($B$72=$B$319,AQ312,"SELECCIONAR ESCENARIO")))</f>
        <v>4.5342834547292377E-2</v>
      </c>
      <c r="AR230" s="2804"/>
      <c r="AS230" s="2804"/>
      <c r="AT230" s="2965">
        <f>IF($B$72=$B$317,AT258,IF($B$72=$B$318,AT285,IF($B$72=$B$319,AT312,"SELECCIONAR ESCENARIO")))</f>
        <v>4.5342834547292377E-2</v>
      </c>
      <c r="AU230" s="2804"/>
      <c r="AV230" s="2805"/>
    </row>
    <row r="231" spans="1:48" x14ac:dyDescent="0.2"/>
    <row r="232" spans="1:48" ht="13.5" thickBot="1" x14ac:dyDescent="0.25"/>
    <row r="233" spans="1:48" ht="13.5" thickBot="1" x14ac:dyDescent="0.25">
      <c r="A233" s="2966" t="str">
        <f>"PROYECCIÓN ESCENARIO "&amp;$B$317</f>
        <v>PROYECCIÓN ESCENARIO BASE</v>
      </c>
    </row>
    <row r="234" spans="1:48" ht="13.5" thickBot="1" x14ac:dyDescent="0.25"/>
    <row r="235" spans="1:48" x14ac:dyDescent="0.2">
      <c r="A235" s="2967" t="s">
        <v>2015</v>
      </c>
      <c r="B235" s="2968">
        <f ca="1">B$11</f>
        <v>2023</v>
      </c>
      <c r="C235" s="2969"/>
      <c r="D235" s="2968">
        <f ca="1">D$11</f>
        <v>2024</v>
      </c>
      <c r="E235" s="2969"/>
      <c r="F235" s="2969"/>
      <c r="G235" s="2968">
        <f ca="1">G$11</f>
        <v>2025</v>
      </c>
      <c r="H235" s="2969"/>
      <c r="I235" s="2969"/>
      <c r="J235" s="2968">
        <f ca="1">J$11</f>
        <v>2026</v>
      </c>
      <c r="K235" s="2969"/>
      <c r="L235" s="2969"/>
      <c r="M235" s="2968">
        <f ca="1">M$11</f>
        <v>2027</v>
      </c>
      <c r="N235" s="2969"/>
      <c r="O235" s="2969"/>
      <c r="P235" s="2968">
        <f ca="1">P$11</f>
        <v>2028</v>
      </c>
      <c r="Q235" s="2969"/>
      <c r="R235" s="2969"/>
      <c r="S235" s="2968">
        <f ca="1">S$11</f>
        <v>2029</v>
      </c>
      <c r="T235" s="2969"/>
      <c r="U235" s="2969"/>
      <c r="V235" s="2968">
        <f ca="1">V$11</f>
        <v>2030</v>
      </c>
      <c r="W235" s="2969"/>
      <c r="X235" s="2969"/>
      <c r="Y235" s="2968">
        <f ca="1">Y$11</f>
        <v>2031</v>
      </c>
      <c r="Z235" s="2969"/>
      <c r="AA235" s="2969"/>
      <c r="AB235" s="2968">
        <f ca="1">AB$11</f>
        <v>2032</v>
      </c>
      <c r="AC235" s="2969"/>
      <c r="AD235" s="2969"/>
      <c r="AE235" s="2968">
        <f ca="1">AE$11</f>
        <v>2033</v>
      </c>
      <c r="AF235" s="2969"/>
      <c r="AG235" s="2969"/>
      <c r="AH235" s="2968">
        <f ca="1">AH$11</f>
        <v>2034</v>
      </c>
      <c r="AI235" s="2969"/>
      <c r="AJ235" s="2969"/>
      <c r="AK235" s="2968">
        <f ca="1">AK$11</f>
        <v>2035</v>
      </c>
      <c r="AL235" s="2969"/>
      <c r="AM235" s="2969"/>
      <c r="AN235" s="2968">
        <f ca="1">AN$11</f>
        <v>2036</v>
      </c>
      <c r="AO235" s="2969"/>
      <c r="AP235" s="2969"/>
      <c r="AQ235" s="2968">
        <f ca="1">AQ$11</f>
        <v>2037</v>
      </c>
      <c r="AR235" s="2969"/>
      <c r="AS235" s="2969"/>
      <c r="AT235" s="2968">
        <f ca="1">AT$11</f>
        <v>2038</v>
      </c>
      <c r="AU235" s="2969"/>
      <c r="AV235" s="2970"/>
    </row>
    <row r="236" spans="1:48" x14ac:dyDescent="0.2">
      <c r="A236" s="2971" t="s">
        <v>2088</v>
      </c>
      <c r="B236" s="2972"/>
      <c r="D236" s="2973"/>
      <c r="G236" s="2973">
        <f>D236</f>
        <v>0</v>
      </c>
      <c r="J236" s="2973">
        <f>G236</f>
        <v>0</v>
      </c>
      <c r="M236" s="2973">
        <f>J236</f>
        <v>0</v>
      </c>
      <c r="P236" s="2973">
        <f>M236</f>
        <v>0</v>
      </c>
      <c r="S236" s="2973">
        <f>P236</f>
        <v>0</v>
      </c>
      <c r="V236" s="2973">
        <f>S236</f>
        <v>0</v>
      </c>
      <c r="Y236" s="2973">
        <f>V236</f>
        <v>0</v>
      </c>
      <c r="AB236" s="2973">
        <f>Y236</f>
        <v>0</v>
      </c>
      <c r="AE236" s="2973">
        <f>AB236</f>
        <v>0</v>
      </c>
      <c r="AH236" s="2973">
        <f>AE236</f>
        <v>0</v>
      </c>
      <c r="AK236" s="2973">
        <f>AH236</f>
        <v>0</v>
      </c>
      <c r="AN236" s="2973">
        <f>AK236</f>
        <v>0</v>
      </c>
      <c r="AQ236" s="2973">
        <f>AN236</f>
        <v>0</v>
      </c>
      <c r="AT236" s="2973">
        <f>AQ236</f>
        <v>0</v>
      </c>
      <c r="AV236" s="2974"/>
    </row>
    <row r="237" spans="1:48" x14ac:dyDescent="0.2">
      <c r="A237" s="2975" t="s">
        <v>1431</v>
      </c>
      <c r="B237" s="2976"/>
      <c r="D237" s="2976">
        <f>B237</f>
        <v>0</v>
      </c>
      <c r="G237" s="2976">
        <f>D237</f>
        <v>0</v>
      </c>
      <c r="J237" s="2976">
        <f>G237</f>
        <v>0</v>
      </c>
      <c r="M237" s="2976">
        <f>J237</f>
        <v>0</v>
      </c>
      <c r="P237" s="2976">
        <f>M237</f>
        <v>0</v>
      </c>
      <c r="S237" s="2976">
        <f>P237</f>
        <v>0</v>
      </c>
      <c r="V237" s="2976">
        <f>S237</f>
        <v>0</v>
      </c>
      <c r="Y237" s="2976">
        <f>V237</f>
        <v>0</v>
      </c>
      <c r="AB237" s="2976">
        <f>Y237</f>
        <v>0</v>
      </c>
      <c r="AE237" s="2976">
        <f>AB237</f>
        <v>0</v>
      </c>
      <c r="AH237" s="2976">
        <f>AE237</f>
        <v>0</v>
      </c>
      <c r="AK237" s="2976">
        <f>AH237</f>
        <v>0</v>
      </c>
      <c r="AN237" s="2976">
        <f>AK237</f>
        <v>0</v>
      </c>
      <c r="AQ237" s="2976">
        <f>AN237</f>
        <v>0</v>
      </c>
      <c r="AT237" s="2976">
        <f>AQ237</f>
        <v>0</v>
      </c>
      <c r="AV237" s="2974"/>
    </row>
    <row r="238" spans="1:48" x14ac:dyDescent="0.2">
      <c r="A238" s="2975" t="s">
        <v>2089</v>
      </c>
      <c r="B238" s="2976"/>
      <c r="D238" s="2976">
        <f>B238</f>
        <v>0</v>
      </c>
      <c r="G238" s="2976">
        <f>D238</f>
        <v>0</v>
      </c>
      <c r="J238" s="2976">
        <f>G238</f>
        <v>0</v>
      </c>
      <c r="M238" s="2976">
        <f>J238</f>
        <v>0</v>
      </c>
      <c r="P238" s="2976">
        <f>M238</f>
        <v>0</v>
      </c>
      <c r="S238" s="2976">
        <f>P238</f>
        <v>0</v>
      </c>
      <c r="V238" s="2976">
        <f>S238</f>
        <v>0</v>
      </c>
      <c r="Y238" s="2976">
        <f>V238</f>
        <v>0</v>
      </c>
      <c r="AB238" s="2976">
        <f>Y238</f>
        <v>0</v>
      </c>
      <c r="AE238" s="2976">
        <f>AB238</f>
        <v>0</v>
      </c>
      <c r="AH238" s="2976">
        <f>AE238</f>
        <v>0</v>
      </c>
      <c r="AK238" s="2976">
        <f>AH238</f>
        <v>0</v>
      </c>
      <c r="AN238" s="2976">
        <f>AK238</f>
        <v>0</v>
      </c>
      <c r="AQ238" s="2976">
        <f>AN238</f>
        <v>0</v>
      </c>
      <c r="AT238" s="2976">
        <f>AQ238</f>
        <v>0</v>
      </c>
      <c r="AV238" s="2974"/>
    </row>
    <row r="239" spans="1:48" x14ac:dyDescent="0.2">
      <c r="A239" s="2975" t="s">
        <v>2090</v>
      </c>
      <c r="B239" s="2976"/>
      <c r="D239" s="2976">
        <f>B239</f>
        <v>0</v>
      </c>
      <c r="G239" s="2976">
        <f>D239</f>
        <v>0</v>
      </c>
      <c r="J239" s="2976">
        <f>G239</f>
        <v>0</v>
      </c>
      <c r="M239" s="2976">
        <f>J239</f>
        <v>0</v>
      </c>
      <c r="P239" s="2976">
        <f>M239</f>
        <v>0</v>
      </c>
      <c r="S239" s="2976">
        <f>P239</f>
        <v>0</v>
      </c>
      <c r="V239" s="2976">
        <f>S239</f>
        <v>0</v>
      </c>
      <c r="Y239" s="2976">
        <f>V239</f>
        <v>0</v>
      </c>
      <c r="AB239" s="2976">
        <f>Y239</f>
        <v>0</v>
      </c>
      <c r="AE239" s="2976">
        <f>AB239</f>
        <v>0</v>
      </c>
      <c r="AH239" s="2976">
        <f>AE239</f>
        <v>0</v>
      </c>
      <c r="AK239" s="2976">
        <f>AH239</f>
        <v>0</v>
      </c>
      <c r="AN239" s="2976">
        <f>AK239</f>
        <v>0</v>
      </c>
      <c r="AQ239" s="2976">
        <f>AN239</f>
        <v>0</v>
      </c>
      <c r="AT239" s="2976">
        <f>AQ239</f>
        <v>0</v>
      </c>
      <c r="AV239" s="2974"/>
    </row>
    <row r="240" spans="1:48" x14ac:dyDescent="0.2">
      <c r="A240" s="2977" t="s">
        <v>2091</v>
      </c>
      <c r="B240" s="2978"/>
      <c r="D240" s="2978">
        <f>B240</f>
        <v>0</v>
      </c>
      <c r="G240" s="2978">
        <f>D240</f>
        <v>0</v>
      </c>
      <c r="J240" s="2978">
        <f>G240</f>
        <v>0</v>
      </c>
      <c r="M240" s="2978">
        <f>J240</f>
        <v>0</v>
      </c>
      <c r="P240" s="2978">
        <f>M240</f>
        <v>0</v>
      </c>
      <c r="S240" s="2978">
        <f>P240</f>
        <v>0</v>
      </c>
      <c r="V240" s="2978">
        <f>S240</f>
        <v>0</v>
      </c>
      <c r="Y240" s="2978">
        <f>V240</f>
        <v>0</v>
      </c>
      <c r="AB240" s="2978">
        <f>Y240</f>
        <v>0</v>
      </c>
      <c r="AE240" s="2978">
        <f>AB240</f>
        <v>0</v>
      </c>
      <c r="AH240" s="2978">
        <f>AE240</f>
        <v>0</v>
      </c>
      <c r="AK240" s="2978">
        <f>AH240</f>
        <v>0</v>
      </c>
      <c r="AN240" s="2978">
        <f>AK240</f>
        <v>0</v>
      </c>
      <c r="AQ240" s="2978">
        <f>AN240</f>
        <v>0</v>
      </c>
      <c r="AT240" s="2978">
        <f>AQ240</f>
        <v>0</v>
      </c>
      <c r="AV240" s="2974"/>
    </row>
    <row r="241" spans="1:48" x14ac:dyDescent="0.2">
      <c r="AV241" s="2974"/>
    </row>
    <row r="242" spans="1:48" x14ac:dyDescent="0.2">
      <c r="A242" s="2979" t="s">
        <v>2092</v>
      </c>
      <c r="AV242" s="2974"/>
    </row>
    <row r="243" spans="1:48" x14ac:dyDescent="0.2">
      <c r="A243" s="2971" t="s">
        <v>2093</v>
      </c>
      <c r="B243" s="2972"/>
      <c r="D243" s="2972">
        <f>B243</f>
        <v>0</v>
      </c>
      <c r="G243" s="2972">
        <f>D243</f>
        <v>0</v>
      </c>
      <c r="J243" s="2972">
        <f>G243</f>
        <v>0</v>
      </c>
      <c r="M243" s="2972">
        <f>J243</f>
        <v>0</v>
      </c>
      <c r="P243" s="2972">
        <f>M243</f>
        <v>0</v>
      </c>
      <c r="S243" s="2972">
        <f>P243</f>
        <v>0</v>
      </c>
      <c r="V243" s="2972">
        <f>S243</f>
        <v>0</v>
      </c>
      <c r="Y243" s="2972">
        <f>V243</f>
        <v>0</v>
      </c>
      <c r="AB243" s="2972">
        <f>Y243</f>
        <v>0</v>
      </c>
      <c r="AE243" s="2972">
        <f>AB243</f>
        <v>0</v>
      </c>
      <c r="AH243" s="2972">
        <f>AE243</f>
        <v>0</v>
      </c>
      <c r="AK243" s="2972">
        <f>AH243</f>
        <v>0</v>
      </c>
      <c r="AN243" s="2972">
        <f>AK243</f>
        <v>0</v>
      </c>
      <c r="AQ243" s="2972">
        <f>AN243</f>
        <v>0</v>
      </c>
      <c r="AT243" s="2972">
        <f>AQ243</f>
        <v>0</v>
      </c>
      <c r="AV243" s="2974"/>
    </row>
    <row r="244" spans="1:48" x14ac:dyDescent="0.2">
      <c r="A244" s="2975" t="s">
        <v>2094</v>
      </c>
      <c r="B244" s="2980"/>
      <c r="D244" s="2980">
        <f>B244</f>
        <v>0</v>
      </c>
      <c r="G244" s="2980">
        <f>D244</f>
        <v>0</v>
      </c>
      <c r="J244" s="2980">
        <f>G244</f>
        <v>0</v>
      </c>
      <c r="M244" s="2980">
        <f>J244</f>
        <v>0</v>
      </c>
      <c r="P244" s="2980">
        <f>M244</f>
        <v>0</v>
      </c>
      <c r="S244" s="2980">
        <f>P244</f>
        <v>0</v>
      </c>
      <c r="V244" s="2980">
        <f>S244</f>
        <v>0</v>
      </c>
      <c r="Y244" s="2980">
        <f>V244</f>
        <v>0</v>
      </c>
      <c r="AB244" s="2980">
        <f>Y244</f>
        <v>0</v>
      </c>
      <c r="AE244" s="2980">
        <f>AB244</f>
        <v>0</v>
      </c>
      <c r="AH244" s="2980">
        <f>AE244</f>
        <v>0</v>
      </c>
      <c r="AK244" s="2980">
        <f>AH244</f>
        <v>0</v>
      </c>
      <c r="AN244" s="2980">
        <f>AK244</f>
        <v>0</v>
      </c>
      <c r="AQ244" s="2980">
        <f>AN244</f>
        <v>0</v>
      </c>
      <c r="AT244" s="2980">
        <f>AQ244</f>
        <v>0</v>
      </c>
      <c r="AV244" s="2974"/>
    </row>
    <row r="245" spans="1:48" x14ac:dyDescent="0.2">
      <c r="A245" s="2975" t="s">
        <v>2095</v>
      </c>
      <c r="B245" s="2976"/>
      <c r="D245" s="2976">
        <f>B245</f>
        <v>0</v>
      </c>
      <c r="G245" s="2976">
        <f>D245</f>
        <v>0</v>
      </c>
      <c r="J245" s="2976">
        <f>G245</f>
        <v>0</v>
      </c>
      <c r="M245" s="2976">
        <f>J245</f>
        <v>0</v>
      </c>
      <c r="P245" s="2976">
        <f>M245</f>
        <v>0</v>
      </c>
      <c r="S245" s="2976">
        <f>P245</f>
        <v>0</v>
      </c>
      <c r="V245" s="2976">
        <f>S245</f>
        <v>0</v>
      </c>
      <c r="Y245" s="2976">
        <f>V245</f>
        <v>0</v>
      </c>
      <c r="AB245" s="2976">
        <f>Y245</f>
        <v>0</v>
      </c>
      <c r="AE245" s="2976">
        <f>AB245</f>
        <v>0</v>
      </c>
      <c r="AH245" s="2976">
        <f>AE245</f>
        <v>0</v>
      </c>
      <c r="AK245" s="2976">
        <f>AH245</f>
        <v>0</v>
      </c>
      <c r="AN245" s="2976">
        <f>AK245</f>
        <v>0</v>
      </c>
      <c r="AQ245" s="2976">
        <f>AN245</f>
        <v>0</v>
      </c>
      <c r="AT245" s="2976">
        <f>AQ245</f>
        <v>0</v>
      </c>
      <c r="AV245" s="2974"/>
    </row>
    <row r="246" spans="1:48" x14ac:dyDescent="0.2">
      <c r="A246" s="2975" t="s">
        <v>2096</v>
      </c>
      <c r="B246" s="2981"/>
      <c r="D246" s="2981">
        <f>B246</f>
        <v>0</v>
      </c>
      <c r="G246" s="2981">
        <f>D246</f>
        <v>0</v>
      </c>
      <c r="J246" s="2981">
        <f>G246</f>
        <v>0</v>
      </c>
      <c r="M246" s="2981">
        <f>J246</f>
        <v>0</v>
      </c>
      <c r="P246" s="2981">
        <f>M246</f>
        <v>0</v>
      </c>
      <c r="S246" s="2981">
        <f>P246</f>
        <v>0</v>
      </c>
      <c r="V246" s="2981">
        <f>S246</f>
        <v>0</v>
      </c>
      <c r="Y246" s="2981">
        <f>V246</f>
        <v>0</v>
      </c>
      <c r="AB246" s="2981">
        <f>Y246</f>
        <v>0</v>
      </c>
      <c r="AE246" s="2981">
        <f>AB246</f>
        <v>0</v>
      </c>
      <c r="AH246" s="2981">
        <f>AE246</f>
        <v>0</v>
      </c>
      <c r="AK246" s="2981">
        <f>AH246</f>
        <v>0</v>
      </c>
      <c r="AN246" s="2981">
        <f>AK246</f>
        <v>0</v>
      </c>
      <c r="AQ246" s="2981">
        <f>AN246</f>
        <v>0</v>
      </c>
      <c r="AT246" s="2981">
        <f>AQ246</f>
        <v>0</v>
      </c>
      <c r="AV246" s="2974"/>
    </row>
    <row r="247" spans="1:48" x14ac:dyDescent="0.2">
      <c r="A247" s="2977" t="s">
        <v>2097</v>
      </c>
      <c r="B247" s="2978"/>
      <c r="D247" s="2978">
        <f>B247</f>
        <v>0</v>
      </c>
      <c r="G247" s="2978">
        <f>D247</f>
        <v>0</v>
      </c>
      <c r="J247" s="2978">
        <f>G247</f>
        <v>0</v>
      </c>
      <c r="M247" s="2978">
        <f>J247</f>
        <v>0</v>
      </c>
      <c r="P247" s="2978">
        <f>M247</f>
        <v>0</v>
      </c>
      <c r="S247" s="2978">
        <f>P247</f>
        <v>0</v>
      </c>
      <c r="V247" s="2978">
        <f>S247</f>
        <v>0</v>
      </c>
      <c r="Y247" s="2978">
        <f>V247</f>
        <v>0</v>
      </c>
      <c r="AB247" s="2978">
        <f>Y247</f>
        <v>0</v>
      </c>
      <c r="AE247" s="2978">
        <f>AB247</f>
        <v>0</v>
      </c>
      <c r="AH247" s="2978">
        <f>AE247</f>
        <v>0</v>
      </c>
      <c r="AK247" s="2978">
        <f>AH247</f>
        <v>0</v>
      </c>
      <c r="AN247" s="2978">
        <f>AK247</f>
        <v>0</v>
      </c>
      <c r="AQ247" s="2978">
        <f>AN247</f>
        <v>0</v>
      </c>
      <c r="AT247" s="2978">
        <f>AQ247</f>
        <v>0</v>
      </c>
      <c r="AV247" s="2974"/>
    </row>
    <row r="248" spans="1:48" x14ac:dyDescent="0.2">
      <c r="AV248" s="2974"/>
    </row>
    <row r="249" spans="1:48" x14ac:dyDescent="0.2">
      <c r="A249" s="2979" t="s">
        <v>2098</v>
      </c>
      <c r="AV249" s="2974"/>
    </row>
    <row r="250" spans="1:48" x14ac:dyDescent="0.2">
      <c r="A250" s="2982" t="s">
        <v>2099</v>
      </c>
      <c r="B250" s="2983"/>
      <c r="D250" s="2983">
        <f>B250</f>
        <v>0</v>
      </c>
      <c r="G250" s="2983">
        <f>D250</f>
        <v>0</v>
      </c>
      <c r="J250" s="2983">
        <f>G250</f>
        <v>0</v>
      </c>
      <c r="M250" s="2983">
        <f>J250</f>
        <v>0</v>
      </c>
      <c r="P250" s="2983">
        <f>M250</f>
        <v>0</v>
      </c>
      <c r="S250" s="2983">
        <f>P250</f>
        <v>0</v>
      </c>
      <c r="V250" s="2983">
        <f>S250</f>
        <v>0</v>
      </c>
      <c r="Y250" s="2983">
        <f>V250</f>
        <v>0</v>
      </c>
      <c r="AB250" s="2983">
        <f>Y250</f>
        <v>0</v>
      </c>
      <c r="AE250" s="2983">
        <f>AB250</f>
        <v>0</v>
      </c>
      <c r="AH250" s="2983">
        <f>AE250</f>
        <v>0</v>
      </c>
      <c r="AK250" s="2983">
        <f>AH250</f>
        <v>0</v>
      </c>
      <c r="AN250" s="2983">
        <f>AK250</f>
        <v>0</v>
      </c>
      <c r="AQ250" s="2983">
        <f>AN250</f>
        <v>0</v>
      </c>
      <c r="AT250" s="2983">
        <f>AQ250</f>
        <v>0</v>
      </c>
      <c r="AV250" s="2974"/>
    </row>
    <row r="251" spans="1:48" x14ac:dyDescent="0.2">
      <c r="A251" s="2984" t="s">
        <v>2100</v>
      </c>
      <c r="B251" s="2985"/>
      <c r="D251" s="2985">
        <f ca="1">D250*B$47</f>
        <v>0</v>
      </c>
      <c r="G251" s="2985">
        <f ca="1">G250*D$47</f>
        <v>0</v>
      </c>
      <c r="J251" s="2985">
        <f ca="1">J250*G$47</f>
        <v>0</v>
      </c>
      <c r="M251" s="2985">
        <f ca="1">M250*J$47</f>
        <v>0</v>
      </c>
      <c r="P251" s="2985">
        <f ca="1">P250*M$47</f>
        <v>0</v>
      </c>
      <c r="S251" s="2985">
        <f ca="1">S250*P$47</f>
        <v>0</v>
      </c>
      <c r="V251" s="2985">
        <f ca="1">V250*S$47</f>
        <v>0</v>
      </c>
      <c r="Y251" s="2985">
        <f ca="1">Y250*V$47</f>
        <v>0</v>
      </c>
      <c r="AB251" s="2985">
        <f ca="1">AB250*Y$47</f>
        <v>0</v>
      </c>
      <c r="AE251" s="2985">
        <f ca="1">AE250*AB$47</f>
        <v>0</v>
      </c>
      <c r="AH251" s="2985">
        <f ca="1">AH250*AE$47</f>
        <v>0</v>
      </c>
      <c r="AK251" s="2985">
        <f ca="1">AK250*AH$47</f>
        <v>0</v>
      </c>
      <c r="AN251" s="2985">
        <f ca="1">AN250*AK$47</f>
        <v>0</v>
      </c>
      <c r="AQ251" s="2985">
        <f ca="1">AQ250*AN$47</f>
        <v>0</v>
      </c>
      <c r="AT251" s="2985">
        <f ca="1">AT250*AQ$47</f>
        <v>0</v>
      </c>
      <c r="AV251" s="2974"/>
    </row>
    <row r="252" spans="1:48" x14ac:dyDescent="0.2">
      <c r="AV252" s="2974"/>
    </row>
    <row r="253" spans="1:48" x14ac:dyDescent="0.2">
      <c r="A253" s="2979" t="s">
        <v>1375</v>
      </c>
      <c r="AV253" s="2974"/>
    </row>
    <row r="254" spans="1:48" x14ac:dyDescent="0.2">
      <c r="A254" s="2971" t="s">
        <v>2101</v>
      </c>
      <c r="B254" s="2986">
        <f ca="1">IF(B235=2007,7.52%,IF(B235=2008,2.5%,IF(B235=2009,0.4%,2.8%)))</f>
        <v>2.7999999999999997E-2</v>
      </c>
      <c r="D254" s="2986">
        <f ca="1">IF(D235=2008,2.5%,IF(D235=2009,-0.25%,IF(D235=2010,2.8%,3%)))</f>
        <v>0.03</v>
      </c>
      <c r="G254" s="2986">
        <f ca="1">IF(G235=2010,2.8%,3%)</f>
        <v>0.03</v>
      </c>
      <c r="J254" s="2986">
        <f ca="1">G254</f>
        <v>0.03</v>
      </c>
      <c r="M254" s="2986">
        <f ca="1">J254</f>
        <v>0.03</v>
      </c>
      <c r="P254" s="2986">
        <f ca="1">M254</f>
        <v>0.03</v>
      </c>
      <c r="S254" s="2986">
        <f ca="1">P254</f>
        <v>0.03</v>
      </c>
      <c r="V254" s="2986">
        <f ca="1">S254</f>
        <v>0.03</v>
      </c>
      <c r="Y254" s="2986">
        <f ca="1">V254</f>
        <v>0.03</v>
      </c>
      <c r="AB254" s="2986">
        <f ca="1">Y254</f>
        <v>0.03</v>
      </c>
      <c r="AE254" s="2986">
        <f ca="1">AB254</f>
        <v>0.03</v>
      </c>
      <c r="AH254" s="2986">
        <f ca="1">AE254</f>
        <v>0.03</v>
      </c>
      <c r="AK254" s="2986">
        <f ca="1">AH254</f>
        <v>0.03</v>
      </c>
      <c r="AN254" s="2986">
        <f ca="1">AK254</f>
        <v>0.03</v>
      </c>
      <c r="AQ254" s="2986">
        <f ca="1">AN254</f>
        <v>0.03</v>
      </c>
      <c r="AT254" s="2986">
        <f ca="1">AQ254</f>
        <v>0.03</v>
      </c>
      <c r="AV254" s="2974"/>
    </row>
    <row r="255" spans="1:48" x14ac:dyDescent="0.2">
      <c r="A255" s="2987" t="s">
        <v>2102</v>
      </c>
      <c r="B255" s="2988">
        <f ca="1">IF(B235=2007,5.69%,IF(B235=2008,7.67%,IF(B235=2009,2%,3.04%)))</f>
        <v>3.04E-2</v>
      </c>
      <c r="D255" s="2988">
        <f ca="1">IF(D235=2008,7.67%,IF(D235=2009,2%,IF(D235=2010,3.04%,2.5%)))</f>
        <v>2.5000000000000001E-2</v>
      </c>
      <c r="G255" s="2988">
        <f ca="1">IF(G235=2009,2%,IF(G235=2010,3.04%,IF(G235=2011,2.5%,4%)))</f>
        <v>0.04</v>
      </c>
      <c r="J255" s="2988">
        <f ca="1">IF(J235=2010,3.04%,IF(J235=2011,2.5%,4%))</f>
        <v>0.04</v>
      </c>
      <c r="M255" s="2988">
        <f ca="1">IF(M235&lt;=2012,2.5%,J255)</f>
        <v>0.04</v>
      </c>
      <c r="P255" s="2988">
        <f ca="1">M255</f>
        <v>0.04</v>
      </c>
      <c r="S255" s="2988">
        <f ca="1">P255</f>
        <v>0.04</v>
      </c>
      <c r="V255" s="2988">
        <f ca="1">S255</f>
        <v>0.04</v>
      </c>
      <c r="Y255" s="2988">
        <f ca="1">V255</f>
        <v>0.04</v>
      </c>
      <c r="AB255" s="2988">
        <f ca="1">Y255</f>
        <v>0.04</v>
      </c>
      <c r="AE255" s="2988">
        <f ca="1">AB255</f>
        <v>0.04</v>
      </c>
      <c r="AH255" s="2988">
        <f ca="1">AE255</f>
        <v>0.04</v>
      </c>
      <c r="AK255" s="2988">
        <f ca="1">AH255</f>
        <v>0.04</v>
      </c>
      <c r="AN255" s="2988">
        <f ca="1">AK255</f>
        <v>0.04</v>
      </c>
      <c r="AQ255" s="2988">
        <f ca="1">AN255</f>
        <v>0.04</v>
      </c>
      <c r="AT255" s="2988">
        <f ca="1">AQ255</f>
        <v>0.04</v>
      </c>
      <c r="AV255" s="2974"/>
    </row>
    <row r="256" spans="1:48" x14ac:dyDescent="0.2">
      <c r="A256" s="2984" t="s">
        <v>2103</v>
      </c>
      <c r="B256" s="2989">
        <f ca="1">C327</f>
        <v>-3.2398507017312173E-2</v>
      </c>
      <c r="D256" s="2989">
        <f ca="1">IF(B257=0,"",D257/B257-1)</f>
        <v>2.8731041456016237E-2</v>
      </c>
      <c r="G256" s="2989">
        <f ca="1">IF(D257=0,"",G257/D257-1)</f>
        <v>3.9998427387054392E-2</v>
      </c>
      <c r="J256" s="2989">
        <f ca="1">IF(G257=0,"",J257/G257-1)</f>
        <v>3.5001086843522877E-2</v>
      </c>
      <c r="M256" s="2989">
        <f ca="1">IF(J257=0,"",M257/J257-1)</f>
        <v>3.4999931515917959E-2</v>
      </c>
      <c r="P256" s="2990">
        <v>3.5000000000000003E-2</v>
      </c>
      <c r="S256" s="2990">
        <f>P256</f>
        <v>3.5000000000000003E-2</v>
      </c>
      <c r="V256" s="2990">
        <f>S256</f>
        <v>3.5000000000000003E-2</v>
      </c>
      <c r="Y256" s="2990">
        <f>V256</f>
        <v>3.5000000000000003E-2</v>
      </c>
      <c r="AB256" s="2990">
        <f>Y256</f>
        <v>3.5000000000000003E-2</v>
      </c>
      <c r="AE256" s="2990">
        <f>AB256</f>
        <v>3.5000000000000003E-2</v>
      </c>
      <c r="AH256" s="2990">
        <f>AE256</f>
        <v>3.5000000000000003E-2</v>
      </c>
      <c r="AK256" s="2990">
        <f>AH256</f>
        <v>3.5000000000000003E-2</v>
      </c>
      <c r="AN256" s="2990">
        <f>AK256</f>
        <v>3.5000000000000003E-2</v>
      </c>
      <c r="AQ256" s="2990">
        <f>AN256</f>
        <v>3.5000000000000003E-2</v>
      </c>
      <c r="AT256" s="2990">
        <f>AQ256</f>
        <v>3.5000000000000003E-2</v>
      </c>
      <c r="AV256" s="2974"/>
    </row>
    <row r="257" spans="1:48" x14ac:dyDescent="0.2">
      <c r="A257" s="2971" t="s">
        <v>2104</v>
      </c>
      <c r="B257" s="2991">
        <f ca="1">IF($B$235=2008,2243.59,IF($B$235=2009,2044.23,1978))</f>
        <v>1978</v>
      </c>
      <c r="D257" s="2991">
        <f ca="1">IF($D$235=2009,2044.23,IF($D$235=2010,1978,2034.83))</f>
        <v>2034.83</v>
      </c>
      <c r="G257" s="2991">
        <f ca="1">IF(G235=2010,1978,IF(G235=2010,2034.83,2116.22))</f>
        <v>2116.2199999999998</v>
      </c>
      <c r="J257" s="2991">
        <f ca="1">IF(J235=2011,2034.83,IF(J235=2012,2116.22,2190.29))</f>
        <v>2190.29</v>
      </c>
      <c r="M257" s="2991">
        <f ca="1">IF(J235=2011,2116.22,IF(J235=2011,2190.29,2266.95))</f>
        <v>2266.9499999999998</v>
      </c>
      <c r="P257" s="2992">
        <f ca="1">M257*(1+P256)</f>
        <v>2346.2932499999997</v>
      </c>
      <c r="S257" s="2992">
        <f ca="1">P257*(1+S256)</f>
        <v>2428.4135137499993</v>
      </c>
      <c r="V257" s="2992">
        <f ca="1">S257*(1+V256)</f>
        <v>2513.4079867312489</v>
      </c>
      <c r="Y257" s="2992">
        <f ca="1">V257*(1+Y256)</f>
        <v>2601.3772662668425</v>
      </c>
      <c r="AB257" s="2992">
        <f ca="1">Y257*(1+AB256)</f>
        <v>2692.4254705861817</v>
      </c>
      <c r="AE257" s="2992">
        <f ca="1">AB257*(1+AE256)</f>
        <v>2786.660362056698</v>
      </c>
      <c r="AH257" s="2992">
        <f ca="1">AE257*(1+AH256)</f>
        <v>2884.1934747286823</v>
      </c>
      <c r="AK257" s="2992">
        <f ca="1">AH257*(1+AK256)</f>
        <v>2985.1402463441859</v>
      </c>
      <c r="AN257" s="2992">
        <f ca="1">AK257*(1+AN256)</f>
        <v>3089.6201549662323</v>
      </c>
      <c r="AQ257" s="2992">
        <f ca="1">AN257*(1+AQ256)</f>
        <v>3197.7568603900504</v>
      </c>
      <c r="AT257" s="2992">
        <f ca="1">AQ257*(1+AT256)</f>
        <v>3309.6783505037019</v>
      </c>
      <c r="AV257" s="2974"/>
    </row>
    <row r="258" spans="1:48" ht="13.5" thickBot="1" x14ac:dyDescent="0.25">
      <c r="A258" s="2993" t="s">
        <v>2105</v>
      </c>
      <c r="B258" s="2994">
        <v>4.1635332757903119E-2</v>
      </c>
      <c r="C258" s="2995"/>
      <c r="D258" s="2994">
        <v>4.5342834547292377E-2</v>
      </c>
      <c r="E258" s="2995"/>
      <c r="F258" s="2995"/>
      <c r="G258" s="2994">
        <f>D258</f>
        <v>4.5342834547292377E-2</v>
      </c>
      <c r="H258" s="2995"/>
      <c r="I258" s="2995"/>
      <c r="J258" s="2994">
        <f>G258</f>
        <v>4.5342834547292377E-2</v>
      </c>
      <c r="K258" s="2995"/>
      <c r="L258" s="2995"/>
      <c r="M258" s="2994">
        <f>J258</f>
        <v>4.5342834547292377E-2</v>
      </c>
      <c r="N258" s="2995"/>
      <c r="O258" s="2995"/>
      <c r="P258" s="2996">
        <f>M258</f>
        <v>4.5342834547292377E-2</v>
      </c>
      <c r="Q258" s="2995"/>
      <c r="R258" s="2995"/>
      <c r="S258" s="2994">
        <f>P258</f>
        <v>4.5342834547292377E-2</v>
      </c>
      <c r="T258" s="2995"/>
      <c r="U258" s="2995"/>
      <c r="V258" s="2994">
        <f>S258</f>
        <v>4.5342834547292377E-2</v>
      </c>
      <c r="W258" s="2995"/>
      <c r="X258" s="2995"/>
      <c r="Y258" s="2994">
        <f>V258</f>
        <v>4.5342834547292377E-2</v>
      </c>
      <c r="Z258" s="2995"/>
      <c r="AA258" s="2995"/>
      <c r="AB258" s="2994">
        <f>Y258</f>
        <v>4.5342834547292377E-2</v>
      </c>
      <c r="AC258" s="2995"/>
      <c r="AD258" s="2995"/>
      <c r="AE258" s="2994">
        <f>AB258</f>
        <v>4.5342834547292377E-2</v>
      </c>
      <c r="AF258" s="2995"/>
      <c r="AG258" s="2995"/>
      <c r="AH258" s="2994">
        <f>AE258</f>
        <v>4.5342834547292377E-2</v>
      </c>
      <c r="AI258" s="2995"/>
      <c r="AJ258" s="2995"/>
      <c r="AK258" s="2994">
        <f>AH258</f>
        <v>4.5342834547292377E-2</v>
      </c>
      <c r="AL258" s="2995"/>
      <c r="AM258" s="2995"/>
      <c r="AN258" s="2994">
        <f>AK258</f>
        <v>4.5342834547292377E-2</v>
      </c>
      <c r="AO258" s="2995"/>
      <c r="AP258" s="2995"/>
      <c r="AQ258" s="2994">
        <f>AN258</f>
        <v>4.5342834547292377E-2</v>
      </c>
      <c r="AR258" s="2995"/>
      <c r="AS258" s="2995"/>
      <c r="AT258" s="2994">
        <f>AQ258</f>
        <v>4.5342834547292377E-2</v>
      </c>
      <c r="AU258" s="2995"/>
      <c r="AV258" s="2997"/>
    </row>
    <row r="259" spans="1:48" ht="13.5" thickBot="1" x14ac:dyDescent="0.25"/>
    <row r="260" spans="1:48" ht="13.5" thickBot="1" x14ac:dyDescent="0.25">
      <c r="A260" s="2998" t="str">
        <f>"PROYECCIÓN ESCENARIO "&amp;$B$318</f>
        <v>PROYECCIÓN ESCENARIO SENSIBILIZADO</v>
      </c>
    </row>
    <row r="261" spans="1:48" ht="13.5" thickBot="1" x14ac:dyDescent="0.25"/>
    <row r="262" spans="1:48" x14ac:dyDescent="0.2">
      <c r="A262" s="2999" t="str">
        <f>$A$235</f>
        <v>FLUJO DE CAJA LIBRE OPERATIVO</v>
      </c>
      <c r="B262" s="3000">
        <f ca="1">B$11</f>
        <v>2023</v>
      </c>
      <c r="C262" s="3001" t="s">
        <v>2106</v>
      </c>
      <c r="D262" s="3002">
        <f ca="1">D$11</f>
        <v>2024</v>
      </c>
      <c r="E262" s="3003" t="s">
        <v>1377</v>
      </c>
      <c r="F262" s="3004"/>
      <c r="G262" s="3002">
        <f ca="1">G$11</f>
        <v>2025</v>
      </c>
      <c r="H262" s="3004"/>
      <c r="I262" s="3004"/>
      <c r="J262" s="3002">
        <f ca="1">J$11</f>
        <v>2026</v>
      </c>
      <c r="K262" s="3004"/>
      <c r="L262" s="3004"/>
      <c r="M262" s="3002">
        <f ca="1">M$11</f>
        <v>2027</v>
      </c>
      <c r="N262" s="3004"/>
      <c r="O262" s="3004"/>
      <c r="P262" s="3002">
        <f ca="1">P$11</f>
        <v>2028</v>
      </c>
      <c r="Q262" s="3004"/>
      <c r="R262" s="3004"/>
      <c r="S262" s="3002">
        <f ca="1">S$11</f>
        <v>2029</v>
      </c>
      <c r="T262" s="3004"/>
      <c r="U262" s="3004"/>
      <c r="V262" s="3002">
        <f ca="1">V$11</f>
        <v>2030</v>
      </c>
      <c r="W262" s="3004"/>
      <c r="X262" s="3004"/>
      <c r="Y262" s="3002">
        <f ca="1">Y$11</f>
        <v>2031</v>
      </c>
      <c r="Z262" s="3004"/>
      <c r="AA262" s="3004"/>
      <c r="AB262" s="3002">
        <f ca="1">AB$11</f>
        <v>2032</v>
      </c>
      <c r="AC262" s="3004"/>
      <c r="AD262" s="3004"/>
      <c r="AE262" s="3002">
        <f ca="1">AE$11</f>
        <v>2033</v>
      </c>
      <c r="AF262" s="3004"/>
      <c r="AG262" s="3004"/>
      <c r="AH262" s="3002">
        <f ca="1">AH$11</f>
        <v>2034</v>
      </c>
      <c r="AI262" s="3004"/>
      <c r="AJ262" s="3004"/>
      <c r="AK262" s="3002">
        <f ca="1">AK$11</f>
        <v>2035</v>
      </c>
      <c r="AL262" s="3004"/>
      <c r="AM262" s="3004"/>
      <c r="AN262" s="3002">
        <f ca="1">AN$11</f>
        <v>2036</v>
      </c>
      <c r="AO262" s="3004"/>
      <c r="AP262" s="3004"/>
      <c r="AQ262" s="3002">
        <f ca="1">AQ$11</f>
        <v>2037</v>
      </c>
      <c r="AR262" s="3004"/>
      <c r="AS262" s="3004"/>
      <c r="AT262" s="3002">
        <f ca="1">AT$11</f>
        <v>2038</v>
      </c>
      <c r="AU262" s="3004"/>
      <c r="AV262" s="3005"/>
    </row>
    <row r="263" spans="1:48" x14ac:dyDescent="0.2">
      <c r="A263" s="3006" t="str">
        <f>$A$236</f>
        <v>INGRESOS OPERACIONALES (COL B.  - $MM / COL. D - VAR. %)</v>
      </c>
      <c r="B263" s="3007">
        <f>B236+$C263</f>
        <v>0</v>
      </c>
      <c r="C263" s="3008"/>
      <c r="D263" s="3009">
        <f>D236+$E263</f>
        <v>0</v>
      </c>
      <c r="E263" s="3010"/>
      <c r="G263" s="3009">
        <f>G236+$E263</f>
        <v>0</v>
      </c>
      <c r="J263" s="3009">
        <f>J236+$E263</f>
        <v>0</v>
      </c>
      <c r="M263" s="3009">
        <f>M236+$E263</f>
        <v>0</v>
      </c>
      <c r="P263" s="3009">
        <f>P236+$E263</f>
        <v>0</v>
      </c>
      <c r="S263" s="3009">
        <f>S236+$E263</f>
        <v>0</v>
      </c>
      <c r="V263" s="3009">
        <f>V236+$E263</f>
        <v>0</v>
      </c>
      <c r="Y263" s="3009">
        <f>Y236+$E263</f>
        <v>0</v>
      </c>
      <c r="AB263" s="3009">
        <f>AB236+$E263</f>
        <v>0</v>
      </c>
      <c r="AE263" s="3009">
        <f>AE236+$E263</f>
        <v>0</v>
      </c>
      <c r="AH263" s="3009">
        <f>AH236+$E263</f>
        <v>0</v>
      </c>
      <c r="AK263" s="3009">
        <f>AK236+$E263</f>
        <v>0</v>
      </c>
      <c r="AN263" s="3009">
        <f>AN236+$E263</f>
        <v>0</v>
      </c>
      <c r="AQ263" s="3009">
        <f>AQ236+$E263</f>
        <v>0</v>
      </c>
      <c r="AT263" s="3009">
        <f>AT236+$E263</f>
        <v>0</v>
      </c>
      <c r="AV263" s="3011"/>
    </row>
    <row r="264" spans="1:48" x14ac:dyDescent="0.2">
      <c r="A264" s="3012" t="str">
        <f>$A$237</f>
        <v>MARGEN OPERACIONAL</v>
      </c>
      <c r="B264" s="3013">
        <f>B237+$C264</f>
        <v>0</v>
      </c>
      <c r="C264" s="3014"/>
      <c r="D264" s="3013">
        <f>D237+$C264</f>
        <v>0</v>
      </c>
      <c r="G264" s="3013">
        <f>G237+$C264</f>
        <v>0</v>
      </c>
      <c r="J264" s="3013">
        <f>J237+$C264</f>
        <v>0</v>
      </c>
      <c r="M264" s="3013">
        <f>M237+$C264</f>
        <v>0</v>
      </c>
      <c r="P264" s="3013">
        <f>P237+$C264</f>
        <v>0</v>
      </c>
      <c r="S264" s="3013">
        <f>S237+$C264</f>
        <v>0</v>
      </c>
      <c r="V264" s="3013">
        <f>V237+$C264</f>
        <v>0</v>
      </c>
      <c r="Y264" s="3013">
        <f>Y237+$C264</f>
        <v>0</v>
      </c>
      <c r="AB264" s="3013">
        <f>AB237+$C264</f>
        <v>0</v>
      </c>
      <c r="AE264" s="3013">
        <f>AE237+$C264</f>
        <v>0</v>
      </c>
      <c r="AH264" s="3013">
        <f>AH237+$C264</f>
        <v>0</v>
      </c>
      <c r="AK264" s="3013">
        <f>AK237+$C264</f>
        <v>0</v>
      </c>
      <c r="AN264" s="3013">
        <f>AN237+$C264</f>
        <v>0</v>
      </c>
      <c r="AQ264" s="3013">
        <f>AQ237+$C264</f>
        <v>0</v>
      </c>
      <c r="AT264" s="3013">
        <f>AT237+$C264</f>
        <v>0</v>
      </c>
      <c r="AV264" s="3011"/>
    </row>
    <row r="265" spans="1:48" x14ac:dyDescent="0.2">
      <c r="A265" s="3012" t="str">
        <f>$A$238</f>
        <v>(DEPRECIACIONES + AMORTIZACIONES) / EGRESOS OPER.</v>
      </c>
      <c r="B265" s="3013">
        <f>B238+$C265</f>
        <v>0</v>
      </c>
      <c r="C265" s="3014"/>
      <c r="D265" s="3013">
        <f>D238+$C265</f>
        <v>0</v>
      </c>
      <c r="G265" s="3013">
        <f>G238+$C265</f>
        <v>0</v>
      </c>
      <c r="J265" s="3013">
        <f>J238+$C265</f>
        <v>0</v>
      </c>
      <c r="M265" s="3013">
        <f>M238+$C265</f>
        <v>0</v>
      </c>
      <c r="P265" s="3013">
        <f>P238+$C265</f>
        <v>0</v>
      </c>
      <c r="S265" s="3013">
        <f>S238+$C265</f>
        <v>0</v>
      </c>
      <c r="V265" s="3013">
        <f>V238+$C265</f>
        <v>0</v>
      </c>
      <c r="Y265" s="3013">
        <f>Y238+$C265</f>
        <v>0</v>
      </c>
      <c r="AB265" s="3013">
        <f>AB238+$C265</f>
        <v>0</v>
      </c>
      <c r="AE265" s="3013">
        <f>AE238+$C265</f>
        <v>0</v>
      </c>
      <c r="AH265" s="3013">
        <f>AH238+$C265</f>
        <v>0</v>
      </c>
      <c r="AK265" s="3013">
        <f>AK238+$C265</f>
        <v>0</v>
      </c>
      <c r="AN265" s="3013">
        <f>AN238+$C265</f>
        <v>0</v>
      </c>
      <c r="AQ265" s="3013">
        <f>AQ238+$C265</f>
        <v>0</v>
      </c>
      <c r="AT265" s="3013">
        <f>AT238+$C265</f>
        <v>0</v>
      </c>
      <c r="AV265" s="3011"/>
    </row>
    <row r="266" spans="1:48" x14ac:dyDescent="0.2">
      <c r="A266" s="3012" t="str">
        <f>$A$239</f>
        <v>CAPITAL DE TRABAJO / INGRESOS OPERACIONALES</v>
      </c>
      <c r="B266" s="3013">
        <f>B239+$C266</f>
        <v>0</v>
      </c>
      <c r="C266" s="3014"/>
      <c r="D266" s="3013">
        <f>D239+$C266</f>
        <v>0</v>
      </c>
      <c r="G266" s="3013">
        <f>G239+$C266</f>
        <v>0</v>
      </c>
      <c r="J266" s="3013">
        <f>J239+$C266</f>
        <v>0</v>
      </c>
      <c r="M266" s="3013">
        <f>M239+$C266</f>
        <v>0</v>
      </c>
      <c r="P266" s="3013">
        <f>P239+$C266</f>
        <v>0</v>
      </c>
      <c r="S266" s="3013">
        <f>S239+$C266</f>
        <v>0</v>
      </c>
      <c r="V266" s="3013">
        <f>V239+$C266</f>
        <v>0</v>
      </c>
      <c r="Y266" s="3013">
        <f>Y239+$C266</f>
        <v>0</v>
      </c>
      <c r="AB266" s="3013">
        <f>AB239+$C266</f>
        <v>0</v>
      </c>
      <c r="AE266" s="3013">
        <f>AE239+$C266</f>
        <v>0</v>
      </c>
      <c r="AH266" s="3013">
        <f>AH239+$C266</f>
        <v>0</v>
      </c>
      <c r="AK266" s="3013">
        <f>AK239+$C266</f>
        <v>0</v>
      </c>
      <c r="AN266" s="3013">
        <f>AN239+$C266</f>
        <v>0</v>
      </c>
      <c r="AQ266" s="3013">
        <f>AQ239+$C266</f>
        <v>0</v>
      </c>
      <c r="AT266" s="3013">
        <f>AT239+$C266</f>
        <v>0</v>
      </c>
      <c r="AV266" s="3011"/>
    </row>
    <row r="267" spans="1:48" x14ac:dyDescent="0.2">
      <c r="A267" s="3015" t="str">
        <f>$A$240</f>
        <v>IMPUESTOS / INGRESOS OPERACIONALES</v>
      </c>
      <c r="B267" s="3016">
        <f>B240+$C267</f>
        <v>0</v>
      </c>
      <c r="C267" s="3017"/>
      <c r="D267" s="3016">
        <f>D240+$C267</f>
        <v>0</v>
      </c>
      <c r="G267" s="3016">
        <f>G240+$C267</f>
        <v>0</v>
      </c>
      <c r="J267" s="3016">
        <f>J240+$C267</f>
        <v>0</v>
      </c>
      <c r="M267" s="3016">
        <f>M240+$C267</f>
        <v>0</v>
      </c>
      <c r="P267" s="3016">
        <f>P240+$C267</f>
        <v>0</v>
      </c>
      <c r="S267" s="3016">
        <f>S240+$C267</f>
        <v>0</v>
      </c>
      <c r="V267" s="3016">
        <f>V240+$C267</f>
        <v>0</v>
      </c>
      <c r="Y267" s="3016">
        <f>Y240+$C267</f>
        <v>0</v>
      </c>
      <c r="AB267" s="3016">
        <f>AB240+$C267</f>
        <v>0</v>
      </c>
      <c r="AE267" s="3016">
        <f>AE240+$C267</f>
        <v>0</v>
      </c>
      <c r="AH267" s="3016">
        <f>AH240+$C267</f>
        <v>0</v>
      </c>
      <c r="AK267" s="3016">
        <f>AK240+$C267</f>
        <v>0</v>
      </c>
      <c r="AN267" s="3016">
        <f>AN240+$C267</f>
        <v>0</v>
      </c>
      <c r="AQ267" s="3016">
        <f>AQ240+$C267</f>
        <v>0</v>
      </c>
      <c r="AT267" s="3016">
        <f>AT240+$C267</f>
        <v>0</v>
      </c>
      <c r="AV267" s="3011"/>
    </row>
    <row r="268" spans="1:48" x14ac:dyDescent="0.2">
      <c r="AV268" s="3011"/>
    </row>
    <row r="269" spans="1:48" x14ac:dyDescent="0.2">
      <c r="A269" s="3018" t="str">
        <f>$A$242</f>
        <v>FLUJO DE CAJA - PORCIÓN NO OPERATIVA</v>
      </c>
      <c r="AV269" s="3011"/>
    </row>
    <row r="270" spans="1:48" x14ac:dyDescent="0.2">
      <c r="A270" s="3006" t="str">
        <f>$A$243</f>
        <v>CAJA MÍNIMA REQUERIDA (EN DÍAS DE INGRESOS OPER.)</v>
      </c>
      <c r="B270" s="3007">
        <f>B243+$C270</f>
        <v>0</v>
      </c>
      <c r="C270" s="3019"/>
      <c r="D270" s="3007">
        <f>D243+$C270</f>
        <v>0</v>
      </c>
      <c r="G270" s="3007">
        <f>G243+$C270</f>
        <v>0</v>
      </c>
      <c r="J270" s="3007">
        <f>J243+$C270</f>
        <v>0</v>
      </c>
      <c r="M270" s="3007">
        <f>M243+$C270</f>
        <v>0</v>
      </c>
      <c r="P270" s="3007">
        <f>P243+$C270</f>
        <v>0</v>
      </c>
      <c r="S270" s="3007">
        <f>S243+$C270</f>
        <v>0</v>
      </c>
      <c r="V270" s="3007">
        <f>V243+$C270</f>
        <v>0</v>
      </c>
      <c r="Y270" s="3007">
        <f>Y243+$C270</f>
        <v>0</v>
      </c>
      <c r="AB270" s="3007">
        <f>AB243+$C270</f>
        <v>0</v>
      </c>
      <c r="AE270" s="3007">
        <f>AE243+$C270</f>
        <v>0</v>
      </c>
      <c r="AH270" s="3007">
        <f>AH243+$C270</f>
        <v>0</v>
      </c>
      <c r="AK270" s="3007">
        <f>AK243+$C270</f>
        <v>0</v>
      </c>
      <c r="AN270" s="3007">
        <f>AN243+$C270</f>
        <v>0</v>
      </c>
      <c r="AQ270" s="3007">
        <f>AQ243+$C270</f>
        <v>0</v>
      </c>
      <c r="AT270" s="3007">
        <f>AT243+$C270</f>
        <v>0</v>
      </c>
      <c r="AV270" s="3011"/>
    </row>
    <row r="271" spans="1:48" x14ac:dyDescent="0.2">
      <c r="A271" s="3012" t="str">
        <f>$A$244</f>
        <v>CAPEX ($MM)</v>
      </c>
      <c r="B271" s="3020">
        <f>B244+$C271</f>
        <v>0</v>
      </c>
      <c r="C271" s="3021"/>
      <c r="D271" s="3020">
        <f>D244+$C271</f>
        <v>0</v>
      </c>
      <c r="G271" s="3020">
        <f>G244+$C271</f>
        <v>0</v>
      </c>
      <c r="J271" s="3020">
        <f>J244+$C271</f>
        <v>0</v>
      </c>
      <c r="M271" s="3020">
        <f>M244+$C271</f>
        <v>0</v>
      </c>
      <c r="P271" s="3020">
        <f>P244+$C271</f>
        <v>0</v>
      </c>
      <c r="S271" s="3020">
        <f>S244+$C271</f>
        <v>0</v>
      </c>
      <c r="V271" s="3020">
        <f>V244+$C271</f>
        <v>0</v>
      </c>
      <c r="Y271" s="3020">
        <f>Y244+$C271</f>
        <v>0</v>
      </c>
      <c r="AB271" s="3020">
        <f>AB244+$C271</f>
        <v>0</v>
      </c>
      <c r="AE271" s="3020">
        <f>AE244+$C271</f>
        <v>0</v>
      </c>
      <c r="AH271" s="3020">
        <f>AH244+$C271</f>
        <v>0</v>
      </c>
      <c r="AK271" s="3020">
        <f>AK244+$C271</f>
        <v>0</v>
      </c>
      <c r="AN271" s="3020">
        <f>AN244+$C271</f>
        <v>0</v>
      </c>
      <c r="AQ271" s="3020">
        <f>AQ244+$C271</f>
        <v>0</v>
      </c>
      <c r="AT271" s="3020">
        <f>AT244+$C271</f>
        <v>0</v>
      </c>
      <c r="AV271" s="3011"/>
    </row>
    <row r="272" spans="1:48" x14ac:dyDescent="0.2">
      <c r="A272" s="3012" t="str">
        <f>$A$245</f>
        <v>OTROS INGRESOS (EGRESOS) / INGRESOS OPERACIONALES</v>
      </c>
      <c r="B272" s="3013">
        <f>B245+$C272</f>
        <v>0</v>
      </c>
      <c r="C272" s="3014"/>
      <c r="D272" s="3013">
        <f>D245+$C272</f>
        <v>0</v>
      </c>
      <c r="G272" s="3013">
        <f>G245+$C272</f>
        <v>0</v>
      </c>
      <c r="J272" s="3013">
        <f>J245+$C272</f>
        <v>0</v>
      </c>
      <c r="M272" s="3013">
        <f>M245+$C272</f>
        <v>0</v>
      </c>
      <c r="P272" s="3013">
        <f>P245+$C272</f>
        <v>0</v>
      </c>
      <c r="S272" s="3013">
        <f>S245+$C272</f>
        <v>0</v>
      </c>
      <c r="V272" s="3013">
        <f>V245+$C272</f>
        <v>0</v>
      </c>
      <c r="Y272" s="3013">
        <f>Y245+$C272</f>
        <v>0</v>
      </c>
      <c r="AB272" s="3013">
        <f>AB245+$C272</f>
        <v>0</v>
      </c>
      <c r="AE272" s="3013">
        <f>AE245+$C272</f>
        <v>0</v>
      </c>
      <c r="AH272" s="3013">
        <f>AH245+$C272</f>
        <v>0</v>
      </c>
      <c r="AK272" s="3013">
        <f>AK245+$C272</f>
        <v>0</v>
      </c>
      <c r="AN272" s="3013">
        <f>AN245+$C272</f>
        <v>0</v>
      </c>
      <c r="AQ272" s="3013">
        <f>AQ245+$C272</f>
        <v>0</v>
      </c>
      <c r="AT272" s="3013">
        <f>AT245+$C272</f>
        <v>0</v>
      </c>
      <c r="AV272" s="3011"/>
    </row>
    <row r="273" spans="1:48" x14ac:dyDescent="0.2">
      <c r="A273" s="3012" t="str">
        <f>$A$246</f>
        <v>APORTES DE CAPITAL (EQUITY) ($MM)</v>
      </c>
      <c r="B273" s="3022">
        <f>B246+$C273</f>
        <v>0</v>
      </c>
      <c r="C273" s="3023"/>
      <c r="D273" s="3022">
        <f>D246+$C273</f>
        <v>0</v>
      </c>
      <c r="G273" s="3022">
        <f>G246+$C273</f>
        <v>0</v>
      </c>
      <c r="J273" s="3022">
        <f>J246+$C273</f>
        <v>0</v>
      </c>
      <c r="M273" s="3022">
        <f>M246+$C273</f>
        <v>0</v>
      </c>
      <c r="P273" s="3022">
        <f>P246+$C273</f>
        <v>0</v>
      </c>
      <c r="S273" s="3022">
        <f>S246+$C273</f>
        <v>0</v>
      </c>
      <c r="V273" s="3022">
        <f>V246+$C273</f>
        <v>0</v>
      </c>
      <c r="Y273" s="3022">
        <f>Y246+$C273</f>
        <v>0</v>
      </c>
      <c r="AB273" s="3022">
        <f>AB246+$C273</f>
        <v>0</v>
      </c>
      <c r="AE273" s="3022">
        <f>AE246+$C273</f>
        <v>0</v>
      </c>
      <c r="AH273" s="3022">
        <f>AH246+$C273</f>
        <v>0</v>
      </c>
      <c r="AK273" s="3022">
        <f>AK246+$C273</f>
        <v>0</v>
      </c>
      <c r="AN273" s="3022">
        <f>AN246+$C273</f>
        <v>0</v>
      </c>
      <c r="AQ273" s="3022">
        <f>AQ246+$C273</f>
        <v>0</v>
      </c>
      <c r="AT273" s="3022">
        <f>AT246+$C273</f>
        <v>0</v>
      </c>
      <c r="AV273" s="3011"/>
    </row>
    <row r="274" spans="1:48" x14ac:dyDescent="0.2">
      <c r="A274" s="3015" t="str">
        <f>$A$247</f>
        <v>PAGO DE EXCEDENTES / INGRESOS OPERACIONALES</v>
      </c>
      <c r="B274" s="3016">
        <f>B247+$C274</f>
        <v>0</v>
      </c>
      <c r="C274" s="3017"/>
      <c r="D274" s="3016">
        <f>D247+$C274</f>
        <v>0</v>
      </c>
      <c r="G274" s="3016">
        <f>G247+$C274</f>
        <v>0</v>
      </c>
      <c r="J274" s="3016">
        <f>J247+$C274</f>
        <v>0</v>
      </c>
      <c r="M274" s="3016">
        <f>M247+$C274</f>
        <v>0</v>
      </c>
      <c r="P274" s="3016">
        <f>P247+$C274</f>
        <v>0</v>
      </c>
      <c r="S274" s="3016">
        <f>S247+$C274</f>
        <v>0</v>
      </c>
      <c r="V274" s="3016">
        <f>V247+$C274</f>
        <v>0</v>
      </c>
      <c r="Y274" s="3016">
        <f>Y247+$C274</f>
        <v>0</v>
      </c>
      <c r="AB274" s="3016">
        <f>AB247+$C274</f>
        <v>0</v>
      </c>
      <c r="AE274" s="3016">
        <f>AE247+$C274</f>
        <v>0</v>
      </c>
      <c r="AH274" s="3016">
        <f>AH247+$C274</f>
        <v>0</v>
      </c>
      <c r="AK274" s="3016">
        <f>AK247+$C274</f>
        <v>0</v>
      </c>
      <c r="AN274" s="3016">
        <f>AN247+$C274</f>
        <v>0</v>
      </c>
      <c r="AQ274" s="3016">
        <f>AQ247+$C274</f>
        <v>0</v>
      </c>
      <c r="AT274" s="3016">
        <f>AT247+$C274</f>
        <v>0</v>
      </c>
      <c r="AV274" s="3011"/>
    </row>
    <row r="275" spans="1:48" x14ac:dyDescent="0.2">
      <c r="AV275" s="3011"/>
    </row>
    <row r="276" spans="1:48" x14ac:dyDescent="0.2">
      <c r="A276" s="3018" t="str">
        <f>$A$249</f>
        <v>TASA - OBLIGACIONES FINANCIERAS C.P.</v>
      </c>
      <c r="AV276" s="3011"/>
    </row>
    <row r="277" spans="1:48" x14ac:dyDescent="0.2">
      <c r="A277" s="3024" t="str">
        <f>$A$250</f>
        <v>TASA FINANCIACIÓN OBLIGACIONES FINANCIERAS C.P.</v>
      </c>
      <c r="B277" s="3025">
        <f>B250+$C277</f>
        <v>0</v>
      </c>
      <c r="C277" s="3010"/>
      <c r="D277" s="3025">
        <f>D250+$C277</f>
        <v>0</v>
      </c>
      <c r="G277" s="3025">
        <f>G250+$C277</f>
        <v>0</v>
      </c>
      <c r="J277" s="3025">
        <f>J250+$C277</f>
        <v>0</v>
      </c>
      <c r="M277" s="3025">
        <f>M250+$C277</f>
        <v>0</v>
      </c>
      <c r="P277" s="3025">
        <f>P250+$C277</f>
        <v>0</v>
      </c>
      <c r="S277" s="3025">
        <f>S250+$C277</f>
        <v>0</v>
      </c>
      <c r="V277" s="3025">
        <f>V250+$C277</f>
        <v>0</v>
      </c>
      <c r="Y277" s="3025">
        <f>Y250+$C277</f>
        <v>0</v>
      </c>
      <c r="AB277" s="3025">
        <f>AB250+$C277</f>
        <v>0</v>
      </c>
      <c r="AE277" s="3025">
        <f>AE250+$C277</f>
        <v>0</v>
      </c>
      <c r="AH277" s="3025">
        <f>AH250+$C277</f>
        <v>0</v>
      </c>
      <c r="AK277" s="3025">
        <f>AK250+$C277</f>
        <v>0</v>
      </c>
      <c r="AN277" s="3025">
        <f>AN250+$C277</f>
        <v>0</v>
      </c>
      <c r="AQ277" s="3025">
        <f>AQ250+$C277</f>
        <v>0</v>
      </c>
      <c r="AT277" s="3025">
        <f>AT250+$C277</f>
        <v>0</v>
      </c>
      <c r="AV277" s="3011"/>
    </row>
    <row r="278" spans="1:48" x14ac:dyDescent="0.2">
      <c r="A278" s="3024" t="str">
        <f>$A$251</f>
        <v>CÁLCULO INTERESES - OBLIGACIONES C.P.</v>
      </c>
      <c r="B278" s="3026"/>
      <c r="D278" s="3026">
        <f ca="1">D277*B$47</f>
        <v>0</v>
      </c>
      <c r="G278" s="3026">
        <f ca="1">G277*D$47</f>
        <v>0</v>
      </c>
      <c r="J278" s="3026">
        <f ca="1">J277*G$47</f>
        <v>0</v>
      </c>
      <c r="M278" s="3026">
        <f ca="1">M277*J$47</f>
        <v>0</v>
      </c>
      <c r="P278" s="3026">
        <f ca="1">P277*M$47</f>
        <v>0</v>
      </c>
      <c r="S278" s="3026">
        <f ca="1">S277*P$47</f>
        <v>0</v>
      </c>
      <c r="V278" s="3026">
        <f ca="1">V277*S$47</f>
        <v>0</v>
      </c>
      <c r="Y278" s="3026">
        <f ca="1">Y277*V$47</f>
        <v>0</v>
      </c>
      <c r="AB278" s="3026">
        <f ca="1">AB277*Y$47</f>
        <v>0</v>
      </c>
      <c r="AE278" s="3026">
        <f ca="1">AE277*AB$47</f>
        <v>0</v>
      </c>
      <c r="AH278" s="3026">
        <f ca="1">AH277*AE$47</f>
        <v>0</v>
      </c>
      <c r="AK278" s="3026">
        <f ca="1">AK277*AH$47</f>
        <v>0</v>
      </c>
      <c r="AN278" s="3026">
        <f ca="1">AN277*AK$47</f>
        <v>0</v>
      </c>
      <c r="AQ278" s="3026">
        <f ca="1">AQ277*AN$47</f>
        <v>0</v>
      </c>
      <c r="AT278" s="3026">
        <f ca="1">AT277*AQ$47</f>
        <v>0</v>
      </c>
      <c r="AV278" s="3011"/>
    </row>
    <row r="279" spans="1:48" x14ac:dyDescent="0.2">
      <c r="AV279" s="3011"/>
    </row>
    <row r="280" spans="1:48" x14ac:dyDescent="0.2">
      <c r="A280" s="3018" t="str">
        <f>$A$253</f>
        <v>VARIABLES MACROECONÓMICAS</v>
      </c>
      <c r="AV280" s="3011"/>
    </row>
    <row r="281" spans="1:48" x14ac:dyDescent="0.2">
      <c r="A281" s="3006" t="str">
        <f>$A$254</f>
        <v>CRECIMIENTO PIB (VARIACIÓN PORCENTUAL - BASE 1.994)</v>
      </c>
      <c r="B281" s="3027">
        <f ca="1">B254+$C281</f>
        <v>2.7999999999999997E-2</v>
      </c>
      <c r="C281" s="3028"/>
      <c r="D281" s="3027">
        <f ca="1">D254+$C281</f>
        <v>0.03</v>
      </c>
      <c r="G281" s="3027">
        <f ca="1">G254+$C281</f>
        <v>0.03</v>
      </c>
      <c r="J281" s="3027">
        <f ca="1">J254+$C281</f>
        <v>0.03</v>
      </c>
      <c r="M281" s="3027">
        <f ca="1">M254+$C281</f>
        <v>0.03</v>
      </c>
      <c r="P281" s="3027">
        <f ca="1">P254+$C281</f>
        <v>0.03</v>
      </c>
      <c r="S281" s="3027">
        <f ca="1">S254+$C281</f>
        <v>0.03</v>
      </c>
      <c r="V281" s="3027">
        <f ca="1">V254+$C281</f>
        <v>0.03</v>
      </c>
      <c r="Y281" s="3027">
        <f ca="1">Y254+$C281</f>
        <v>0.03</v>
      </c>
      <c r="AB281" s="3027">
        <f ca="1">AB254+$C281</f>
        <v>0.03</v>
      </c>
      <c r="AE281" s="3027">
        <f ca="1">AE254+$C281</f>
        <v>0.03</v>
      </c>
      <c r="AH281" s="3027">
        <f ca="1">AH254+$C281</f>
        <v>0.03</v>
      </c>
      <c r="AK281" s="3027">
        <f ca="1">AK254+$C281</f>
        <v>0.03</v>
      </c>
      <c r="AN281" s="3027">
        <f ca="1">AN254+$C281</f>
        <v>0.03</v>
      </c>
      <c r="AQ281" s="3027">
        <f ca="1">AQ254+$C281</f>
        <v>0.03</v>
      </c>
      <c r="AT281" s="3027">
        <f ca="1">AT254+$C281</f>
        <v>0.03</v>
      </c>
      <c r="AV281" s="3011"/>
    </row>
    <row r="282" spans="1:48" x14ac:dyDescent="0.2">
      <c r="A282" s="3015" t="str">
        <f>$A$255</f>
        <v>VARIACIÓN PORCENTUAL IPC (INFLACIÓN)</v>
      </c>
      <c r="B282" s="3029">
        <f ca="1">B255+$C282</f>
        <v>3.04E-2</v>
      </c>
      <c r="C282" s="3014"/>
      <c r="D282" s="3029">
        <f ca="1">D255+$C282</f>
        <v>2.5000000000000001E-2</v>
      </c>
      <c r="G282" s="3029">
        <f ca="1">G255+$C282</f>
        <v>0.04</v>
      </c>
      <c r="J282" s="3029">
        <f ca="1">J255+$C282</f>
        <v>0.04</v>
      </c>
      <c r="M282" s="3029">
        <f ca="1">M255+$C282</f>
        <v>0.04</v>
      </c>
      <c r="P282" s="3030">
        <f ca="1">P255+$C282</f>
        <v>0.04</v>
      </c>
      <c r="S282" s="3030">
        <f ca="1">S255+$C282</f>
        <v>0.04</v>
      </c>
      <c r="V282" s="3030">
        <f ca="1">V255+$C282</f>
        <v>0.04</v>
      </c>
      <c r="Y282" s="3030">
        <f ca="1">Y255+$C282</f>
        <v>0.04</v>
      </c>
      <c r="AB282" s="3030">
        <f ca="1">AB255+$C282</f>
        <v>0.04</v>
      </c>
      <c r="AE282" s="3030">
        <f ca="1">AE255+$C282</f>
        <v>0.04</v>
      </c>
      <c r="AH282" s="3030">
        <f ca="1">AH255+$C282</f>
        <v>0.04</v>
      </c>
      <c r="AK282" s="3030">
        <f ca="1">AK255+$C282</f>
        <v>0.04</v>
      </c>
      <c r="AN282" s="3030">
        <f ca="1">AN255+$C282</f>
        <v>0.04</v>
      </c>
      <c r="AQ282" s="3030">
        <f ca="1">AQ255+$C282</f>
        <v>0.04</v>
      </c>
      <c r="AT282" s="3030">
        <f ca="1">AT255+$C282</f>
        <v>0.04</v>
      </c>
      <c r="AV282" s="3011"/>
    </row>
    <row r="283" spans="1:48" x14ac:dyDescent="0.2">
      <c r="A283" s="3031" t="str">
        <f>$A$256</f>
        <v>VARIACIÓN TRM  (DEVAL./REVAL.) - AÑO CORRIDO</v>
      </c>
      <c r="B283" s="3032">
        <f ca="1">C328</f>
        <v>-3.2398507017312173E-2</v>
      </c>
      <c r="C283" s="3014"/>
      <c r="D283" s="3032">
        <f ca="1">IF(B284=0,"",D284/B284-1)</f>
        <v>2.8731041456016237E-2</v>
      </c>
      <c r="G283" s="3032">
        <f ca="1">IF(D284=0,"",G284/D284-1)</f>
        <v>3.9998427387054392E-2</v>
      </c>
      <c r="J283" s="3032">
        <f ca="1">IF(G284=0,"",J284/G284-1)</f>
        <v>3.5001086843522877E-2</v>
      </c>
      <c r="M283" s="3032">
        <f ca="1">IF(J284=0,"",M284/J284-1)</f>
        <v>3.4999931515917959E-2</v>
      </c>
      <c r="P283" s="3029">
        <f>P256+$C283</f>
        <v>3.5000000000000003E-2</v>
      </c>
      <c r="S283" s="3029">
        <f>S256+$C283</f>
        <v>3.5000000000000003E-2</v>
      </c>
      <c r="V283" s="3029">
        <f>V256+$C283</f>
        <v>3.5000000000000003E-2</v>
      </c>
      <c r="Y283" s="3029">
        <f>Y256+$C283</f>
        <v>3.5000000000000003E-2</v>
      </c>
      <c r="AB283" s="3029">
        <f>AB256+$C283</f>
        <v>3.5000000000000003E-2</v>
      </c>
      <c r="AE283" s="3029">
        <f>AE256+$C283</f>
        <v>3.5000000000000003E-2</v>
      </c>
      <c r="AH283" s="3029">
        <f>AH256+$C283</f>
        <v>3.5000000000000003E-2</v>
      </c>
      <c r="AK283" s="3029">
        <f>AK256+$C283</f>
        <v>3.5000000000000003E-2</v>
      </c>
      <c r="AN283" s="3029">
        <f>AN256+$C283</f>
        <v>3.5000000000000003E-2</v>
      </c>
      <c r="AQ283" s="3029">
        <f>AQ256+$C283</f>
        <v>3.5000000000000003E-2</v>
      </c>
      <c r="AT283" s="3029">
        <f>AT256+$C283</f>
        <v>3.5000000000000003E-2</v>
      </c>
      <c r="AV283" s="3011"/>
    </row>
    <row r="284" spans="1:48" x14ac:dyDescent="0.2">
      <c r="A284" s="3006" t="str">
        <f>$A$257</f>
        <v>TRM A 31 DE DICIEMBRE (COP POR 1 USD)</v>
      </c>
      <c r="B284" s="3033">
        <f ca="1">B257+$C284</f>
        <v>1978</v>
      </c>
      <c r="C284" s="3034"/>
      <c r="D284" s="3033">
        <f ca="1">D257+$C284</f>
        <v>2034.83</v>
      </c>
      <c r="G284" s="3033">
        <f ca="1">G257+$C284</f>
        <v>2116.2199999999998</v>
      </c>
      <c r="J284" s="3033">
        <f ca="1">J257+$C284</f>
        <v>2190.29</v>
      </c>
      <c r="M284" s="3033">
        <f ca="1">M257+$C284</f>
        <v>2266.9499999999998</v>
      </c>
      <c r="P284" s="3035">
        <f ca="1">M284*(1+P283)</f>
        <v>2346.2932499999997</v>
      </c>
      <c r="S284" s="3035">
        <f ca="1">P284*(1+S283)</f>
        <v>2428.4135137499993</v>
      </c>
      <c r="V284" s="3035">
        <f ca="1">S284*(1+V283)</f>
        <v>2513.4079867312489</v>
      </c>
      <c r="Y284" s="3035">
        <f ca="1">V284*(1+Y283)</f>
        <v>2601.3772662668425</v>
      </c>
      <c r="AB284" s="3035">
        <f ca="1">Y284*(1+AB283)</f>
        <v>2692.4254705861817</v>
      </c>
      <c r="AE284" s="3035">
        <f ca="1">AB284*(1+AE283)</f>
        <v>2786.660362056698</v>
      </c>
      <c r="AH284" s="3035">
        <f ca="1">AE284*(1+AH283)</f>
        <v>2884.1934747286823</v>
      </c>
      <c r="AK284" s="3035">
        <f ca="1">AH284*(1+AK283)</f>
        <v>2985.1402463441859</v>
      </c>
      <c r="AN284" s="3035">
        <f ca="1">AK284*(1+AN283)</f>
        <v>3089.6201549662323</v>
      </c>
      <c r="AQ284" s="3035">
        <f ca="1">AN284*(1+AQ283)</f>
        <v>3197.7568603900504</v>
      </c>
      <c r="AT284" s="3035">
        <f ca="1">AQ284*(1+AT283)</f>
        <v>3309.6783505037019</v>
      </c>
      <c r="AV284" s="3011"/>
    </row>
    <row r="285" spans="1:48" ht="13.5" thickBot="1" x14ac:dyDescent="0.25">
      <c r="A285" s="3036" t="str">
        <f>$A$258</f>
        <v>DTF E.A.</v>
      </c>
      <c r="B285" s="3037">
        <f>B258+$C285</f>
        <v>4.1635332757903119E-2</v>
      </c>
      <c r="C285" s="3038"/>
      <c r="D285" s="3037">
        <f>D258+$C285</f>
        <v>4.5342834547292377E-2</v>
      </c>
      <c r="E285" s="3039"/>
      <c r="F285" s="3039"/>
      <c r="G285" s="3037">
        <f>G258+$C285</f>
        <v>4.5342834547292377E-2</v>
      </c>
      <c r="H285" s="3039"/>
      <c r="I285" s="3039"/>
      <c r="J285" s="3037">
        <f>J258+$C285</f>
        <v>4.5342834547292377E-2</v>
      </c>
      <c r="K285" s="3039"/>
      <c r="L285" s="3039"/>
      <c r="M285" s="3037">
        <f>M258+$C285</f>
        <v>4.5342834547292377E-2</v>
      </c>
      <c r="N285" s="3039"/>
      <c r="O285" s="3039"/>
      <c r="P285" s="3040">
        <f>P258+$C285</f>
        <v>4.5342834547292377E-2</v>
      </c>
      <c r="Q285" s="3039"/>
      <c r="R285" s="3039"/>
      <c r="S285" s="3040">
        <f>S258+$C285</f>
        <v>4.5342834547292377E-2</v>
      </c>
      <c r="T285" s="3039"/>
      <c r="U285" s="3039"/>
      <c r="V285" s="3040">
        <f>V258+$C285</f>
        <v>4.5342834547292377E-2</v>
      </c>
      <c r="W285" s="3039"/>
      <c r="X285" s="3039"/>
      <c r="Y285" s="3040">
        <f>Y258+$C285</f>
        <v>4.5342834547292377E-2</v>
      </c>
      <c r="Z285" s="3039"/>
      <c r="AA285" s="3039"/>
      <c r="AB285" s="3040">
        <f>AB258+$C285</f>
        <v>4.5342834547292377E-2</v>
      </c>
      <c r="AC285" s="3039"/>
      <c r="AD285" s="3039"/>
      <c r="AE285" s="3040">
        <f>AE258+$C285</f>
        <v>4.5342834547292377E-2</v>
      </c>
      <c r="AF285" s="3039"/>
      <c r="AG285" s="3039"/>
      <c r="AH285" s="3040">
        <f>AH258+$C285</f>
        <v>4.5342834547292377E-2</v>
      </c>
      <c r="AI285" s="3039"/>
      <c r="AJ285" s="3039"/>
      <c r="AK285" s="3040">
        <f>AK258+$C285</f>
        <v>4.5342834547292377E-2</v>
      </c>
      <c r="AL285" s="3039"/>
      <c r="AM285" s="3039"/>
      <c r="AN285" s="3040">
        <f>AN258+$C285</f>
        <v>4.5342834547292377E-2</v>
      </c>
      <c r="AO285" s="3039"/>
      <c r="AP285" s="3039"/>
      <c r="AQ285" s="3040">
        <f>AQ258+$C285</f>
        <v>4.5342834547292377E-2</v>
      </c>
      <c r="AR285" s="3039"/>
      <c r="AS285" s="3039"/>
      <c r="AT285" s="3040">
        <f>AT258+$C285</f>
        <v>4.5342834547292377E-2</v>
      </c>
      <c r="AU285" s="3039"/>
      <c r="AV285" s="3041"/>
    </row>
    <row r="286" spans="1:48" ht="13.5" thickBot="1" x14ac:dyDescent="0.25"/>
    <row r="287" spans="1:48" ht="13.5" thickBot="1" x14ac:dyDescent="0.25">
      <c r="A287" s="3042" t="str">
        <f>"PROYECCIÓN ESCENARIO "&amp;$B$319</f>
        <v>PROYECCIÓN ESCENARIO SENSIBILIZADO 2</v>
      </c>
    </row>
    <row r="288" spans="1:48" ht="13.5" thickBot="1" x14ac:dyDescent="0.25"/>
    <row r="289" spans="1:48" x14ac:dyDescent="0.2">
      <c r="A289" s="3043" t="str">
        <f>$A$235</f>
        <v>FLUJO DE CAJA LIBRE OPERATIVO</v>
      </c>
      <c r="B289" s="3044">
        <f ca="1">B$11</f>
        <v>2023</v>
      </c>
      <c r="C289" s="3045" t="s">
        <v>2106</v>
      </c>
      <c r="D289" s="3044">
        <f ca="1">D$11</f>
        <v>2024</v>
      </c>
      <c r="E289" s="3045" t="s">
        <v>1377</v>
      </c>
      <c r="F289" s="3046"/>
      <c r="G289" s="3044">
        <f ca="1">G$11</f>
        <v>2025</v>
      </c>
      <c r="H289" s="3046"/>
      <c r="I289" s="3046"/>
      <c r="J289" s="3044">
        <f ca="1">J$11</f>
        <v>2026</v>
      </c>
      <c r="K289" s="3046"/>
      <c r="L289" s="3046"/>
      <c r="M289" s="3044">
        <f ca="1">M$11</f>
        <v>2027</v>
      </c>
      <c r="N289" s="3046"/>
      <c r="O289" s="3046"/>
      <c r="P289" s="3044">
        <f ca="1">P$11</f>
        <v>2028</v>
      </c>
      <c r="Q289" s="3046"/>
      <c r="R289" s="3046"/>
      <c r="S289" s="3044">
        <f ca="1">S$11</f>
        <v>2029</v>
      </c>
      <c r="T289" s="3046"/>
      <c r="U289" s="3046"/>
      <c r="V289" s="3044">
        <f ca="1">V$11</f>
        <v>2030</v>
      </c>
      <c r="W289" s="3046"/>
      <c r="X289" s="3046"/>
      <c r="Y289" s="3044">
        <f ca="1">Y$11</f>
        <v>2031</v>
      </c>
      <c r="Z289" s="3046"/>
      <c r="AA289" s="3046"/>
      <c r="AB289" s="3044">
        <f ca="1">AB$11</f>
        <v>2032</v>
      </c>
      <c r="AC289" s="3046"/>
      <c r="AD289" s="3046"/>
      <c r="AE289" s="3044">
        <f ca="1">AE$11</f>
        <v>2033</v>
      </c>
      <c r="AF289" s="3046"/>
      <c r="AG289" s="3046"/>
      <c r="AH289" s="3044">
        <f ca="1">AH$11</f>
        <v>2034</v>
      </c>
      <c r="AI289" s="3046"/>
      <c r="AJ289" s="3046"/>
      <c r="AK289" s="3044">
        <f ca="1">AK$11</f>
        <v>2035</v>
      </c>
      <c r="AL289" s="3046"/>
      <c r="AM289" s="3046"/>
      <c r="AN289" s="3044">
        <f ca="1">AN$11</f>
        <v>2036</v>
      </c>
      <c r="AO289" s="3046"/>
      <c r="AP289" s="3046"/>
      <c r="AQ289" s="3044">
        <f ca="1">AQ$11</f>
        <v>2037</v>
      </c>
      <c r="AR289" s="3046"/>
      <c r="AS289" s="3046"/>
      <c r="AT289" s="3044">
        <f ca="1">AT$11</f>
        <v>2038</v>
      </c>
      <c r="AU289" s="3046"/>
      <c r="AV289" s="3047"/>
    </row>
    <row r="290" spans="1:48" x14ac:dyDescent="0.2">
      <c r="A290" s="3048" t="str">
        <f>$A$236</f>
        <v>INGRESOS OPERACIONALES (COL B.  - $MM / COL. D - VAR. %)</v>
      </c>
      <c r="B290" s="3049">
        <f>B236+$C290</f>
        <v>0</v>
      </c>
      <c r="C290" s="3050"/>
      <c r="D290" s="3051">
        <f>D236+$E290</f>
        <v>0</v>
      </c>
      <c r="E290" s="3052"/>
      <c r="G290" s="3051">
        <f>G236+$E290</f>
        <v>0</v>
      </c>
      <c r="J290" s="3051">
        <f>J236+$E290</f>
        <v>0</v>
      </c>
      <c r="M290" s="3051">
        <f>M236+$E290</f>
        <v>0</v>
      </c>
      <c r="P290" s="3051">
        <f>P236+$E290</f>
        <v>0</v>
      </c>
      <c r="S290" s="3051">
        <f>S236+$E290</f>
        <v>0</v>
      </c>
      <c r="V290" s="3051">
        <f>V236+$E290</f>
        <v>0</v>
      </c>
      <c r="Y290" s="3051">
        <f>Y236+$E290</f>
        <v>0</v>
      </c>
      <c r="AB290" s="3051">
        <f>AB236+$E290</f>
        <v>0</v>
      </c>
      <c r="AE290" s="3051">
        <f>AE236+$E290</f>
        <v>0</v>
      </c>
      <c r="AH290" s="3051">
        <f>AH236+$E290</f>
        <v>0</v>
      </c>
      <c r="AK290" s="3051">
        <f>AK236+$E290</f>
        <v>0</v>
      </c>
      <c r="AN290" s="3051">
        <f>AN236+$E290</f>
        <v>0</v>
      </c>
      <c r="AQ290" s="3051">
        <f>AQ236+$E290</f>
        <v>0</v>
      </c>
      <c r="AT290" s="3051">
        <f>AT236+$E290</f>
        <v>0</v>
      </c>
      <c r="AV290" s="3053"/>
    </row>
    <row r="291" spans="1:48" x14ac:dyDescent="0.2">
      <c r="A291" s="3054" t="str">
        <f>$A$237</f>
        <v>MARGEN OPERACIONAL</v>
      </c>
      <c r="B291" s="3055">
        <f>B237+$C291</f>
        <v>0</v>
      </c>
      <c r="C291" s="3056"/>
      <c r="D291" s="3055">
        <f>D237+$C291</f>
        <v>0</v>
      </c>
      <c r="G291" s="3055">
        <f>G237+$C291</f>
        <v>0</v>
      </c>
      <c r="J291" s="3055">
        <f>J237+$C291</f>
        <v>0</v>
      </c>
      <c r="M291" s="3055">
        <f>M237+$C291</f>
        <v>0</v>
      </c>
      <c r="P291" s="3055">
        <f>P237+$C291</f>
        <v>0</v>
      </c>
      <c r="S291" s="3055">
        <f>S237+$C291</f>
        <v>0</v>
      </c>
      <c r="V291" s="3055">
        <f>V237+$C291</f>
        <v>0</v>
      </c>
      <c r="Y291" s="3055">
        <f>Y237+$C291</f>
        <v>0</v>
      </c>
      <c r="AB291" s="3055">
        <f>AB237+$C291</f>
        <v>0</v>
      </c>
      <c r="AE291" s="3055">
        <f>AE237+$C291</f>
        <v>0</v>
      </c>
      <c r="AH291" s="3055">
        <f>AH237+$C291</f>
        <v>0</v>
      </c>
      <c r="AK291" s="3055">
        <f>AK237+$C291</f>
        <v>0</v>
      </c>
      <c r="AN291" s="3055">
        <f>AN237+$C291</f>
        <v>0</v>
      </c>
      <c r="AQ291" s="3055">
        <f>AQ237+$C291</f>
        <v>0</v>
      </c>
      <c r="AT291" s="3055">
        <f>AT237+$C291</f>
        <v>0</v>
      </c>
      <c r="AV291" s="3053"/>
    </row>
    <row r="292" spans="1:48" x14ac:dyDescent="0.2">
      <c r="A292" s="3054" t="str">
        <f>$A$238</f>
        <v>(DEPRECIACIONES + AMORTIZACIONES) / EGRESOS OPER.</v>
      </c>
      <c r="B292" s="3055">
        <f>B238+$C292</f>
        <v>0</v>
      </c>
      <c r="C292" s="3056"/>
      <c r="D292" s="3055">
        <f>D238+$C292</f>
        <v>0</v>
      </c>
      <c r="G292" s="3055">
        <f>G238+$C292</f>
        <v>0</v>
      </c>
      <c r="J292" s="3055">
        <f>J238+$C292</f>
        <v>0</v>
      </c>
      <c r="M292" s="3055">
        <f>M238+$C292</f>
        <v>0</v>
      </c>
      <c r="P292" s="3055">
        <f>P238+$C292</f>
        <v>0</v>
      </c>
      <c r="S292" s="3055">
        <f>S238+$C292</f>
        <v>0</v>
      </c>
      <c r="V292" s="3055">
        <f>V238+$C292</f>
        <v>0</v>
      </c>
      <c r="Y292" s="3055">
        <f>Y238+$C292</f>
        <v>0</v>
      </c>
      <c r="AB292" s="3055">
        <f>AB238+$C292</f>
        <v>0</v>
      </c>
      <c r="AE292" s="3055">
        <f>AE238+$C292</f>
        <v>0</v>
      </c>
      <c r="AH292" s="3055">
        <f>AH238+$C292</f>
        <v>0</v>
      </c>
      <c r="AK292" s="3055">
        <f>AK238+$C292</f>
        <v>0</v>
      </c>
      <c r="AN292" s="3055">
        <f>AN238+$C292</f>
        <v>0</v>
      </c>
      <c r="AQ292" s="3055">
        <f>AQ238+$C292</f>
        <v>0</v>
      </c>
      <c r="AT292" s="3055">
        <f>AT238+$C292</f>
        <v>0</v>
      </c>
      <c r="AV292" s="3053"/>
    </row>
    <row r="293" spans="1:48" x14ac:dyDescent="0.2">
      <c r="A293" s="3054" t="str">
        <f>$A$239</f>
        <v>CAPITAL DE TRABAJO / INGRESOS OPERACIONALES</v>
      </c>
      <c r="B293" s="3055">
        <f>B239+$C293</f>
        <v>0</v>
      </c>
      <c r="C293" s="3056"/>
      <c r="D293" s="3055">
        <f>D239+$C293</f>
        <v>0</v>
      </c>
      <c r="G293" s="3055">
        <f>G239+$C293</f>
        <v>0</v>
      </c>
      <c r="J293" s="3055">
        <f>J239+$C293</f>
        <v>0</v>
      </c>
      <c r="M293" s="3055">
        <f>M239+$C293</f>
        <v>0</v>
      </c>
      <c r="P293" s="3055">
        <f>P239+$C293</f>
        <v>0</v>
      </c>
      <c r="S293" s="3055">
        <f>S239+$C293</f>
        <v>0</v>
      </c>
      <c r="V293" s="3055">
        <f>V239+$C293</f>
        <v>0</v>
      </c>
      <c r="Y293" s="3055">
        <f>Y239+$C293</f>
        <v>0</v>
      </c>
      <c r="AB293" s="3055">
        <f>AB239+$C293</f>
        <v>0</v>
      </c>
      <c r="AE293" s="3055">
        <f>AE239+$C293</f>
        <v>0</v>
      </c>
      <c r="AH293" s="3055">
        <f>AH239+$C293</f>
        <v>0</v>
      </c>
      <c r="AK293" s="3055">
        <f>AK239+$C293</f>
        <v>0</v>
      </c>
      <c r="AN293" s="3055">
        <f>AN239+$C293</f>
        <v>0</v>
      </c>
      <c r="AQ293" s="3055">
        <f>AQ239+$C293</f>
        <v>0</v>
      </c>
      <c r="AT293" s="3055">
        <f>AT239+$C293</f>
        <v>0</v>
      </c>
      <c r="AV293" s="3053"/>
    </row>
    <row r="294" spans="1:48" x14ac:dyDescent="0.2">
      <c r="A294" s="3057" t="str">
        <f>$A$240</f>
        <v>IMPUESTOS / INGRESOS OPERACIONALES</v>
      </c>
      <c r="B294" s="3058">
        <f>B240+$C294</f>
        <v>0</v>
      </c>
      <c r="C294" s="3059"/>
      <c r="D294" s="3058">
        <f>D240+$C294</f>
        <v>0</v>
      </c>
      <c r="G294" s="3058">
        <f>G240+$C294</f>
        <v>0</v>
      </c>
      <c r="J294" s="3058">
        <f>J240+$C294</f>
        <v>0</v>
      </c>
      <c r="M294" s="3058">
        <f>M240+$C294</f>
        <v>0</v>
      </c>
      <c r="P294" s="3058">
        <f>P240+$C294</f>
        <v>0</v>
      </c>
      <c r="S294" s="3058">
        <f>S240+$C294</f>
        <v>0</v>
      </c>
      <c r="V294" s="3058">
        <f>V240+$C294</f>
        <v>0</v>
      </c>
      <c r="Y294" s="3058">
        <f>Y240+$C294</f>
        <v>0</v>
      </c>
      <c r="AB294" s="3058">
        <f>AB240+$C294</f>
        <v>0</v>
      </c>
      <c r="AE294" s="3058">
        <f>AE240+$C294</f>
        <v>0</v>
      </c>
      <c r="AH294" s="3058">
        <f>AH240+$C294</f>
        <v>0</v>
      </c>
      <c r="AK294" s="3058">
        <f>AK240+$C294</f>
        <v>0</v>
      </c>
      <c r="AN294" s="3058">
        <f>AN240+$C294</f>
        <v>0</v>
      </c>
      <c r="AQ294" s="3058">
        <f>AQ240+$C294</f>
        <v>0</v>
      </c>
      <c r="AT294" s="3058">
        <f>AT240+$C294</f>
        <v>0</v>
      </c>
      <c r="AV294" s="3053"/>
    </row>
    <row r="295" spans="1:48" x14ac:dyDescent="0.2">
      <c r="AV295" s="3053"/>
    </row>
    <row r="296" spans="1:48" x14ac:dyDescent="0.2">
      <c r="A296" s="3060" t="str">
        <f>$A$242</f>
        <v>FLUJO DE CAJA - PORCIÓN NO OPERATIVA</v>
      </c>
      <c r="AV296" s="3053"/>
    </row>
    <row r="297" spans="1:48" x14ac:dyDescent="0.2">
      <c r="A297" s="3048" t="str">
        <f>$A$243</f>
        <v>CAJA MÍNIMA REQUERIDA (EN DÍAS DE INGRESOS OPER.)</v>
      </c>
      <c r="B297" s="3049">
        <f>B243+$C297</f>
        <v>0</v>
      </c>
      <c r="C297" s="3061"/>
      <c r="D297" s="3049">
        <f>D243+$C297</f>
        <v>0</v>
      </c>
      <c r="G297" s="3049">
        <f>G243+$C297</f>
        <v>0</v>
      </c>
      <c r="J297" s="3049">
        <f>J243+$C297</f>
        <v>0</v>
      </c>
      <c r="M297" s="3049">
        <f>M243+$C297</f>
        <v>0</v>
      </c>
      <c r="P297" s="3049">
        <f>P243+$C297</f>
        <v>0</v>
      </c>
      <c r="S297" s="3049">
        <f>S243+$C297</f>
        <v>0</v>
      </c>
      <c r="V297" s="3049">
        <f>V243+$C297</f>
        <v>0</v>
      </c>
      <c r="Y297" s="3049">
        <f>Y243+$C297</f>
        <v>0</v>
      </c>
      <c r="AB297" s="3049">
        <f>AB243+$C297</f>
        <v>0</v>
      </c>
      <c r="AE297" s="3049">
        <f>AE243+$C297</f>
        <v>0</v>
      </c>
      <c r="AH297" s="3049">
        <f>AH243+$C297</f>
        <v>0</v>
      </c>
      <c r="AK297" s="3049">
        <f>AK243+$C297</f>
        <v>0</v>
      </c>
      <c r="AN297" s="3049">
        <f>AN243+$C297</f>
        <v>0</v>
      </c>
      <c r="AQ297" s="3049">
        <f>AQ243+$C297</f>
        <v>0</v>
      </c>
      <c r="AT297" s="3049">
        <f>AT243+$C297</f>
        <v>0</v>
      </c>
      <c r="AV297" s="3053"/>
    </row>
    <row r="298" spans="1:48" x14ac:dyDescent="0.2">
      <c r="A298" s="3054" t="str">
        <f>$A$244</f>
        <v>CAPEX ($MM)</v>
      </c>
      <c r="B298" s="3062">
        <f>B244+$C298</f>
        <v>0</v>
      </c>
      <c r="C298" s="3063"/>
      <c r="D298" s="3062">
        <f>D244+$C298</f>
        <v>0</v>
      </c>
      <c r="G298" s="3062">
        <f>G244+$C298</f>
        <v>0</v>
      </c>
      <c r="J298" s="3062">
        <f>J244+$C298</f>
        <v>0</v>
      </c>
      <c r="M298" s="3062">
        <f>M244+$C298</f>
        <v>0</v>
      </c>
      <c r="P298" s="3062">
        <f>P244+$C298</f>
        <v>0</v>
      </c>
      <c r="S298" s="3062">
        <f>S244+$C298</f>
        <v>0</v>
      </c>
      <c r="V298" s="3062">
        <f>V244+$C298</f>
        <v>0</v>
      </c>
      <c r="Y298" s="3062">
        <f>Y244+$C298</f>
        <v>0</v>
      </c>
      <c r="AB298" s="3062">
        <f>AB244+$C298</f>
        <v>0</v>
      </c>
      <c r="AE298" s="3062">
        <f>AE244+$C298</f>
        <v>0</v>
      </c>
      <c r="AH298" s="3062">
        <f>AH244+$C298</f>
        <v>0</v>
      </c>
      <c r="AK298" s="3062">
        <f>AK244+$C298</f>
        <v>0</v>
      </c>
      <c r="AN298" s="3062">
        <f>AN244+$C298</f>
        <v>0</v>
      </c>
      <c r="AQ298" s="3062">
        <f>AQ244+$C298</f>
        <v>0</v>
      </c>
      <c r="AT298" s="3062">
        <f>AT244+$C298</f>
        <v>0</v>
      </c>
      <c r="AV298" s="3053"/>
    </row>
    <row r="299" spans="1:48" x14ac:dyDescent="0.2">
      <c r="A299" s="3054" t="str">
        <f>$A$245</f>
        <v>OTROS INGRESOS (EGRESOS) / INGRESOS OPERACIONALES</v>
      </c>
      <c r="B299" s="3055">
        <f>B245+$C299</f>
        <v>0</v>
      </c>
      <c r="C299" s="3056"/>
      <c r="D299" s="3055">
        <f>D245+$C299</f>
        <v>0</v>
      </c>
      <c r="G299" s="3055">
        <f>G245+$C299</f>
        <v>0</v>
      </c>
      <c r="J299" s="3055">
        <f>J245+$C299</f>
        <v>0</v>
      </c>
      <c r="M299" s="3055">
        <f>M245+$C299</f>
        <v>0</v>
      </c>
      <c r="P299" s="3055">
        <f>P245+$C299</f>
        <v>0</v>
      </c>
      <c r="S299" s="3055">
        <f>S245+$C299</f>
        <v>0</v>
      </c>
      <c r="V299" s="3055">
        <f>V245+$C299</f>
        <v>0</v>
      </c>
      <c r="Y299" s="3055">
        <f>Y245+$C299</f>
        <v>0</v>
      </c>
      <c r="AB299" s="3055">
        <f>AB245+$C299</f>
        <v>0</v>
      </c>
      <c r="AE299" s="3055">
        <f>AE245+$C299</f>
        <v>0</v>
      </c>
      <c r="AH299" s="3055">
        <f>AH245+$C299</f>
        <v>0</v>
      </c>
      <c r="AK299" s="3055">
        <f>AK245+$C299</f>
        <v>0</v>
      </c>
      <c r="AN299" s="3055">
        <f>AN245+$C299</f>
        <v>0</v>
      </c>
      <c r="AQ299" s="3055">
        <f>AQ245+$C299</f>
        <v>0</v>
      </c>
      <c r="AT299" s="3055">
        <f>AT245+$C299</f>
        <v>0</v>
      </c>
      <c r="AV299" s="3053"/>
    </row>
    <row r="300" spans="1:48" x14ac:dyDescent="0.2">
      <c r="A300" s="3054" t="str">
        <f>$A$246</f>
        <v>APORTES DE CAPITAL (EQUITY) ($MM)</v>
      </c>
      <c r="B300" s="3064">
        <f>B246+$C300</f>
        <v>0</v>
      </c>
      <c r="C300" s="3065"/>
      <c r="D300" s="3064">
        <f>D246+$C300</f>
        <v>0</v>
      </c>
      <c r="G300" s="3064">
        <f>G246+$C300</f>
        <v>0</v>
      </c>
      <c r="J300" s="3064">
        <f>J246+$C300</f>
        <v>0</v>
      </c>
      <c r="M300" s="3064">
        <f>M246+$C300</f>
        <v>0</v>
      </c>
      <c r="P300" s="3064">
        <f>P246+$C300</f>
        <v>0</v>
      </c>
      <c r="S300" s="3064">
        <f>S246+$C300</f>
        <v>0</v>
      </c>
      <c r="V300" s="3064">
        <f>V246+$C300</f>
        <v>0</v>
      </c>
      <c r="Y300" s="3064">
        <f>Y246+$C300</f>
        <v>0</v>
      </c>
      <c r="AB300" s="3064">
        <f>AB246+$C300</f>
        <v>0</v>
      </c>
      <c r="AE300" s="3064">
        <f>AE246+$C300</f>
        <v>0</v>
      </c>
      <c r="AH300" s="3064">
        <f>AH246+$C300</f>
        <v>0</v>
      </c>
      <c r="AK300" s="3064">
        <f>AK246+$C300</f>
        <v>0</v>
      </c>
      <c r="AN300" s="3064">
        <f>AN246+$C300</f>
        <v>0</v>
      </c>
      <c r="AQ300" s="3064">
        <f>AQ246+$C300</f>
        <v>0</v>
      </c>
      <c r="AT300" s="3064">
        <f>AT246+$C300</f>
        <v>0</v>
      </c>
      <c r="AV300" s="3053"/>
    </row>
    <row r="301" spans="1:48" x14ac:dyDescent="0.2">
      <c r="A301" s="3057" t="str">
        <f>$A$247</f>
        <v>PAGO DE EXCEDENTES / INGRESOS OPERACIONALES</v>
      </c>
      <c r="B301" s="3058">
        <f>B247+$C301</f>
        <v>0</v>
      </c>
      <c r="C301" s="3059"/>
      <c r="D301" s="3058">
        <f>D247+$C301</f>
        <v>0</v>
      </c>
      <c r="G301" s="3058">
        <f>G247+$C301</f>
        <v>0</v>
      </c>
      <c r="J301" s="3058">
        <f>J247+$C301</f>
        <v>0</v>
      </c>
      <c r="M301" s="3058">
        <f>M247+$C301</f>
        <v>0</v>
      </c>
      <c r="P301" s="3058">
        <f>P247+$C301</f>
        <v>0</v>
      </c>
      <c r="S301" s="3058">
        <f>S247+$C301</f>
        <v>0</v>
      </c>
      <c r="V301" s="3058">
        <f>V247+$C301</f>
        <v>0</v>
      </c>
      <c r="Y301" s="3058">
        <f>Y247+$C301</f>
        <v>0</v>
      </c>
      <c r="AB301" s="3058">
        <f>AB247+$C301</f>
        <v>0</v>
      </c>
      <c r="AE301" s="3058">
        <f>AE247+$C301</f>
        <v>0</v>
      </c>
      <c r="AH301" s="3058">
        <f>AH247+$C301</f>
        <v>0</v>
      </c>
      <c r="AK301" s="3058">
        <f>AK247+$C301</f>
        <v>0</v>
      </c>
      <c r="AN301" s="3058">
        <f>AN247+$C301</f>
        <v>0</v>
      </c>
      <c r="AQ301" s="3058">
        <f>AQ247+$C301</f>
        <v>0</v>
      </c>
      <c r="AT301" s="3058">
        <f>AT247+$C301</f>
        <v>0</v>
      </c>
      <c r="AV301" s="3053"/>
    </row>
    <row r="302" spans="1:48" x14ac:dyDescent="0.2">
      <c r="AV302" s="3053"/>
    </row>
    <row r="303" spans="1:48" x14ac:dyDescent="0.2">
      <c r="A303" s="3060" t="str">
        <f>$A$249</f>
        <v>TASA - OBLIGACIONES FINANCIERAS C.P.</v>
      </c>
      <c r="AV303" s="3053"/>
    </row>
    <row r="304" spans="1:48" x14ac:dyDescent="0.2">
      <c r="A304" s="3066" t="str">
        <f>$A$250</f>
        <v>TASA FINANCIACIÓN OBLIGACIONES FINANCIERAS C.P.</v>
      </c>
      <c r="B304" s="3067">
        <f>B250+$C304</f>
        <v>0</v>
      </c>
      <c r="C304" s="3052"/>
      <c r="D304" s="3067">
        <f>D250+$C304</f>
        <v>0</v>
      </c>
      <c r="G304" s="3067">
        <f>G250+$C304</f>
        <v>0</v>
      </c>
      <c r="J304" s="3067">
        <f>J250+$C304</f>
        <v>0</v>
      </c>
      <c r="M304" s="3067">
        <f>M250+$C304</f>
        <v>0</v>
      </c>
      <c r="P304" s="3067">
        <f>P250+$C304</f>
        <v>0</v>
      </c>
      <c r="S304" s="3067">
        <f>S250+$C304</f>
        <v>0</v>
      </c>
      <c r="V304" s="3067">
        <f>V250+$C304</f>
        <v>0</v>
      </c>
      <c r="Y304" s="3067">
        <f>Y250+$C304</f>
        <v>0</v>
      </c>
      <c r="AB304" s="3067">
        <f>AB250+$C304</f>
        <v>0</v>
      </c>
      <c r="AE304" s="3067">
        <f>AE250+$C304</f>
        <v>0</v>
      </c>
      <c r="AH304" s="3067">
        <f>AH250+$C304</f>
        <v>0</v>
      </c>
      <c r="AK304" s="3067">
        <f>AK250+$C304</f>
        <v>0</v>
      </c>
      <c r="AN304" s="3067">
        <f>AN250+$C304</f>
        <v>0</v>
      </c>
      <c r="AQ304" s="3067">
        <f>AQ250+$C304</f>
        <v>0</v>
      </c>
      <c r="AT304" s="3067">
        <f>AT250+$C304</f>
        <v>0</v>
      </c>
      <c r="AV304" s="3053"/>
    </row>
    <row r="305" spans="1:48" x14ac:dyDescent="0.2">
      <c r="A305" s="3066" t="str">
        <f>$A$251</f>
        <v>CÁLCULO INTERESES - OBLIGACIONES C.P.</v>
      </c>
      <c r="B305" s="3068"/>
      <c r="D305" s="3068">
        <f ca="1">D304*B$47</f>
        <v>0</v>
      </c>
      <c r="G305" s="3068">
        <f ca="1">G304*D$47</f>
        <v>0</v>
      </c>
      <c r="J305" s="3068">
        <f ca="1">J304*G$47</f>
        <v>0</v>
      </c>
      <c r="M305" s="3068">
        <f ca="1">M304*J$47</f>
        <v>0</v>
      </c>
      <c r="P305" s="3068">
        <f ca="1">P304*M$47</f>
        <v>0</v>
      </c>
      <c r="S305" s="3068">
        <f ca="1">S304*P$47</f>
        <v>0</v>
      </c>
      <c r="V305" s="3068">
        <f ca="1">V304*S$47</f>
        <v>0</v>
      </c>
      <c r="Y305" s="3068">
        <f ca="1">Y304*V$47</f>
        <v>0</v>
      </c>
      <c r="AB305" s="3068">
        <f ca="1">AB304*Y$47</f>
        <v>0</v>
      </c>
      <c r="AE305" s="3068">
        <f ca="1">AE304*AB$47</f>
        <v>0</v>
      </c>
      <c r="AH305" s="3068">
        <f ca="1">AH304*AE$47</f>
        <v>0</v>
      </c>
      <c r="AK305" s="3068">
        <f ca="1">AK304*AH$47</f>
        <v>0</v>
      </c>
      <c r="AN305" s="3068">
        <f ca="1">AN304*AK$47</f>
        <v>0</v>
      </c>
      <c r="AQ305" s="3068">
        <f ca="1">AQ304*AN$47</f>
        <v>0</v>
      </c>
      <c r="AT305" s="3068">
        <f ca="1">AT304*AQ$47</f>
        <v>0</v>
      </c>
      <c r="AV305" s="3053"/>
    </row>
    <row r="306" spans="1:48" x14ac:dyDescent="0.2">
      <c r="AV306" s="3053"/>
    </row>
    <row r="307" spans="1:48" x14ac:dyDescent="0.2">
      <c r="A307" s="3060" t="str">
        <f>$A$253</f>
        <v>VARIABLES MACROECONÓMICAS</v>
      </c>
      <c r="AV307" s="3053"/>
    </row>
    <row r="308" spans="1:48" x14ac:dyDescent="0.2">
      <c r="A308" s="3048" t="str">
        <f>$A$254</f>
        <v>CRECIMIENTO PIB (VARIACIÓN PORCENTUAL - BASE 1.994)</v>
      </c>
      <c r="B308" s="3069">
        <f ca="1">B254+$C308</f>
        <v>2.7999999999999997E-2</v>
      </c>
      <c r="C308" s="3070"/>
      <c r="D308" s="3069">
        <f ca="1">D254+$C308</f>
        <v>0.03</v>
      </c>
      <c r="G308" s="3069">
        <f ca="1">G254+$C308</f>
        <v>0.03</v>
      </c>
      <c r="J308" s="3069">
        <f ca="1">J254+$C308</f>
        <v>0.03</v>
      </c>
      <c r="M308" s="3069">
        <f ca="1">M254+$C308</f>
        <v>0.03</v>
      </c>
      <c r="P308" s="3069">
        <f ca="1">P254+$C308</f>
        <v>0.03</v>
      </c>
      <c r="S308" s="3069">
        <f ca="1">S254+$C308</f>
        <v>0.03</v>
      </c>
      <c r="V308" s="3069">
        <f ca="1">V254+$C308</f>
        <v>0.03</v>
      </c>
      <c r="Y308" s="3069">
        <f ca="1">Y254+$C308</f>
        <v>0.03</v>
      </c>
      <c r="AB308" s="3069">
        <f ca="1">AB254+$C308</f>
        <v>0.03</v>
      </c>
      <c r="AE308" s="3069">
        <f ca="1">AE254+$C308</f>
        <v>0.03</v>
      </c>
      <c r="AH308" s="3069">
        <f ca="1">AH254+$C308</f>
        <v>0.03</v>
      </c>
      <c r="AK308" s="3069">
        <f ca="1">AK254+$C308</f>
        <v>0.03</v>
      </c>
      <c r="AN308" s="3069">
        <f ca="1">AN254+$C308</f>
        <v>0.03</v>
      </c>
      <c r="AQ308" s="3069">
        <f ca="1">AQ254+$C308</f>
        <v>0.03</v>
      </c>
      <c r="AT308" s="3069">
        <f ca="1">AT254+$C308</f>
        <v>0.03</v>
      </c>
      <c r="AV308" s="3053"/>
    </row>
    <row r="309" spans="1:48" x14ac:dyDescent="0.2">
      <c r="A309" s="3071" t="str">
        <f>$A$255</f>
        <v>VARIACIÓN PORCENTUAL IPC (INFLACIÓN)</v>
      </c>
      <c r="B309" s="3072">
        <f ca="1">B255+$C309</f>
        <v>3.04E-2</v>
      </c>
      <c r="C309" s="3073"/>
      <c r="D309" s="3072">
        <f ca="1">D255+$C309</f>
        <v>2.5000000000000001E-2</v>
      </c>
      <c r="G309" s="3072">
        <f ca="1">G255+$C309</f>
        <v>0.04</v>
      </c>
      <c r="J309" s="3072">
        <f ca="1">J255+$C309</f>
        <v>0.04</v>
      </c>
      <c r="M309" s="3072">
        <f ca="1">M255+$C309</f>
        <v>0.04</v>
      </c>
      <c r="P309" s="3072">
        <f ca="1">P255+$C309</f>
        <v>0.04</v>
      </c>
      <c r="S309" s="3072">
        <f ca="1">S255+$C309</f>
        <v>0.04</v>
      </c>
      <c r="V309" s="3072">
        <f ca="1">V255+$C309</f>
        <v>0.04</v>
      </c>
      <c r="Y309" s="3072">
        <f ca="1">Y255+$C309</f>
        <v>0.04</v>
      </c>
      <c r="AB309" s="3072">
        <f ca="1">AB255+$C309</f>
        <v>0.04</v>
      </c>
      <c r="AE309" s="3072">
        <f ca="1">AE255+$C309</f>
        <v>0.04</v>
      </c>
      <c r="AH309" s="3072">
        <f ca="1">AH255+$C309</f>
        <v>0.04</v>
      </c>
      <c r="AK309" s="3072">
        <f ca="1">AK255+$C309</f>
        <v>0.04</v>
      </c>
      <c r="AN309" s="3072">
        <f ca="1">AN255+$C309</f>
        <v>0.04</v>
      </c>
      <c r="AQ309" s="3072">
        <f ca="1">AQ255+$C309</f>
        <v>0.04</v>
      </c>
      <c r="AT309" s="3072">
        <f ca="1">AT255+$C309</f>
        <v>0.04</v>
      </c>
      <c r="AV309" s="3053"/>
    </row>
    <row r="310" spans="1:48" x14ac:dyDescent="0.2">
      <c r="A310" s="3066" t="str">
        <f>$A$256</f>
        <v>VARIACIÓN TRM  (DEVAL./REVAL.) - AÑO CORRIDO</v>
      </c>
      <c r="B310" s="3074">
        <f ca="1">C329</f>
        <v>-3.2398507017312173E-2</v>
      </c>
      <c r="C310" s="3056"/>
      <c r="D310" s="3074">
        <f ca="1">IF(B311=0,"",D311/B311-1)</f>
        <v>2.8731041456016237E-2</v>
      </c>
      <c r="G310" s="3074">
        <f ca="1">IF(D311=0,"",G311/D311-1)</f>
        <v>3.9998427387054392E-2</v>
      </c>
      <c r="J310" s="3074">
        <f ca="1">IF(G311=0,"",J311/G311-1)</f>
        <v>3.5001086843522877E-2</v>
      </c>
      <c r="M310" s="3074">
        <f ca="1">IF(J311=0,"",M311/J311-1)</f>
        <v>3.4999931515917959E-2</v>
      </c>
      <c r="P310" s="3075">
        <f>P256+$C310</f>
        <v>3.5000000000000003E-2</v>
      </c>
      <c r="S310" s="3075">
        <f>S256+$C310</f>
        <v>3.5000000000000003E-2</v>
      </c>
      <c r="V310" s="3075">
        <f>V256+$C310</f>
        <v>3.5000000000000003E-2</v>
      </c>
      <c r="Y310" s="3075">
        <f>Y256+$C310</f>
        <v>3.5000000000000003E-2</v>
      </c>
      <c r="AB310" s="3075">
        <f>AB256+$C310</f>
        <v>3.5000000000000003E-2</v>
      </c>
      <c r="AE310" s="3075">
        <f>AE256+$C310</f>
        <v>3.5000000000000003E-2</v>
      </c>
      <c r="AH310" s="3075">
        <f>AH256+$C310</f>
        <v>3.5000000000000003E-2</v>
      </c>
      <c r="AK310" s="3075">
        <f>AK256+$C310</f>
        <v>3.5000000000000003E-2</v>
      </c>
      <c r="AN310" s="3075">
        <f>AN256+$C310</f>
        <v>3.5000000000000003E-2</v>
      </c>
      <c r="AQ310" s="3075">
        <f>AQ256+$C310</f>
        <v>3.5000000000000003E-2</v>
      </c>
      <c r="AT310" s="3075">
        <f>AT256+$C310</f>
        <v>3.5000000000000003E-2</v>
      </c>
      <c r="AV310" s="3053"/>
    </row>
    <row r="311" spans="1:48" x14ac:dyDescent="0.2">
      <c r="A311" s="3048" t="str">
        <f>$A$257</f>
        <v>TRM A 31 DE DICIEMBRE (COP POR 1 USD)</v>
      </c>
      <c r="B311" s="3076">
        <f ca="1">B257+$B77</f>
        <v>1978</v>
      </c>
      <c r="C311" s="3077"/>
      <c r="D311" s="3076">
        <f ca="1">D257+$B77</f>
        <v>2034.83</v>
      </c>
      <c r="G311" s="3076">
        <f ca="1">G257+$B77</f>
        <v>2116.2199999999998</v>
      </c>
      <c r="J311" s="3076">
        <f ca="1">J257+$B77</f>
        <v>2190.29</v>
      </c>
      <c r="M311" s="3076">
        <f ca="1">M257+$B77</f>
        <v>2266.9499999999998</v>
      </c>
      <c r="P311" s="3078">
        <f ca="1">M311*(1+P310)</f>
        <v>2346.2932499999997</v>
      </c>
      <c r="S311" s="3078">
        <f ca="1">P311*(1+S310)</f>
        <v>2428.4135137499993</v>
      </c>
      <c r="V311" s="3078">
        <f ca="1">S311*(1+V310)</f>
        <v>2513.4079867312489</v>
      </c>
      <c r="Y311" s="3078">
        <f ca="1">G81*(1+Y310)</f>
        <v>2095.875</v>
      </c>
      <c r="AB311" s="3078">
        <f ca="1">Y311*(1+AB310)</f>
        <v>2169.2306249999997</v>
      </c>
      <c r="AE311" s="3078">
        <f ca="1">AB311*(1+AE310)</f>
        <v>2245.1536968749997</v>
      </c>
      <c r="AH311" s="3078">
        <f ca="1">AE311*(1+AH310)</f>
        <v>2323.7340762656245</v>
      </c>
      <c r="AK311" s="3078">
        <f ca="1">AH311*(1+AK310)</f>
        <v>2405.0647689349212</v>
      </c>
      <c r="AN311" s="3078">
        <f ca="1">AK311*(1+AN310)</f>
        <v>2489.2420358476434</v>
      </c>
      <c r="AQ311" s="3078">
        <f ca="1">AN311*(1+AQ310)</f>
        <v>2576.3655071023109</v>
      </c>
      <c r="AT311" s="3078">
        <f ca="1">AQ311*(1+AT310)</f>
        <v>2666.5382998508917</v>
      </c>
      <c r="AV311" s="3053"/>
    </row>
    <row r="312" spans="1:48" ht="13.5" thickBot="1" x14ac:dyDescent="0.25">
      <c r="A312" s="3079" t="str">
        <f>$A$258</f>
        <v>DTF E.A.</v>
      </c>
      <c r="B312" s="3080">
        <f>B258+$C312</f>
        <v>4.1635332757903119E-2</v>
      </c>
      <c r="C312" s="3081"/>
      <c r="D312" s="3080">
        <f>D258+$C312</f>
        <v>4.5342834547292377E-2</v>
      </c>
      <c r="E312" s="3082"/>
      <c r="F312" s="3082"/>
      <c r="G312" s="3080">
        <f>G258+$C312</f>
        <v>4.5342834547292377E-2</v>
      </c>
      <c r="H312" s="3082"/>
      <c r="I312" s="3082"/>
      <c r="J312" s="3080">
        <f>J258+$C312</f>
        <v>4.5342834547292377E-2</v>
      </c>
      <c r="K312" s="3082"/>
      <c r="L312" s="3082"/>
      <c r="M312" s="3080">
        <f>M258+$C312</f>
        <v>4.5342834547292377E-2</v>
      </c>
      <c r="N312" s="3082"/>
      <c r="O312" s="3082"/>
      <c r="P312" s="3083">
        <f>P258+$C312</f>
        <v>4.5342834547292377E-2</v>
      </c>
      <c r="Q312" s="3082"/>
      <c r="R312" s="3082"/>
      <c r="S312" s="3083">
        <f>S258+$C312</f>
        <v>4.5342834547292377E-2</v>
      </c>
      <c r="T312" s="3082"/>
      <c r="U312" s="3082"/>
      <c r="V312" s="3083">
        <f>V258+$C312</f>
        <v>4.5342834547292377E-2</v>
      </c>
      <c r="W312" s="3082"/>
      <c r="X312" s="3082"/>
      <c r="Y312" s="3083">
        <f>Y258+$C312</f>
        <v>4.5342834547292377E-2</v>
      </c>
      <c r="Z312" s="3082"/>
      <c r="AA312" s="3082"/>
      <c r="AB312" s="3083">
        <f>AB258+$C312</f>
        <v>4.5342834547292377E-2</v>
      </c>
      <c r="AC312" s="3082"/>
      <c r="AD312" s="3082"/>
      <c r="AE312" s="3083">
        <f>AE258+$C312</f>
        <v>4.5342834547292377E-2</v>
      </c>
      <c r="AF312" s="3082"/>
      <c r="AG312" s="3082"/>
      <c r="AH312" s="3083">
        <f>AH258+$C312</f>
        <v>4.5342834547292377E-2</v>
      </c>
      <c r="AI312" s="3082"/>
      <c r="AJ312" s="3082"/>
      <c r="AK312" s="3083">
        <f>AK258+$C312</f>
        <v>4.5342834547292377E-2</v>
      </c>
      <c r="AL312" s="3082"/>
      <c r="AM312" s="3082"/>
      <c r="AN312" s="3083">
        <f>AN258+$C312</f>
        <v>4.5342834547292377E-2</v>
      </c>
      <c r="AO312" s="3082"/>
      <c r="AP312" s="3082"/>
      <c r="AQ312" s="3083">
        <f>AQ258+$C312</f>
        <v>4.5342834547292377E-2</v>
      </c>
      <c r="AR312" s="3082"/>
      <c r="AS312" s="3082"/>
      <c r="AT312" s="3083">
        <f>AT258+$C312</f>
        <v>4.5342834547292377E-2</v>
      </c>
      <c r="AU312" s="3082"/>
      <c r="AV312" s="3084"/>
    </row>
    <row r="313" spans="1:48" x14ac:dyDescent="0.2"/>
    <row r="314" spans="1:48" x14ac:dyDescent="0.2"/>
    <row r="315" spans="1:48" x14ac:dyDescent="0.2">
      <c r="B315" s="2790" t="s">
        <v>1515</v>
      </c>
    </row>
    <row r="316" spans="1:48" x14ac:dyDescent="0.2">
      <c r="B316" s="2790" t="s">
        <v>2107</v>
      </c>
      <c r="C316" s="2790" t="s">
        <v>2108</v>
      </c>
      <c r="E316" s="2790" t="s">
        <v>2109</v>
      </c>
    </row>
    <row r="317" spans="1:48" x14ac:dyDescent="0.2">
      <c r="B317" s="3085" t="s">
        <v>1270</v>
      </c>
      <c r="C317" s="3085" t="s">
        <v>2110</v>
      </c>
      <c r="E317" s="3085" t="s">
        <v>2162</v>
      </c>
    </row>
    <row r="318" spans="1:48" x14ac:dyDescent="0.2">
      <c r="B318" s="3085" t="s">
        <v>1524</v>
      </c>
      <c r="C318" s="3085" t="s">
        <v>1520</v>
      </c>
      <c r="E318" s="3085" t="s">
        <v>2163</v>
      </c>
    </row>
    <row r="319" spans="1:48" x14ac:dyDescent="0.2">
      <c r="B319" s="3085" t="s">
        <v>1530</v>
      </c>
      <c r="E319" s="3085" t="s">
        <v>2164</v>
      </c>
    </row>
    <row r="320" spans="1:48" x14ac:dyDescent="0.2">
      <c r="E320" s="3085" t="s">
        <v>2111</v>
      </c>
    </row>
    <row r="321" spans="2:15" x14ac:dyDescent="0.2">
      <c r="E321" s="3085" t="s">
        <v>2112</v>
      </c>
    </row>
    <row r="322" spans="2:15" x14ac:dyDescent="0.2">
      <c r="E322" s="3085" t="s">
        <v>2113</v>
      </c>
    </row>
    <row r="323" spans="2:15" x14ac:dyDescent="0.2"/>
    <row r="324" spans="2:15" x14ac:dyDescent="0.2">
      <c r="B324" s="2790" t="s">
        <v>2114</v>
      </c>
      <c r="J324" s="2790" t="s">
        <v>2115</v>
      </c>
      <c r="N324" s="2790" t="s">
        <v>2116</v>
      </c>
    </row>
    <row r="325" spans="2:15" x14ac:dyDescent="0.2">
      <c r="J325" s="3085" t="str">
        <f ca="1">CONCATENATE(CELL("DIRECCION",A9),":",CELL("DIRECCION",AV67))</f>
        <v>$A$9:$AV$67</v>
      </c>
      <c r="N325" s="3085" t="str">
        <f ca="1">CONCATENATE(LEFT(SUBSTITUTE(CELL("DIRECCION",B11),"$",""),1),":",LEFT(SUBSTITUTE(CELL("DIRECCION",AV11),"$",""),2))</f>
        <v>B:AV</v>
      </c>
      <c r="O325" s="3085">
        <f>COUNT(B379:AT379)</f>
        <v>16</v>
      </c>
    </row>
    <row r="326" spans="2:15" x14ac:dyDescent="0.2">
      <c r="B326" s="3085" t="str">
        <f ca="1">SUBSTITUTE(CELL("DIRECCION",A10),"$","")</f>
        <v>A10</v>
      </c>
      <c r="C326" s="3085" t="str">
        <f>IF(A2=0,"PROYECTO "&amp;B332,"PROYECTO "&amp;A2)&amp;" - FLUJO DE CAJA PROYECTADO"&amp;IF($B$71=$C$318,""," - ESCENARIO "&amp;B72)</f>
        <v>PROYECTO Prueba Da 27.08.23 - FLUJO DE CAJA PROYECTADO</v>
      </c>
    </row>
    <row r="327" spans="2:15" x14ac:dyDescent="0.2">
      <c r="B327" s="3085" t="str">
        <f ca="1">SUBSTITUTE(CELL("DIRECCION",B256),"$","")</f>
        <v>B256</v>
      </c>
      <c r="C327" s="3085">
        <f ca="1">IF(B333=0,"",B257/B333-1)</f>
        <v>-3.2398507017312173E-2</v>
      </c>
    </row>
    <row r="328" spans="2:15" x14ac:dyDescent="0.2">
      <c r="B328" s="3085" t="str">
        <f ca="1">SUBSTITUTE(CELL("DIRECCION",B283),"$","")</f>
        <v>B283</v>
      </c>
      <c r="C328" s="3085">
        <f ca="1">IF(B333=0,"",B284/B333-1)</f>
        <v>-3.2398507017312173E-2</v>
      </c>
    </row>
    <row r="329" spans="2:15" x14ac:dyDescent="0.2">
      <c r="B329" s="3085" t="str">
        <f ca="1">SUBSTITUTE(CELL("DIRECCION",B310),"$","")</f>
        <v>B310</v>
      </c>
      <c r="C329" s="3085">
        <f ca="1">IF(B333=0,"",B311/B333-1)</f>
        <v>-3.2398507017312173E-2</v>
      </c>
    </row>
    <row r="330" spans="2:15" x14ac:dyDescent="0.2"/>
    <row r="331" spans="2:15" x14ac:dyDescent="0.2"/>
    <row r="332" spans="2:15" x14ac:dyDescent="0.2">
      <c r="B332" s="3086" t="str">
        <f>'Balances y Proyecciones'!B14</f>
        <v>Prueba Da 27.08.23</v>
      </c>
      <c r="C332" s="3085" t="s">
        <v>2117</v>
      </c>
    </row>
    <row r="333" spans="2:15" x14ac:dyDescent="0.2">
      <c r="B333" s="3085">
        <v>2044.23</v>
      </c>
    </row>
    <row r="334" spans="2:15" x14ac:dyDescent="0.2"/>
    <row r="335" spans="2:15" x14ac:dyDescent="0.2"/>
    <row r="336" spans="2:15" x14ac:dyDescent="0.2"/>
    <row r="337" spans="1:46" x14ac:dyDescent="0.2"/>
    <row r="338" spans="1:46" x14ac:dyDescent="0.2"/>
    <row r="339" spans="1:46" x14ac:dyDescent="0.2"/>
    <row r="340" spans="1:46" x14ac:dyDescent="0.2"/>
    <row r="341" spans="1:46" x14ac:dyDescent="0.2"/>
    <row r="342" spans="1:46" x14ac:dyDescent="0.2"/>
    <row r="343" spans="1:46" x14ac:dyDescent="0.2"/>
    <row r="344" spans="1:46" x14ac:dyDescent="0.2"/>
    <row r="345" spans="1:46" x14ac:dyDescent="0.2">
      <c r="B345" s="2790" t="s">
        <v>2118</v>
      </c>
    </row>
    <row r="346" spans="1:46" x14ac:dyDescent="0.2">
      <c r="B346" s="3087">
        <f>B12/360*B215</f>
        <v>0</v>
      </c>
      <c r="D346" s="3087">
        <f>D12/360*D215</f>
        <v>0</v>
      </c>
      <c r="G346" s="3087">
        <f>G12/360*G215</f>
        <v>0</v>
      </c>
      <c r="J346" s="3087">
        <f>J12/360*J215</f>
        <v>0</v>
      </c>
      <c r="M346" s="3087">
        <f>M12/360*M215</f>
        <v>0</v>
      </c>
      <c r="P346" s="3087">
        <f>P12/360*P215</f>
        <v>0</v>
      </c>
      <c r="S346" s="3087">
        <f>S12/360*S215</f>
        <v>0</v>
      </c>
      <c r="V346" s="3087">
        <f>V12/360*V215</f>
        <v>0</v>
      </c>
      <c r="Y346" s="3087">
        <f>Y12/360*Y215</f>
        <v>0</v>
      </c>
      <c r="AB346" s="3087">
        <f>AB12/360*AB215</f>
        <v>0</v>
      </c>
      <c r="AE346" s="3087">
        <f>AE12/360*AE215</f>
        <v>0</v>
      </c>
      <c r="AH346" s="3087">
        <f>AH12/360*AH215</f>
        <v>0</v>
      </c>
      <c r="AK346" s="3087">
        <f>AK12/360*AK215</f>
        <v>0</v>
      </c>
      <c r="AN346" s="3087">
        <f>AN12/360*AN215</f>
        <v>0</v>
      </c>
      <c r="AQ346" s="3087">
        <f>AQ12/360*AQ215</f>
        <v>0</v>
      </c>
      <c r="AT346" s="3087">
        <f>AT12/360*AT215</f>
        <v>0</v>
      </c>
    </row>
    <row r="347" spans="1:46" x14ac:dyDescent="0.2"/>
    <row r="348" spans="1:46" x14ac:dyDescent="0.2"/>
    <row r="349" spans="1:46" x14ac:dyDescent="0.2"/>
    <row r="350" spans="1:46" x14ac:dyDescent="0.2">
      <c r="A350" s="2790" t="s">
        <v>2119</v>
      </c>
    </row>
    <row r="351" spans="1:46" x14ac:dyDescent="0.2">
      <c r="A351" s="3088" t="str">
        <f ca="1">IF(SUM($B$351:$AE$351)&gt;0,"S","N")</f>
        <v>N</v>
      </c>
      <c r="B351" s="3087">
        <f ca="1">IF(ABS(B46)&lt;=0.5,0,1)</f>
        <v>0</v>
      </c>
      <c r="D351" s="3087">
        <f ca="1">IF(ABS(D46)&lt;=0.5,0,1)</f>
        <v>0</v>
      </c>
      <c r="G351" s="3087">
        <f ca="1">IF(ABS(G46)&lt;=0.5,0,1)</f>
        <v>0</v>
      </c>
      <c r="J351" s="3087">
        <f ca="1">IF(ABS(J46)&lt;=0.5,0,1)</f>
        <v>0</v>
      </c>
      <c r="M351" s="3087">
        <f ca="1">IF(ABS(M46)&lt;=0.5,0,1)</f>
        <v>0</v>
      </c>
      <c r="P351" s="3087">
        <f ca="1">IF(ABS(P46)&lt;=0.5,0,1)</f>
        <v>0</v>
      </c>
      <c r="S351" s="3087">
        <f ca="1">IF(ABS(S46)&lt;=0.5,0,1)</f>
        <v>0</v>
      </c>
      <c r="V351" s="3087">
        <f ca="1">IF(ABS(V46)&lt;=0.5,0,1)</f>
        <v>0</v>
      </c>
      <c r="Y351" s="3087">
        <f ca="1">IF(ABS(Y46)&lt;=0.5,0,1)</f>
        <v>0</v>
      </c>
      <c r="AB351" s="3087">
        <f ca="1">IF(ABS(AB46)&lt;=0.5,0,1)</f>
        <v>0</v>
      </c>
      <c r="AE351" s="3087">
        <f ca="1">IF(ABS(AE46)&lt;=0.5,0,1)</f>
        <v>0</v>
      </c>
      <c r="AH351" s="3087">
        <f ca="1">IF(ABS(AH46)&lt;=0.5,0,1)</f>
        <v>0</v>
      </c>
      <c r="AK351" s="3087">
        <f ca="1">IF(ABS(AK46)&lt;=0.5,0,1)</f>
        <v>0</v>
      </c>
      <c r="AN351" s="3087">
        <f ca="1">IF(ABS(AN46)&lt;=0.5,0,1)</f>
        <v>0</v>
      </c>
      <c r="AQ351" s="3087">
        <f ca="1">IF(ABS(AQ46)&lt;=0.5,0,1)</f>
        <v>0</v>
      </c>
      <c r="AT351" s="3087">
        <f ca="1">IF(ABS(AT46)&lt;=0.5,0,1)</f>
        <v>0</v>
      </c>
    </row>
    <row r="352" spans="1:46" x14ac:dyDescent="0.2"/>
    <row r="353" spans="1:18" x14ac:dyDescent="0.2"/>
    <row r="354" spans="1:18" x14ac:dyDescent="0.2"/>
    <row r="355" spans="1:18" x14ac:dyDescent="0.2">
      <c r="A355" s="3089" t="s">
        <v>1554</v>
      </c>
      <c r="B355" s="3090"/>
      <c r="C355" s="3090"/>
      <c r="D355" s="3090"/>
      <c r="E355" s="3090"/>
      <c r="F355" s="3090"/>
      <c r="G355" s="3090"/>
      <c r="H355" s="3091"/>
      <c r="I355" s="3091"/>
    </row>
    <row r="356" spans="1:18" ht="22.5" x14ac:dyDescent="0.2">
      <c r="A356" s="3092" t="s">
        <v>2120</v>
      </c>
      <c r="B356" s="3093"/>
      <c r="C356" s="3094">
        <f>$B$80+IF($B$79="",0,VLOOKUP($B$79,$L$357:$O$368,4,0)/12)+IF(OR($B$78="",$B$78=0),0,$B$78/12)+IF($B$75="",0,VLOOKUP($B$75,$P$357:$R$360,2,0)/12)-IF($B$75="",0,IF(D356&gt;VLOOKUP($B$75,$P$357:$R$360,3,0),E356,0))</f>
        <v>0</v>
      </c>
      <c r="D356" s="3095">
        <f>IF($B$75="",0,IF(G356-F356&lt;=0.01,G356,ROUNDDOWN((12-((($B$80+IF($B$79="",0,VLOOKUP($B$79,$L$357:$O$368,4,0)/12)+IF(OR($B$78="",$B$78=0),0,$B$78/12)+IF($B$75="",0,VLOOKUP($B$75,$P$357:$R$360,2,0)/12))-ROUNDDOWN(($B$80+IF($B$79="",0,VLOOKUP($B$79,$L$357:$O$368,4,0)/12)+IF(OR($B$78="",$B$78=0),0,$B$78/12)+IF($B$75="",0,VLOOKUP($B$75,$P$357:$R$360,2,0)/12)),0)-IF($B$75="",0,VLOOKUP($B$75,$P$357:$R$360,2,0)/12))*12))/VLOOKUP($B$75,$P$357:$R$360,2,0),0)))</f>
        <v>0</v>
      </c>
      <c r="E356" s="3096">
        <f>IF($B$75="",1,IF(D356&gt;VLOOKUP($B$75,$P$357:$R$360,3,0),(D356-VLOOKUP($B$75,$P$357:$R$360,3,0))/VLOOKUP($B$75,$P$357:$R$360,3,0),D356/VLOOKUP($B$75,$P$357:$R$360,3,0)))</f>
        <v>1</v>
      </c>
      <c r="F356" s="3095">
        <f>IF($B$75="",0,(12-((($B$80+IF($B$79="",0,VLOOKUP($B$79,$L$357:$O$368,4,0)/12)+IF(OR($B$78="",$B$78=0),0,$B$78/12)+IF($B$75="",0,VLOOKUP($B$75,$P$357:$R$360,2,0)/12))-ROUNDDOWN(($B$80+IF($B$79="",0,VLOOKUP($B$79,$L$357:$O$368,4,0)/12)+IF(OR($B$78="",$B$78=0),0,$B$78/12)+IF($B$75="",0,VLOOKUP($B$75,$P$357:$R$360,2,0)/12)),0)-IF($B$75="",0,VLOOKUP($B$75,$P$357:$R$360,2,0)/12))*12))/VLOOKUP($B$75,$P$357:$R$360,2,0))</f>
        <v>0</v>
      </c>
      <c r="G356" s="3095">
        <f>IF($B$75="",0,ROUND((12-((($B$80+IF($B$79="",0,VLOOKUP($B$79,$L$357:$O$368,4,0)/12)+IF(OR($B$78="",$B$78=0),0,$B$78/12)+IF($B$75="",0,VLOOKUP($B$75,$P$357:$R$360,2,0)/12))-ROUNDDOWN(($B$80+IF($B$79="",0,VLOOKUP($B$79,$L$357:$O$368,4,0)/12)+IF(OR($B$78="",$B$78=0),0,$B$78/12)+IF($B$75="",0,VLOOKUP($B$75,$P$357:$R$360,2,0)/12)),0)-IF($B$75="",0,VLOOKUP($B$75,$P$357:$R$360,2,0)/12))*12))/VLOOKUP($B$75,$P$357:$R$360,2,0),0))</f>
        <v>0</v>
      </c>
      <c r="H356" s="3097">
        <f>IF($B$75="",0,ROUNDDOWN(($B$77-$B$78/12)*VLOOKUP($B$75,$P$357:$R$360,3,0),0))</f>
        <v>0</v>
      </c>
      <c r="I356" s="3098">
        <f>IF($B$79="",0,VLOOKUP($B$79,$L$357:$N$368,3,0))</f>
        <v>0</v>
      </c>
      <c r="J356" s="2793" t="s">
        <v>2121</v>
      </c>
      <c r="L356" s="502" t="s">
        <v>1570</v>
      </c>
    </row>
    <row r="357" spans="1:18" ht="22.5" x14ac:dyDescent="0.2">
      <c r="A357" s="3092" t="s">
        <v>2122</v>
      </c>
      <c r="B357" s="3093"/>
      <c r="C357" s="3094">
        <f>$B$93+IF($B$92="",0,VLOOKUP($B$92,$L$357:$O$368,4,0)/12)+IF(OR($B$91="",$B$91=0),0,$B$91/12)+IF($B$88="",0,VLOOKUP($B$88,$P$357:$R$360,2,0)/12)-IF($B$88="",0,IF(D357&gt;VLOOKUP($B$88,$P$357:$R$360,3,0),E357,0))</f>
        <v>0</v>
      </c>
      <c r="D357" s="3095">
        <f>IF($B$88="",0,IF(G357-F357&lt;=0.01,G357,ROUNDDOWN((12-((($B$93+IF($B$92="",0,VLOOKUP($B$92,$L$357:$O$368,4,0)/12)+IF(OR($B$91="",$B$91=0),0,$B$91/12)+IF($B$88="",0,VLOOKUP($B$88,$P$357:$R$360,2,0)/12))-ROUNDDOWN(($B$93+IF($B$92="",0,VLOOKUP($B$92,$L$357:$O$368,4,0)/12)+IF(OR($B$91="",$B$91=0),0,$B$91/12)+IF($B$88="",0,VLOOKUP($B$88,$P$357:$R$360,2,0)/12)),0)-IF($B$88="",0,VLOOKUP($B$88,$P$357:$R$360,2,0)/12))*12))/VLOOKUP($B$88,$P$357:$R$360,2,0),0)))</f>
        <v>0</v>
      </c>
      <c r="E357" s="3096">
        <f>IF($B$88="",1,IF(D357&gt;VLOOKUP($B$88,$P$357:$R$360,3,0),(D357-VLOOKUP($B$88,$P$357:$R$360,3,0))/VLOOKUP($B$88,$P$357:$R$360,3,0),D357/VLOOKUP($B$88,$P$357:$R$360,3,0)))</f>
        <v>1</v>
      </c>
      <c r="F357" s="3095">
        <f>IF($B$88="",0,(12-((($B$93+IF($B$92="",0,VLOOKUP($B$92,$L$357:$O$368,4,0)/12)+IF(OR($B$91="",$B$91=0),0,$B$91/12)+IF($B$88="",0,VLOOKUP($B$88,$P$357:$R$360,2,0)/12))-ROUNDDOWN(($B$93+IF($B$92="",0,VLOOKUP($B$92,$L$357:$O$368,4,0)/12)+IF(OR($B$91="",$B$91=0),0,$B$91/12)+IF($B$88="",0,VLOOKUP($B$88,$P$357:$R$360,2,0)/12)),0)-IF($B$88="",0,VLOOKUP($B$88,$P$357:$R$360,2,0)/12))*12))/VLOOKUP($B$88,$P$357:$R$360,2,0))</f>
        <v>0</v>
      </c>
      <c r="G357" s="3095">
        <f>IF($B$88="",0,ROUND((12-((($B$93+IF($B$92="",0,VLOOKUP($B$92,$L$357:$O$368,4,0)/12)+IF(OR($B$91="",$B$91=0),0,$B$91/12)+IF($B$88="",0,VLOOKUP($B$88,$P$357:$R$360,2,0)/12))-ROUNDDOWN(($B$93+IF($B$92="",0,VLOOKUP($B$92,$L$357:$O$368,4,0)/12)+IF(OR($B$91="",$B$91=0),0,$B$91/12)+IF($B$88="",0,VLOOKUP($B$88,$P$357:$R$360,2,0)/12)),0)-IF($B$88="",0,VLOOKUP($B$88,$P$357:$R$360,2,0)/12))*12))/VLOOKUP($B$88,$P$357:$R$360,2,0),0))</f>
        <v>0</v>
      </c>
      <c r="H357" s="3097">
        <f>IF($B$88="",0,ROUNDDOWN(($B$90-$B$91/12)*VLOOKUP($B$88,$P$357:$R$360,3,0),0))</f>
        <v>0</v>
      </c>
      <c r="I357" s="3098">
        <f>IF($B$92="",0,VLOOKUP($B$92,$L$357:$N$368,3,0))</f>
        <v>0</v>
      </c>
      <c r="J357" s="3099">
        <f ca="1">B11</f>
        <v>2023</v>
      </c>
      <c r="L357" s="3085" t="s">
        <v>1572</v>
      </c>
      <c r="M357" s="3100">
        <v>12</v>
      </c>
      <c r="N357" s="3101">
        <f t="shared" ref="N357:N368" si="15">M357/12</f>
        <v>1</v>
      </c>
      <c r="O357" s="600">
        <v>0</v>
      </c>
      <c r="P357" s="3085" t="s">
        <v>1573</v>
      </c>
      <c r="Q357" s="3099">
        <v>1</v>
      </c>
      <c r="R357" s="3102">
        <v>12</v>
      </c>
    </row>
    <row r="358" spans="1:18" ht="22.5" x14ac:dyDescent="0.2">
      <c r="A358" s="3092" t="s">
        <v>2123</v>
      </c>
      <c r="B358" s="3093"/>
      <c r="C358" s="3094">
        <f>$B$106+IF($B$105="",0,VLOOKUP($B$105,$L$357:$O$368,4,0)/12)+IF(OR($B$104="",$B$104=0),0,$B$104/12)+IF($B$101="",0,VLOOKUP($B$101,$P$357:$R$360,2,0)/12)-IF($B$101="",0,IF(D358&gt;VLOOKUP($B$101,$P$357:$R$360,3,0),E358,0))</f>
        <v>0</v>
      </c>
      <c r="D358" s="3095">
        <f>IF($B$101="",0,IF(G358-F358&lt;=0.01,G358,ROUNDDOWN((12-((($B$106+IF($B$105="",0,VLOOKUP($B$105,$L$357:$O$368,4,0)/12)+IF(OR($B$104="",$B$104=0),0,$B$104/12)+IF($B$101="",0,VLOOKUP($B$101,$P$357:$R$360,2,0)/12))-ROUNDDOWN(($B$106+IF($B$105="",0,VLOOKUP($B$105,$L$357:$O$368,4,0)/12)+IF(OR($B$104="",$B$104=0),0,$B$104/12)+IF($B$101="",0,VLOOKUP($B$101,$P$357:$R$360,2,0)/12)),0)-IF($B$101="",0,VLOOKUP($B$101,$P$357:$R$360,2,0)/12))*12))/VLOOKUP($B$101,$P$357:$R$360,2,0),0)))</f>
        <v>0</v>
      </c>
      <c r="E358" s="3096">
        <f>IF($B$101="",1,IF(D358&gt;VLOOKUP($B$101,$P$357:$R$360,3,0),(D358-VLOOKUP($B$101,$P$357:$R$360,3,0))/VLOOKUP($B$101,$P$357:$R$360,3,0),D358/VLOOKUP($B$101,$P$357:$R$360,3,0)))</f>
        <v>1</v>
      </c>
      <c r="F358" s="3095">
        <f>IF($B$101="",0,(12-((($B$106+IF($B$105="",0,VLOOKUP($B$105,$L$357:$O$368,4,0)/12)+IF(OR($B$104="",$B$104=0),0,$B$104/12)+IF($B$101="",0,VLOOKUP($B$101,$P$357:$R$360,2,0)/12))-ROUNDDOWN(($B$106+IF($B$105="",0,VLOOKUP($B$105,$L$357:$O$368,4,0)/12)+IF(OR($B$104="",$B$104=0),0,$B$104/12)+IF($B$101="",0,VLOOKUP($B$101,$P$357:$R$360,2,0)/12)),0)-IF($B$101="",0,VLOOKUP($B$101,$P$357:$R$360,2,0)/12))*12))/VLOOKUP($B$101,$P$357:$R$360,2,0))</f>
        <v>0</v>
      </c>
      <c r="G358" s="3095">
        <f>IF($B$101="",0,ROUND((12-((($B$106+IF($B$105="",0,VLOOKUP($B$105,$L$357:$O$368,4,0)/12)+IF(OR($B$104="",$B$104=0),0,$B$104/12)+IF($B$101="",0,VLOOKUP($B$101,$P$357:$R$360,2,0)/12))-ROUNDDOWN(($B$106+IF($B$105="",0,VLOOKUP($B$105,$L$357:$O$368,4,0)/12)+IF(OR($B$104="",$B$104=0),0,$B$104/12)+IF($B$101="",0,VLOOKUP($B$101,$P$357:$R$360,2,0)/12)),0)-IF($B$101="",0,VLOOKUP($B$101,$P$357:$R$360,2,0)/12))*12))/VLOOKUP($B$101,$P$357:$R$360,2,0),0))</f>
        <v>0</v>
      </c>
      <c r="H358" s="3097">
        <f>IF($B$101="",0,ROUNDDOWN(($B$103-$B$104/12)*VLOOKUP($B$101,$P$357:$R$360,3,0),0))</f>
        <v>0</v>
      </c>
      <c r="I358" s="3098">
        <f>IF($B$105="",0,VLOOKUP($B$105,$L$357:$N$368,3,0))</f>
        <v>0</v>
      </c>
      <c r="J358" s="3099">
        <f ca="1">D11</f>
        <v>2024</v>
      </c>
      <c r="L358" s="3085" t="s">
        <v>1574</v>
      </c>
      <c r="M358" s="3100">
        <v>11</v>
      </c>
      <c r="N358" s="3101">
        <f t="shared" si="15"/>
        <v>0.91666666666666663</v>
      </c>
      <c r="O358" s="600">
        <v>1</v>
      </c>
      <c r="P358" s="3085" t="s">
        <v>1575</v>
      </c>
      <c r="Q358" s="3099">
        <v>3</v>
      </c>
      <c r="R358" s="3102">
        <v>4</v>
      </c>
    </row>
    <row r="359" spans="1:18" ht="22.5" x14ac:dyDescent="0.2">
      <c r="A359" s="3092" t="s">
        <v>2124</v>
      </c>
      <c r="B359" s="3093"/>
      <c r="C359" s="3094">
        <f>$B$119+IF($B$118="",0,VLOOKUP($B$118,$L$357:$O$368,4,0)/12)+IF(OR($B$117="",$B$117=0),0,$B$117/12)+IF($B$114="",0,VLOOKUP($B$114,$P$357:$R$360,2,0)/12)-IF($B$114="",0,IF(D359&gt;VLOOKUP($B$114,$P$357:$R$360,3,0),E359,0))</f>
        <v>0</v>
      </c>
      <c r="D359" s="3095">
        <f>IF($B$114="",0,IF(G359-F359&lt;=0.01,G359,ROUNDDOWN((12-((($B$119+IF($B$118="",0,VLOOKUP($B$118,$L$357:$O$368,4,0)/12)+IF(OR($B$117="",$B$117=0),0,$B$117/12)+IF($B$114="",0,VLOOKUP($B$114,$P$357:$R$360,2,0)/12))-ROUNDDOWN(($B$119+IF($B$118="",0,VLOOKUP($B$118,$L$357:$O$368,4,0)/12)+IF(OR($B$117="",$B$117=0),0,$B$117/12)+IF($B$114="",0,VLOOKUP($B$114,$P$357:$R$360,2,0)/12)),0)-IF($B$114="",0,VLOOKUP($B$114,$P$357:$R$360,2,0)/12))*12))/VLOOKUP($B$114,$P$357:$R$360,2,0),0)))</f>
        <v>0</v>
      </c>
      <c r="E359" s="3096">
        <f>IF($B$114="",1,IF(D359&gt;VLOOKUP($B$114,$P$357:$R$360,3,0),(D359-VLOOKUP($B$114,$P$357:$R$360,3,0))/VLOOKUP($B$114,$P$357:$R$360,3,0),D359/VLOOKUP($B$114,$P$357:$R$360,3,0)))</f>
        <v>1</v>
      </c>
      <c r="F359" s="3095">
        <f>IF($B$114="",0,(12-((($B$119+IF($B$118="",0,VLOOKUP($B$118,$L$357:$O$368,4,0)/12)+IF(OR($B$117="",$B$117=0),0,$B$117/12)+IF($B$114="",0,VLOOKUP($B$114,$P$357:$R$360,2,0)/12))-ROUNDDOWN(($B$119+IF($B$118="",0,VLOOKUP($B$118,$L$357:$O$368,4,0)/12)+IF(OR($B$117="",$B$117=0),0,$B$117/12)+IF($B$114="",0,VLOOKUP($B$114,$P$357:$R$360,2,0)/12)),0)-IF($B$114="",0,VLOOKUP($B$114,$P$357:$R$360,2,0)/12))*12))/VLOOKUP($B$114,$P$357:$R$360,2,0))</f>
        <v>0</v>
      </c>
      <c r="G359" s="3095">
        <f>IF($B$114="",0,ROUND((12-((($B$119+IF($B$118="",0,VLOOKUP($B$118,$L$357:$O$368,4,0)/12)+IF(OR($B$117="",$B$117=0),0,$B$117/12)+IF($B$114="",0,VLOOKUP($B$114,$P$357:$R$360,2,0)/12))-ROUNDDOWN(($B$119+IF($B$118="",0,VLOOKUP($B$118,$L$357:$O$368,4,0)/12)+IF(OR($B$117="",$B$117=0),0,$B$117/12)+IF($B$114="",0,VLOOKUP($B$114,$P$357:$R$360,2,0)/12)),0)-IF($B$114="",0,VLOOKUP($B$114,$P$357:$R$360,2,0)/12))*12))/VLOOKUP($B$114,$P$357:$R$360,2,0),0))</f>
        <v>0</v>
      </c>
      <c r="H359" s="3097">
        <f>IF($B$114="",0,ROUNDDOWN(($B$116-$B$117/12)*VLOOKUP($B$114,$P$357:$R$360,3,0),0))</f>
        <v>0</v>
      </c>
      <c r="I359" s="3098">
        <f>IF($B$118="",0,VLOOKUP($B$118,$L$357:$N$368,3,0))</f>
        <v>0</v>
      </c>
      <c r="J359" s="3099">
        <f ca="1">G11</f>
        <v>2025</v>
      </c>
      <c r="L359" s="3085" t="s">
        <v>1576</v>
      </c>
      <c r="M359" s="3100">
        <v>10</v>
      </c>
      <c r="N359" s="3101">
        <f t="shared" si="15"/>
        <v>0.83333333333333337</v>
      </c>
      <c r="O359" s="600">
        <v>2</v>
      </c>
      <c r="P359" s="3085" t="s">
        <v>1577</v>
      </c>
      <c r="Q359" s="3099">
        <v>6</v>
      </c>
      <c r="R359" s="3102">
        <v>2</v>
      </c>
    </row>
    <row r="360" spans="1:18" ht="22.5" x14ac:dyDescent="0.2">
      <c r="A360" s="3092" t="s">
        <v>2125</v>
      </c>
      <c r="B360" s="3093"/>
      <c r="C360" s="3094">
        <f>$B$132+IF($B$131="",0,VLOOKUP($B$131,$L$357:$O$368,4,0)/12)+IF(OR($B$130="",$B$130=0),0,$B$130/12)+IF($B$127="",0,VLOOKUP($B$127,$P$357:$R$360,2,0)/12)-IF($B$127="",0,IF(D360&gt;VLOOKUP($B$127,$P$357:$R$360,3,0),E360,0))</f>
        <v>0</v>
      </c>
      <c r="D360" s="3095">
        <f>IF($B$127="",0,IF(G360-F360&lt;=0.01,G360,ROUNDDOWN((12-((($B$132+IF($B$131="",0,VLOOKUP($B$131,$L$357:$O$368,4,0)/12)+IF(OR($B$130="",$B$130=0),0,$B$130/12)+IF($B$127="",0,VLOOKUP($B$127,$P$357:$R$360,2,0)/12))-ROUNDDOWN(($B$132+IF($B$131="",0,VLOOKUP($B$131,$L$357:$O$368,4,0)/12)+IF(OR($B$130="",$B$130=0),0,$B$130/12)+IF($B$127="",0,VLOOKUP($B$127,$P$357:$R$360,2,0)/12)),0)-IF($B$127="",0,VLOOKUP($B$127,$P$357:$R$360,2,0)/12))*12))/VLOOKUP($B$127,$P$357:$R$360,2,0),0)))</f>
        <v>0</v>
      </c>
      <c r="E360" s="3096">
        <f>IF($B$127="",1,IF(D360&gt;VLOOKUP($B$127,$P$357:$R$360,3,0),(D360-VLOOKUP($B$127,$P$357:$R$360,3,0))/VLOOKUP($B$127,$P$357:$R$360,3,0),D360/VLOOKUP($B$127,$P$357:$R$360,3,0)))</f>
        <v>1</v>
      </c>
      <c r="F360" s="3095">
        <f>IF($B$127="",0,(12-((($B$132+IF($B$131="",0,VLOOKUP($B$131,$L$357:$O$368,4,0)/12)+IF(OR($B$130="",$B$130=0),0,$B$130/12)+IF($B$127="",0,VLOOKUP($B$127,$P$357:$R$360,2,0)/12))-ROUNDDOWN(($B$132+IF($B$131="",0,VLOOKUP($B$131,$L$357:$O$368,4,0)/12)+IF(OR($B$130="",$B$130=0),0,$B$130/12)+IF($B$127="",0,VLOOKUP($B$127,$P$357:$R$360,2,0)/12)),0)-IF($B$127="",0,VLOOKUP($B$127,$P$357:$R$360,2,0)/12))*12))/VLOOKUP($B$127,$P$357:$R$360,2,0))</f>
        <v>0</v>
      </c>
      <c r="G360" s="3095">
        <f>IF($B$127="",0,ROUND((12-((($B$132+IF($B$131="",0,VLOOKUP($B$131,$L$357:$O$368,4,0)/12)+IF(OR($B$130="",$B$130=0),0,$B$130/12)+IF($B$127="",0,VLOOKUP($B$127,$P$357:$R$360,2,0)/12))-ROUNDDOWN(($B$132+IF($B$131="",0,VLOOKUP($B$131,$L$357:$O$368,4,0)/12)+IF(OR($B$130="",$B$130=0),0,$B$130/12)+IF($B$127="",0,VLOOKUP($B$127,$P$357:$R$360,2,0)/12)),0)-IF($B$127="",0,VLOOKUP($B$127,$P$357:$R$360,2,0)/12))*12))/VLOOKUP($B$127,$P$357:$R$360,2,0),0))</f>
        <v>0</v>
      </c>
      <c r="H360" s="3097">
        <f>IF($B$127="",0,ROUNDDOWN(($B$129-$B$130/12)*VLOOKUP($B$127,$P$357:$R$360,3,0),0))</f>
        <v>0</v>
      </c>
      <c r="I360" s="3098">
        <f>IF($B$131="",0,VLOOKUP($B$131,$L$357:$N$368,3,0))</f>
        <v>0</v>
      </c>
      <c r="J360" s="3099">
        <f ca="1">J11</f>
        <v>2026</v>
      </c>
      <c r="L360" s="3085" t="s">
        <v>1578</v>
      </c>
      <c r="M360" s="3100">
        <v>9</v>
      </c>
      <c r="N360" s="3101">
        <f t="shared" si="15"/>
        <v>0.75</v>
      </c>
      <c r="O360" s="600">
        <v>3</v>
      </c>
      <c r="P360" s="3085" t="s">
        <v>1579</v>
      </c>
      <c r="Q360" s="3099">
        <v>12</v>
      </c>
      <c r="R360" s="3102">
        <v>1</v>
      </c>
    </row>
    <row r="361" spans="1:18" x14ac:dyDescent="0.2">
      <c r="J361" s="3099">
        <f ca="1">M11</f>
        <v>2027</v>
      </c>
      <c r="L361" s="3085" t="s">
        <v>1580</v>
      </c>
      <c r="M361" s="3100">
        <v>8</v>
      </c>
      <c r="N361" s="3101">
        <f t="shared" si="15"/>
        <v>0.66666666666666663</v>
      </c>
      <c r="O361" s="600">
        <v>4</v>
      </c>
    </row>
    <row r="362" spans="1:18" x14ac:dyDescent="0.2">
      <c r="J362" s="3099">
        <f ca="1">P11</f>
        <v>2028</v>
      </c>
      <c r="L362" s="3085" t="s">
        <v>1582</v>
      </c>
      <c r="M362" s="3100">
        <v>7</v>
      </c>
      <c r="N362" s="3101">
        <f t="shared" si="15"/>
        <v>0.58333333333333337</v>
      </c>
      <c r="O362" s="600">
        <v>5</v>
      </c>
    </row>
    <row r="363" spans="1:18" x14ac:dyDescent="0.2">
      <c r="J363" s="3099">
        <f ca="1">S11</f>
        <v>2029</v>
      </c>
      <c r="L363" s="3085" t="s">
        <v>1584</v>
      </c>
      <c r="M363" s="3100">
        <v>6</v>
      </c>
      <c r="N363" s="3101">
        <f t="shared" si="15"/>
        <v>0.5</v>
      </c>
      <c r="O363" s="600">
        <v>6</v>
      </c>
    </row>
    <row r="364" spans="1:18" x14ac:dyDescent="0.2">
      <c r="J364" s="3099">
        <f ca="1">V11</f>
        <v>2030</v>
      </c>
      <c r="L364" s="3085" t="s">
        <v>1585</v>
      </c>
      <c r="M364" s="3100">
        <v>5</v>
      </c>
      <c r="N364" s="3101">
        <f t="shared" si="15"/>
        <v>0.41666666666666669</v>
      </c>
      <c r="O364" s="600">
        <v>7</v>
      </c>
    </row>
    <row r="365" spans="1:18" x14ac:dyDescent="0.2">
      <c r="A365" s="3089" t="s">
        <v>1567</v>
      </c>
      <c r="B365" s="3090"/>
      <c r="C365" s="3090"/>
      <c r="D365" s="3090"/>
      <c r="E365" s="3090"/>
      <c r="F365" s="3090"/>
      <c r="G365" s="3090"/>
      <c r="H365" s="3090"/>
      <c r="I365" s="3091"/>
      <c r="J365" s="3099">
        <f ca="1">Y11</f>
        <v>2031</v>
      </c>
      <c r="L365" s="3085" t="s">
        <v>1587</v>
      </c>
      <c r="M365" s="3100">
        <v>4</v>
      </c>
      <c r="N365" s="3101">
        <f t="shared" si="15"/>
        <v>0.33333333333333331</v>
      </c>
      <c r="O365" s="600">
        <v>8</v>
      </c>
    </row>
    <row r="366" spans="1:18" ht="22.5" x14ac:dyDescent="0.2">
      <c r="A366" s="3092" t="s">
        <v>2120</v>
      </c>
      <c r="B366" s="3093"/>
      <c r="C366" s="3094">
        <f>$B$152+IF($B$151="",0,VLOOKUP($B$151,$L$357:$O$368,4,0)/12)+IF(OR($B$150="",$B$150=0),0,$B$150/12)+IF($B$147="",0,VLOOKUP($B$147,$P$357:$R$360,2,0)/12)-IF($B$147="",0,IF(D366&gt;VLOOKUP($B$147,$P$357:$R$360,3,0),E366,0))</f>
        <v>0</v>
      </c>
      <c r="D366" s="3095">
        <f>IF($B$147="",0,IF(G366-F366&lt;=0.01,G366,ROUNDDOWN((12-((($B$152+IF($B$151="",0,VLOOKUP($B$151,$L$357:$O$368,4,0)/12)+IF(OR($B$150="",$B$150=0),0,$B$150/12)+IF($B$147="",0,VLOOKUP($B$147,$P$357:$R$360,2,0)/12))-ROUNDDOWN(($B$152+IF($B$151="",0,VLOOKUP($B$151,$L$357:$O$368,4,0)/12)+IF(OR($B$150="",$B$150=0),0,$B$150/12)+IF($B$147="",0,VLOOKUP($B$147,$P$357:$R$360,2,0)/12)),0)-IF($B$147="",0,VLOOKUP($B$147,$P$357:$R$360,2,0)/12))*12))/VLOOKUP($B$147,$P$357:$R$360,2,0),0)))</f>
        <v>0</v>
      </c>
      <c r="E366" s="3096">
        <f>IF($B$147="",1,IF(D366&gt;VLOOKUP($B$147,$P$357:$R$360,3,0),(D366-VLOOKUP($B$147,$P$357:$R$360,3,0))/VLOOKUP($B$147,$P$357:$R$360,3,0),D366/VLOOKUP($B$147,$P$357:$R$360,3,0)))</f>
        <v>1</v>
      </c>
      <c r="F366" s="3095">
        <f>IF($B$147="",0,(12-((($B$152+IF($B$151="",0,VLOOKUP($B$151,$L$357:$O$368,4,0)/12)+IF(OR($B$150="",$B$150=0),0,$B$150/12)+IF($B$147="",0,VLOOKUP($B$147,$P$357:$R$360,2,0)/12))-ROUNDDOWN(($B$152+IF($B$151="",0,VLOOKUP($B$151,$L$357:$O$368,4,0)/12)+IF(OR($B$150="",$B$150=0),0,$B$150/12)+IF($B$147="",0,VLOOKUP($B$147,$P$357:$R$360,2,0)/12)),0)-IF($B$147="",0,VLOOKUP($B$147,$P$357:$R$360,2,0)/12))*12))/VLOOKUP($B$147,$P$357:$R$360,2,0))</f>
        <v>0</v>
      </c>
      <c r="G366" s="3095">
        <f>IF($B$147="",0,ROUND((12-((($B$152+IF($B$151="",0,VLOOKUP($B$151,$L$357:$O$368,4,0)/12)+IF(OR($B$150="",$B$150=0),0,$B$150/12)+IF($B$147="",0,VLOOKUP($B$147,$P$357:$R$360,2,0)/12))-ROUNDDOWN(($B$152+IF($B$151="",0,VLOOKUP($B$151,$L$357:$O$368,4,0)/12)+IF(OR($B$150="",$B$150=0),0,$B$150/12)+IF($B$147="",0,VLOOKUP($B$147,$P$357:$R$360,2,0)/12)),0)-IF($B$147="",0,VLOOKUP($B$147,$P$357:$R$360,2,0)/12))*12))/VLOOKUP($B$147,$P$357:$R$360,2,0),0))</f>
        <v>0</v>
      </c>
      <c r="H366" s="3097">
        <f>IF($B$147="",0,ROUNDDOWN(($B$149-$B$150/12)*VLOOKUP($B$147,$P$357:$R$360,3,0),0))</f>
        <v>0</v>
      </c>
      <c r="I366" s="3098">
        <f>IF($B$151="",0,VLOOKUP($B$151,$L$357:$N$368,3,0))</f>
        <v>0</v>
      </c>
      <c r="J366" s="3099">
        <f ca="1">AB11</f>
        <v>2032</v>
      </c>
      <c r="L366" s="3085" t="s">
        <v>1588</v>
      </c>
      <c r="M366" s="3100">
        <v>3</v>
      </c>
      <c r="N366" s="3101">
        <f t="shared" si="15"/>
        <v>0.25</v>
      </c>
      <c r="O366" s="600">
        <v>9</v>
      </c>
    </row>
    <row r="367" spans="1:18" ht="22.5" x14ac:dyDescent="0.2">
      <c r="A367" s="3092" t="s">
        <v>2122</v>
      </c>
      <c r="B367" s="3093"/>
      <c r="C367" s="3094">
        <f>$B$165+IF($B$164="",0,VLOOKUP($B$164,$L$357:$O$368,4,0)/12)+IF(OR($B$163="",$B$163=0),0,$B$163/12)+IF($B$160="",0,VLOOKUP($B$160,$P$357:$R$360,2,0)/12)-IF($B$160="",0,IF(D367&gt;VLOOKUP($B$160,$P$357:$R$360,3,0),E367,0))</f>
        <v>0</v>
      </c>
      <c r="D367" s="3095">
        <f>IF($B$160="",0,IF(G367-F367&lt;=0.01,G367,ROUNDDOWN((12-((($B$165+IF($B$164="",0,VLOOKUP($B$164,$L$357:$O$368,4,0)/12)+IF(OR($B$163="",$B$163=0),0,$B$163/12)+IF($B$160="",0,VLOOKUP($B$160,$P$357:$R$360,2,0)/12))-ROUNDDOWN(($B$165+IF($B$164="",0,VLOOKUP($B$164,$L$357:$O$368,4,0)/12)+IF(OR($B$163="",$B$163=0),0,$B$163/12)+IF($B$160="",0,VLOOKUP($B$160,$P$357:$R$360,2,0)/12)),0)-IF($B$160="",0,VLOOKUP($B$160,$P$357:$R$360,2,0)/12))*12))/VLOOKUP($B$160,$P$357:$R$360,2,0),0)))</f>
        <v>0</v>
      </c>
      <c r="E367" s="3096">
        <f>IF($B$160="",1,IF(D367&gt;VLOOKUP($B$160,$P$357:$R$360,3,0),(D367-VLOOKUP($B$160,$P$357:$R$360,3,0))/VLOOKUP($B$160,$P$357:$R$360,3,0),D367/VLOOKUP($B$160,$P$357:$R$360,3,0)))</f>
        <v>1</v>
      </c>
      <c r="F367" s="3095">
        <f>IF($B$160="",0,(12-((($B$165+IF($B$164="",0,VLOOKUP($B$164,$L$357:$O$368,4,0)/12)+IF(OR($B$163="",$B$163=0),0,$B$163/12)+IF($B$160="",0,VLOOKUP($B$160,$P$357:$R$360,2,0)/12))-ROUNDDOWN(($B$165+IF($B$164="",0,VLOOKUP($B$164,$L$357:$O$368,4,0)/12)+IF(OR($B$163="",$B$163=0),0,$B$163/12)+IF($B$160="",0,VLOOKUP($B$160,$P$357:$R$360,2,0)/12)),0)-IF($B$160="",0,VLOOKUP($B$160,$P$357:$R$360,2,0)/12))*12))/VLOOKUP($B$160,$P$357:$R$360,2,0))</f>
        <v>0</v>
      </c>
      <c r="G367" s="3095">
        <f>IF($B$160="",0,ROUND((12-((($B$165+IF($B$164="",0,VLOOKUP($B$164,$L$357:$O$368,4,0)/12)+IF(OR($B$163="",$B$163=0),0,$B$163/12)+IF($B$160="",0,VLOOKUP($B$160,$P$357:$R$360,2,0)/12))-ROUNDDOWN(($B$165+IF($B$164="",0,VLOOKUP($B$164,$L$357:$O$368,4,0)/12)+IF(OR($B$163="",$B$163=0),0,$B$163/12)+IF($B$160="",0,VLOOKUP($B$160,$P$357:$R$360,2,0)/12)),0)-IF($B$160="",0,VLOOKUP($B$160,$P$357:$R$360,2,0)/12))*12))/VLOOKUP($B$160,$P$357:$R$360,2,0),0))</f>
        <v>0</v>
      </c>
      <c r="H367" s="3097">
        <f>IF($B$160="",0,ROUNDDOWN(($B$162-$B$163/12)*VLOOKUP($B$160,$P$357:$R$360,3,0),0))</f>
        <v>0</v>
      </c>
      <c r="I367" s="3098">
        <f>IF($B$164="",0,VLOOKUP($B$164,$L$357:$N$368,3,0))</f>
        <v>0</v>
      </c>
      <c r="J367" s="3099">
        <f ca="1">AE11</f>
        <v>2033</v>
      </c>
      <c r="L367" s="3085" t="s">
        <v>1589</v>
      </c>
      <c r="M367" s="3100">
        <v>2</v>
      </c>
      <c r="N367" s="3101">
        <f t="shared" si="15"/>
        <v>0.16666666666666666</v>
      </c>
      <c r="O367" s="600">
        <v>10</v>
      </c>
    </row>
    <row r="368" spans="1:18" ht="22.5" x14ac:dyDescent="0.2">
      <c r="A368" s="3092" t="s">
        <v>2123</v>
      </c>
      <c r="B368" s="3093"/>
      <c r="C368" s="3094">
        <f>$B$178+IF($B$177="",0,VLOOKUP($B$177,$L$357:$O$368,4,0)/12)+IF(OR($B$176="",$B$176=0),0,$B$176/12)+IF($B$173="",0,VLOOKUP($B$173,$P$357:$R$360,2,0)/12)-IF($B$173="",0,IF(D368&gt;VLOOKUP($B$173,$P$357:$R$360,3,0),E368,0))</f>
        <v>0</v>
      </c>
      <c r="D368" s="3095">
        <f>IF($B$173="",0,IF(G368-F368&lt;=0.01,G368,ROUNDDOWN((12-((($B$178+IF($B$177="",0,VLOOKUP($B$177,$L$357:$O$368,4,0)/12)+IF(OR($B$176="",$B$176=0),0,$B$176/12)+IF($B$173="",0,VLOOKUP($B$173,$P$357:$R$360,2,0)/12))-ROUNDDOWN(($B$178+IF($B$177="",0,VLOOKUP($B$177,$L$357:$O$368,4,0)/12)+IF(OR($B$176="",$B$176=0),0,$B$176/12)+IF($B$173="",0,VLOOKUP($B$173,$P$357:$R$360,2,0)/12)),0)-IF($B$173="",0,VLOOKUP($B$173,$P$357:$R$360,2,0)/12))*12))/VLOOKUP($B$173,$P$357:$R$360,2,0),0)))</f>
        <v>0</v>
      </c>
      <c r="E368" s="3096">
        <f>IF($B$173="",1,IF(D368&gt;VLOOKUP($B$173,$P$357:$R$360,3,0),(D368-VLOOKUP($B$173,$P$357:$R$360,3,0))/VLOOKUP($B$173,$P$357:$R$360,3,0),D368/VLOOKUP($B$173,$P$357:$R$360,3,0)))</f>
        <v>1</v>
      </c>
      <c r="F368" s="3095">
        <f>IF($B$173="",0,(12-((($B$178+IF($B$177="",0,VLOOKUP($B$177,$L$357:$O$368,4,0)/12)+IF(OR($B$176="",$B$176=0),0,$B$176/12)+IF($B$173="",0,VLOOKUP($B$173,$P$357:$R$360,2,0)/12))-ROUNDDOWN(($B$178+IF($B$177="",0,VLOOKUP($B$177,$L$357:$O$368,4,0)/12)+IF(OR($B$176="",$B$176=0),0,$B$176/12)+IF($B$173="",0,VLOOKUP($B$173,$P$357:$R$360,2,0)/12)),0)-IF($B$173="",0,VLOOKUP($B$173,$P$357:$R$360,2,0)/12))*12))/VLOOKUP($B$173,$P$357:$R$360,2,0))</f>
        <v>0</v>
      </c>
      <c r="G368" s="3095">
        <f>IF($B$173="",0,ROUND((12-((($B$178+IF($B$177="",0,VLOOKUP($B$177,$L$357:$O$368,4,0)/12)+IF(OR($B$176="",$B$176=0),0,$B$176/12)+IF($B$173="",0,VLOOKUP($B$173,$P$357:$R$360,2,0)/12))-ROUNDDOWN(($B$178+IF($B$177="",0,VLOOKUP($B$177,$L$357:$O$368,4,0)/12)+IF(OR($B$176="",$B$176=0),0,$B$176/12)+IF($B$173="",0,VLOOKUP($B$173,$P$357:$R$360,2,0)/12)),0)-IF($B$173="",0,VLOOKUP($B$173,$P$357:$R$360,2,0)/12))*12))/VLOOKUP($B$173,$P$357:$R$360,2,0),0))</f>
        <v>0</v>
      </c>
      <c r="H368" s="3097">
        <f>IF($B$173="",0,ROUNDDOWN(($B$175-$B$176/12)*VLOOKUP($B$173,$P$357:$R$360,3,0),0))</f>
        <v>0</v>
      </c>
      <c r="I368" s="3098">
        <f>IF($B$177="",0,VLOOKUP($B$177,$L$357:$N$368,3,0))</f>
        <v>0</v>
      </c>
      <c r="J368" s="3103">
        <f ca="1">AH11</f>
        <v>2034</v>
      </c>
      <c r="L368" s="3085" t="s">
        <v>1590</v>
      </c>
      <c r="M368" s="3100">
        <v>1</v>
      </c>
      <c r="N368" s="3101">
        <f t="shared" si="15"/>
        <v>8.3333333333333329E-2</v>
      </c>
      <c r="O368" s="600">
        <v>11</v>
      </c>
    </row>
    <row r="369" spans="1:46" ht="22.5" x14ac:dyDescent="0.2">
      <c r="A369" s="3092" t="s">
        <v>2124</v>
      </c>
      <c r="B369" s="3093"/>
      <c r="C369" s="3094">
        <f>$B$191+IF($B$190="",0,VLOOKUP($B$190,$L$357:$O$368,4,0)/12)+IF(OR($B$189="",$B$189=0),0,$B$189/12)+IF($B$186="",0,VLOOKUP($B$186,$P$357:$R$360,2,0)/12)-IF($B$186="",0,IF(D369&gt;VLOOKUP($B$186,$P$357:$R$360,3,0),E369,0))</f>
        <v>0</v>
      </c>
      <c r="D369" s="3095">
        <f>IF($B$186="",0,IF(G369-F369&lt;=0.01,G369,ROUNDDOWN((12-((($B$191+IF($B$190="",0,VLOOKUP($B$190,$L$357:$O$368,4,0)/12)+IF(OR($B$189="",$B$189=0),0,$B$189/12)+IF($B$186="",0,VLOOKUP($B$186,$P$357:$R$360,2,0)/12))-ROUNDDOWN(($B$191+IF($B$190="",0,VLOOKUP($B$190,$L$357:$O$368,4,0)/12)+IF(OR($B$189="",$B$189=0),0,$B$189/12)+IF($B$186="",0,VLOOKUP($B$186,$P$357:$R$360,2,0)/12)),0)-IF($B$186="",0,VLOOKUP($B$186,$P$357:$R$360,2,0)/12))*12))/VLOOKUP($B$186,$P$357:$R$360,2,0),0)))</f>
        <v>0</v>
      </c>
      <c r="E369" s="3096">
        <f>IF($B$186="",1,IF(D369&gt;VLOOKUP($B$186,$P$357:$R$360,3,0),(D369-VLOOKUP($B$186,$P$357:$R$360,3,0))/VLOOKUP($B$186,$P$357:$R$360,3,0),D369/VLOOKUP($B$186,$P$357:$R$360,3,0)))</f>
        <v>1</v>
      </c>
      <c r="F369" s="3095">
        <f>IF($B$186="",0,(12-((($B$191+IF($B$190="",0,VLOOKUP($B$190,$L$357:$O$368,4,0)/12)+IF(OR($B$189="",$B$189=0),0,$B$189/12)+IF($B$186="",0,VLOOKUP($B$186,$P$357:$R$360,2,0)/12))-ROUNDDOWN(($B$191+IF($B$190="",0,VLOOKUP($B$190,$L$357:$O$368,4,0)/12)+IF(OR($B$189="",$B$189=0),0,$B$189/12)+IF($B$186="",0,VLOOKUP($B$186,$P$357:$R$360,2,0)/12)),0)-IF($B$186="",0,VLOOKUP($B$186,$P$357:$R$360,2,0)/12))*12))/VLOOKUP($B$186,$P$357:$R$360,2,0))</f>
        <v>0</v>
      </c>
      <c r="G369" s="3095">
        <f>IF($B$186="",0,ROUND((12-((($B$191+IF($B$190="",0,VLOOKUP($B$190,$L$357:$O$368,4,0)/12)+IF(OR($B$189="",$B$189=0),0,$B$189/12)+IF($B$186="",0,VLOOKUP($B$186,$P$357:$R$360,2,0)/12))-ROUNDDOWN(($B$191+IF($B$190="",0,VLOOKUP($B$190,$L$357:$O$368,4,0)/12)+IF(OR($B$189="",$B$189=0),0,$B$189/12)+IF($B$186="",0,VLOOKUP($B$186,$P$357:$R$360,2,0)/12)),0)-IF($B$186="",0,VLOOKUP($B$186,$P$357:$R$360,2,0)/12))*12))/VLOOKUP($B$186,$P$357:$R$360,2,0),0))</f>
        <v>0</v>
      </c>
      <c r="H369" s="3097">
        <f>IF($B$186="",0,ROUNDDOWN(($B$188-$B$189/12)*VLOOKUP($B$186,$P$357:$R$360,3,0),0))</f>
        <v>0</v>
      </c>
      <c r="I369" s="3098">
        <f>IF($B$190="",0,VLOOKUP($B$190,$L$357:$N$368,3,0))</f>
        <v>0</v>
      </c>
      <c r="J369" s="3103">
        <f ca="1">AK11</f>
        <v>2035</v>
      </c>
    </row>
    <row r="370" spans="1:46" x14ac:dyDescent="0.2">
      <c r="J370" s="3103">
        <f ca="1">AN11</f>
        <v>2036</v>
      </c>
    </row>
    <row r="371" spans="1:46" x14ac:dyDescent="0.2">
      <c r="J371" s="3103">
        <f ca="1">AQ11</f>
        <v>2037</v>
      </c>
    </row>
    <row r="372" spans="1:46" x14ac:dyDescent="0.2">
      <c r="A372" s="2790" t="s">
        <v>1534</v>
      </c>
      <c r="J372" s="3103">
        <f ca="1">AT11</f>
        <v>2038</v>
      </c>
    </row>
    <row r="373" spans="1:46" x14ac:dyDescent="0.2">
      <c r="A373" s="3104" t="s">
        <v>1537</v>
      </c>
      <c r="B373" s="3105">
        <v>0</v>
      </c>
    </row>
    <row r="374" spans="1:46" x14ac:dyDescent="0.2">
      <c r="A374" s="3105">
        <v>1</v>
      </c>
      <c r="B374" s="3105" t="str">
        <f ca="1">IF(A374=1,SUBSTITUTE(CELL("DIRECCION",B318),"$",""),IF(A374=2,SUBSTITUTE(CELL("DIRECCION",B319),"$",""),""))</f>
        <v>B318</v>
      </c>
    </row>
    <row r="375" spans="1:46" x14ac:dyDescent="0.2"/>
    <row r="376" spans="1:46" x14ac:dyDescent="0.2"/>
    <row r="377" spans="1:46" x14ac:dyDescent="0.2">
      <c r="B377" s="2790" t="s">
        <v>2126</v>
      </c>
    </row>
    <row r="378" spans="1:46" x14ac:dyDescent="0.2">
      <c r="B378" s="2793">
        <f>B384</f>
        <v>16</v>
      </c>
      <c r="C378" s="2793">
        <f>IF(B378=0,"",HLOOKUP(B378,$B$379:$AT$380,ROW(B380)-ROW(B378),0))</f>
        <v>50</v>
      </c>
      <c r="D378" s="2793" t="str">
        <f ca="1">IF(OR(B378=0,B378&lt;8),"",HLOOKUP(B378,$B$379:$AT$382,ROW(B381)-ROW(B378),0))</f>
        <v>A:AV</v>
      </c>
      <c r="E378" s="2793" t="str">
        <f ca="1">IF(OR(B378=0,B378&lt;8),"",HLOOKUP(B378,$B$379:$AT$382,ROW(B382)-ROW(B378),0))</f>
        <v>Q:A</v>
      </c>
    </row>
    <row r="379" spans="1:46" x14ac:dyDescent="0.2">
      <c r="B379" s="3100">
        <v>1</v>
      </c>
      <c r="D379" s="3100">
        <f>B379+1</f>
        <v>2</v>
      </c>
      <c r="G379" s="3100">
        <f>D379+1</f>
        <v>3</v>
      </c>
      <c r="J379" s="3100">
        <f>G379+1</f>
        <v>4</v>
      </c>
      <c r="M379" s="3100">
        <f>J379+1</f>
        <v>5</v>
      </c>
      <c r="P379" s="3100">
        <f>M379+1</f>
        <v>6</v>
      </c>
      <c r="S379" s="3100">
        <f>P379+1</f>
        <v>7</v>
      </c>
      <c r="V379" s="3100">
        <f>S379+1</f>
        <v>8</v>
      </c>
      <c r="Y379" s="3100">
        <f>V379+1</f>
        <v>9</v>
      </c>
      <c r="AB379" s="3100">
        <f>Y379+1</f>
        <v>10</v>
      </c>
      <c r="AE379" s="3100">
        <f>AB379+1</f>
        <v>11</v>
      </c>
      <c r="AH379" s="3100">
        <f>AE379+1</f>
        <v>12</v>
      </c>
      <c r="AK379" s="3100">
        <f>AH379+1</f>
        <v>13</v>
      </c>
      <c r="AN379" s="3100">
        <f>AK379+1</f>
        <v>14</v>
      </c>
      <c r="AQ379" s="3100">
        <f>AN379+1</f>
        <v>15</v>
      </c>
      <c r="AT379" s="3100">
        <f>AQ379+1</f>
        <v>16</v>
      </c>
    </row>
    <row r="380" spans="1:46" x14ac:dyDescent="0.2">
      <c r="B380" s="3100">
        <v>50</v>
      </c>
      <c r="D380" s="3100">
        <v>50</v>
      </c>
      <c r="G380" s="3100">
        <v>50</v>
      </c>
      <c r="J380" s="3100">
        <v>50</v>
      </c>
      <c r="M380" s="3100">
        <v>50</v>
      </c>
      <c r="P380" s="3100">
        <v>50</v>
      </c>
      <c r="S380" s="3100">
        <v>48</v>
      </c>
      <c r="V380" s="3100">
        <v>55</v>
      </c>
      <c r="Y380" s="3100">
        <v>50</v>
      </c>
      <c r="AB380" s="3100">
        <v>50</v>
      </c>
      <c r="AE380" s="3100">
        <v>50</v>
      </c>
      <c r="AH380" s="3100">
        <v>50</v>
      </c>
      <c r="AK380" s="3100">
        <v>50</v>
      </c>
      <c r="AN380" s="3100">
        <v>50</v>
      </c>
      <c r="AQ380" s="3100">
        <v>50</v>
      </c>
      <c r="AT380" s="3100">
        <v>50</v>
      </c>
    </row>
    <row r="381" spans="1:46" x14ac:dyDescent="0.2">
      <c r="V381" s="3100" t="str">
        <f ca="1">CONCATENATE(LEFT(SUBSTITUTE(CELL("DIRECCION",M11),"$",""),1),":",LEFT(SUBSTITUTE(CELL("DIRECCION",X11),"$",""),1))</f>
        <v>M:X</v>
      </c>
      <c r="Y381" s="3100" t="str">
        <f ca="1">CONCATENATE(LEFT(SUBSTITUTE(CELL("DIRECCION",P11),"$",""),1),":",LEFT(SUBSTITUTE(CELL("DIRECCION",AA11),"$",""),2))</f>
        <v>P:AA</v>
      </c>
      <c r="AB381" s="3100" t="str">
        <f ca="1">CONCATENATE(LEFT(SUBSTITUTE(CELL("DIRECCION",P11),"$",""),1),":",LEFT(SUBSTITUTE(CELL("DIRECCION",AD11),"$",""),2))</f>
        <v>P:AD</v>
      </c>
      <c r="AE381" s="3100" t="str">
        <f ca="1">CONCATENATE(LEFT(SUBSTITUTE(CELL("DIRECCION",S11),"$",""),1),":",LEFT(SUBSTITUTE(CELL("DIRECCION",AG11),"$",""),2))</f>
        <v>S:AG</v>
      </c>
      <c r="AH381" s="3100" t="str">
        <f ca="1">CONCATENATE(LEFT(SUBSTITUTE(CELL("DIRECCION",V11),"$",""),1),":",LEFT(SUBSTITUTE(CELL("DIRECCION",AJ11),"$",""),2))</f>
        <v>V:AJ</v>
      </c>
      <c r="AK381" s="3100" t="str">
        <f ca="1">CONCATENATE(LEFT(SUBSTITUTE(CELL("DIRECCION",Y11),"$",""),1),":",LEFT(SUBSTITUTE(CELL("DIRECCION",AM11),"$",""),2))</f>
        <v>Y:AM</v>
      </c>
      <c r="AN381" s="3100" t="str">
        <f ca="1">CONCATENATE(LEFT(SUBSTITUTE(CELL("DIRECCION",AB11),"$",""),1),":",LEFT(SUBSTITUTE(CELL("DIRECCION",AP11),"$",""),2))</f>
        <v>A:AP</v>
      </c>
      <c r="AQ381" s="3100" t="str">
        <f ca="1">CONCATENATE(LEFT(SUBSTITUTE(CELL("DIRECCION",AE11),"$",""),1),":",LEFT(SUBSTITUTE(CELL("DIRECCION",AS11),"$",""),2))</f>
        <v>A:AS</v>
      </c>
      <c r="AT381" s="3100" t="str">
        <f ca="1">CONCATENATE(LEFT(SUBSTITUTE(CELL("DIRECCION",AH11),"$",""),1),":",LEFT(SUBSTITUTE(CELL("DIRECCION",AV11),"$",""),2))</f>
        <v>A:AV</v>
      </c>
    </row>
    <row r="382" spans="1:46" x14ac:dyDescent="0.2">
      <c r="V382" s="3100" t="str">
        <f ca="1">CONCATENATE(LEFT(SUBSTITUTE(CELL("DIRECCION",B11),"$",""),1),":",LEFT(SUBSTITUTE(CELL("DIRECCION",L11),"$",""),1))</f>
        <v>B:L</v>
      </c>
      <c r="Y382" s="3100" t="str">
        <f ca="1">CONCATENATE(LEFT(SUBSTITUTE(CELL("DIRECCION",B11),"$",""),1),":",LEFT(SUBSTITUTE(CELL("DIRECCION",O11),"$",""),1))</f>
        <v>B:O</v>
      </c>
      <c r="AB382" s="3100" t="str">
        <f ca="1">CONCATENATE(LEFT(SUBSTITUTE(CELL("DIRECCION",B11),"$",""),1),":",LEFT(SUBSTITUTE(CELL("DIRECCION",O11),"$",""),1))</f>
        <v>B:O</v>
      </c>
      <c r="AE382" s="3100" t="str">
        <f ca="1">CONCATENATE(LEFT(SUBSTITUTE(CELL("DIRECCION",B11),"$",""),1),":",LEFT(SUBSTITUTE(CELL("DIRECCION",R11),"$",""),1))</f>
        <v>B:R</v>
      </c>
      <c r="AH382" s="3100" t="str">
        <f ca="1">CONCATENATE(LEFT(SUBSTITUTE(CELL("DIRECCION",E11),"$",""),1),":",LEFT(SUBSTITUTE(CELL("DIRECCION",U11),"$",""),1))</f>
        <v>E:U</v>
      </c>
      <c r="AK382" s="3100" t="str">
        <f ca="1">CONCATENATE(LEFT(SUBSTITUTE(CELL("DIRECCION",H11),"$",""),1),":",LEFT(SUBSTITUTE(CELL("DIRECCION",X11),"$",""),1))</f>
        <v>H:X</v>
      </c>
      <c r="AN382" s="3100" t="str">
        <f ca="1">CONCATENATE(LEFT(SUBSTITUTE(CELL("DIRECCION",K11),"$",""),1),":",LEFT(SUBSTITUTE(CELL("DIRECCION",AA11),"$",""),1))</f>
        <v>K:A</v>
      </c>
      <c r="AQ382" s="3100" t="str">
        <f ca="1">CONCATENATE(LEFT(SUBSTITUTE(CELL("DIRECCION",N11),"$",""),1),":",LEFT(SUBSTITUTE(CELL("DIRECCION",AD11),"$",""),1))</f>
        <v>N:A</v>
      </c>
      <c r="AT382" s="3100" t="str">
        <f ca="1">CONCATENATE(LEFT(SUBSTITUTE(CELL("DIRECCION",Q11),"$",""),1),":",LEFT(SUBSTITUTE(CELL("DIRECCION",AG11),"$",""),1))</f>
        <v>Q:A</v>
      </c>
    </row>
    <row r="383" spans="1:46" x14ac:dyDescent="0.2">
      <c r="B383" s="2790" t="s">
        <v>2127</v>
      </c>
    </row>
    <row r="384" spans="1:46" x14ac:dyDescent="0.2">
      <c r="B384" s="2793">
        <v>16</v>
      </c>
      <c r="C384" s="2793" t="str">
        <f>IF(ISERROR(HLOOKUP(B384,$B$386:$AE$387,ROW(B387)-ROW(B385),0))=TRUE,"",HLOOKUP(B384,$B$386:$AE$387,ROW(B387)-ROW(B385),0))</f>
        <v/>
      </c>
    </row>
    <row r="385" spans="1:46" x14ac:dyDescent="0.2"/>
    <row r="386" spans="1:46" x14ac:dyDescent="0.2">
      <c r="B386" s="3100">
        <v>1</v>
      </c>
      <c r="D386" s="3100">
        <f>B386+1</f>
        <v>2</v>
      </c>
      <c r="G386" s="3100">
        <f>D386+1</f>
        <v>3</v>
      </c>
      <c r="J386" s="3100">
        <f>G386+1</f>
        <v>4</v>
      </c>
      <c r="M386" s="3100">
        <f>J386+1</f>
        <v>5</v>
      </c>
      <c r="P386" s="3100">
        <f>M386+1</f>
        <v>6</v>
      </c>
      <c r="S386" s="3100">
        <f>P386+1</f>
        <v>7</v>
      </c>
      <c r="V386" s="3100">
        <f>S386+1</f>
        <v>8</v>
      </c>
      <c r="Y386" s="3100">
        <f>V386+1</f>
        <v>9</v>
      </c>
      <c r="AB386" s="3100">
        <f>Y386+1</f>
        <v>10</v>
      </c>
      <c r="AE386" s="3100">
        <f>AB386+1</f>
        <v>11</v>
      </c>
      <c r="AH386" s="3100">
        <f>AE386+1</f>
        <v>12</v>
      </c>
      <c r="AK386" s="3100">
        <f>AH386+1</f>
        <v>13</v>
      </c>
      <c r="AN386" s="3100">
        <f>AK386+1</f>
        <v>14</v>
      </c>
      <c r="AQ386" s="3100">
        <f>AN386+1</f>
        <v>15</v>
      </c>
      <c r="AT386" s="3100">
        <f>AQ386+1</f>
        <v>16</v>
      </c>
    </row>
    <row r="387" spans="1:46" x14ac:dyDescent="0.2">
      <c r="B387" s="3100" t="str">
        <f ca="1">CONCATENATE(LEFT(SUBSTITUTE(CELL("DIRECCION",D11),"$",""),1),":",LEFT(SUBSTITUTE(CELL("DIRECCION",$AV11),"$",""),2))</f>
        <v>D:AV</v>
      </c>
      <c r="D387" s="3100" t="str">
        <f ca="1">CONCATENATE(LEFT(SUBSTITUTE(CELL("DIRECCION",G11),"$",""),1),":",LEFT(SUBSTITUTE(CELL("DIRECCION",$AV11),"$",""),2))</f>
        <v>G:AV</v>
      </c>
      <c r="G387" s="3100" t="str">
        <f ca="1">CONCATENATE(LEFT(SUBSTITUTE(CELL("DIRECCION",J11),"$",""),1),":",LEFT(SUBSTITUTE(CELL("DIRECCION",$AV11),"$",""),2))</f>
        <v>J:AV</v>
      </c>
      <c r="J387" s="3100" t="str">
        <f ca="1">CONCATENATE(LEFT(SUBSTITUTE(CELL("DIRECCION",M11),"$",""),1),":",LEFT(SUBSTITUTE(CELL("DIRECCION",$AV11),"$",""),2))</f>
        <v>M:AV</v>
      </c>
      <c r="M387" s="3100" t="str">
        <f ca="1">CONCATENATE(LEFT(SUBSTITUTE(CELL("DIRECCION",P11),"$",""),1),":",LEFT(SUBSTITUTE(CELL("DIRECCION",$AV11),"$",""),2))</f>
        <v>P:AV</v>
      </c>
      <c r="P387" s="3100" t="str">
        <f ca="1">CONCATENATE(LEFT(SUBSTITUTE(CELL("DIRECCION",S11),"$",""),1),":",LEFT(SUBSTITUTE(CELL("DIRECCION",$AV11),"$",""),2))</f>
        <v>S:AV</v>
      </c>
      <c r="S387" s="3100" t="str">
        <f ca="1">CONCATENATE(LEFT(SUBSTITUTE(CELL("DIRECCION",V11),"$",""),1),":",LEFT(SUBSTITUTE(CELL("DIRECCION",$AV11),"$",""),2))</f>
        <v>V:AV</v>
      </c>
      <c r="V387" s="3100" t="str">
        <f ca="1">CONCATENATE(LEFT(SUBSTITUTE(CELL("DIRECCION",Y11),"$",""),1),":",LEFT(SUBSTITUTE(CELL("DIRECCION",$AV11),"$",""),2))</f>
        <v>Y:AV</v>
      </c>
      <c r="Y387" s="3100" t="str">
        <f ca="1">CONCATENATE(LEFT(SUBSTITUTE(CELL("DIRECCION",AB11),"$",""),2),":",LEFT(SUBSTITUTE(CELL("DIRECCION",$AV11),"$",""),2))</f>
        <v>AB:AV</v>
      </c>
      <c r="AB387" s="3100" t="str">
        <f ca="1">CONCATENATE(LEFT(SUBSTITUTE(CELL("DIRECCION",AE11),"$",""),2),":",LEFT(SUBSTITUTE(CELL("DIRECCION",$AV11),"$",""),2))</f>
        <v>AE:AV</v>
      </c>
      <c r="AE387" s="3100" t="str">
        <f ca="1">CONCATENATE(LEFT(SUBSTITUTE(CELL("DIRECCION",AH11),"$",""),2),":",LEFT(SUBSTITUTE(CELL("DIRECCION",$AV11),"$",""),2))</f>
        <v>AH:AV</v>
      </c>
      <c r="AH387" s="3106" t="str">
        <f ca="1">CONCATENATE(LEFT(SUBSTITUTE(CELL("DIRECCION",AK11),"$",""),2),":",LEFT(SUBSTITUTE(CELL("DIRECCION",$AV11),"$",""),2))</f>
        <v>AK:AV</v>
      </c>
      <c r="AI387" s="3106"/>
      <c r="AJ387" s="3106"/>
      <c r="AK387" s="3106" t="str">
        <f ca="1">CONCATENATE(LEFT(SUBSTITUTE(CELL("DIRECCION",AN11),"$",""),2),":",LEFT(SUBSTITUTE(CELL("DIRECCION",$AV11),"$",""),2))</f>
        <v>AN:AV</v>
      </c>
      <c r="AL387" s="3106"/>
      <c r="AM387" s="3106"/>
      <c r="AN387" s="3106" t="str">
        <f ca="1">CONCATENATE(LEFT(SUBSTITUTE(CELL("DIRECCION",AQ11),"$",""),2),":",LEFT(SUBSTITUTE(CELL("DIRECCION",$AV11),"$",""),2))</f>
        <v>AQ:AV</v>
      </c>
      <c r="AO387" s="3106"/>
      <c r="AP387" s="3106"/>
      <c r="AQ387" s="3106" t="str">
        <f ca="1">CONCATENATE(LEFT(SUBSTITUTE(CELL("DIRECCION",AT11),"$",""),2),":",LEFT(SUBSTITUTE(CELL("DIRECCION",$AV11),"$",""),2))</f>
        <v>AT:AV</v>
      </c>
      <c r="AR387" s="3106"/>
      <c r="AS387" s="3106"/>
      <c r="AT387" s="3106"/>
    </row>
    <row r="388" spans="1:46" x14ac:dyDescent="0.2"/>
    <row r="389" spans="1:46" x14ac:dyDescent="0.2"/>
    <row r="390" spans="1:46" x14ac:dyDescent="0.2">
      <c r="A390" s="2790" t="s">
        <v>2128</v>
      </c>
    </row>
    <row r="391" spans="1:46" x14ac:dyDescent="0.2">
      <c r="A391" s="3085" t="s">
        <v>2129</v>
      </c>
    </row>
    <row r="392" spans="1:46" x14ac:dyDescent="0.2">
      <c r="A392" s="3085" t="s">
        <v>2008</v>
      </c>
      <c r="B392" s="3107">
        <f ca="1">B53</f>
        <v>2023</v>
      </c>
      <c r="D392" s="3107">
        <f ca="1">D53</f>
        <v>2024</v>
      </c>
      <c r="G392" s="3107">
        <f ca="1">G53</f>
        <v>2025</v>
      </c>
      <c r="J392" s="3107">
        <f ca="1">J53</f>
        <v>2026</v>
      </c>
      <c r="M392" s="3107">
        <f ca="1">M53</f>
        <v>2027</v>
      </c>
      <c r="P392" s="3107">
        <f ca="1">P53</f>
        <v>2028</v>
      </c>
      <c r="S392" s="3107">
        <f ca="1">S53</f>
        <v>2029</v>
      </c>
      <c r="V392" s="3107">
        <f ca="1">V53</f>
        <v>2030</v>
      </c>
      <c r="Y392" s="3107">
        <f ca="1">Y53</f>
        <v>2031</v>
      </c>
      <c r="AB392" s="3107">
        <f ca="1">AB53</f>
        <v>2032</v>
      </c>
      <c r="AE392" s="3107">
        <f ca="1">AE53</f>
        <v>2033</v>
      </c>
      <c r="AH392" s="3107">
        <f ca="1">AH53</f>
        <v>2034</v>
      </c>
      <c r="AK392" s="3107">
        <f ca="1">AK53</f>
        <v>2035</v>
      </c>
      <c r="AN392" s="3107">
        <f ca="1">AN53</f>
        <v>2036</v>
      </c>
      <c r="AQ392" s="3107">
        <f ca="1">AQ53</f>
        <v>2037</v>
      </c>
      <c r="AT392" s="3107">
        <f ca="1">AT53</f>
        <v>2038</v>
      </c>
    </row>
    <row r="393" spans="1:46" x14ac:dyDescent="0.2">
      <c r="A393" s="3085" t="s">
        <v>2162</v>
      </c>
      <c r="B393" s="3100" t="str">
        <f>IF($A$62=0,"",IF(B62=$C$4,"C","I"))</f>
        <v/>
      </c>
      <c r="C393" s="21"/>
      <c r="D393" s="3100" t="str">
        <f>IF($A$62=0,"",IF(D62=$C$4,"C","I"))</f>
        <v/>
      </c>
      <c r="E393" s="21"/>
      <c r="F393" s="21"/>
      <c r="G393" s="3100" t="str">
        <f>IF($A$62=0,"",IF(G62=$C$4,"C","I"))</f>
        <v/>
      </c>
      <c r="H393" s="21"/>
      <c r="I393" s="21"/>
      <c r="J393" s="3100" t="str">
        <f>IF($A$62=0,"",IF(J62=$C$4,"C","I"))</f>
        <v/>
      </c>
      <c r="K393" s="21"/>
      <c r="L393" s="21"/>
      <c r="M393" s="3100" t="str">
        <f>IF($A$62=0,"",IF(M62=$C$4,"C","I"))</f>
        <v/>
      </c>
      <c r="N393" s="21"/>
      <c r="O393" s="21"/>
      <c r="P393" s="3100" t="str">
        <f>IF($A$62=0,"",IF(P62=$C$4,"C","I"))</f>
        <v/>
      </c>
      <c r="Q393" s="21"/>
      <c r="R393" s="21"/>
      <c r="S393" s="3100" t="str">
        <f>IF($A$62=0,"",IF(S62=$C$4,"C","I"))</f>
        <v/>
      </c>
      <c r="T393" s="21"/>
      <c r="U393" s="21"/>
      <c r="V393" s="3100" t="str">
        <f>IF($A$62=0,"",IF(V62=$C$4,"C","I"))</f>
        <v/>
      </c>
      <c r="W393" s="21"/>
      <c r="X393" s="21"/>
      <c r="Y393" s="3100" t="str">
        <f>IF($A$62=0,"",IF(Y62=$C$4,"C","I"))</f>
        <v/>
      </c>
      <c r="Z393" s="21"/>
      <c r="AA393" s="21"/>
      <c r="AB393" s="3100" t="str">
        <f>IF($A$62=0,"",IF(AB62=$C$4,"C","I"))</f>
        <v/>
      </c>
      <c r="AC393" s="21"/>
      <c r="AD393" s="21"/>
      <c r="AE393" s="3100" t="str">
        <f>IF($A$62=0,"",IF(AE62=$C$4,"C","I"))</f>
        <v/>
      </c>
    </row>
    <row r="394" spans="1:46" x14ac:dyDescent="0.2">
      <c r="A394" s="3085" t="s">
        <v>2163</v>
      </c>
      <c r="B394" s="3100" t="str">
        <f>IF($A$62=0,"",IF(B62&gt;=$C$4,"C","I"))</f>
        <v/>
      </c>
      <c r="C394" s="21"/>
      <c r="D394" s="3100" t="str">
        <f>IF($A$62=0,"",IF(D62&gt;=$C$4,"C","I"))</f>
        <v/>
      </c>
      <c r="E394" s="21"/>
      <c r="F394" s="21"/>
      <c r="G394" s="3100" t="str">
        <f>IF($A$62=0,"",IF(G62&gt;=$C$4,"C","I"))</f>
        <v/>
      </c>
      <c r="H394" s="21"/>
      <c r="I394" s="21"/>
      <c r="J394" s="3100" t="str">
        <f>IF($A$62=0,"",IF(J62&gt;=$C$4,"C","I"))</f>
        <v/>
      </c>
      <c r="K394" s="21"/>
      <c r="L394" s="21"/>
      <c r="M394" s="3100" t="str">
        <f>IF($A$62=0,"",IF(M62&gt;=$C$4,"C","I"))</f>
        <v/>
      </c>
      <c r="N394" s="21"/>
      <c r="O394" s="21"/>
      <c r="P394" s="3100" t="str">
        <f>IF($A$62=0,"",IF(P62&gt;=$C$4,"C","I"))</f>
        <v/>
      </c>
      <c r="Q394" s="21"/>
      <c r="R394" s="21"/>
      <c r="S394" s="3100" t="str">
        <f>IF($A$62=0,"",IF(S62&gt;=$C$4,"C","I"))</f>
        <v/>
      </c>
      <c r="T394" s="21"/>
      <c r="U394" s="21"/>
      <c r="V394" s="3100" t="str">
        <f>IF($A$62=0,"",IF(V62&gt;=$C$4,"C","I"))</f>
        <v/>
      </c>
      <c r="W394" s="21"/>
      <c r="X394" s="21"/>
      <c r="Y394" s="3100" t="str">
        <f>IF($A$62=0,"",IF(Y62&gt;=$C$4,"C","I"))</f>
        <v/>
      </c>
      <c r="Z394" s="21"/>
      <c r="AA394" s="21"/>
      <c r="AB394" s="3100" t="str">
        <f>IF($A$62=0,"",IF(AB62&gt;=$C$4,"C","I"))</f>
        <v/>
      </c>
      <c r="AC394" s="21"/>
      <c r="AD394" s="21"/>
      <c r="AE394" s="3100" t="str">
        <f>IF($A$62=0,"",IF(AE62&gt;=$C$4,"C","I"))</f>
        <v/>
      </c>
    </row>
    <row r="395" spans="1:46" x14ac:dyDescent="0.2">
      <c r="A395" s="3085" t="s">
        <v>2164</v>
      </c>
      <c r="B395" s="3100" t="str">
        <f>IF($A$62=0,"",IF(B62&lt;=$C$4,"C","I"))</f>
        <v/>
      </c>
      <c r="C395" s="21"/>
      <c r="D395" s="3100" t="str">
        <f>IF($A$62=0,"",IF(D62&lt;=$C$4,"C","I"))</f>
        <v/>
      </c>
      <c r="E395" s="21"/>
      <c r="F395" s="21"/>
      <c r="G395" s="3100" t="str">
        <f>IF($A$62=0,"",IF(G62&lt;=$C$4,"C","I"))</f>
        <v/>
      </c>
      <c r="H395" s="21"/>
      <c r="I395" s="21"/>
      <c r="J395" s="3100" t="str">
        <f>IF($A$62=0,"",IF(J62&lt;=$C$4,"C","I"))</f>
        <v/>
      </c>
      <c r="K395" s="21"/>
      <c r="L395" s="21"/>
      <c r="M395" s="3100" t="str">
        <f>IF($A$62=0,"",IF(M62&lt;=$C$4,"C","I"))</f>
        <v/>
      </c>
      <c r="N395" s="21"/>
      <c r="O395" s="21"/>
      <c r="P395" s="3100" t="str">
        <f>IF($A$62=0,"",IF(P62&lt;=$C$4,"C","I"))</f>
        <v/>
      </c>
      <c r="Q395" s="21"/>
      <c r="R395" s="21"/>
      <c r="S395" s="3100" t="str">
        <f>IF($A$62=0,"",IF(S62&lt;=$C$4,"C","I"))</f>
        <v/>
      </c>
      <c r="T395" s="21"/>
      <c r="U395" s="21"/>
      <c r="V395" s="3100" t="str">
        <f>IF($A$62=0,"",IF(V62&lt;=$C$4,"C","I"))</f>
        <v/>
      </c>
      <c r="W395" s="21"/>
      <c r="X395" s="21"/>
      <c r="Y395" s="3100" t="str">
        <f>IF($A$62=0,"",IF(Y62&lt;=$C$4,"C","I"))</f>
        <v/>
      </c>
      <c r="Z395" s="21"/>
      <c r="AA395" s="21"/>
      <c r="AB395" s="3100" t="str">
        <f>IF($A$62=0,"",IF(AB62&lt;=$C$4,"C","I"))</f>
        <v/>
      </c>
      <c r="AC395" s="21"/>
      <c r="AD395" s="21"/>
      <c r="AE395" s="3100" t="str">
        <f>IF($A$62=0,"",IF(AE62&lt;=$C$4,"C","I"))</f>
        <v/>
      </c>
    </row>
    <row r="396" spans="1:46" x14ac:dyDescent="0.2">
      <c r="A396" s="3085" t="s">
        <v>2111</v>
      </c>
      <c r="B396" s="3100" t="str">
        <f>IF($A$62=0,"",IF(B62&gt;$C$4,"C","I"))</f>
        <v/>
      </c>
      <c r="C396" s="21"/>
      <c r="D396" s="3100" t="str">
        <f>IF($A$62=0,"",IF(D62&gt;$C$4,"C","I"))</f>
        <v/>
      </c>
      <c r="E396" s="21"/>
      <c r="F396" s="21"/>
      <c r="G396" s="3100" t="str">
        <f>IF($A$62=0,"",IF(G62&gt;$C$4,"C","I"))</f>
        <v/>
      </c>
      <c r="H396" s="21"/>
      <c r="I396" s="21"/>
      <c r="J396" s="3100" t="str">
        <f>IF($A$62=0,"",IF(J62&gt;$C$4,"C","I"))</f>
        <v/>
      </c>
      <c r="K396" s="21"/>
      <c r="L396" s="21"/>
      <c r="M396" s="3100" t="str">
        <f>IF($A$62=0,"",IF(M62&gt;$C$4,"C","I"))</f>
        <v/>
      </c>
      <c r="N396" s="21"/>
      <c r="O396" s="21"/>
      <c r="P396" s="3100" t="str">
        <f>IF($A$62=0,"",IF(P62&gt;$C$4,"C","I"))</f>
        <v/>
      </c>
      <c r="Q396" s="21"/>
      <c r="R396" s="21"/>
      <c r="S396" s="3100" t="str">
        <f>IF($A$62=0,"",IF(S62&gt;$C$4,"C","I"))</f>
        <v/>
      </c>
      <c r="T396" s="21"/>
      <c r="U396" s="21"/>
      <c r="V396" s="3100" t="str">
        <f>IF($A$62=0,"",IF(V62&gt;$C$4,"C","I"))</f>
        <v/>
      </c>
      <c r="W396" s="21"/>
      <c r="X396" s="21"/>
      <c r="Y396" s="3100" t="str">
        <f>IF($A$62=0,"",IF(Y62&gt;$C$4,"C","I"))</f>
        <v/>
      </c>
      <c r="Z396" s="21"/>
      <c r="AA396" s="21"/>
      <c r="AB396" s="3100" t="str">
        <f>IF($A$62=0,"",IF(AB62&gt;$C$4,"C","I"))</f>
        <v/>
      </c>
      <c r="AC396" s="21"/>
      <c r="AD396" s="21"/>
      <c r="AE396" s="3100" t="str">
        <f>IF($A$62=0,"",IF(AE62&gt;$C$4,"C","I"))</f>
        <v/>
      </c>
    </row>
    <row r="397" spans="1:46" x14ac:dyDescent="0.2">
      <c r="A397" s="3085" t="s">
        <v>2112</v>
      </c>
      <c r="B397" s="3100" t="str">
        <f>IF($A$62=0,"",IF(B62&lt;$C$4,"C","I"))</f>
        <v/>
      </c>
      <c r="C397" s="21"/>
      <c r="D397" s="3100" t="str">
        <f>IF($A$62=0,"",IF(D62&lt;$C$4,"C","I"))</f>
        <v/>
      </c>
      <c r="E397" s="21"/>
      <c r="F397" s="21"/>
      <c r="G397" s="3100" t="str">
        <f>IF($A$62=0,"",IF(G62&lt;$C$4,"C","I"))</f>
        <v/>
      </c>
      <c r="H397" s="21"/>
      <c r="I397" s="21"/>
      <c r="J397" s="3100" t="str">
        <f>IF($A$62=0,"",IF(J62&lt;$C$4,"C","I"))</f>
        <v/>
      </c>
      <c r="K397" s="21"/>
      <c r="L397" s="21"/>
      <c r="M397" s="3100" t="str">
        <f>IF($A$62=0,"",IF(M62&lt;$C$4,"C","I"))</f>
        <v/>
      </c>
      <c r="N397" s="21"/>
      <c r="O397" s="21"/>
      <c r="P397" s="3100" t="str">
        <f>IF($A$62=0,"",IF(P62&lt;$C$4,"C","I"))</f>
        <v/>
      </c>
      <c r="Q397" s="21"/>
      <c r="R397" s="21"/>
      <c r="S397" s="3100" t="str">
        <f>IF($A$62=0,"",IF(S62&lt;$C$4,"C","I"))</f>
        <v/>
      </c>
      <c r="T397" s="21"/>
      <c r="U397" s="21"/>
      <c r="V397" s="3100" t="str">
        <f>IF($A$62=0,"",IF(V62&lt;$C$4,"C","I"))</f>
        <v/>
      </c>
      <c r="W397" s="21"/>
      <c r="X397" s="21"/>
      <c r="Y397" s="3100" t="str">
        <f>IF($A$62=0,"",IF(Y62&lt;$C$4,"C","I"))</f>
        <v/>
      </c>
      <c r="Z397" s="21"/>
      <c r="AA397" s="21"/>
      <c r="AB397" s="3100" t="str">
        <f>IF($A$62=0,"",IF(AB62&lt;$C$4,"C","I"))</f>
        <v/>
      </c>
      <c r="AC397" s="21"/>
      <c r="AD397" s="21"/>
      <c r="AE397" s="3100" t="str">
        <f>IF($A$62=0,"",IF(AE62&lt;$C$4,"C","I"))</f>
        <v/>
      </c>
    </row>
    <row r="398" spans="1:46" x14ac:dyDescent="0.2">
      <c r="A398" s="3085" t="s">
        <v>2113</v>
      </c>
      <c r="B398" s="3100" t="str">
        <f>IF($A$62=0,"",IF(B62&lt;&gt;$C$4,"C","I"))</f>
        <v/>
      </c>
      <c r="C398" s="21"/>
      <c r="D398" s="3100" t="str">
        <f>IF($A$62=0,"",IF(D62&lt;&gt;$C$4,"C","I"))</f>
        <v/>
      </c>
      <c r="E398" s="21"/>
      <c r="F398" s="21"/>
      <c r="G398" s="3100" t="str">
        <f>IF($A$62=0,"",IF(G62&lt;&gt;$C$4,"C","I"))</f>
        <v/>
      </c>
      <c r="H398" s="21"/>
      <c r="I398" s="21"/>
      <c r="J398" s="3100" t="str">
        <f>IF($A$62=0,"",IF(J62&lt;&gt;$C$4,"C","I"))</f>
        <v/>
      </c>
      <c r="K398" s="21"/>
      <c r="L398" s="21"/>
      <c r="M398" s="3100" t="str">
        <f>IF($A$62=0,"",IF(M62&lt;&gt;$C$4,"C","I"))</f>
        <v/>
      </c>
      <c r="N398" s="21"/>
      <c r="O398" s="21"/>
      <c r="P398" s="3100" t="str">
        <f>IF($A$62=0,"",IF(P62&lt;&gt;$C$4,"C","I"))</f>
        <v/>
      </c>
      <c r="Q398" s="21"/>
      <c r="R398" s="21"/>
      <c r="S398" s="3100" t="str">
        <f>IF($A$62=0,"",IF(S62&lt;&gt;$C$4,"C","I"))</f>
        <v/>
      </c>
      <c r="T398" s="21"/>
      <c r="U398" s="21"/>
      <c r="V398" s="3100" t="str">
        <f>IF($A$62=0,"",IF(V62&lt;&gt;$C$4,"C","I"))</f>
        <v/>
      </c>
      <c r="W398" s="21"/>
      <c r="X398" s="21"/>
      <c r="Y398" s="3100" t="str">
        <f>IF($A$62=0,"",IF(Y62&lt;&gt;$C$4,"C","I"))</f>
        <v/>
      </c>
      <c r="Z398" s="21"/>
      <c r="AA398" s="21"/>
      <c r="AB398" s="3100" t="str">
        <f>IF($A$62=0,"",IF(AB62&lt;&gt;$C$4,"C","I"))</f>
        <v/>
      </c>
      <c r="AC398" s="21"/>
      <c r="AD398" s="21"/>
      <c r="AE398" s="3100" t="str">
        <f>IF($A$62=0,"",IF(AE62&lt;&gt;$C$4,"C","I"))</f>
        <v/>
      </c>
    </row>
    <row r="399" spans="1:46" x14ac:dyDescent="0.2">
      <c r="A399" s="3085" t="s">
        <v>2130</v>
      </c>
      <c r="B399" s="21"/>
      <c r="C399" s="21"/>
      <c r="D399" s="21"/>
      <c r="E399" s="21"/>
      <c r="F399" s="21"/>
      <c r="G399" s="21"/>
      <c r="H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46" x14ac:dyDescent="0.2">
      <c r="A400" s="3085" t="s">
        <v>2162</v>
      </c>
      <c r="B400" s="3100" t="str">
        <f>IF($A$63=0,"",IF(B63=$C$5,"C","I"))</f>
        <v/>
      </c>
      <c r="C400" s="21"/>
      <c r="D400" s="3100" t="str">
        <f>IF($A$63=0,"",IF(D63=$C$5,"C","I"))</f>
        <v/>
      </c>
      <c r="E400" s="21"/>
      <c r="F400" s="21"/>
      <c r="G400" s="3100" t="str">
        <f>IF($A$63=0,"",IF(G63=$C$5,"C","I"))</f>
        <v/>
      </c>
      <c r="H400" s="21"/>
      <c r="I400" s="21"/>
      <c r="J400" s="3100" t="str">
        <f>IF($A$63=0,"",IF(J63=$C$5,"C","I"))</f>
        <v/>
      </c>
      <c r="K400" s="21"/>
      <c r="L400" s="21"/>
      <c r="M400" s="3100" t="str">
        <f>IF($A$63=0,"",IF(M63=$C$5,"C","I"))</f>
        <v/>
      </c>
      <c r="N400" s="21"/>
      <c r="O400" s="21"/>
      <c r="P400" s="3100" t="str">
        <f>IF($A$63=0,"",IF(P63=$C$5,"C","I"))</f>
        <v/>
      </c>
      <c r="Q400" s="21"/>
      <c r="R400" s="21"/>
      <c r="S400" s="3100" t="str">
        <f>IF($A$63=0,"",IF(S63=$C$5,"C","I"))</f>
        <v/>
      </c>
      <c r="T400" s="21"/>
      <c r="U400" s="21"/>
      <c r="V400" s="3100" t="str">
        <f>IF($A$63=0,"",IF(V63=$C$5,"C","I"))</f>
        <v/>
      </c>
      <c r="W400" s="21"/>
      <c r="X400" s="21"/>
      <c r="Y400" s="3100" t="str">
        <f>IF($A$63=0,"",IF(Y63=$C$5,"C","I"))</f>
        <v/>
      </c>
      <c r="Z400" s="21"/>
      <c r="AA400" s="21"/>
      <c r="AB400" s="3100" t="str">
        <f>IF($A$63=0,"",IF(AB63=$C$5,"C","I"))</f>
        <v/>
      </c>
      <c r="AC400" s="21"/>
      <c r="AD400" s="21"/>
      <c r="AE400" s="3100" t="str">
        <f>IF($A$63=0,"",IF(AE63=$C$5,"C","I"))</f>
        <v/>
      </c>
    </row>
    <row r="401" spans="1:31" x14ac:dyDescent="0.2">
      <c r="A401" s="3085" t="s">
        <v>2163</v>
      </c>
      <c r="B401" s="3100" t="str">
        <f>IF($A$63=0,"",IF(B63&gt;=$C$5,"C","I"))</f>
        <v/>
      </c>
      <c r="C401" s="21"/>
      <c r="D401" s="3100" t="str">
        <f>IF($A$63=0,"",IF(D63&gt;=$C$5,"C","I"))</f>
        <v/>
      </c>
      <c r="E401" s="21"/>
      <c r="F401" s="21"/>
      <c r="G401" s="3100" t="str">
        <f>IF($A$63=0,"",IF(G63&gt;=$C$5,"C","I"))</f>
        <v/>
      </c>
      <c r="H401" s="21"/>
      <c r="I401" s="21"/>
      <c r="J401" s="3100" t="str">
        <f>IF($A$63=0,"",IF(J63&gt;=$C$5,"C","I"))</f>
        <v/>
      </c>
      <c r="K401" s="21"/>
      <c r="L401" s="21"/>
      <c r="M401" s="3100" t="str">
        <f>IF($A$63=0,"",IF(M63&gt;=$C$5,"C","I"))</f>
        <v/>
      </c>
      <c r="N401" s="21"/>
      <c r="O401" s="21"/>
      <c r="P401" s="3100" t="str">
        <f>IF($A$63=0,"",IF(P63&gt;=$C$5,"C","I"))</f>
        <v/>
      </c>
      <c r="Q401" s="21"/>
      <c r="R401" s="21"/>
      <c r="S401" s="3100" t="str">
        <f>IF($A$63=0,"",IF(S63&gt;=$C$5,"C","I"))</f>
        <v/>
      </c>
      <c r="T401" s="21"/>
      <c r="U401" s="21"/>
      <c r="V401" s="3100" t="str">
        <f>IF($A$63=0,"",IF(V63&gt;=$C$5,"C","I"))</f>
        <v/>
      </c>
      <c r="W401" s="21"/>
      <c r="X401" s="21"/>
      <c r="Y401" s="3100" t="str">
        <f>IF($A$63=0,"",IF(Y63&gt;=$C$5,"C","I"))</f>
        <v/>
      </c>
      <c r="Z401" s="21"/>
      <c r="AA401" s="21"/>
      <c r="AB401" s="3100" t="str">
        <f>IF($A$63=0,"",IF(AB63&gt;=$C$5,"C","I"))</f>
        <v/>
      </c>
      <c r="AC401" s="21"/>
      <c r="AD401" s="21"/>
      <c r="AE401" s="3100" t="str">
        <f>IF($A$63=0,"",IF(AE63&gt;=$C$5,"C","I"))</f>
        <v/>
      </c>
    </row>
    <row r="402" spans="1:31" x14ac:dyDescent="0.2">
      <c r="A402" s="3085" t="s">
        <v>2164</v>
      </c>
      <c r="B402" s="3100" t="str">
        <f>IF($A$63=0,"",IF(B63&lt;=$C$5,"C","I"))</f>
        <v/>
      </c>
      <c r="C402" s="21"/>
      <c r="D402" s="3100" t="str">
        <f>IF($A$63=0,"",IF(D63&lt;=$C$5,"C","I"))</f>
        <v/>
      </c>
      <c r="E402" s="21"/>
      <c r="F402" s="21"/>
      <c r="G402" s="3100" t="str">
        <f>IF($A$63=0,"",IF(G63&lt;=$C$5,"C","I"))</f>
        <v/>
      </c>
      <c r="H402" s="21"/>
      <c r="I402" s="21"/>
      <c r="J402" s="3100" t="str">
        <f>IF($A$63=0,"",IF(J63&lt;=$C$5,"C","I"))</f>
        <v/>
      </c>
      <c r="K402" s="21"/>
      <c r="L402" s="21"/>
      <c r="M402" s="3100" t="str">
        <f>IF($A$63=0,"",IF(M63&lt;=$C$5,"C","I"))</f>
        <v/>
      </c>
      <c r="N402" s="21"/>
      <c r="O402" s="21"/>
      <c r="P402" s="3100" t="str">
        <f>IF($A$63=0,"",IF(P63&lt;=$C$5,"C","I"))</f>
        <v/>
      </c>
      <c r="Q402" s="21"/>
      <c r="R402" s="21"/>
      <c r="S402" s="3100" t="str">
        <f>IF($A$63=0,"",IF(S63&lt;=$C$5,"C","I"))</f>
        <v/>
      </c>
      <c r="T402" s="21"/>
      <c r="U402" s="21"/>
      <c r="V402" s="3100" t="str">
        <f>IF($A$63=0,"",IF(V63&lt;=$C$5,"C","I"))</f>
        <v/>
      </c>
      <c r="W402" s="21"/>
      <c r="X402" s="21"/>
      <c r="Y402" s="3100" t="str">
        <f>IF($A$63=0,"",IF(Y63&lt;=$C$5,"C","I"))</f>
        <v/>
      </c>
      <c r="Z402" s="21"/>
      <c r="AA402" s="21"/>
      <c r="AB402" s="3100" t="str">
        <f>IF($A$63=0,"",IF(AB63&lt;=$C$5,"C","I"))</f>
        <v/>
      </c>
      <c r="AC402" s="21"/>
      <c r="AD402" s="21"/>
      <c r="AE402" s="3100" t="str">
        <f>IF($A$63=0,"",IF(AE63&lt;=$C$5,"C","I"))</f>
        <v/>
      </c>
    </row>
    <row r="403" spans="1:31" x14ac:dyDescent="0.2">
      <c r="A403" s="3085" t="s">
        <v>2111</v>
      </c>
      <c r="B403" s="3100" t="str">
        <f>IF($A$63=0,"",IF(B63&gt;$C$5,"C","I"))</f>
        <v/>
      </c>
      <c r="C403" s="21"/>
      <c r="D403" s="3100" t="str">
        <f>IF($A$63=0,"",IF(D63&gt;$C$5,"C","I"))</f>
        <v/>
      </c>
      <c r="E403" s="21"/>
      <c r="F403" s="21"/>
      <c r="G403" s="3100" t="str">
        <f>IF($A$63=0,"",IF(G63&gt;$C$5,"C","I"))</f>
        <v/>
      </c>
      <c r="H403" s="21"/>
      <c r="I403" s="21"/>
      <c r="J403" s="3100" t="str">
        <f>IF($A$63=0,"",IF(J63&gt;$C$5,"C","I"))</f>
        <v/>
      </c>
      <c r="K403" s="21"/>
      <c r="L403" s="21"/>
      <c r="M403" s="3100" t="str">
        <f>IF($A$63=0,"",IF(M63&gt;$C$5,"C","I"))</f>
        <v/>
      </c>
      <c r="N403" s="21"/>
      <c r="O403" s="21"/>
      <c r="P403" s="3100" t="str">
        <f>IF($A$63=0,"",IF(P63&gt;$C$5,"C","I"))</f>
        <v/>
      </c>
      <c r="Q403" s="21"/>
      <c r="R403" s="21"/>
      <c r="S403" s="3100" t="str">
        <f>IF($A$63=0,"",IF(S63&gt;$C$5,"C","I"))</f>
        <v/>
      </c>
      <c r="T403" s="21"/>
      <c r="U403" s="21"/>
      <c r="V403" s="3100" t="str">
        <f>IF($A$63=0,"",IF(V63&gt;$C$5,"C","I"))</f>
        <v/>
      </c>
      <c r="W403" s="21"/>
      <c r="X403" s="21"/>
      <c r="Y403" s="3100" t="str">
        <f>IF($A$63=0,"",IF(Y63&gt;$C$5,"C","I"))</f>
        <v/>
      </c>
      <c r="Z403" s="21"/>
      <c r="AA403" s="21"/>
      <c r="AB403" s="3100" t="str">
        <f>IF($A$63=0,"",IF(AB63&gt;$C$5,"C","I"))</f>
        <v/>
      </c>
      <c r="AC403" s="21"/>
      <c r="AD403" s="21"/>
      <c r="AE403" s="3100" t="str">
        <f>IF($A$63=0,"",IF(AE63&gt;$C$5,"C","I"))</f>
        <v/>
      </c>
    </row>
    <row r="404" spans="1:31" x14ac:dyDescent="0.2">
      <c r="A404" s="3085" t="s">
        <v>2112</v>
      </c>
      <c r="B404" s="3100" t="str">
        <f>IF($A$63=0,"",IF(B63&lt;$C$5,"C","I"))</f>
        <v/>
      </c>
      <c r="C404" s="21"/>
      <c r="D404" s="3100" t="str">
        <f>IF($A$63=0,"",IF(D63&lt;$C$5,"C","I"))</f>
        <v/>
      </c>
      <c r="E404" s="21"/>
      <c r="F404" s="21"/>
      <c r="G404" s="3100" t="str">
        <f>IF($A$63=0,"",IF(G63&lt;$C$5,"C","I"))</f>
        <v/>
      </c>
      <c r="H404" s="21"/>
      <c r="I404" s="21"/>
      <c r="J404" s="3100" t="str">
        <f>IF($A$63=0,"",IF(J63&lt;$C$5,"C","I"))</f>
        <v/>
      </c>
      <c r="K404" s="21"/>
      <c r="L404" s="21"/>
      <c r="M404" s="3100" t="str">
        <f>IF($A$63=0,"",IF(M63&lt;$C$5,"C","I"))</f>
        <v/>
      </c>
      <c r="N404" s="21"/>
      <c r="O404" s="21"/>
      <c r="P404" s="3100" t="str">
        <f>IF($A$63=0,"",IF(P63&lt;$C$5,"C","I"))</f>
        <v/>
      </c>
      <c r="Q404" s="21"/>
      <c r="R404" s="21"/>
      <c r="S404" s="3100" t="str">
        <f>IF($A$63=0,"",IF(S63&lt;$C$5,"C","I"))</f>
        <v/>
      </c>
      <c r="T404" s="21"/>
      <c r="U404" s="21"/>
      <c r="V404" s="3100" t="str">
        <f>IF($A$63=0,"",IF(V63&lt;$C$5,"C","I"))</f>
        <v/>
      </c>
      <c r="W404" s="21"/>
      <c r="X404" s="21"/>
      <c r="Y404" s="3100" t="str">
        <f>IF($A$63=0,"",IF(Y63&lt;$C$5,"C","I"))</f>
        <v/>
      </c>
      <c r="Z404" s="21"/>
      <c r="AA404" s="21"/>
      <c r="AB404" s="3100" t="str">
        <f>IF($A$63=0,"",IF(AB63&lt;$C$5,"C","I"))</f>
        <v/>
      </c>
      <c r="AC404" s="21"/>
      <c r="AD404" s="21"/>
      <c r="AE404" s="3100" t="str">
        <f>IF($A$63=0,"",IF(AE63&lt;$C$5,"C","I"))</f>
        <v/>
      </c>
    </row>
    <row r="405" spans="1:31" x14ac:dyDescent="0.2">
      <c r="A405" s="3085" t="s">
        <v>2113</v>
      </c>
      <c r="B405" s="3100" t="str">
        <f>IF($A$63=0,"",IF(B63&lt;&gt;$C$5,"C","I"))</f>
        <v/>
      </c>
      <c r="C405" s="21"/>
      <c r="D405" s="3100" t="str">
        <f>IF($A$63=0,"",IF(D63&lt;&gt;$C$5,"C","I"))</f>
        <v/>
      </c>
      <c r="E405" s="21"/>
      <c r="F405" s="21"/>
      <c r="G405" s="3100" t="str">
        <f>IF($A$63=0,"",IF(G63&lt;&gt;$C$5,"C","I"))</f>
        <v/>
      </c>
      <c r="H405" s="21"/>
      <c r="I405" s="21"/>
      <c r="J405" s="3100" t="str">
        <f>IF($A$63=0,"",IF(J63&lt;&gt;$C$5,"C","I"))</f>
        <v/>
      </c>
      <c r="K405" s="21"/>
      <c r="L405" s="21"/>
      <c r="M405" s="3100" t="str">
        <f>IF($A$63=0,"",IF(M63&lt;&gt;$C$5,"C","I"))</f>
        <v/>
      </c>
      <c r="N405" s="21"/>
      <c r="O405" s="21"/>
      <c r="P405" s="3100" t="str">
        <f>IF($A$63=0,"",IF(P63&lt;&gt;$C$5,"C","I"))</f>
        <v/>
      </c>
      <c r="Q405" s="21"/>
      <c r="R405" s="21"/>
      <c r="S405" s="3100" t="str">
        <f>IF($A$63=0,"",IF(S63&lt;&gt;$C$5,"C","I"))</f>
        <v/>
      </c>
      <c r="T405" s="21"/>
      <c r="U405" s="21"/>
      <c r="V405" s="3100" t="str">
        <f>IF($A$63=0,"",IF(V63&lt;&gt;$C$5,"C","I"))</f>
        <v/>
      </c>
      <c r="W405" s="21"/>
      <c r="X405" s="21"/>
      <c r="Y405" s="3100" t="str">
        <f>IF($A$63=0,"",IF(Y63&lt;&gt;$C$5,"C","I"))</f>
        <v/>
      </c>
      <c r="Z405" s="21"/>
      <c r="AA405" s="21"/>
      <c r="AB405" s="3100" t="str">
        <f>IF($A$63=0,"",IF(AB63&lt;&gt;$C$5,"C","I"))</f>
        <v/>
      </c>
      <c r="AC405" s="21"/>
      <c r="AD405" s="21"/>
      <c r="AE405" s="3100" t="str">
        <f>IF($A$63=0,"",IF(AE63&lt;&gt;$C$5,"C","I"))</f>
        <v/>
      </c>
    </row>
    <row r="406" spans="1:31" x14ac:dyDescent="0.2">
      <c r="A406" s="3085" t="s">
        <v>2131</v>
      </c>
      <c r="B406" s="21"/>
      <c r="C406" s="21"/>
      <c r="D406" s="21"/>
      <c r="E406" s="21"/>
      <c r="F406" s="21"/>
      <c r="G406" s="21"/>
      <c r="H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x14ac:dyDescent="0.2">
      <c r="A407" s="3085" t="s">
        <v>2162</v>
      </c>
      <c r="B407" s="3100" t="str">
        <f>IF($A$64=0,"",IF(B64=$C$6,"C","I"))</f>
        <v/>
      </c>
      <c r="C407" s="21"/>
      <c r="D407" s="3100" t="str">
        <f>IF($A$64=0,"",IF(D64=$C$6,"C","I"))</f>
        <v/>
      </c>
      <c r="E407" s="21"/>
      <c r="F407" s="21"/>
      <c r="G407" s="3100" t="str">
        <f>IF($A$64=0,"",IF(G64=$C$6,"C","I"))</f>
        <v/>
      </c>
      <c r="H407" s="21"/>
      <c r="I407" s="21"/>
      <c r="J407" s="3100" t="str">
        <f>IF($A$64=0,"",IF(J64=$C$6,"C","I"))</f>
        <v/>
      </c>
      <c r="K407" s="21"/>
      <c r="L407" s="21"/>
      <c r="M407" s="3100" t="str">
        <f>IF($A$64=0,"",IF(M64=$C$6,"C","I"))</f>
        <v/>
      </c>
      <c r="N407" s="21"/>
      <c r="O407" s="21"/>
      <c r="P407" s="3100" t="str">
        <f>IF($A$64=0,"",IF(P64=$C$6,"C","I"))</f>
        <v/>
      </c>
      <c r="Q407" s="21"/>
      <c r="R407" s="21"/>
      <c r="S407" s="3100" t="str">
        <f>IF($A$64=0,"",IF(S64=$C$6,"C","I"))</f>
        <v/>
      </c>
      <c r="T407" s="21"/>
      <c r="U407" s="21"/>
      <c r="V407" s="3100" t="str">
        <f>IF($A$64=0,"",IF(V64=$C$6,"C","I"))</f>
        <v/>
      </c>
      <c r="W407" s="21"/>
      <c r="X407" s="21"/>
      <c r="Y407" s="3100" t="str">
        <f>IF($A$64=0,"",IF(Y64=$C$6,"C","I"))</f>
        <v/>
      </c>
      <c r="Z407" s="21"/>
      <c r="AA407" s="21"/>
      <c r="AB407" s="3100" t="str">
        <f>IF($A$64=0,"",IF(AB64=$C$6,"C","I"))</f>
        <v/>
      </c>
      <c r="AC407" s="21"/>
      <c r="AD407" s="21"/>
      <c r="AE407" s="3100" t="str">
        <f>IF($A$64=0,"",IF(AE64=$C$6,"C","I"))</f>
        <v/>
      </c>
    </row>
    <row r="408" spans="1:31" x14ac:dyDescent="0.2">
      <c r="A408" s="3085" t="s">
        <v>2163</v>
      </c>
      <c r="B408" s="3100" t="str">
        <f>IF($A$64=0,"",IF(B64&gt;=$C$6,"C","I"))</f>
        <v/>
      </c>
      <c r="C408" s="21"/>
      <c r="D408" s="3100" t="str">
        <f>IF($A$64=0,"",IF(D64&gt;=$C$6,"C","I"))</f>
        <v/>
      </c>
      <c r="E408" s="21"/>
      <c r="F408" s="21"/>
      <c r="G408" s="3100" t="str">
        <f>IF($A$64=0,"",IF(G64&gt;=$C$6,"C","I"))</f>
        <v/>
      </c>
      <c r="H408" s="21"/>
      <c r="I408" s="21"/>
      <c r="J408" s="3100" t="str">
        <f>IF($A$64=0,"",IF(J64&gt;=$C$6,"C","I"))</f>
        <v/>
      </c>
      <c r="K408" s="21"/>
      <c r="L408" s="21"/>
      <c r="M408" s="3100" t="str">
        <f>IF($A$64=0,"",IF(M64&gt;=$C$6,"C","I"))</f>
        <v/>
      </c>
      <c r="N408" s="21"/>
      <c r="O408" s="21"/>
      <c r="P408" s="3100" t="str">
        <f>IF($A$64=0,"",IF(P64&gt;=$C$6,"C","I"))</f>
        <v/>
      </c>
      <c r="Q408" s="21"/>
      <c r="R408" s="21"/>
      <c r="S408" s="3100" t="str">
        <f>IF($A$64=0,"",IF(S64&gt;=$C$6,"C","I"))</f>
        <v/>
      </c>
      <c r="T408" s="21"/>
      <c r="U408" s="21"/>
      <c r="V408" s="3100" t="str">
        <f>IF($A$64=0,"",IF(V64&gt;=$C$6,"C","I"))</f>
        <v/>
      </c>
      <c r="W408" s="21"/>
      <c r="X408" s="21"/>
      <c r="Y408" s="3100" t="str">
        <f>IF($A$64=0,"",IF(Y64&gt;=$C$6,"C","I"))</f>
        <v/>
      </c>
      <c r="Z408" s="21"/>
      <c r="AA408" s="21"/>
      <c r="AB408" s="3100" t="str">
        <f>IF($A$64=0,"",IF(AB64&gt;=$C$6,"C","I"))</f>
        <v/>
      </c>
      <c r="AC408" s="21"/>
      <c r="AD408" s="21"/>
      <c r="AE408" s="3100" t="str">
        <f>IF($A$64=0,"",IF(AE64&gt;=$C$6,"C","I"))</f>
        <v/>
      </c>
    </row>
    <row r="409" spans="1:31" x14ac:dyDescent="0.2">
      <c r="A409" s="3085" t="s">
        <v>2164</v>
      </c>
      <c r="B409" s="3100" t="str">
        <f>IF($A$64=0,"",IF(B64&lt;=$C$6,"C","I"))</f>
        <v/>
      </c>
      <c r="C409" s="21"/>
      <c r="D409" s="3100" t="str">
        <f>IF($A$64=0,"",IF(D64&lt;=$C$6,"C","I"))</f>
        <v/>
      </c>
      <c r="E409" s="21"/>
      <c r="F409" s="21"/>
      <c r="G409" s="3100" t="str">
        <f>IF($A$64=0,"",IF(G64&lt;=$C$6,"C","I"))</f>
        <v/>
      </c>
      <c r="H409" s="21"/>
      <c r="I409" s="21"/>
      <c r="J409" s="3100" t="str">
        <f>IF($A$64=0,"",IF(J64&lt;=$C$6,"C","I"))</f>
        <v/>
      </c>
      <c r="K409" s="21"/>
      <c r="L409" s="21"/>
      <c r="M409" s="3100" t="str">
        <f>IF($A$64=0,"",IF(M64&lt;=$C$6,"C","I"))</f>
        <v/>
      </c>
      <c r="N409" s="21"/>
      <c r="O409" s="21"/>
      <c r="P409" s="3100" t="str">
        <f>IF($A$64=0,"",IF(P64&lt;=$C$6,"C","I"))</f>
        <v/>
      </c>
      <c r="Q409" s="21"/>
      <c r="R409" s="21"/>
      <c r="S409" s="3100" t="str">
        <f>IF($A$64=0,"",IF(S64&lt;=$C$6,"C","I"))</f>
        <v/>
      </c>
      <c r="T409" s="21"/>
      <c r="U409" s="21"/>
      <c r="V409" s="3100" t="str">
        <f>IF($A$64=0,"",IF(V64&lt;=$C$6,"C","I"))</f>
        <v/>
      </c>
      <c r="W409" s="21"/>
      <c r="X409" s="21"/>
      <c r="Y409" s="3100" t="str">
        <f>IF($A$64=0,"",IF(Y64&lt;=$C$6,"C","I"))</f>
        <v/>
      </c>
      <c r="Z409" s="21"/>
      <c r="AA409" s="21"/>
      <c r="AB409" s="3100" t="str">
        <f>IF($A$64=0,"",IF(AB64&lt;=$C$6,"C","I"))</f>
        <v/>
      </c>
      <c r="AC409" s="21"/>
      <c r="AD409" s="21"/>
      <c r="AE409" s="3100" t="str">
        <f>IF($A$64=0,"",IF(AE64&lt;=$C$6,"C","I"))</f>
        <v/>
      </c>
    </row>
    <row r="410" spans="1:31" x14ac:dyDescent="0.2">
      <c r="A410" s="3085" t="s">
        <v>2111</v>
      </c>
      <c r="B410" s="3100" t="str">
        <f>IF($A$64=0,"",IF(B64&gt;$C$6,"C","I"))</f>
        <v/>
      </c>
      <c r="C410" s="21"/>
      <c r="D410" s="3100" t="str">
        <f>IF($A$64=0,"",IF(D64&gt;$C$6,"C","I"))</f>
        <v/>
      </c>
      <c r="E410" s="21"/>
      <c r="F410" s="21"/>
      <c r="G410" s="3100" t="str">
        <f>IF($A$64=0,"",IF(G64&gt;$C$6,"C","I"))</f>
        <v/>
      </c>
      <c r="H410" s="21"/>
      <c r="I410" s="21"/>
      <c r="J410" s="3100" t="str">
        <f>IF($A$64=0,"",IF(J64&gt;$C$6,"C","I"))</f>
        <v/>
      </c>
      <c r="K410" s="21"/>
      <c r="L410" s="21"/>
      <c r="M410" s="3100" t="str">
        <f>IF($A$64=0,"",IF(M64&gt;$C$6,"C","I"))</f>
        <v/>
      </c>
      <c r="N410" s="21"/>
      <c r="O410" s="21"/>
      <c r="P410" s="3100" t="str">
        <f>IF($A$64=0,"",IF(P64&gt;$C$6,"C","I"))</f>
        <v/>
      </c>
      <c r="Q410" s="21"/>
      <c r="R410" s="21"/>
      <c r="S410" s="3100" t="str">
        <f>IF($A$64=0,"",IF(S64&gt;$C$6,"C","I"))</f>
        <v/>
      </c>
      <c r="T410" s="21"/>
      <c r="U410" s="21"/>
      <c r="V410" s="3100" t="str">
        <f>IF($A$64=0,"",IF(V64&gt;$C$6,"C","I"))</f>
        <v/>
      </c>
      <c r="W410" s="21"/>
      <c r="X410" s="21"/>
      <c r="Y410" s="3100" t="str">
        <f>IF($A$64=0,"",IF(Y64&gt;$C$6,"C","I"))</f>
        <v/>
      </c>
      <c r="Z410" s="21"/>
      <c r="AA410" s="21"/>
      <c r="AB410" s="3100" t="str">
        <f>IF($A$64=0,"",IF(AB64&gt;$C$6,"C","I"))</f>
        <v/>
      </c>
      <c r="AC410" s="21"/>
      <c r="AD410" s="21"/>
      <c r="AE410" s="3100" t="str">
        <f>IF($A$64=0,"",IF(AE64&gt;$C$6,"C","I"))</f>
        <v/>
      </c>
    </row>
    <row r="411" spans="1:31" x14ac:dyDescent="0.2">
      <c r="A411" s="3085" t="s">
        <v>2112</v>
      </c>
      <c r="B411" s="3100" t="str">
        <f>IF($A$64=0,"",IF(B64&lt;$C$6,"C","I"))</f>
        <v/>
      </c>
      <c r="C411" s="21"/>
      <c r="D411" s="3100" t="str">
        <f>IF($A$64=0,"",IF(D64&lt;$C$6,"C","I"))</f>
        <v/>
      </c>
      <c r="E411" s="21"/>
      <c r="F411" s="21"/>
      <c r="G411" s="3100" t="str">
        <f>IF($A$64=0,"",IF(G64&lt;$C$6,"C","I"))</f>
        <v/>
      </c>
      <c r="H411" s="21"/>
      <c r="I411" s="21"/>
      <c r="J411" s="3100" t="str">
        <f>IF($A$64=0,"",IF(J64&lt;$C$6,"C","I"))</f>
        <v/>
      </c>
      <c r="K411" s="21"/>
      <c r="L411" s="21"/>
      <c r="M411" s="3100" t="str">
        <f>IF($A$64=0,"",IF(M64&lt;$C$6,"C","I"))</f>
        <v/>
      </c>
      <c r="N411" s="21"/>
      <c r="O411" s="21"/>
      <c r="P411" s="3100" t="str">
        <f>IF($A$64=0,"",IF(P64&lt;$C$6,"C","I"))</f>
        <v/>
      </c>
      <c r="Q411" s="21"/>
      <c r="R411" s="21"/>
      <c r="S411" s="3100" t="str">
        <f>IF($A$64=0,"",IF(S64&lt;$C$6,"C","I"))</f>
        <v/>
      </c>
      <c r="T411" s="21"/>
      <c r="U411" s="21"/>
      <c r="V411" s="3100" t="str">
        <f>IF($A$64=0,"",IF(V64&lt;$C$6,"C","I"))</f>
        <v/>
      </c>
      <c r="W411" s="21"/>
      <c r="X411" s="21"/>
      <c r="Y411" s="3100" t="str">
        <f>IF($A$64=0,"",IF(Y64&lt;$C$6,"C","I"))</f>
        <v/>
      </c>
      <c r="Z411" s="21"/>
      <c r="AA411" s="21"/>
      <c r="AB411" s="3100" t="str">
        <f>IF($A$64=0,"",IF(AB64&lt;$C$6,"C","I"))</f>
        <v/>
      </c>
      <c r="AC411" s="21"/>
      <c r="AD411" s="21"/>
      <c r="AE411" s="3100" t="str">
        <f>IF($A$64=0,"",IF(AE64&lt;$C$6,"C","I"))</f>
        <v/>
      </c>
    </row>
    <row r="412" spans="1:31" x14ac:dyDescent="0.2">
      <c r="A412" s="3085" t="s">
        <v>2113</v>
      </c>
      <c r="B412" s="3100" t="str">
        <f>IF($A$64=0,"",IF(B64&lt;&gt;$C$6,"C","I"))</f>
        <v/>
      </c>
      <c r="C412" s="21"/>
      <c r="D412" s="3100" t="str">
        <f>IF($A$64=0,"",IF(D64&lt;&gt;$C$6,"C","I"))</f>
        <v/>
      </c>
      <c r="E412" s="21"/>
      <c r="F412" s="21"/>
      <c r="G412" s="3100" t="str">
        <f>IF($A$64=0,"",IF(G64&lt;&gt;$C$6,"C","I"))</f>
        <v/>
      </c>
      <c r="H412" s="21"/>
      <c r="I412" s="21"/>
      <c r="J412" s="3100" t="str">
        <f>IF($A$64=0,"",IF(J64&lt;&gt;$C$6,"C","I"))</f>
        <v/>
      </c>
      <c r="K412" s="21"/>
      <c r="L412" s="21"/>
      <c r="M412" s="3100" t="str">
        <f>IF($A$64=0,"",IF(M64&lt;&gt;$C$6,"C","I"))</f>
        <v/>
      </c>
      <c r="N412" s="21"/>
      <c r="O412" s="21"/>
      <c r="P412" s="3100" t="str">
        <f>IF($A$64=0,"",IF(P64&lt;&gt;$C$6,"C","I"))</f>
        <v/>
      </c>
      <c r="Q412" s="21"/>
      <c r="R412" s="21"/>
      <c r="S412" s="3100" t="str">
        <f>IF($A$64=0,"",IF(S64&lt;&gt;$C$6,"C","I"))</f>
        <v/>
      </c>
      <c r="T412" s="21"/>
      <c r="U412" s="21"/>
      <c r="V412" s="3100" t="str">
        <f>IF($A$64=0,"",IF(V64&lt;&gt;$C$6,"C","I"))</f>
        <v/>
      </c>
      <c r="W412" s="21"/>
      <c r="X412" s="21"/>
      <c r="Y412" s="3100" t="str">
        <f>IF($A$64=0,"",IF(Y64&lt;&gt;$C$6,"C","I"))</f>
        <v/>
      </c>
      <c r="Z412" s="21"/>
      <c r="AA412" s="21"/>
      <c r="AB412" s="3100" t="str">
        <f>IF($A$64=0,"",IF(AB64&lt;&gt;$C$6,"C","I"))</f>
        <v/>
      </c>
      <c r="AC412" s="21"/>
      <c r="AD412" s="21"/>
      <c r="AE412" s="3100" t="str">
        <f>IF($A$64=0,"",IF(AE64&lt;&gt;$C$6,"C","I"))</f>
        <v/>
      </c>
    </row>
    <row r="413" spans="1:31" x14ac:dyDescent="0.2">
      <c r="A413" s="3085" t="s">
        <v>2132</v>
      </c>
      <c r="B413" s="21"/>
      <c r="C413" s="21"/>
      <c r="D413" s="21"/>
      <c r="E413" s="21"/>
      <c r="F413" s="21"/>
      <c r="G413" s="21"/>
      <c r="H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x14ac:dyDescent="0.2">
      <c r="A414" s="3085" t="s">
        <v>2162</v>
      </c>
      <c r="B414" s="3100" t="str">
        <f>IF($A$65=0,"",IF(B65=$C$7,"C","I"))</f>
        <v/>
      </c>
      <c r="C414" s="21"/>
      <c r="D414" s="3100" t="str">
        <f>IF($A$65=0,"",IF(D65=$C$7,"C","I"))</f>
        <v/>
      </c>
      <c r="E414" s="21"/>
      <c r="F414" s="21"/>
      <c r="G414" s="3100" t="str">
        <f>IF($A$65=0,"",IF(G65=$C$7,"C","I"))</f>
        <v/>
      </c>
      <c r="H414" s="21"/>
      <c r="I414" s="21"/>
      <c r="J414" s="3100" t="str">
        <f>IF($A$65=0,"",IF(J65=$C$7,"C","I"))</f>
        <v/>
      </c>
      <c r="K414" s="21"/>
      <c r="L414" s="21"/>
      <c r="M414" s="3100" t="str">
        <f>IF($A$65=0,"",IF(M65=$C$7,"C","I"))</f>
        <v/>
      </c>
      <c r="N414" s="21"/>
      <c r="O414" s="21"/>
      <c r="P414" s="3100" t="str">
        <f>IF($A$65=0,"",IF(P65=$C$7,"C","I"))</f>
        <v/>
      </c>
      <c r="Q414" s="21"/>
      <c r="R414" s="21"/>
      <c r="S414" s="3100" t="str">
        <f>IF($A$65=0,"",IF(S65=$C$7,"C","I"))</f>
        <v/>
      </c>
      <c r="T414" s="21"/>
      <c r="U414" s="21"/>
      <c r="V414" s="3100" t="str">
        <f>IF($A$65=0,"",IF(V65=$C$7,"C","I"))</f>
        <v/>
      </c>
      <c r="W414" s="21"/>
      <c r="X414" s="21"/>
      <c r="Y414" s="3100" t="str">
        <f>IF($A$65=0,"",IF(Y65=$C$7,"C","I"))</f>
        <v/>
      </c>
      <c r="Z414" s="21"/>
      <c r="AA414" s="21"/>
      <c r="AB414" s="3100" t="str">
        <f>IF($A$65=0,"",IF(AB65=$C$7,"C","I"))</f>
        <v/>
      </c>
      <c r="AC414" s="21"/>
      <c r="AD414" s="21"/>
      <c r="AE414" s="3100" t="str">
        <f>IF($A$65=0,"",IF(AE65=$C$7,"C","I"))</f>
        <v/>
      </c>
    </row>
    <row r="415" spans="1:31" x14ac:dyDescent="0.2">
      <c r="A415" s="3085" t="s">
        <v>2163</v>
      </c>
      <c r="B415" s="3100" t="str">
        <f>IF($A$65=0,"",IF(B65&gt;=$C$7,"C","I"))</f>
        <v/>
      </c>
      <c r="C415" s="21"/>
      <c r="D415" s="3100" t="str">
        <f>IF($A$65=0,"",IF(D65&gt;=$C$7,"C","I"))</f>
        <v/>
      </c>
      <c r="E415" s="21"/>
      <c r="F415" s="21"/>
      <c r="G415" s="3100" t="str">
        <f>IF($A$65=0,"",IF(G65&gt;=$C$7,"C","I"))</f>
        <v/>
      </c>
      <c r="H415" s="21"/>
      <c r="I415" s="21"/>
      <c r="J415" s="3100" t="str">
        <f>IF($A$65=0,"",IF(J65&gt;=$C$7,"C","I"))</f>
        <v/>
      </c>
      <c r="K415" s="21"/>
      <c r="L415" s="21"/>
      <c r="M415" s="3100" t="str">
        <f>IF($A$65=0,"",IF(M65&gt;=$C$7,"C","I"))</f>
        <v/>
      </c>
      <c r="N415" s="21"/>
      <c r="O415" s="21"/>
      <c r="P415" s="3100" t="str">
        <f>IF($A$65=0,"",IF(P65&gt;=$C$7,"C","I"))</f>
        <v/>
      </c>
      <c r="Q415" s="21"/>
      <c r="R415" s="21"/>
      <c r="S415" s="3100" t="str">
        <f>IF($A$65=0,"",IF(S65&gt;=$C$7,"C","I"))</f>
        <v/>
      </c>
      <c r="T415" s="21"/>
      <c r="U415" s="21"/>
      <c r="V415" s="3100" t="str">
        <f>IF($A$65=0,"",IF(V65&gt;=$C$7,"C","I"))</f>
        <v/>
      </c>
      <c r="W415" s="21"/>
      <c r="X415" s="21"/>
      <c r="Y415" s="3100" t="str">
        <f>IF($A$65=0,"",IF(Y65&gt;=$C$7,"C","I"))</f>
        <v/>
      </c>
      <c r="Z415" s="21"/>
      <c r="AA415" s="21"/>
      <c r="AB415" s="3100" t="str">
        <f>IF($A$65=0,"",IF(AB65&gt;=$C$7,"C","I"))</f>
        <v/>
      </c>
      <c r="AC415" s="21"/>
      <c r="AD415" s="21"/>
      <c r="AE415" s="3100" t="str">
        <f>IF($A$65=0,"",IF(AE65&gt;=$C$7,"C","I"))</f>
        <v/>
      </c>
    </row>
    <row r="416" spans="1:31" x14ac:dyDescent="0.2">
      <c r="A416" s="3085" t="s">
        <v>2164</v>
      </c>
      <c r="B416" s="3100" t="str">
        <f>IF($A$65=0,"",IF(B65&lt;=$C$7,"C","I"))</f>
        <v/>
      </c>
      <c r="C416" s="21"/>
      <c r="D416" s="3100" t="str">
        <f>IF($A$65=0,"",IF(D65&lt;=$C$7,"C","I"))</f>
        <v/>
      </c>
      <c r="E416" s="21"/>
      <c r="F416" s="21"/>
      <c r="G416" s="3100" t="str">
        <f>IF($A$65=0,"",IF(G65&lt;=$C$7,"C","I"))</f>
        <v/>
      </c>
      <c r="H416" s="21"/>
      <c r="I416" s="21"/>
      <c r="J416" s="3100" t="str">
        <f>IF($A$65=0,"",IF(J65&lt;=$C$7,"C","I"))</f>
        <v/>
      </c>
      <c r="K416" s="21"/>
      <c r="L416" s="21"/>
      <c r="M416" s="3100" t="str">
        <f>IF($A$65=0,"",IF(M65&lt;=$C$7,"C","I"))</f>
        <v/>
      </c>
      <c r="N416" s="21"/>
      <c r="O416" s="21"/>
      <c r="P416" s="3100" t="str">
        <f>IF($A$65=0,"",IF(P65&lt;=$C$7,"C","I"))</f>
        <v/>
      </c>
      <c r="Q416" s="21"/>
      <c r="R416" s="21"/>
      <c r="S416" s="3100" t="str">
        <f>IF($A$65=0,"",IF(S65&lt;=$C$7,"C","I"))</f>
        <v/>
      </c>
      <c r="T416" s="21"/>
      <c r="U416" s="21"/>
      <c r="V416" s="3100" t="str">
        <f>IF($A$65=0,"",IF(V65&lt;=$C$7,"C","I"))</f>
        <v/>
      </c>
      <c r="W416" s="21"/>
      <c r="X416" s="21"/>
      <c r="Y416" s="3100" t="str">
        <f>IF($A$65=0,"",IF(Y65&lt;=$C$7,"C","I"))</f>
        <v/>
      </c>
      <c r="Z416" s="21"/>
      <c r="AA416" s="21"/>
      <c r="AB416" s="3100" t="str">
        <f>IF($A$65=0,"",IF(AB65&lt;=$C$7,"C","I"))</f>
        <v/>
      </c>
      <c r="AC416" s="21"/>
      <c r="AD416" s="21"/>
      <c r="AE416" s="3100" t="str">
        <f>IF($A$65=0,"",IF(AE65&lt;=$C$7,"C","I"))</f>
        <v/>
      </c>
    </row>
    <row r="417" spans="1:31" x14ac:dyDescent="0.2">
      <c r="A417" s="3085" t="s">
        <v>2111</v>
      </c>
      <c r="B417" s="3100" t="str">
        <f>IF($A$65=0,"",IF(B65&gt;$C$7,"C","I"))</f>
        <v/>
      </c>
      <c r="C417" s="21"/>
      <c r="D417" s="3100" t="str">
        <f>IF($A$65=0,"",IF(D65&gt;$C$7,"C","I"))</f>
        <v/>
      </c>
      <c r="E417" s="21"/>
      <c r="F417" s="21"/>
      <c r="G417" s="3100" t="str">
        <f>IF($A$65=0,"",IF(G65&gt;$C$7,"C","I"))</f>
        <v/>
      </c>
      <c r="H417" s="21"/>
      <c r="I417" s="21"/>
      <c r="J417" s="3100" t="str">
        <f>IF($A$65=0,"",IF(J65&gt;$C$7,"C","I"))</f>
        <v/>
      </c>
      <c r="K417" s="21"/>
      <c r="L417" s="21"/>
      <c r="M417" s="3100" t="str">
        <f>IF($A$65=0,"",IF(M65&gt;$C$7,"C","I"))</f>
        <v/>
      </c>
      <c r="N417" s="21"/>
      <c r="O417" s="21"/>
      <c r="P417" s="3100" t="str">
        <f>IF($A$65=0,"",IF(P65&gt;$C$7,"C","I"))</f>
        <v/>
      </c>
      <c r="Q417" s="21"/>
      <c r="R417" s="21"/>
      <c r="S417" s="3100" t="str">
        <f>IF($A$65=0,"",IF(S65&gt;$C$7,"C","I"))</f>
        <v/>
      </c>
      <c r="T417" s="21"/>
      <c r="U417" s="21"/>
      <c r="V417" s="3100" t="str">
        <f>IF($A$65=0,"",IF(V65&gt;$C$7,"C","I"))</f>
        <v/>
      </c>
      <c r="W417" s="21"/>
      <c r="X417" s="21"/>
      <c r="Y417" s="3100" t="str">
        <f>IF($A$65=0,"",IF(Y65&gt;$C$7,"C","I"))</f>
        <v/>
      </c>
      <c r="Z417" s="21"/>
      <c r="AA417" s="21"/>
      <c r="AB417" s="3100" t="str">
        <f>IF($A$65=0,"",IF(AB65&gt;$C$7,"C","I"))</f>
        <v/>
      </c>
      <c r="AC417" s="21"/>
      <c r="AD417" s="21"/>
      <c r="AE417" s="3100" t="str">
        <f>IF($A$65=0,"",IF(AE65&gt;$C$7,"C","I"))</f>
        <v/>
      </c>
    </row>
    <row r="418" spans="1:31" x14ac:dyDescent="0.2">
      <c r="A418" s="3085" t="s">
        <v>2112</v>
      </c>
      <c r="B418" s="3100" t="str">
        <f>IF($A$65=0,"",IF(B65&lt;$C$7,"C","I"))</f>
        <v/>
      </c>
      <c r="C418" s="21"/>
      <c r="D418" s="3100" t="str">
        <f>IF($A$65=0,"",IF(D65&lt;$C$7,"C","I"))</f>
        <v/>
      </c>
      <c r="E418" s="21"/>
      <c r="F418" s="21"/>
      <c r="G418" s="3100" t="str">
        <f>IF($A$65=0,"",IF(G65&lt;$C$7,"C","I"))</f>
        <v/>
      </c>
      <c r="H418" s="21"/>
      <c r="I418" s="21"/>
      <c r="J418" s="3100" t="str">
        <f>IF($A$65=0,"",IF(J65&lt;$C$7,"C","I"))</f>
        <v/>
      </c>
      <c r="K418" s="21"/>
      <c r="L418" s="21"/>
      <c r="M418" s="3100" t="str">
        <f>IF($A$65=0,"",IF(M65&lt;$C$7,"C","I"))</f>
        <v/>
      </c>
      <c r="N418" s="21"/>
      <c r="O418" s="21"/>
      <c r="P418" s="3100" t="str">
        <f>IF($A$65=0,"",IF(P65&lt;$C$7,"C","I"))</f>
        <v/>
      </c>
      <c r="Q418" s="21"/>
      <c r="R418" s="21"/>
      <c r="S418" s="3100" t="str">
        <f>IF($A$65=0,"",IF(S65&lt;$C$7,"C","I"))</f>
        <v/>
      </c>
      <c r="T418" s="21"/>
      <c r="U418" s="21"/>
      <c r="V418" s="3100" t="str">
        <f>IF($A$65=0,"",IF(V65&lt;$C$7,"C","I"))</f>
        <v/>
      </c>
      <c r="W418" s="21"/>
      <c r="X418" s="21"/>
      <c r="Y418" s="3100" t="str">
        <f>IF($A$65=0,"",IF(Y65&lt;$C$7,"C","I"))</f>
        <v/>
      </c>
      <c r="Z418" s="21"/>
      <c r="AA418" s="21"/>
      <c r="AB418" s="3100" t="str">
        <f>IF($A$65=0,"",IF(AB65&lt;$C$7,"C","I"))</f>
        <v/>
      </c>
      <c r="AC418" s="21"/>
      <c r="AD418" s="21"/>
      <c r="AE418" s="3100" t="str">
        <f>IF($A$65=0,"",IF(AE65&lt;$C$7,"C","I"))</f>
        <v/>
      </c>
    </row>
    <row r="419" spans="1:31" x14ac:dyDescent="0.2">
      <c r="A419" s="3085" t="s">
        <v>2113</v>
      </c>
      <c r="B419" s="3100" t="str">
        <f>IF($A$65=0,"",IF(B65&lt;&gt;$C$7,"C","I"))</f>
        <v/>
      </c>
      <c r="C419" s="21"/>
      <c r="D419" s="3100" t="str">
        <f>IF($A$65=0,"",IF(D65&lt;&gt;$C$7,"C","I"))</f>
        <v/>
      </c>
      <c r="E419" s="21"/>
      <c r="F419" s="21"/>
      <c r="G419" s="3100" t="str">
        <f>IF($A$65=0,"",IF(G65&lt;&gt;$C$7,"C","I"))</f>
        <v/>
      </c>
      <c r="H419" s="21"/>
      <c r="I419" s="21"/>
      <c r="J419" s="3100" t="str">
        <f>IF($A$65=0,"",IF(J65&lt;&gt;$C$7,"C","I"))</f>
        <v/>
      </c>
      <c r="K419" s="21"/>
      <c r="L419" s="21"/>
      <c r="M419" s="3100" t="str">
        <f>IF($A$65=0,"",IF(M65&lt;&gt;$C$7,"C","I"))</f>
        <v/>
      </c>
      <c r="N419" s="21"/>
      <c r="O419" s="21"/>
      <c r="P419" s="3100" t="str">
        <f>IF($A$65=0,"",IF(P65&lt;&gt;$C$7,"C","I"))</f>
        <v/>
      </c>
      <c r="Q419" s="21"/>
      <c r="R419" s="21"/>
      <c r="S419" s="3100" t="str">
        <f>IF($A$65=0,"",IF(S65&lt;&gt;$C$7,"C","I"))</f>
        <v/>
      </c>
      <c r="T419" s="21"/>
      <c r="U419" s="21"/>
      <c r="V419" s="3100" t="str">
        <f>IF($A$65=0,"",IF(V65&lt;&gt;$C$7,"C","I"))</f>
        <v/>
      </c>
      <c r="W419" s="21"/>
      <c r="X419" s="21"/>
      <c r="Y419" s="3100" t="str">
        <f>IF($A$65=0,"",IF(Y65&lt;&gt;$C$7,"C","I"))</f>
        <v/>
      </c>
      <c r="Z419" s="21"/>
      <c r="AA419" s="21"/>
      <c r="AB419" s="3100" t="str">
        <f>IF($A$65=0,"",IF(AB65&lt;&gt;$C$7,"C","I"))</f>
        <v/>
      </c>
      <c r="AC419" s="21"/>
      <c r="AD419" s="21"/>
      <c r="AE419" s="3100" t="str">
        <f>IF($A$65=0,"",IF(AE65&lt;&gt;$C$7,"C","I"))</f>
        <v/>
      </c>
    </row>
    <row r="420" spans="1:31" x14ac:dyDescent="0.2"/>
    <row r="421" spans="1:31" x14ac:dyDescent="0.2"/>
    <row r="422" spans="1:31" x14ac:dyDescent="0.2">
      <c r="D422" s="502" t="s">
        <v>1581</v>
      </c>
    </row>
    <row r="423" spans="1:31" x14ac:dyDescent="0.2">
      <c r="D423" s="3108">
        <f ca="1">COUNT($D$11:D11)</f>
        <v>1</v>
      </c>
      <c r="E423" s="3108">
        <f ca="1">COUNT($D$11:G11)</f>
        <v>2</v>
      </c>
      <c r="F423" s="3108">
        <f ca="1">COUNT($D$11:J11)</f>
        <v>3</v>
      </c>
      <c r="G423" s="3108">
        <f ca="1">COUNT($D$11:M11)</f>
        <v>4</v>
      </c>
      <c r="H423" s="3108">
        <f ca="1">COUNT($D$11:P11)</f>
        <v>5</v>
      </c>
      <c r="I423" s="3108">
        <f ca="1">COUNT($D$11:S11)</f>
        <v>6</v>
      </c>
      <c r="J423" s="3108">
        <f ca="1">COUNT($D$11:V11)</f>
        <v>7</v>
      </c>
      <c r="K423" s="3108">
        <f ca="1">COUNT($D$11:Y11)</f>
        <v>8</v>
      </c>
      <c r="L423" s="3108">
        <f ca="1">COUNT($D$11:AB11)</f>
        <v>9</v>
      </c>
      <c r="M423" s="3108">
        <f ca="1">COUNT($D$11:AE11)</f>
        <v>10</v>
      </c>
      <c r="N423" s="20">
        <f ca="1">COUNT($D$11:AH11)</f>
        <v>11</v>
      </c>
      <c r="O423" s="20">
        <f ca="1">COUNT($D$11:AK11)</f>
        <v>12</v>
      </c>
      <c r="P423" s="20">
        <f ca="1">COUNT($D$11:AN11)</f>
        <v>13</v>
      </c>
      <c r="Q423" s="20">
        <f ca="1">COUNT($D$11:AQ11)</f>
        <v>14</v>
      </c>
      <c r="R423" s="20">
        <f ca="1">COUNT($D$11:AT11)</f>
        <v>15</v>
      </c>
    </row>
    <row r="424" spans="1:31" x14ac:dyDescent="0.2"/>
    <row r="425" spans="1:31" x14ac:dyDescent="0.2">
      <c r="D425" s="502" t="s">
        <v>1586</v>
      </c>
    </row>
    <row r="426" spans="1:31" x14ac:dyDescent="0.2">
      <c r="D426" s="499">
        <f t="shared" ref="D426:M426" ca="1" si="16">D$423*12</f>
        <v>12</v>
      </c>
      <c r="E426" s="499">
        <f t="shared" ca="1" si="16"/>
        <v>24</v>
      </c>
      <c r="F426" s="499">
        <f t="shared" ca="1" si="16"/>
        <v>36</v>
      </c>
      <c r="G426" s="499">
        <f t="shared" ca="1" si="16"/>
        <v>48</v>
      </c>
      <c r="H426" s="499">
        <f t="shared" ca="1" si="16"/>
        <v>60</v>
      </c>
      <c r="I426" s="499">
        <f t="shared" ca="1" si="16"/>
        <v>72</v>
      </c>
      <c r="J426" s="499">
        <f t="shared" ca="1" si="16"/>
        <v>84</v>
      </c>
      <c r="K426" s="499">
        <f t="shared" ca="1" si="16"/>
        <v>96</v>
      </c>
      <c r="L426" s="499">
        <f t="shared" ca="1" si="16"/>
        <v>108</v>
      </c>
      <c r="M426" s="499">
        <f t="shared" ca="1" si="16"/>
        <v>120</v>
      </c>
    </row>
    <row r="427" spans="1:31" x14ac:dyDescent="0.2"/>
    <row r="428" spans="1:31" x14ac:dyDescent="0.2"/>
    <row r="429" spans="1:31" x14ac:dyDescent="0.2"/>
    <row r="430" spans="1:31" x14ac:dyDescent="0.2"/>
    <row r="431" spans="1:31" x14ac:dyDescent="0.2"/>
    <row r="432" spans="1:31" x14ac:dyDescent="0.2"/>
    <row r="433" x14ac:dyDescent="0.2"/>
    <row r="434" x14ac:dyDescent="0.2"/>
    <row r="435" x14ac:dyDescent="0.2"/>
    <row r="436" x14ac:dyDescent="0.2"/>
    <row r="437" x14ac:dyDescent="0.2"/>
    <row r="438" x14ac:dyDescent="0.2"/>
    <row r="439" x14ac:dyDescent="0.2"/>
    <row r="440" x14ac:dyDescent="0.2"/>
    <row r="441" x14ac:dyDescent="0.2"/>
    <row r="442" x14ac:dyDescent="0.2"/>
    <row r="443" x14ac:dyDescent="0.2"/>
    <row r="444" x14ac:dyDescent="0.2"/>
    <row r="445" x14ac:dyDescent="0.2"/>
    <row r="446" x14ac:dyDescent="0.2"/>
    <row r="447" x14ac:dyDescent="0.2"/>
    <row r="448" x14ac:dyDescent="0.2"/>
    <row r="449" x14ac:dyDescent="0.2"/>
    <row r="450" x14ac:dyDescent="0.2"/>
    <row r="451" x14ac:dyDescent="0.2"/>
    <row r="452" x14ac:dyDescent="0.2"/>
    <row r="453" x14ac:dyDescent="0.2"/>
    <row r="454" x14ac:dyDescent="0.2"/>
    <row r="455" x14ac:dyDescent="0.2"/>
    <row r="456" x14ac:dyDescent="0.2"/>
    <row r="457" x14ac:dyDescent="0.2"/>
    <row r="458" x14ac:dyDescent="0.2"/>
    <row r="459" x14ac:dyDescent="0.2"/>
    <row r="460" x14ac:dyDescent="0.2"/>
    <row r="461" x14ac:dyDescent="0.2"/>
    <row r="462" x14ac:dyDescent="0.2"/>
    <row r="463" x14ac:dyDescent="0.2"/>
    <row r="464" x14ac:dyDescent="0.2"/>
    <row r="465" x14ac:dyDescent="0.2"/>
    <row r="466" x14ac:dyDescent="0.2"/>
    <row r="467" x14ac:dyDescent="0.2"/>
    <row r="468" x14ac:dyDescent="0.2"/>
    <row r="469" x14ac:dyDescent="0.2"/>
    <row r="470" x14ac:dyDescent="0.2"/>
    <row r="471" x14ac:dyDescent="0.2"/>
    <row r="472" x14ac:dyDescent="0.2"/>
    <row r="473" x14ac:dyDescent="0.2"/>
    <row r="474" x14ac:dyDescent="0.2"/>
    <row r="475" x14ac:dyDescent="0.2"/>
    <row r="476" x14ac:dyDescent="0.2"/>
    <row r="477" x14ac:dyDescent="0.2"/>
    <row r="478" x14ac:dyDescent="0.2"/>
    <row r="479" x14ac:dyDescent="0.2"/>
    <row r="480" x14ac:dyDescent="0.2"/>
    <row r="481" x14ac:dyDescent="0.2"/>
    <row r="482" x14ac:dyDescent="0.2"/>
    <row r="483" x14ac:dyDescent="0.2"/>
    <row r="484" x14ac:dyDescent="0.2"/>
    <row r="485" x14ac:dyDescent="0.2"/>
    <row r="486" x14ac:dyDescent="0.2"/>
    <row r="487" x14ac:dyDescent="0.2"/>
    <row r="488" x14ac:dyDescent="0.2"/>
    <row r="489" x14ac:dyDescent="0.2"/>
    <row r="490" x14ac:dyDescent="0.2"/>
    <row r="491" x14ac:dyDescent="0.2"/>
    <row r="492" x14ac:dyDescent="0.2"/>
    <row r="493" x14ac:dyDescent="0.2"/>
    <row r="494" x14ac:dyDescent="0.2"/>
    <row r="495" x14ac:dyDescent="0.2"/>
    <row r="496" x14ac:dyDescent="0.2"/>
    <row r="497" x14ac:dyDescent="0.2"/>
    <row r="498" x14ac:dyDescent="0.2"/>
    <row r="499" x14ac:dyDescent="0.2"/>
    <row r="500" x14ac:dyDescent="0.2"/>
    <row r="501" x14ac:dyDescent="0.2"/>
    <row r="502" x14ac:dyDescent="0.2"/>
    <row r="503" x14ac:dyDescent="0.2"/>
    <row r="504" x14ac:dyDescent="0.2"/>
    <row r="505" x14ac:dyDescent="0.2"/>
    <row r="506" x14ac:dyDescent="0.2"/>
    <row r="507" x14ac:dyDescent="0.2"/>
    <row r="508" x14ac:dyDescent="0.2"/>
    <row r="509" x14ac:dyDescent="0.2"/>
    <row r="510" x14ac:dyDescent="0.2"/>
    <row r="511" x14ac:dyDescent="0.2"/>
    <row r="512" x14ac:dyDescent="0.2"/>
    <row r="513" x14ac:dyDescent="0.2"/>
    <row r="514" x14ac:dyDescent="0.2"/>
    <row r="515" x14ac:dyDescent="0.2"/>
    <row r="516" x14ac:dyDescent="0.2"/>
    <row r="517" x14ac:dyDescent="0.2"/>
    <row r="518" x14ac:dyDescent="0.2"/>
    <row r="519" x14ac:dyDescent="0.2"/>
    <row r="520" x14ac:dyDescent="0.2"/>
    <row r="521" x14ac:dyDescent="0.2"/>
    <row r="522" x14ac:dyDescent="0.2"/>
    <row r="523" x14ac:dyDescent="0.2"/>
    <row r="524" x14ac:dyDescent="0.2"/>
    <row r="525" x14ac:dyDescent="0.2"/>
    <row r="526" x14ac:dyDescent="0.2"/>
    <row r="527" x14ac:dyDescent="0.2"/>
    <row r="528" x14ac:dyDescent="0.2"/>
    <row r="529" x14ac:dyDescent="0.2"/>
    <row r="530" x14ac:dyDescent="0.2"/>
    <row r="531" x14ac:dyDescent="0.2"/>
    <row r="532" x14ac:dyDescent="0.2"/>
    <row r="533" x14ac:dyDescent="0.2"/>
    <row r="534" x14ac:dyDescent="0.2"/>
    <row r="535" x14ac:dyDescent="0.2"/>
    <row r="536" x14ac:dyDescent="0.2"/>
    <row r="537" x14ac:dyDescent="0.2"/>
    <row r="538" x14ac:dyDescent="0.2"/>
    <row r="539" x14ac:dyDescent="0.2"/>
    <row r="540" x14ac:dyDescent="0.2"/>
    <row r="541" x14ac:dyDescent="0.2"/>
    <row r="542" x14ac:dyDescent="0.2"/>
    <row r="543" x14ac:dyDescent="0.2"/>
    <row r="544" x14ac:dyDescent="0.2"/>
    <row r="545" x14ac:dyDescent="0.2"/>
    <row r="546" x14ac:dyDescent="0.2"/>
    <row r="547" x14ac:dyDescent="0.2"/>
    <row r="548" x14ac:dyDescent="0.2"/>
    <row r="549" x14ac:dyDescent="0.2"/>
    <row r="550" x14ac:dyDescent="0.2"/>
    <row r="551" x14ac:dyDescent="0.2"/>
    <row r="552" x14ac:dyDescent="0.2"/>
    <row r="553" x14ac:dyDescent="0.2"/>
    <row r="554" x14ac:dyDescent="0.2"/>
    <row r="555" x14ac:dyDescent="0.2"/>
    <row r="556" x14ac:dyDescent="0.2"/>
    <row r="557" x14ac:dyDescent="0.2"/>
    <row r="558" x14ac:dyDescent="0.2"/>
    <row r="559" x14ac:dyDescent="0.2"/>
    <row r="560" x14ac:dyDescent="0.2"/>
    <row r="561" x14ac:dyDescent="0.2"/>
    <row r="562" x14ac:dyDescent="0.2"/>
    <row r="563" x14ac:dyDescent="0.2"/>
    <row r="564" x14ac:dyDescent="0.2"/>
    <row r="565" x14ac:dyDescent="0.2"/>
    <row r="566" x14ac:dyDescent="0.2"/>
    <row r="567" x14ac:dyDescent="0.2"/>
    <row r="568" x14ac:dyDescent="0.2"/>
    <row r="569" x14ac:dyDescent="0.2"/>
    <row r="570" x14ac:dyDescent="0.2"/>
    <row r="571" x14ac:dyDescent="0.2"/>
    <row r="572" x14ac:dyDescent="0.2"/>
    <row r="573" x14ac:dyDescent="0.2"/>
    <row r="574" x14ac:dyDescent="0.2"/>
    <row r="575" x14ac:dyDescent="0.2"/>
    <row r="576" x14ac:dyDescent="0.2"/>
    <row r="577" x14ac:dyDescent="0.2"/>
    <row r="578" x14ac:dyDescent="0.2"/>
    <row r="579" x14ac:dyDescent="0.2"/>
    <row r="580" x14ac:dyDescent="0.2"/>
    <row r="581" x14ac:dyDescent="0.2"/>
    <row r="582" x14ac:dyDescent="0.2"/>
    <row r="583" x14ac:dyDescent="0.2"/>
    <row r="584" x14ac:dyDescent="0.2"/>
    <row r="585" x14ac:dyDescent="0.2"/>
    <row r="586" x14ac:dyDescent="0.2"/>
    <row r="587" x14ac:dyDescent="0.2"/>
    <row r="588" x14ac:dyDescent="0.2"/>
    <row r="589" x14ac:dyDescent="0.2"/>
    <row r="590" x14ac:dyDescent="0.2"/>
    <row r="591" x14ac:dyDescent="0.2"/>
    <row r="592" x14ac:dyDescent="0.2"/>
    <row r="593" x14ac:dyDescent="0.2"/>
    <row r="594" x14ac:dyDescent="0.2"/>
    <row r="595" x14ac:dyDescent="0.2"/>
    <row r="596" x14ac:dyDescent="0.2"/>
    <row r="597" x14ac:dyDescent="0.2"/>
    <row r="598" x14ac:dyDescent="0.2"/>
    <row r="599" x14ac:dyDescent="0.2"/>
    <row r="600" x14ac:dyDescent="0.2"/>
    <row r="601" x14ac:dyDescent="0.2"/>
    <row r="602" x14ac:dyDescent="0.2"/>
    <row r="603" x14ac:dyDescent="0.2"/>
    <row r="604" x14ac:dyDescent="0.2"/>
    <row r="605" x14ac:dyDescent="0.2"/>
    <row r="606" x14ac:dyDescent="0.2"/>
    <row r="607" x14ac:dyDescent="0.2"/>
    <row r="608" x14ac:dyDescent="0.2"/>
    <row r="609" x14ac:dyDescent="0.2"/>
    <row r="610" x14ac:dyDescent="0.2"/>
    <row r="611" x14ac:dyDescent="0.2"/>
    <row r="612" x14ac:dyDescent="0.2"/>
    <row r="613" x14ac:dyDescent="0.2"/>
    <row r="614" x14ac:dyDescent="0.2"/>
    <row r="615" x14ac:dyDescent="0.2"/>
    <row r="616" x14ac:dyDescent="0.2"/>
    <row r="617" x14ac:dyDescent="0.2"/>
    <row r="618" x14ac:dyDescent="0.2"/>
    <row r="619" x14ac:dyDescent="0.2"/>
    <row r="620" x14ac:dyDescent="0.2"/>
    <row r="621" x14ac:dyDescent="0.2"/>
    <row r="622" x14ac:dyDescent="0.2"/>
    <row r="623" x14ac:dyDescent="0.2"/>
    <row r="624" x14ac:dyDescent="0.2"/>
    <row r="625" x14ac:dyDescent="0.2"/>
    <row r="626" x14ac:dyDescent="0.2"/>
    <row r="627" x14ac:dyDescent="0.2"/>
    <row r="628" x14ac:dyDescent="0.2"/>
    <row r="629" x14ac:dyDescent="0.2"/>
    <row r="630" x14ac:dyDescent="0.2"/>
    <row r="631" x14ac:dyDescent="0.2"/>
    <row r="632" x14ac:dyDescent="0.2"/>
    <row r="633" x14ac:dyDescent="0.2"/>
    <row r="634" x14ac:dyDescent="0.2"/>
    <row r="635" x14ac:dyDescent="0.2"/>
    <row r="636" x14ac:dyDescent="0.2"/>
    <row r="637" x14ac:dyDescent="0.2"/>
    <row r="638" x14ac:dyDescent="0.2"/>
    <row r="639" x14ac:dyDescent="0.2"/>
    <row r="640" x14ac:dyDescent="0.2"/>
    <row r="641" x14ac:dyDescent="0.2"/>
    <row r="642" x14ac:dyDescent="0.2"/>
    <row r="643" x14ac:dyDescent="0.2"/>
    <row r="644" x14ac:dyDescent="0.2"/>
    <row r="645" x14ac:dyDescent="0.2"/>
    <row r="646" x14ac:dyDescent="0.2"/>
    <row r="647" x14ac:dyDescent="0.2"/>
    <row r="648" x14ac:dyDescent="0.2"/>
    <row r="649" x14ac:dyDescent="0.2"/>
    <row r="650" x14ac:dyDescent="0.2"/>
    <row r="651" x14ac:dyDescent="0.2"/>
    <row r="652" x14ac:dyDescent="0.2"/>
    <row r="653" x14ac:dyDescent="0.2"/>
    <row r="654" x14ac:dyDescent="0.2"/>
    <row r="655" x14ac:dyDescent="0.2"/>
    <row r="656" x14ac:dyDescent="0.2"/>
    <row r="657" x14ac:dyDescent="0.2"/>
    <row r="658" x14ac:dyDescent="0.2"/>
    <row r="659" x14ac:dyDescent="0.2"/>
    <row r="660" x14ac:dyDescent="0.2"/>
    <row r="661" x14ac:dyDescent="0.2"/>
    <row r="662" x14ac:dyDescent="0.2"/>
    <row r="663" x14ac:dyDescent="0.2"/>
    <row r="664" x14ac:dyDescent="0.2"/>
    <row r="665" x14ac:dyDescent="0.2"/>
    <row r="666" x14ac:dyDescent="0.2"/>
    <row r="667" x14ac:dyDescent="0.2"/>
    <row r="668" x14ac:dyDescent="0.2"/>
    <row r="669" x14ac:dyDescent="0.2"/>
    <row r="670" x14ac:dyDescent="0.2"/>
    <row r="671" x14ac:dyDescent="0.2"/>
    <row r="672" x14ac:dyDescent="0.2"/>
    <row r="673" x14ac:dyDescent="0.2"/>
    <row r="674" x14ac:dyDescent="0.2"/>
    <row r="675" x14ac:dyDescent="0.2"/>
    <row r="676" x14ac:dyDescent="0.2"/>
    <row r="677" x14ac:dyDescent="0.2"/>
    <row r="678" x14ac:dyDescent="0.2"/>
    <row r="679" x14ac:dyDescent="0.2"/>
    <row r="680" x14ac:dyDescent="0.2"/>
    <row r="681" x14ac:dyDescent="0.2"/>
    <row r="682" x14ac:dyDescent="0.2"/>
    <row r="683" x14ac:dyDescent="0.2"/>
    <row r="684" x14ac:dyDescent="0.2"/>
    <row r="685" x14ac:dyDescent="0.2"/>
    <row r="686" x14ac:dyDescent="0.2"/>
    <row r="687" x14ac:dyDescent="0.2"/>
    <row r="688" x14ac:dyDescent="0.2"/>
    <row r="689" x14ac:dyDescent="0.2"/>
    <row r="690" x14ac:dyDescent="0.2"/>
    <row r="691" x14ac:dyDescent="0.2"/>
    <row r="692" x14ac:dyDescent="0.2"/>
    <row r="693" x14ac:dyDescent="0.2"/>
    <row r="694" x14ac:dyDescent="0.2"/>
    <row r="695" x14ac:dyDescent="0.2"/>
    <row r="696" x14ac:dyDescent="0.2"/>
    <row r="697" x14ac:dyDescent="0.2"/>
    <row r="698" x14ac:dyDescent="0.2"/>
    <row r="699" x14ac:dyDescent="0.2"/>
    <row r="700" x14ac:dyDescent="0.2"/>
    <row r="701" x14ac:dyDescent="0.2"/>
    <row r="702" x14ac:dyDescent="0.2"/>
    <row r="703" x14ac:dyDescent="0.2"/>
    <row r="704" x14ac:dyDescent="0.2"/>
    <row r="705" x14ac:dyDescent="0.2"/>
    <row r="706" x14ac:dyDescent="0.2"/>
    <row r="707" x14ac:dyDescent="0.2"/>
    <row r="708" x14ac:dyDescent="0.2"/>
    <row r="709" x14ac:dyDescent="0.2"/>
    <row r="710" x14ac:dyDescent="0.2"/>
    <row r="711" x14ac:dyDescent="0.2"/>
    <row r="712" x14ac:dyDescent="0.2"/>
    <row r="713" x14ac:dyDescent="0.2"/>
    <row r="714" x14ac:dyDescent="0.2"/>
    <row r="715" x14ac:dyDescent="0.2"/>
    <row r="716" x14ac:dyDescent="0.2"/>
    <row r="717" x14ac:dyDescent="0.2"/>
    <row r="718" x14ac:dyDescent="0.2"/>
    <row r="719" x14ac:dyDescent="0.2"/>
    <row r="720" x14ac:dyDescent="0.2"/>
    <row r="721" x14ac:dyDescent="0.2"/>
    <row r="722" x14ac:dyDescent="0.2"/>
    <row r="723" x14ac:dyDescent="0.2"/>
    <row r="724" x14ac:dyDescent="0.2"/>
    <row r="725" x14ac:dyDescent="0.2"/>
    <row r="726" x14ac:dyDescent="0.2"/>
    <row r="727" x14ac:dyDescent="0.2"/>
    <row r="728" x14ac:dyDescent="0.2"/>
    <row r="729" x14ac:dyDescent="0.2"/>
    <row r="730" x14ac:dyDescent="0.2"/>
    <row r="731" x14ac:dyDescent="0.2"/>
    <row r="732" x14ac:dyDescent="0.2"/>
    <row r="733" x14ac:dyDescent="0.2"/>
    <row r="734" x14ac:dyDescent="0.2"/>
    <row r="735" x14ac:dyDescent="0.2"/>
    <row r="736" x14ac:dyDescent="0.2"/>
    <row r="737" x14ac:dyDescent="0.2"/>
    <row r="738" x14ac:dyDescent="0.2"/>
    <row r="739" x14ac:dyDescent="0.2"/>
    <row r="740" x14ac:dyDescent="0.2"/>
    <row r="741" x14ac:dyDescent="0.2"/>
    <row r="742" x14ac:dyDescent="0.2"/>
    <row r="743" x14ac:dyDescent="0.2"/>
    <row r="744" x14ac:dyDescent="0.2"/>
    <row r="745" x14ac:dyDescent="0.2"/>
    <row r="746" x14ac:dyDescent="0.2"/>
    <row r="747" x14ac:dyDescent="0.2"/>
    <row r="748" x14ac:dyDescent="0.2"/>
    <row r="749" x14ac:dyDescent="0.2"/>
    <row r="750" x14ac:dyDescent="0.2"/>
    <row r="751" x14ac:dyDescent="0.2"/>
    <row r="752" x14ac:dyDescent="0.2"/>
    <row r="753" x14ac:dyDescent="0.2"/>
    <row r="754" x14ac:dyDescent="0.2"/>
    <row r="755" x14ac:dyDescent="0.2"/>
    <row r="756" x14ac:dyDescent="0.2"/>
    <row r="757" x14ac:dyDescent="0.2"/>
    <row r="758" x14ac:dyDescent="0.2"/>
    <row r="759" x14ac:dyDescent="0.2"/>
    <row r="760" x14ac:dyDescent="0.2"/>
    <row r="761" x14ac:dyDescent="0.2"/>
    <row r="762" x14ac:dyDescent="0.2"/>
    <row r="763" x14ac:dyDescent="0.2"/>
    <row r="764" x14ac:dyDescent="0.2"/>
    <row r="765" x14ac:dyDescent="0.2"/>
    <row r="766" x14ac:dyDescent="0.2"/>
    <row r="767" x14ac:dyDescent="0.2"/>
    <row r="768" x14ac:dyDescent="0.2"/>
    <row r="769" x14ac:dyDescent="0.2"/>
    <row r="770" x14ac:dyDescent="0.2"/>
    <row r="771" x14ac:dyDescent="0.2"/>
    <row r="772" x14ac:dyDescent="0.2"/>
    <row r="773" x14ac:dyDescent="0.2"/>
    <row r="774" x14ac:dyDescent="0.2"/>
    <row r="775" x14ac:dyDescent="0.2"/>
    <row r="776" x14ac:dyDescent="0.2"/>
    <row r="777" x14ac:dyDescent="0.2"/>
    <row r="778" x14ac:dyDescent="0.2"/>
    <row r="779" x14ac:dyDescent="0.2"/>
    <row r="780" x14ac:dyDescent="0.2"/>
    <row r="781" x14ac:dyDescent="0.2"/>
    <row r="782" x14ac:dyDescent="0.2"/>
    <row r="783" x14ac:dyDescent="0.2"/>
    <row r="784" x14ac:dyDescent="0.2"/>
    <row r="785" x14ac:dyDescent="0.2"/>
    <row r="786" x14ac:dyDescent="0.2"/>
    <row r="787" x14ac:dyDescent="0.2"/>
    <row r="788" x14ac:dyDescent="0.2"/>
    <row r="789" x14ac:dyDescent="0.2"/>
    <row r="790" x14ac:dyDescent="0.2"/>
    <row r="791" x14ac:dyDescent="0.2"/>
    <row r="792" x14ac:dyDescent="0.2"/>
    <row r="793" x14ac:dyDescent="0.2"/>
    <row r="794" x14ac:dyDescent="0.2"/>
    <row r="795" x14ac:dyDescent="0.2"/>
    <row r="796" x14ac:dyDescent="0.2"/>
    <row r="797" x14ac:dyDescent="0.2"/>
    <row r="798" x14ac:dyDescent="0.2"/>
    <row r="799" x14ac:dyDescent="0.2"/>
    <row r="800" x14ac:dyDescent="0.2"/>
    <row r="801" x14ac:dyDescent="0.2"/>
    <row r="802" x14ac:dyDescent="0.2"/>
    <row r="803" x14ac:dyDescent="0.2"/>
    <row r="804" x14ac:dyDescent="0.2"/>
    <row r="805" x14ac:dyDescent="0.2"/>
    <row r="806" x14ac:dyDescent="0.2"/>
    <row r="807" x14ac:dyDescent="0.2"/>
    <row r="808" x14ac:dyDescent="0.2"/>
    <row r="809" x14ac:dyDescent="0.2"/>
    <row r="810" x14ac:dyDescent="0.2"/>
    <row r="811" x14ac:dyDescent="0.2"/>
    <row r="812" x14ac:dyDescent="0.2"/>
    <row r="813" x14ac:dyDescent="0.2"/>
    <row r="814" x14ac:dyDescent="0.2"/>
    <row r="815" x14ac:dyDescent="0.2"/>
    <row r="816" x14ac:dyDescent="0.2"/>
    <row r="817" x14ac:dyDescent="0.2"/>
    <row r="818" x14ac:dyDescent="0.2"/>
    <row r="819" x14ac:dyDescent="0.2"/>
    <row r="820" x14ac:dyDescent="0.2"/>
    <row r="821" x14ac:dyDescent="0.2"/>
    <row r="822" x14ac:dyDescent="0.2"/>
    <row r="823" x14ac:dyDescent="0.2"/>
    <row r="824" x14ac:dyDescent="0.2"/>
    <row r="825" x14ac:dyDescent="0.2"/>
    <row r="826" x14ac:dyDescent="0.2"/>
    <row r="827" x14ac:dyDescent="0.2"/>
    <row r="828" x14ac:dyDescent="0.2"/>
    <row r="829" x14ac:dyDescent="0.2"/>
    <row r="830" x14ac:dyDescent="0.2"/>
    <row r="831" x14ac:dyDescent="0.2"/>
    <row r="832" x14ac:dyDescent="0.2"/>
    <row r="833" x14ac:dyDescent="0.2"/>
    <row r="834" x14ac:dyDescent="0.2"/>
    <row r="835" x14ac:dyDescent="0.2"/>
    <row r="836" x14ac:dyDescent="0.2"/>
    <row r="837" x14ac:dyDescent="0.2"/>
    <row r="838" x14ac:dyDescent="0.2"/>
    <row r="839" x14ac:dyDescent="0.2"/>
    <row r="840" x14ac:dyDescent="0.2"/>
    <row r="841" x14ac:dyDescent="0.2"/>
    <row r="842" x14ac:dyDescent="0.2"/>
    <row r="843" x14ac:dyDescent="0.2"/>
    <row r="844" x14ac:dyDescent="0.2"/>
    <row r="845" x14ac:dyDescent="0.2"/>
    <row r="846" x14ac:dyDescent="0.2"/>
    <row r="847" x14ac:dyDescent="0.2"/>
    <row r="848" x14ac:dyDescent="0.2"/>
    <row r="849" x14ac:dyDescent="0.2"/>
    <row r="850" x14ac:dyDescent="0.2"/>
    <row r="851" x14ac:dyDescent="0.2"/>
    <row r="852" x14ac:dyDescent="0.2"/>
    <row r="853" x14ac:dyDescent="0.2"/>
    <row r="854" x14ac:dyDescent="0.2"/>
    <row r="855" x14ac:dyDescent="0.2"/>
    <row r="856" x14ac:dyDescent="0.2"/>
    <row r="857" x14ac:dyDescent="0.2"/>
    <row r="858" x14ac:dyDescent="0.2"/>
    <row r="859" x14ac:dyDescent="0.2"/>
    <row r="860" x14ac:dyDescent="0.2"/>
    <row r="861" x14ac:dyDescent="0.2"/>
    <row r="862" x14ac:dyDescent="0.2"/>
    <row r="863" x14ac:dyDescent="0.2"/>
    <row r="864" x14ac:dyDescent="0.2"/>
    <row r="865" x14ac:dyDescent="0.2"/>
    <row r="866" x14ac:dyDescent="0.2"/>
    <row r="867" x14ac:dyDescent="0.2"/>
    <row r="868" x14ac:dyDescent="0.2"/>
    <row r="869" x14ac:dyDescent="0.2"/>
    <row r="870" x14ac:dyDescent="0.2"/>
    <row r="871" x14ac:dyDescent="0.2"/>
    <row r="872" x14ac:dyDescent="0.2"/>
    <row r="873" x14ac:dyDescent="0.2"/>
    <row r="874" x14ac:dyDescent="0.2"/>
    <row r="875" x14ac:dyDescent="0.2"/>
    <row r="876" x14ac:dyDescent="0.2"/>
    <row r="877" x14ac:dyDescent="0.2"/>
    <row r="878" x14ac:dyDescent="0.2"/>
    <row r="879" x14ac:dyDescent="0.2"/>
    <row r="880" x14ac:dyDescent="0.2"/>
    <row r="881" x14ac:dyDescent="0.2"/>
    <row r="882" x14ac:dyDescent="0.2"/>
    <row r="883" x14ac:dyDescent="0.2"/>
    <row r="884" x14ac:dyDescent="0.2"/>
    <row r="885" x14ac:dyDescent="0.2"/>
    <row r="886" x14ac:dyDescent="0.2"/>
    <row r="887" x14ac:dyDescent="0.2"/>
    <row r="888" x14ac:dyDescent="0.2"/>
    <row r="889" x14ac:dyDescent="0.2"/>
    <row r="890" x14ac:dyDescent="0.2"/>
    <row r="891" x14ac:dyDescent="0.2"/>
    <row r="892" x14ac:dyDescent="0.2"/>
    <row r="893" x14ac:dyDescent="0.2"/>
    <row r="894" x14ac:dyDescent="0.2"/>
    <row r="895" x14ac:dyDescent="0.2"/>
    <row r="896" x14ac:dyDescent="0.2"/>
    <row r="897" x14ac:dyDescent="0.2"/>
    <row r="898" x14ac:dyDescent="0.2"/>
    <row r="899" x14ac:dyDescent="0.2"/>
    <row r="900" x14ac:dyDescent="0.2"/>
    <row r="901" x14ac:dyDescent="0.2"/>
    <row r="902" x14ac:dyDescent="0.2"/>
    <row r="903" x14ac:dyDescent="0.2"/>
    <row r="904" x14ac:dyDescent="0.2"/>
    <row r="905" x14ac:dyDescent="0.2"/>
    <row r="906" x14ac:dyDescent="0.2"/>
    <row r="907" x14ac:dyDescent="0.2"/>
    <row r="908" x14ac:dyDescent="0.2"/>
    <row r="909" x14ac:dyDescent="0.2"/>
    <row r="910" x14ac:dyDescent="0.2"/>
    <row r="911" x14ac:dyDescent="0.2"/>
    <row r="912" x14ac:dyDescent="0.2"/>
    <row r="913" spans="8:12" x14ac:dyDescent="0.2"/>
    <row r="914" spans="8:12" x14ac:dyDescent="0.2"/>
    <row r="915" spans="8:12" x14ac:dyDescent="0.2"/>
    <row r="916" spans="8:12" x14ac:dyDescent="0.2"/>
    <row r="917" spans="8:12" x14ac:dyDescent="0.2"/>
    <row r="918" spans="8:12" x14ac:dyDescent="0.2"/>
    <row r="919" spans="8:12" x14ac:dyDescent="0.2"/>
    <row r="920" spans="8:12" x14ac:dyDescent="0.2"/>
    <row r="921" spans="8:12" x14ac:dyDescent="0.2"/>
    <row r="922" spans="8:12" x14ac:dyDescent="0.2"/>
    <row r="923" spans="8:12" x14ac:dyDescent="0.2"/>
    <row r="924" spans="8:12" x14ac:dyDescent="0.2">
      <c r="H924" s="3109" t="s">
        <v>1540</v>
      </c>
    </row>
    <row r="925" spans="8:12" x14ac:dyDescent="0.2">
      <c r="H925" s="3110">
        <v>1</v>
      </c>
      <c r="I925" s="3110" t="str">
        <f>IF(H925=1,I927,IF(H925=2,I935,""))</f>
        <v>88:139</v>
      </c>
      <c r="J925" s="3110" t="str">
        <f ca="1">IF(H925=1,SUBSTITUTE(CELL("DIRECCION",H927),"$",""),IF(H925=2,SUBSTITUTE(CELL("DIRECCION",H935),"$",""),""))</f>
        <v>H927</v>
      </c>
      <c r="K925" s="3110" t="str">
        <f>IF(H925=1,I933,IF(H925=2,I940,""))</f>
        <v>75:139</v>
      </c>
      <c r="L925" s="3110" t="str">
        <f ca="1">IF(H925=1,SUBSTITUTE(CELL("DIRECCION",$A$81),"$",""),IF(H925=2,SUBSTITUTE(CELL("DIRECCION",$A$153),"$",""),""))</f>
        <v>A81</v>
      </c>
    </row>
    <row r="926" spans="8:12" x14ac:dyDescent="0.2">
      <c r="H926" s="21" t="s">
        <v>1548</v>
      </c>
      <c r="I926" s="21"/>
    </row>
    <row r="927" spans="8:12" x14ac:dyDescent="0.2">
      <c r="H927" s="3110">
        <v>1</v>
      </c>
      <c r="I927" s="3110" t="str">
        <f>IF(H927=0,"",VLOOKUP(H927,$H$928:$I$932,2,0))</f>
        <v>88:139</v>
      </c>
    </row>
    <row r="928" spans="8:12" x14ac:dyDescent="0.2">
      <c r="H928" s="3111">
        <v>1</v>
      </c>
      <c r="I928" s="3111" t="str">
        <f>ROW($A$88)&amp;":"&amp;ROW($A$139)</f>
        <v>88:139</v>
      </c>
    </row>
    <row r="929" spans="8:9" x14ac:dyDescent="0.2">
      <c r="H929" s="3111">
        <v>2</v>
      </c>
      <c r="I929" s="3111" t="str">
        <f>ROW($A$101)&amp;":"&amp;ROW($A$139)</f>
        <v>101:139</v>
      </c>
    </row>
    <row r="930" spans="8:9" x14ac:dyDescent="0.2">
      <c r="H930" s="3111">
        <v>3</v>
      </c>
      <c r="I930" s="3111" t="str">
        <f>ROW($A$114)&amp;":"&amp;ROW($A$139)</f>
        <v>114:139</v>
      </c>
    </row>
    <row r="931" spans="8:9" x14ac:dyDescent="0.2">
      <c r="H931" s="3111">
        <v>4</v>
      </c>
      <c r="I931" s="3111" t="str">
        <f>ROW($A$127)&amp;":"&amp;ROW($A$139)</f>
        <v>127:139</v>
      </c>
    </row>
    <row r="932" spans="8:9" x14ac:dyDescent="0.2">
      <c r="H932" s="3111">
        <v>5</v>
      </c>
      <c r="I932" s="3111"/>
    </row>
    <row r="933" spans="8:9" x14ac:dyDescent="0.2">
      <c r="H933" s="21" t="s">
        <v>1555</v>
      </c>
      <c r="I933" s="3111" t="str">
        <f>ROW($A$75)&amp;":"&amp;ROW($A$139)</f>
        <v>75:139</v>
      </c>
    </row>
    <row r="934" spans="8:9" x14ac:dyDescent="0.2">
      <c r="H934" s="21" t="s">
        <v>1558</v>
      </c>
      <c r="I934" s="21"/>
    </row>
    <row r="935" spans="8:9" x14ac:dyDescent="0.2">
      <c r="H935" s="3110">
        <v>1</v>
      </c>
      <c r="I935" s="3110" t="str">
        <f>IF(H935=0,"",VLOOKUP(H935,$H$936:$I$939,2,0))</f>
        <v>160:198</v>
      </c>
    </row>
    <row r="936" spans="8:9" x14ac:dyDescent="0.2">
      <c r="H936" s="3111">
        <v>1</v>
      </c>
      <c r="I936" s="3111" t="str">
        <f>ROW($A$160)&amp;":"&amp;ROW($A$198)</f>
        <v>160:198</v>
      </c>
    </row>
    <row r="937" spans="8:9" x14ac:dyDescent="0.2">
      <c r="H937" s="3111">
        <v>2</v>
      </c>
      <c r="I937" s="3111" t="str">
        <f>ROW($A$173)&amp;":"&amp;ROW($A$198)</f>
        <v>173:198</v>
      </c>
    </row>
    <row r="938" spans="8:9" x14ac:dyDescent="0.2">
      <c r="H938" s="3111">
        <v>3</v>
      </c>
      <c r="I938" s="3111" t="str">
        <f>ROW($A$186)&amp;":"&amp;ROW($A$198)</f>
        <v>186:198</v>
      </c>
    </row>
    <row r="939" spans="8:9" x14ac:dyDescent="0.2">
      <c r="H939" s="3111">
        <v>4</v>
      </c>
      <c r="I939" s="3111"/>
    </row>
    <row r="940" spans="8:9" x14ac:dyDescent="0.2">
      <c r="H940" s="21" t="s">
        <v>1555</v>
      </c>
      <c r="I940" s="3111" t="str">
        <f>ROW($A$147)&amp;":"&amp;ROW($A$198)</f>
        <v>147:198</v>
      </c>
    </row>
    <row r="941" spans="8:9" x14ac:dyDescent="0.2"/>
    <row r="942" spans="8:9" x14ac:dyDescent="0.2"/>
    <row r="943" spans="8:9" x14ac:dyDescent="0.2"/>
    <row r="944" spans="8:9" x14ac:dyDescent="0.2"/>
    <row r="945" x14ac:dyDescent="0.2"/>
    <row r="946" x14ac:dyDescent="0.2"/>
    <row r="947" x14ac:dyDescent="0.2"/>
    <row r="948" x14ac:dyDescent="0.2"/>
    <row r="949" x14ac:dyDescent="0.2"/>
    <row r="950" x14ac:dyDescent="0.2"/>
  </sheetData>
  <sheetProtection password="D5B5" sheet="1" objects="1" scenarios="1"/>
  <dataValidations disablePrompts="1" count="3">
    <dataValidation type="list" allowBlank="1" showInputMessage="1" showErrorMessage="1" sqref="B71 IX71 ST71 ACP71 AML71 AWH71 BGD71 BPZ71 BZV71 CJR71 CTN71 DDJ71 DNF71 DXB71 EGX71 EQT71 FAP71 FKL71 FUH71 GED71 GNZ71 GXV71 HHR71 HRN71 IBJ71 ILF71 IVB71 JEX71 JOT71 JYP71 KIL71 KSH71 LCD71 LLZ71 LVV71 MFR71 MPN71 MZJ71 NJF71 NTB71 OCX71 OMT71 OWP71 PGL71 PQH71 QAD71 QJZ71 QTV71 RDR71 RNN71 RXJ71 SHF71 SRB71 TAX71 TKT71 TUP71 UEL71 UOH71 UYD71 VHZ71 VRV71 WBR71 WLN71 WVJ71 B65607 IX65607 ST65607 ACP65607 AML65607 AWH65607 BGD65607 BPZ65607 BZV65607 CJR65607 CTN65607 DDJ65607 DNF65607 DXB65607 EGX65607 EQT65607 FAP65607 FKL65607 FUH65607 GED65607 GNZ65607 GXV65607 HHR65607 HRN65607 IBJ65607 ILF65607 IVB65607 JEX65607 JOT65607 JYP65607 KIL65607 KSH65607 LCD65607 LLZ65607 LVV65607 MFR65607 MPN65607 MZJ65607 NJF65607 NTB65607 OCX65607 OMT65607 OWP65607 PGL65607 PQH65607 QAD65607 QJZ65607 QTV65607 RDR65607 RNN65607 RXJ65607 SHF65607 SRB65607 TAX65607 TKT65607 TUP65607 UEL65607 UOH65607 UYD65607 VHZ65607 VRV65607 WBR65607 WLN65607 WVJ65607 B131143 IX131143 ST131143 ACP131143 AML131143 AWH131143 BGD131143 BPZ131143 BZV131143 CJR131143 CTN131143 DDJ131143 DNF131143 DXB131143 EGX131143 EQT131143 FAP131143 FKL131143 FUH131143 GED131143 GNZ131143 GXV131143 HHR131143 HRN131143 IBJ131143 ILF131143 IVB131143 JEX131143 JOT131143 JYP131143 KIL131143 KSH131143 LCD131143 LLZ131143 LVV131143 MFR131143 MPN131143 MZJ131143 NJF131143 NTB131143 OCX131143 OMT131143 OWP131143 PGL131143 PQH131143 QAD131143 QJZ131143 QTV131143 RDR131143 RNN131143 RXJ131143 SHF131143 SRB131143 TAX131143 TKT131143 TUP131143 UEL131143 UOH131143 UYD131143 VHZ131143 VRV131143 WBR131143 WLN131143 WVJ131143 B196679 IX196679 ST196679 ACP196679 AML196679 AWH196679 BGD196679 BPZ196679 BZV196679 CJR196679 CTN196679 DDJ196679 DNF196679 DXB196679 EGX196679 EQT196679 FAP196679 FKL196679 FUH196679 GED196679 GNZ196679 GXV196679 HHR196679 HRN196679 IBJ196679 ILF196679 IVB196679 JEX196679 JOT196679 JYP196679 KIL196679 KSH196679 LCD196679 LLZ196679 LVV196679 MFR196679 MPN196679 MZJ196679 NJF196679 NTB196679 OCX196679 OMT196679 OWP196679 PGL196679 PQH196679 QAD196679 QJZ196679 QTV196679 RDR196679 RNN196679 RXJ196679 SHF196679 SRB196679 TAX196679 TKT196679 TUP196679 UEL196679 UOH196679 UYD196679 VHZ196679 VRV196679 WBR196679 WLN196679 WVJ196679 B262215 IX262215 ST262215 ACP262215 AML262215 AWH262215 BGD262215 BPZ262215 BZV262215 CJR262215 CTN262215 DDJ262215 DNF262215 DXB262215 EGX262215 EQT262215 FAP262215 FKL262215 FUH262215 GED262215 GNZ262215 GXV262215 HHR262215 HRN262215 IBJ262215 ILF262215 IVB262215 JEX262215 JOT262215 JYP262215 KIL262215 KSH262215 LCD262215 LLZ262215 LVV262215 MFR262215 MPN262215 MZJ262215 NJF262215 NTB262215 OCX262215 OMT262215 OWP262215 PGL262215 PQH262215 QAD262215 QJZ262215 QTV262215 RDR262215 RNN262215 RXJ262215 SHF262215 SRB262215 TAX262215 TKT262215 TUP262215 UEL262215 UOH262215 UYD262215 VHZ262215 VRV262215 WBR262215 WLN262215 WVJ262215 B327751 IX327751 ST327751 ACP327751 AML327751 AWH327751 BGD327751 BPZ327751 BZV327751 CJR327751 CTN327751 DDJ327751 DNF327751 DXB327751 EGX327751 EQT327751 FAP327751 FKL327751 FUH327751 GED327751 GNZ327751 GXV327751 HHR327751 HRN327751 IBJ327751 ILF327751 IVB327751 JEX327751 JOT327751 JYP327751 KIL327751 KSH327751 LCD327751 LLZ327751 LVV327751 MFR327751 MPN327751 MZJ327751 NJF327751 NTB327751 OCX327751 OMT327751 OWP327751 PGL327751 PQH327751 QAD327751 QJZ327751 QTV327751 RDR327751 RNN327751 RXJ327751 SHF327751 SRB327751 TAX327751 TKT327751 TUP327751 UEL327751 UOH327751 UYD327751 VHZ327751 VRV327751 WBR327751 WLN327751 WVJ327751 B393287 IX393287 ST393287 ACP393287 AML393287 AWH393287 BGD393287 BPZ393287 BZV393287 CJR393287 CTN393287 DDJ393287 DNF393287 DXB393287 EGX393287 EQT393287 FAP393287 FKL393287 FUH393287 GED393287 GNZ393287 GXV393287 HHR393287 HRN393287 IBJ393287 ILF393287 IVB393287 JEX393287 JOT393287 JYP393287 KIL393287 KSH393287 LCD393287 LLZ393287 LVV393287 MFR393287 MPN393287 MZJ393287 NJF393287 NTB393287 OCX393287 OMT393287 OWP393287 PGL393287 PQH393287 QAD393287 QJZ393287 QTV393287 RDR393287 RNN393287 RXJ393287 SHF393287 SRB393287 TAX393287 TKT393287 TUP393287 UEL393287 UOH393287 UYD393287 VHZ393287 VRV393287 WBR393287 WLN393287 WVJ393287 B458823 IX458823 ST458823 ACP458823 AML458823 AWH458823 BGD458823 BPZ458823 BZV458823 CJR458823 CTN458823 DDJ458823 DNF458823 DXB458823 EGX458823 EQT458823 FAP458823 FKL458823 FUH458823 GED458823 GNZ458823 GXV458823 HHR458823 HRN458823 IBJ458823 ILF458823 IVB458823 JEX458823 JOT458823 JYP458823 KIL458823 KSH458823 LCD458823 LLZ458823 LVV458823 MFR458823 MPN458823 MZJ458823 NJF458823 NTB458823 OCX458823 OMT458823 OWP458823 PGL458823 PQH458823 QAD458823 QJZ458823 QTV458823 RDR458823 RNN458823 RXJ458823 SHF458823 SRB458823 TAX458823 TKT458823 TUP458823 UEL458823 UOH458823 UYD458823 VHZ458823 VRV458823 WBR458823 WLN458823 WVJ458823 B524359 IX524359 ST524359 ACP524359 AML524359 AWH524359 BGD524359 BPZ524359 BZV524359 CJR524359 CTN524359 DDJ524359 DNF524359 DXB524359 EGX524359 EQT524359 FAP524359 FKL524359 FUH524359 GED524359 GNZ524359 GXV524359 HHR524359 HRN524359 IBJ524359 ILF524359 IVB524359 JEX524359 JOT524359 JYP524359 KIL524359 KSH524359 LCD524359 LLZ524359 LVV524359 MFR524359 MPN524359 MZJ524359 NJF524359 NTB524359 OCX524359 OMT524359 OWP524359 PGL524359 PQH524359 QAD524359 QJZ524359 QTV524359 RDR524359 RNN524359 RXJ524359 SHF524359 SRB524359 TAX524359 TKT524359 TUP524359 UEL524359 UOH524359 UYD524359 VHZ524359 VRV524359 WBR524359 WLN524359 WVJ524359 B589895 IX589895 ST589895 ACP589895 AML589895 AWH589895 BGD589895 BPZ589895 BZV589895 CJR589895 CTN589895 DDJ589895 DNF589895 DXB589895 EGX589895 EQT589895 FAP589895 FKL589895 FUH589895 GED589895 GNZ589895 GXV589895 HHR589895 HRN589895 IBJ589895 ILF589895 IVB589895 JEX589895 JOT589895 JYP589895 KIL589895 KSH589895 LCD589895 LLZ589895 LVV589895 MFR589895 MPN589895 MZJ589895 NJF589895 NTB589895 OCX589895 OMT589895 OWP589895 PGL589895 PQH589895 QAD589895 QJZ589895 QTV589895 RDR589895 RNN589895 RXJ589895 SHF589895 SRB589895 TAX589895 TKT589895 TUP589895 UEL589895 UOH589895 UYD589895 VHZ589895 VRV589895 WBR589895 WLN589895 WVJ589895 B655431 IX655431 ST655431 ACP655431 AML655431 AWH655431 BGD655431 BPZ655431 BZV655431 CJR655431 CTN655431 DDJ655431 DNF655431 DXB655431 EGX655431 EQT655431 FAP655431 FKL655431 FUH655431 GED655431 GNZ655431 GXV655431 HHR655431 HRN655431 IBJ655431 ILF655431 IVB655431 JEX655431 JOT655431 JYP655431 KIL655431 KSH655431 LCD655431 LLZ655431 LVV655431 MFR655431 MPN655431 MZJ655431 NJF655431 NTB655431 OCX655431 OMT655431 OWP655431 PGL655431 PQH655431 QAD655431 QJZ655431 QTV655431 RDR655431 RNN655431 RXJ655431 SHF655431 SRB655431 TAX655431 TKT655431 TUP655431 UEL655431 UOH655431 UYD655431 VHZ655431 VRV655431 WBR655431 WLN655431 WVJ655431 B720967 IX720967 ST720967 ACP720967 AML720967 AWH720967 BGD720967 BPZ720967 BZV720967 CJR720967 CTN720967 DDJ720967 DNF720967 DXB720967 EGX720967 EQT720967 FAP720967 FKL720967 FUH720967 GED720967 GNZ720967 GXV720967 HHR720967 HRN720967 IBJ720967 ILF720967 IVB720967 JEX720967 JOT720967 JYP720967 KIL720967 KSH720967 LCD720967 LLZ720967 LVV720967 MFR720967 MPN720967 MZJ720967 NJF720967 NTB720967 OCX720967 OMT720967 OWP720967 PGL720967 PQH720967 QAD720967 QJZ720967 QTV720967 RDR720967 RNN720967 RXJ720967 SHF720967 SRB720967 TAX720967 TKT720967 TUP720967 UEL720967 UOH720967 UYD720967 VHZ720967 VRV720967 WBR720967 WLN720967 WVJ720967 B786503 IX786503 ST786503 ACP786503 AML786503 AWH786503 BGD786503 BPZ786503 BZV786503 CJR786503 CTN786503 DDJ786503 DNF786503 DXB786503 EGX786503 EQT786503 FAP786503 FKL786503 FUH786503 GED786503 GNZ786503 GXV786503 HHR786503 HRN786503 IBJ786503 ILF786503 IVB786503 JEX786503 JOT786503 JYP786503 KIL786503 KSH786503 LCD786503 LLZ786503 LVV786503 MFR786503 MPN786503 MZJ786503 NJF786503 NTB786503 OCX786503 OMT786503 OWP786503 PGL786503 PQH786503 QAD786503 QJZ786503 QTV786503 RDR786503 RNN786503 RXJ786503 SHF786503 SRB786503 TAX786503 TKT786503 TUP786503 UEL786503 UOH786503 UYD786503 VHZ786503 VRV786503 WBR786503 WLN786503 WVJ786503 B852039 IX852039 ST852039 ACP852039 AML852039 AWH852039 BGD852039 BPZ852039 BZV852039 CJR852039 CTN852039 DDJ852039 DNF852039 DXB852039 EGX852039 EQT852039 FAP852039 FKL852039 FUH852039 GED852039 GNZ852039 GXV852039 HHR852039 HRN852039 IBJ852039 ILF852039 IVB852039 JEX852039 JOT852039 JYP852039 KIL852039 KSH852039 LCD852039 LLZ852039 LVV852039 MFR852039 MPN852039 MZJ852039 NJF852039 NTB852039 OCX852039 OMT852039 OWP852039 PGL852039 PQH852039 QAD852039 QJZ852039 QTV852039 RDR852039 RNN852039 RXJ852039 SHF852039 SRB852039 TAX852039 TKT852039 TUP852039 UEL852039 UOH852039 UYD852039 VHZ852039 VRV852039 WBR852039 WLN852039 WVJ852039 B917575 IX917575 ST917575 ACP917575 AML917575 AWH917575 BGD917575 BPZ917575 BZV917575 CJR917575 CTN917575 DDJ917575 DNF917575 DXB917575 EGX917575 EQT917575 FAP917575 FKL917575 FUH917575 GED917575 GNZ917575 GXV917575 HHR917575 HRN917575 IBJ917575 ILF917575 IVB917575 JEX917575 JOT917575 JYP917575 KIL917575 KSH917575 LCD917575 LLZ917575 LVV917575 MFR917575 MPN917575 MZJ917575 NJF917575 NTB917575 OCX917575 OMT917575 OWP917575 PGL917575 PQH917575 QAD917575 QJZ917575 QTV917575 RDR917575 RNN917575 RXJ917575 SHF917575 SRB917575 TAX917575 TKT917575 TUP917575 UEL917575 UOH917575 UYD917575 VHZ917575 VRV917575 WBR917575 WLN917575 WVJ917575 B983111 IX983111 ST983111 ACP983111 AML983111 AWH983111 BGD983111 BPZ983111 BZV983111 CJR983111 CTN983111 DDJ983111 DNF983111 DXB983111 EGX983111 EQT983111 FAP983111 FKL983111 FUH983111 GED983111 GNZ983111 GXV983111 HHR983111 HRN983111 IBJ983111 ILF983111 IVB983111 JEX983111 JOT983111 JYP983111 KIL983111 KSH983111 LCD983111 LLZ983111 LVV983111 MFR983111 MPN983111 MZJ983111 NJF983111 NTB983111 OCX983111 OMT983111 OWP983111 PGL983111 PQH983111 QAD983111 QJZ983111 QTV983111 RDR983111 RNN983111 RXJ983111 SHF983111 SRB983111 TAX983111 TKT983111 TUP983111 UEL983111 UOH983111 UYD983111 VHZ983111 VRV983111 WBR983111 WLN983111 WVJ983111" xr:uid="{00000000-0002-0000-2C00-000000000000}">
      <formula1>$C$317:$C$318</formula1>
    </dataValidation>
    <dataValidation type="list" allowBlank="1" showInputMessage="1" showErrorMessage="1" sqref="B72 IX72 ST72 ACP72 AML72 AWH72 BGD72 BPZ72 BZV72 CJR72 CTN72 DDJ72 DNF72 DXB72 EGX72 EQT72 FAP72 FKL72 FUH72 GED72 GNZ72 GXV72 HHR72 HRN72 IBJ72 ILF72 IVB72 JEX72 JOT72 JYP72 KIL72 KSH72 LCD72 LLZ72 LVV72 MFR72 MPN72 MZJ72 NJF72 NTB72 OCX72 OMT72 OWP72 PGL72 PQH72 QAD72 QJZ72 QTV72 RDR72 RNN72 RXJ72 SHF72 SRB72 TAX72 TKT72 TUP72 UEL72 UOH72 UYD72 VHZ72 VRV72 WBR72 WLN72 WVJ72 B65608 IX65608 ST65608 ACP65608 AML65608 AWH65608 BGD65608 BPZ65608 BZV65608 CJR65608 CTN65608 DDJ65608 DNF65608 DXB65608 EGX65608 EQT65608 FAP65608 FKL65608 FUH65608 GED65608 GNZ65608 GXV65608 HHR65608 HRN65608 IBJ65608 ILF65608 IVB65608 JEX65608 JOT65608 JYP65608 KIL65608 KSH65608 LCD65608 LLZ65608 LVV65608 MFR65608 MPN65608 MZJ65608 NJF65608 NTB65608 OCX65608 OMT65608 OWP65608 PGL65608 PQH65608 QAD65608 QJZ65608 QTV65608 RDR65608 RNN65608 RXJ65608 SHF65608 SRB65608 TAX65608 TKT65608 TUP65608 UEL65608 UOH65608 UYD65608 VHZ65608 VRV65608 WBR65608 WLN65608 WVJ65608 B131144 IX131144 ST131144 ACP131144 AML131144 AWH131144 BGD131144 BPZ131144 BZV131144 CJR131144 CTN131144 DDJ131144 DNF131144 DXB131144 EGX131144 EQT131144 FAP131144 FKL131144 FUH131144 GED131144 GNZ131144 GXV131144 HHR131144 HRN131144 IBJ131144 ILF131144 IVB131144 JEX131144 JOT131144 JYP131144 KIL131144 KSH131144 LCD131144 LLZ131144 LVV131144 MFR131144 MPN131144 MZJ131144 NJF131144 NTB131144 OCX131144 OMT131144 OWP131144 PGL131144 PQH131144 QAD131144 QJZ131144 QTV131144 RDR131144 RNN131144 RXJ131144 SHF131144 SRB131144 TAX131144 TKT131144 TUP131144 UEL131144 UOH131144 UYD131144 VHZ131144 VRV131144 WBR131144 WLN131144 WVJ131144 B196680 IX196680 ST196680 ACP196680 AML196680 AWH196680 BGD196680 BPZ196680 BZV196680 CJR196680 CTN196680 DDJ196680 DNF196680 DXB196680 EGX196680 EQT196680 FAP196680 FKL196680 FUH196680 GED196680 GNZ196680 GXV196680 HHR196680 HRN196680 IBJ196680 ILF196680 IVB196680 JEX196680 JOT196680 JYP196680 KIL196680 KSH196680 LCD196680 LLZ196680 LVV196680 MFR196680 MPN196680 MZJ196680 NJF196680 NTB196680 OCX196680 OMT196680 OWP196680 PGL196680 PQH196680 QAD196680 QJZ196680 QTV196680 RDR196680 RNN196680 RXJ196680 SHF196680 SRB196680 TAX196680 TKT196680 TUP196680 UEL196680 UOH196680 UYD196680 VHZ196680 VRV196680 WBR196680 WLN196680 WVJ196680 B262216 IX262216 ST262216 ACP262216 AML262216 AWH262216 BGD262216 BPZ262216 BZV262216 CJR262216 CTN262216 DDJ262216 DNF262216 DXB262216 EGX262216 EQT262216 FAP262216 FKL262216 FUH262216 GED262216 GNZ262216 GXV262216 HHR262216 HRN262216 IBJ262216 ILF262216 IVB262216 JEX262216 JOT262216 JYP262216 KIL262216 KSH262216 LCD262216 LLZ262216 LVV262216 MFR262216 MPN262216 MZJ262216 NJF262216 NTB262216 OCX262216 OMT262216 OWP262216 PGL262216 PQH262216 QAD262216 QJZ262216 QTV262216 RDR262216 RNN262216 RXJ262216 SHF262216 SRB262216 TAX262216 TKT262216 TUP262216 UEL262216 UOH262216 UYD262216 VHZ262216 VRV262216 WBR262216 WLN262216 WVJ262216 B327752 IX327752 ST327752 ACP327752 AML327752 AWH327752 BGD327752 BPZ327752 BZV327752 CJR327752 CTN327752 DDJ327752 DNF327752 DXB327752 EGX327752 EQT327752 FAP327752 FKL327752 FUH327752 GED327752 GNZ327752 GXV327752 HHR327752 HRN327752 IBJ327752 ILF327752 IVB327752 JEX327752 JOT327752 JYP327752 KIL327752 KSH327752 LCD327752 LLZ327752 LVV327752 MFR327752 MPN327752 MZJ327752 NJF327752 NTB327752 OCX327752 OMT327752 OWP327752 PGL327752 PQH327752 QAD327752 QJZ327752 QTV327752 RDR327752 RNN327752 RXJ327752 SHF327752 SRB327752 TAX327752 TKT327752 TUP327752 UEL327752 UOH327752 UYD327752 VHZ327752 VRV327752 WBR327752 WLN327752 WVJ327752 B393288 IX393288 ST393288 ACP393288 AML393288 AWH393288 BGD393288 BPZ393288 BZV393288 CJR393288 CTN393288 DDJ393288 DNF393288 DXB393288 EGX393288 EQT393288 FAP393288 FKL393288 FUH393288 GED393288 GNZ393288 GXV393288 HHR393288 HRN393288 IBJ393288 ILF393288 IVB393288 JEX393288 JOT393288 JYP393288 KIL393288 KSH393288 LCD393288 LLZ393288 LVV393288 MFR393288 MPN393288 MZJ393288 NJF393288 NTB393288 OCX393288 OMT393288 OWP393288 PGL393288 PQH393288 QAD393288 QJZ393288 QTV393288 RDR393288 RNN393288 RXJ393288 SHF393288 SRB393288 TAX393288 TKT393288 TUP393288 UEL393288 UOH393288 UYD393288 VHZ393288 VRV393288 WBR393288 WLN393288 WVJ393288 B458824 IX458824 ST458824 ACP458824 AML458824 AWH458824 BGD458824 BPZ458824 BZV458824 CJR458824 CTN458824 DDJ458824 DNF458824 DXB458824 EGX458824 EQT458824 FAP458824 FKL458824 FUH458824 GED458824 GNZ458824 GXV458824 HHR458824 HRN458824 IBJ458824 ILF458824 IVB458824 JEX458824 JOT458824 JYP458824 KIL458824 KSH458824 LCD458824 LLZ458824 LVV458824 MFR458824 MPN458824 MZJ458824 NJF458824 NTB458824 OCX458824 OMT458824 OWP458824 PGL458824 PQH458824 QAD458824 QJZ458824 QTV458824 RDR458824 RNN458824 RXJ458824 SHF458824 SRB458824 TAX458824 TKT458824 TUP458824 UEL458824 UOH458824 UYD458824 VHZ458824 VRV458824 WBR458824 WLN458824 WVJ458824 B524360 IX524360 ST524360 ACP524360 AML524360 AWH524360 BGD524360 BPZ524360 BZV524360 CJR524360 CTN524360 DDJ524360 DNF524360 DXB524360 EGX524360 EQT524360 FAP524360 FKL524360 FUH524360 GED524360 GNZ524360 GXV524360 HHR524360 HRN524360 IBJ524360 ILF524360 IVB524360 JEX524360 JOT524360 JYP524360 KIL524360 KSH524360 LCD524360 LLZ524360 LVV524360 MFR524360 MPN524360 MZJ524360 NJF524360 NTB524360 OCX524360 OMT524360 OWP524360 PGL524360 PQH524360 QAD524360 QJZ524360 QTV524360 RDR524360 RNN524360 RXJ524360 SHF524360 SRB524360 TAX524360 TKT524360 TUP524360 UEL524360 UOH524360 UYD524360 VHZ524360 VRV524360 WBR524360 WLN524360 WVJ524360 B589896 IX589896 ST589896 ACP589896 AML589896 AWH589896 BGD589896 BPZ589896 BZV589896 CJR589896 CTN589896 DDJ589896 DNF589896 DXB589896 EGX589896 EQT589896 FAP589896 FKL589896 FUH589896 GED589896 GNZ589896 GXV589896 HHR589896 HRN589896 IBJ589896 ILF589896 IVB589896 JEX589896 JOT589896 JYP589896 KIL589896 KSH589896 LCD589896 LLZ589896 LVV589896 MFR589896 MPN589896 MZJ589896 NJF589896 NTB589896 OCX589896 OMT589896 OWP589896 PGL589896 PQH589896 QAD589896 QJZ589896 QTV589896 RDR589896 RNN589896 RXJ589896 SHF589896 SRB589896 TAX589896 TKT589896 TUP589896 UEL589896 UOH589896 UYD589896 VHZ589896 VRV589896 WBR589896 WLN589896 WVJ589896 B655432 IX655432 ST655432 ACP655432 AML655432 AWH655432 BGD655432 BPZ655432 BZV655432 CJR655432 CTN655432 DDJ655432 DNF655432 DXB655432 EGX655432 EQT655432 FAP655432 FKL655432 FUH655432 GED655432 GNZ655432 GXV655432 HHR655432 HRN655432 IBJ655432 ILF655432 IVB655432 JEX655432 JOT655432 JYP655432 KIL655432 KSH655432 LCD655432 LLZ655432 LVV655432 MFR655432 MPN655432 MZJ655432 NJF655432 NTB655432 OCX655432 OMT655432 OWP655432 PGL655432 PQH655432 QAD655432 QJZ655432 QTV655432 RDR655432 RNN655432 RXJ655432 SHF655432 SRB655432 TAX655432 TKT655432 TUP655432 UEL655432 UOH655432 UYD655432 VHZ655432 VRV655432 WBR655432 WLN655432 WVJ655432 B720968 IX720968 ST720968 ACP720968 AML720968 AWH720968 BGD720968 BPZ720968 BZV720968 CJR720968 CTN720968 DDJ720968 DNF720968 DXB720968 EGX720968 EQT720968 FAP720968 FKL720968 FUH720968 GED720968 GNZ720968 GXV720968 HHR720968 HRN720968 IBJ720968 ILF720968 IVB720968 JEX720968 JOT720968 JYP720968 KIL720968 KSH720968 LCD720968 LLZ720968 LVV720968 MFR720968 MPN720968 MZJ720968 NJF720968 NTB720968 OCX720968 OMT720968 OWP720968 PGL720968 PQH720968 QAD720968 QJZ720968 QTV720968 RDR720968 RNN720968 RXJ720968 SHF720968 SRB720968 TAX720968 TKT720968 TUP720968 UEL720968 UOH720968 UYD720968 VHZ720968 VRV720968 WBR720968 WLN720968 WVJ720968 B786504 IX786504 ST786504 ACP786504 AML786504 AWH786504 BGD786504 BPZ786504 BZV786504 CJR786504 CTN786504 DDJ786504 DNF786504 DXB786504 EGX786504 EQT786504 FAP786504 FKL786504 FUH786504 GED786504 GNZ786504 GXV786504 HHR786504 HRN786504 IBJ786504 ILF786504 IVB786504 JEX786504 JOT786504 JYP786504 KIL786504 KSH786504 LCD786504 LLZ786504 LVV786504 MFR786504 MPN786504 MZJ786504 NJF786504 NTB786504 OCX786504 OMT786504 OWP786504 PGL786504 PQH786504 QAD786504 QJZ786504 QTV786504 RDR786504 RNN786504 RXJ786504 SHF786504 SRB786504 TAX786504 TKT786504 TUP786504 UEL786504 UOH786504 UYD786504 VHZ786504 VRV786504 WBR786504 WLN786504 WVJ786504 B852040 IX852040 ST852040 ACP852040 AML852040 AWH852040 BGD852040 BPZ852040 BZV852040 CJR852040 CTN852040 DDJ852040 DNF852040 DXB852040 EGX852040 EQT852040 FAP852040 FKL852040 FUH852040 GED852040 GNZ852040 GXV852040 HHR852040 HRN852040 IBJ852040 ILF852040 IVB852040 JEX852040 JOT852040 JYP852040 KIL852040 KSH852040 LCD852040 LLZ852040 LVV852040 MFR852040 MPN852040 MZJ852040 NJF852040 NTB852040 OCX852040 OMT852040 OWP852040 PGL852040 PQH852040 QAD852040 QJZ852040 QTV852040 RDR852040 RNN852040 RXJ852040 SHF852040 SRB852040 TAX852040 TKT852040 TUP852040 UEL852040 UOH852040 UYD852040 VHZ852040 VRV852040 WBR852040 WLN852040 WVJ852040 B917576 IX917576 ST917576 ACP917576 AML917576 AWH917576 BGD917576 BPZ917576 BZV917576 CJR917576 CTN917576 DDJ917576 DNF917576 DXB917576 EGX917576 EQT917576 FAP917576 FKL917576 FUH917576 GED917576 GNZ917576 GXV917576 HHR917576 HRN917576 IBJ917576 ILF917576 IVB917576 JEX917576 JOT917576 JYP917576 KIL917576 KSH917576 LCD917576 LLZ917576 LVV917576 MFR917576 MPN917576 MZJ917576 NJF917576 NTB917576 OCX917576 OMT917576 OWP917576 PGL917576 PQH917576 QAD917576 QJZ917576 QTV917576 RDR917576 RNN917576 RXJ917576 SHF917576 SRB917576 TAX917576 TKT917576 TUP917576 UEL917576 UOH917576 UYD917576 VHZ917576 VRV917576 WBR917576 WLN917576 WVJ917576 B983112 IX983112 ST983112 ACP983112 AML983112 AWH983112 BGD983112 BPZ983112 BZV983112 CJR983112 CTN983112 DDJ983112 DNF983112 DXB983112 EGX983112 EQT983112 FAP983112 FKL983112 FUH983112 GED983112 GNZ983112 GXV983112 HHR983112 HRN983112 IBJ983112 ILF983112 IVB983112 JEX983112 JOT983112 JYP983112 KIL983112 KSH983112 LCD983112 LLZ983112 LVV983112 MFR983112 MPN983112 MZJ983112 NJF983112 NTB983112 OCX983112 OMT983112 OWP983112 PGL983112 PQH983112 QAD983112 QJZ983112 QTV983112 RDR983112 RNN983112 RXJ983112 SHF983112 SRB983112 TAX983112 TKT983112 TUP983112 UEL983112 UOH983112 UYD983112 VHZ983112 VRV983112 WBR983112 WLN983112 WVJ983112" xr:uid="{00000000-0002-0000-2C00-000001000000}">
      <formula1>$B$317:$B$319</formula1>
    </dataValidation>
    <dataValidation type="list" allowBlank="1" showInputMessage="1" showErrorMessage="1" sqref="B4:B7 IX4:IX7 ST4:ST7 ACP4:ACP7 AML4:AML7 AWH4:AWH7 BGD4:BGD7 BPZ4:BPZ7 BZV4:BZV7 CJR4:CJR7 CTN4:CTN7 DDJ4:DDJ7 DNF4:DNF7 DXB4:DXB7 EGX4:EGX7 EQT4:EQT7 FAP4:FAP7 FKL4:FKL7 FUH4:FUH7 GED4:GED7 GNZ4:GNZ7 GXV4:GXV7 HHR4:HHR7 HRN4:HRN7 IBJ4:IBJ7 ILF4:ILF7 IVB4:IVB7 JEX4:JEX7 JOT4:JOT7 JYP4:JYP7 KIL4:KIL7 KSH4:KSH7 LCD4:LCD7 LLZ4:LLZ7 LVV4:LVV7 MFR4:MFR7 MPN4:MPN7 MZJ4:MZJ7 NJF4:NJF7 NTB4:NTB7 OCX4:OCX7 OMT4:OMT7 OWP4:OWP7 PGL4:PGL7 PQH4:PQH7 QAD4:QAD7 QJZ4:QJZ7 QTV4:QTV7 RDR4:RDR7 RNN4:RNN7 RXJ4:RXJ7 SHF4:SHF7 SRB4:SRB7 TAX4:TAX7 TKT4:TKT7 TUP4:TUP7 UEL4:UEL7 UOH4:UOH7 UYD4:UYD7 VHZ4:VHZ7 VRV4:VRV7 WBR4:WBR7 WLN4:WLN7 WVJ4:WVJ7 B65540:B65543 IX65540:IX65543 ST65540:ST65543 ACP65540:ACP65543 AML65540:AML65543 AWH65540:AWH65543 BGD65540:BGD65543 BPZ65540:BPZ65543 BZV65540:BZV65543 CJR65540:CJR65543 CTN65540:CTN65543 DDJ65540:DDJ65543 DNF65540:DNF65543 DXB65540:DXB65543 EGX65540:EGX65543 EQT65540:EQT65543 FAP65540:FAP65543 FKL65540:FKL65543 FUH65540:FUH65543 GED65540:GED65543 GNZ65540:GNZ65543 GXV65540:GXV65543 HHR65540:HHR65543 HRN65540:HRN65543 IBJ65540:IBJ65543 ILF65540:ILF65543 IVB65540:IVB65543 JEX65540:JEX65543 JOT65540:JOT65543 JYP65540:JYP65543 KIL65540:KIL65543 KSH65540:KSH65543 LCD65540:LCD65543 LLZ65540:LLZ65543 LVV65540:LVV65543 MFR65540:MFR65543 MPN65540:MPN65543 MZJ65540:MZJ65543 NJF65540:NJF65543 NTB65540:NTB65543 OCX65540:OCX65543 OMT65540:OMT65543 OWP65540:OWP65543 PGL65540:PGL65543 PQH65540:PQH65543 QAD65540:QAD65543 QJZ65540:QJZ65543 QTV65540:QTV65543 RDR65540:RDR65543 RNN65540:RNN65543 RXJ65540:RXJ65543 SHF65540:SHF65543 SRB65540:SRB65543 TAX65540:TAX65543 TKT65540:TKT65543 TUP65540:TUP65543 UEL65540:UEL65543 UOH65540:UOH65543 UYD65540:UYD65543 VHZ65540:VHZ65543 VRV65540:VRV65543 WBR65540:WBR65543 WLN65540:WLN65543 WVJ65540:WVJ65543 B131076:B131079 IX131076:IX131079 ST131076:ST131079 ACP131076:ACP131079 AML131076:AML131079 AWH131076:AWH131079 BGD131076:BGD131079 BPZ131076:BPZ131079 BZV131076:BZV131079 CJR131076:CJR131079 CTN131076:CTN131079 DDJ131076:DDJ131079 DNF131076:DNF131079 DXB131076:DXB131079 EGX131076:EGX131079 EQT131076:EQT131079 FAP131076:FAP131079 FKL131076:FKL131079 FUH131076:FUH131079 GED131076:GED131079 GNZ131076:GNZ131079 GXV131076:GXV131079 HHR131076:HHR131079 HRN131076:HRN131079 IBJ131076:IBJ131079 ILF131076:ILF131079 IVB131076:IVB131079 JEX131076:JEX131079 JOT131076:JOT131079 JYP131076:JYP131079 KIL131076:KIL131079 KSH131076:KSH131079 LCD131076:LCD131079 LLZ131076:LLZ131079 LVV131076:LVV131079 MFR131076:MFR131079 MPN131076:MPN131079 MZJ131076:MZJ131079 NJF131076:NJF131079 NTB131076:NTB131079 OCX131076:OCX131079 OMT131076:OMT131079 OWP131076:OWP131079 PGL131076:PGL131079 PQH131076:PQH131079 QAD131076:QAD131079 QJZ131076:QJZ131079 QTV131076:QTV131079 RDR131076:RDR131079 RNN131076:RNN131079 RXJ131076:RXJ131079 SHF131076:SHF131079 SRB131076:SRB131079 TAX131076:TAX131079 TKT131076:TKT131079 TUP131076:TUP131079 UEL131076:UEL131079 UOH131076:UOH131079 UYD131076:UYD131079 VHZ131076:VHZ131079 VRV131076:VRV131079 WBR131076:WBR131079 WLN131076:WLN131079 WVJ131076:WVJ131079 B196612:B196615 IX196612:IX196615 ST196612:ST196615 ACP196612:ACP196615 AML196612:AML196615 AWH196612:AWH196615 BGD196612:BGD196615 BPZ196612:BPZ196615 BZV196612:BZV196615 CJR196612:CJR196615 CTN196612:CTN196615 DDJ196612:DDJ196615 DNF196612:DNF196615 DXB196612:DXB196615 EGX196612:EGX196615 EQT196612:EQT196615 FAP196612:FAP196615 FKL196612:FKL196615 FUH196612:FUH196615 GED196612:GED196615 GNZ196612:GNZ196615 GXV196612:GXV196615 HHR196612:HHR196615 HRN196612:HRN196615 IBJ196612:IBJ196615 ILF196612:ILF196615 IVB196612:IVB196615 JEX196612:JEX196615 JOT196612:JOT196615 JYP196612:JYP196615 KIL196612:KIL196615 KSH196612:KSH196615 LCD196612:LCD196615 LLZ196612:LLZ196615 LVV196612:LVV196615 MFR196612:MFR196615 MPN196612:MPN196615 MZJ196612:MZJ196615 NJF196612:NJF196615 NTB196612:NTB196615 OCX196612:OCX196615 OMT196612:OMT196615 OWP196612:OWP196615 PGL196612:PGL196615 PQH196612:PQH196615 QAD196612:QAD196615 QJZ196612:QJZ196615 QTV196612:QTV196615 RDR196612:RDR196615 RNN196612:RNN196615 RXJ196612:RXJ196615 SHF196612:SHF196615 SRB196612:SRB196615 TAX196612:TAX196615 TKT196612:TKT196615 TUP196612:TUP196615 UEL196612:UEL196615 UOH196612:UOH196615 UYD196612:UYD196615 VHZ196612:VHZ196615 VRV196612:VRV196615 WBR196612:WBR196615 WLN196612:WLN196615 WVJ196612:WVJ196615 B262148:B262151 IX262148:IX262151 ST262148:ST262151 ACP262148:ACP262151 AML262148:AML262151 AWH262148:AWH262151 BGD262148:BGD262151 BPZ262148:BPZ262151 BZV262148:BZV262151 CJR262148:CJR262151 CTN262148:CTN262151 DDJ262148:DDJ262151 DNF262148:DNF262151 DXB262148:DXB262151 EGX262148:EGX262151 EQT262148:EQT262151 FAP262148:FAP262151 FKL262148:FKL262151 FUH262148:FUH262151 GED262148:GED262151 GNZ262148:GNZ262151 GXV262148:GXV262151 HHR262148:HHR262151 HRN262148:HRN262151 IBJ262148:IBJ262151 ILF262148:ILF262151 IVB262148:IVB262151 JEX262148:JEX262151 JOT262148:JOT262151 JYP262148:JYP262151 KIL262148:KIL262151 KSH262148:KSH262151 LCD262148:LCD262151 LLZ262148:LLZ262151 LVV262148:LVV262151 MFR262148:MFR262151 MPN262148:MPN262151 MZJ262148:MZJ262151 NJF262148:NJF262151 NTB262148:NTB262151 OCX262148:OCX262151 OMT262148:OMT262151 OWP262148:OWP262151 PGL262148:PGL262151 PQH262148:PQH262151 QAD262148:QAD262151 QJZ262148:QJZ262151 QTV262148:QTV262151 RDR262148:RDR262151 RNN262148:RNN262151 RXJ262148:RXJ262151 SHF262148:SHF262151 SRB262148:SRB262151 TAX262148:TAX262151 TKT262148:TKT262151 TUP262148:TUP262151 UEL262148:UEL262151 UOH262148:UOH262151 UYD262148:UYD262151 VHZ262148:VHZ262151 VRV262148:VRV262151 WBR262148:WBR262151 WLN262148:WLN262151 WVJ262148:WVJ262151 B327684:B327687 IX327684:IX327687 ST327684:ST327687 ACP327684:ACP327687 AML327684:AML327687 AWH327684:AWH327687 BGD327684:BGD327687 BPZ327684:BPZ327687 BZV327684:BZV327687 CJR327684:CJR327687 CTN327684:CTN327687 DDJ327684:DDJ327687 DNF327684:DNF327687 DXB327684:DXB327687 EGX327684:EGX327687 EQT327684:EQT327687 FAP327684:FAP327687 FKL327684:FKL327687 FUH327684:FUH327687 GED327684:GED327687 GNZ327684:GNZ327687 GXV327684:GXV327687 HHR327684:HHR327687 HRN327684:HRN327687 IBJ327684:IBJ327687 ILF327684:ILF327687 IVB327684:IVB327687 JEX327684:JEX327687 JOT327684:JOT327687 JYP327684:JYP327687 KIL327684:KIL327687 KSH327684:KSH327687 LCD327684:LCD327687 LLZ327684:LLZ327687 LVV327684:LVV327687 MFR327684:MFR327687 MPN327684:MPN327687 MZJ327684:MZJ327687 NJF327684:NJF327687 NTB327684:NTB327687 OCX327684:OCX327687 OMT327684:OMT327687 OWP327684:OWP327687 PGL327684:PGL327687 PQH327684:PQH327687 QAD327684:QAD327687 QJZ327684:QJZ327687 QTV327684:QTV327687 RDR327684:RDR327687 RNN327684:RNN327687 RXJ327684:RXJ327687 SHF327684:SHF327687 SRB327684:SRB327687 TAX327684:TAX327687 TKT327684:TKT327687 TUP327684:TUP327687 UEL327684:UEL327687 UOH327684:UOH327687 UYD327684:UYD327687 VHZ327684:VHZ327687 VRV327684:VRV327687 WBR327684:WBR327687 WLN327684:WLN327687 WVJ327684:WVJ327687 B393220:B393223 IX393220:IX393223 ST393220:ST393223 ACP393220:ACP393223 AML393220:AML393223 AWH393220:AWH393223 BGD393220:BGD393223 BPZ393220:BPZ393223 BZV393220:BZV393223 CJR393220:CJR393223 CTN393220:CTN393223 DDJ393220:DDJ393223 DNF393220:DNF393223 DXB393220:DXB393223 EGX393220:EGX393223 EQT393220:EQT393223 FAP393220:FAP393223 FKL393220:FKL393223 FUH393220:FUH393223 GED393220:GED393223 GNZ393220:GNZ393223 GXV393220:GXV393223 HHR393220:HHR393223 HRN393220:HRN393223 IBJ393220:IBJ393223 ILF393220:ILF393223 IVB393220:IVB393223 JEX393220:JEX393223 JOT393220:JOT393223 JYP393220:JYP393223 KIL393220:KIL393223 KSH393220:KSH393223 LCD393220:LCD393223 LLZ393220:LLZ393223 LVV393220:LVV393223 MFR393220:MFR393223 MPN393220:MPN393223 MZJ393220:MZJ393223 NJF393220:NJF393223 NTB393220:NTB393223 OCX393220:OCX393223 OMT393220:OMT393223 OWP393220:OWP393223 PGL393220:PGL393223 PQH393220:PQH393223 QAD393220:QAD393223 QJZ393220:QJZ393223 QTV393220:QTV393223 RDR393220:RDR393223 RNN393220:RNN393223 RXJ393220:RXJ393223 SHF393220:SHF393223 SRB393220:SRB393223 TAX393220:TAX393223 TKT393220:TKT393223 TUP393220:TUP393223 UEL393220:UEL393223 UOH393220:UOH393223 UYD393220:UYD393223 VHZ393220:VHZ393223 VRV393220:VRV393223 WBR393220:WBR393223 WLN393220:WLN393223 WVJ393220:WVJ393223 B458756:B458759 IX458756:IX458759 ST458756:ST458759 ACP458756:ACP458759 AML458756:AML458759 AWH458756:AWH458759 BGD458756:BGD458759 BPZ458756:BPZ458759 BZV458756:BZV458759 CJR458756:CJR458759 CTN458756:CTN458759 DDJ458756:DDJ458759 DNF458756:DNF458759 DXB458756:DXB458759 EGX458756:EGX458759 EQT458756:EQT458759 FAP458756:FAP458759 FKL458756:FKL458759 FUH458756:FUH458759 GED458756:GED458759 GNZ458756:GNZ458759 GXV458756:GXV458759 HHR458756:HHR458759 HRN458756:HRN458759 IBJ458756:IBJ458759 ILF458756:ILF458759 IVB458756:IVB458759 JEX458756:JEX458759 JOT458756:JOT458759 JYP458756:JYP458759 KIL458756:KIL458759 KSH458756:KSH458759 LCD458756:LCD458759 LLZ458756:LLZ458759 LVV458756:LVV458759 MFR458756:MFR458759 MPN458756:MPN458759 MZJ458756:MZJ458759 NJF458756:NJF458759 NTB458756:NTB458759 OCX458756:OCX458759 OMT458756:OMT458759 OWP458756:OWP458759 PGL458756:PGL458759 PQH458756:PQH458759 QAD458756:QAD458759 QJZ458756:QJZ458759 QTV458756:QTV458759 RDR458756:RDR458759 RNN458756:RNN458759 RXJ458756:RXJ458759 SHF458756:SHF458759 SRB458756:SRB458759 TAX458756:TAX458759 TKT458756:TKT458759 TUP458756:TUP458759 UEL458756:UEL458759 UOH458756:UOH458759 UYD458756:UYD458759 VHZ458756:VHZ458759 VRV458756:VRV458759 WBR458756:WBR458759 WLN458756:WLN458759 WVJ458756:WVJ458759 B524292:B524295 IX524292:IX524295 ST524292:ST524295 ACP524292:ACP524295 AML524292:AML524295 AWH524292:AWH524295 BGD524292:BGD524295 BPZ524292:BPZ524295 BZV524292:BZV524295 CJR524292:CJR524295 CTN524292:CTN524295 DDJ524292:DDJ524295 DNF524292:DNF524295 DXB524292:DXB524295 EGX524292:EGX524295 EQT524292:EQT524295 FAP524292:FAP524295 FKL524292:FKL524295 FUH524292:FUH524295 GED524292:GED524295 GNZ524292:GNZ524295 GXV524292:GXV524295 HHR524292:HHR524295 HRN524292:HRN524295 IBJ524292:IBJ524295 ILF524292:ILF524295 IVB524292:IVB524295 JEX524292:JEX524295 JOT524292:JOT524295 JYP524292:JYP524295 KIL524292:KIL524295 KSH524292:KSH524295 LCD524292:LCD524295 LLZ524292:LLZ524295 LVV524292:LVV524295 MFR524292:MFR524295 MPN524292:MPN524295 MZJ524292:MZJ524295 NJF524292:NJF524295 NTB524292:NTB524295 OCX524292:OCX524295 OMT524292:OMT524295 OWP524292:OWP524295 PGL524292:PGL524295 PQH524292:PQH524295 QAD524292:QAD524295 QJZ524292:QJZ524295 QTV524292:QTV524295 RDR524292:RDR524295 RNN524292:RNN524295 RXJ524292:RXJ524295 SHF524292:SHF524295 SRB524292:SRB524295 TAX524292:TAX524295 TKT524292:TKT524295 TUP524292:TUP524295 UEL524292:UEL524295 UOH524292:UOH524295 UYD524292:UYD524295 VHZ524292:VHZ524295 VRV524292:VRV524295 WBR524292:WBR524295 WLN524292:WLN524295 WVJ524292:WVJ524295 B589828:B589831 IX589828:IX589831 ST589828:ST589831 ACP589828:ACP589831 AML589828:AML589831 AWH589828:AWH589831 BGD589828:BGD589831 BPZ589828:BPZ589831 BZV589828:BZV589831 CJR589828:CJR589831 CTN589828:CTN589831 DDJ589828:DDJ589831 DNF589828:DNF589831 DXB589828:DXB589831 EGX589828:EGX589831 EQT589828:EQT589831 FAP589828:FAP589831 FKL589828:FKL589831 FUH589828:FUH589831 GED589828:GED589831 GNZ589828:GNZ589831 GXV589828:GXV589831 HHR589828:HHR589831 HRN589828:HRN589831 IBJ589828:IBJ589831 ILF589828:ILF589831 IVB589828:IVB589831 JEX589828:JEX589831 JOT589828:JOT589831 JYP589828:JYP589831 KIL589828:KIL589831 KSH589828:KSH589831 LCD589828:LCD589831 LLZ589828:LLZ589831 LVV589828:LVV589831 MFR589828:MFR589831 MPN589828:MPN589831 MZJ589828:MZJ589831 NJF589828:NJF589831 NTB589828:NTB589831 OCX589828:OCX589831 OMT589828:OMT589831 OWP589828:OWP589831 PGL589828:PGL589831 PQH589828:PQH589831 QAD589828:QAD589831 QJZ589828:QJZ589831 QTV589828:QTV589831 RDR589828:RDR589831 RNN589828:RNN589831 RXJ589828:RXJ589831 SHF589828:SHF589831 SRB589828:SRB589831 TAX589828:TAX589831 TKT589828:TKT589831 TUP589828:TUP589831 UEL589828:UEL589831 UOH589828:UOH589831 UYD589828:UYD589831 VHZ589828:VHZ589831 VRV589828:VRV589831 WBR589828:WBR589831 WLN589828:WLN589831 WVJ589828:WVJ589831 B655364:B655367 IX655364:IX655367 ST655364:ST655367 ACP655364:ACP655367 AML655364:AML655367 AWH655364:AWH655367 BGD655364:BGD655367 BPZ655364:BPZ655367 BZV655364:BZV655367 CJR655364:CJR655367 CTN655364:CTN655367 DDJ655364:DDJ655367 DNF655364:DNF655367 DXB655364:DXB655367 EGX655364:EGX655367 EQT655364:EQT655367 FAP655364:FAP655367 FKL655364:FKL655367 FUH655364:FUH655367 GED655364:GED655367 GNZ655364:GNZ655367 GXV655364:GXV655367 HHR655364:HHR655367 HRN655364:HRN655367 IBJ655364:IBJ655367 ILF655364:ILF655367 IVB655364:IVB655367 JEX655364:JEX655367 JOT655364:JOT655367 JYP655364:JYP655367 KIL655364:KIL655367 KSH655364:KSH655367 LCD655364:LCD655367 LLZ655364:LLZ655367 LVV655364:LVV655367 MFR655364:MFR655367 MPN655364:MPN655367 MZJ655364:MZJ655367 NJF655364:NJF655367 NTB655364:NTB655367 OCX655364:OCX655367 OMT655364:OMT655367 OWP655364:OWP655367 PGL655364:PGL655367 PQH655364:PQH655367 QAD655364:QAD655367 QJZ655364:QJZ655367 QTV655364:QTV655367 RDR655364:RDR655367 RNN655364:RNN655367 RXJ655364:RXJ655367 SHF655364:SHF655367 SRB655364:SRB655367 TAX655364:TAX655367 TKT655364:TKT655367 TUP655364:TUP655367 UEL655364:UEL655367 UOH655364:UOH655367 UYD655364:UYD655367 VHZ655364:VHZ655367 VRV655364:VRV655367 WBR655364:WBR655367 WLN655364:WLN655367 WVJ655364:WVJ655367 B720900:B720903 IX720900:IX720903 ST720900:ST720903 ACP720900:ACP720903 AML720900:AML720903 AWH720900:AWH720903 BGD720900:BGD720903 BPZ720900:BPZ720903 BZV720900:BZV720903 CJR720900:CJR720903 CTN720900:CTN720903 DDJ720900:DDJ720903 DNF720900:DNF720903 DXB720900:DXB720903 EGX720900:EGX720903 EQT720900:EQT720903 FAP720900:FAP720903 FKL720900:FKL720903 FUH720900:FUH720903 GED720900:GED720903 GNZ720900:GNZ720903 GXV720900:GXV720903 HHR720900:HHR720903 HRN720900:HRN720903 IBJ720900:IBJ720903 ILF720900:ILF720903 IVB720900:IVB720903 JEX720900:JEX720903 JOT720900:JOT720903 JYP720900:JYP720903 KIL720900:KIL720903 KSH720900:KSH720903 LCD720900:LCD720903 LLZ720900:LLZ720903 LVV720900:LVV720903 MFR720900:MFR720903 MPN720900:MPN720903 MZJ720900:MZJ720903 NJF720900:NJF720903 NTB720900:NTB720903 OCX720900:OCX720903 OMT720900:OMT720903 OWP720900:OWP720903 PGL720900:PGL720903 PQH720900:PQH720903 QAD720900:QAD720903 QJZ720900:QJZ720903 QTV720900:QTV720903 RDR720900:RDR720903 RNN720900:RNN720903 RXJ720900:RXJ720903 SHF720900:SHF720903 SRB720900:SRB720903 TAX720900:TAX720903 TKT720900:TKT720903 TUP720900:TUP720903 UEL720900:UEL720903 UOH720900:UOH720903 UYD720900:UYD720903 VHZ720900:VHZ720903 VRV720900:VRV720903 WBR720900:WBR720903 WLN720900:WLN720903 WVJ720900:WVJ720903 B786436:B786439 IX786436:IX786439 ST786436:ST786439 ACP786436:ACP786439 AML786436:AML786439 AWH786436:AWH786439 BGD786436:BGD786439 BPZ786436:BPZ786439 BZV786436:BZV786439 CJR786436:CJR786439 CTN786436:CTN786439 DDJ786436:DDJ786439 DNF786436:DNF786439 DXB786436:DXB786439 EGX786436:EGX786439 EQT786436:EQT786439 FAP786436:FAP786439 FKL786436:FKL786439 FUH786436:FUH786439 GED786436:GED786439 GNZ786436:GNZ786439 GXV786436:GXV786439 HHR786436:HHR786439 HRN786436:HRN786439 IBJ786436:IBJ786439 ILF786436:ILF786439 IVB786436:IVB786439 JEX786436:JEX786439 JOT786436:JOT786439 JYP786436:JYP786439 KIL786436:KIL786439 KSH786436:KSH786439 LCD786436:LCD786439 LLZ786436:LLZ786439 LVV786436:LVV786439 MFR786436:MFR786439 MPN786436:MPN786439 MZJ786436:MZJ786439 NJF786436:NJF786439 NTB786436:NTB786439 OCX786436:OCX786439 OMT786436:OMT786439 OWP786436:OWP786439 PGL786436:PGL786439 PQH786436:PQH786439 QAD786436:QAD786439 QJZ786436:QJZ786439 QTV786436:QTV786439 RDR786436:RDR786439 RNN786436:RNN786439 RXJ786436:RXJ786439 SHF786436:SHF786439 SRB786436:SRB786439 TAX786436:TAX786439 TKT786436:TKT786439 TUP786436:TUP786439 UEL786436:UEL786439 UOH786436:UOH786439 UYD786436:UYD786439 VHZ786436:VHZ786439 VRV786436:VRV786439 WBR786436:WBR786439 WLN786436:WLN786439 WVJ786436:WVJ786439 B851972:B851975 IX851972:IX851975 ST851972:ST851975 ACP851972:ACP851975 AML851972:AML851975 AWH851972:AWH851975 BGD851972:BGD851975 BPZ851972:BPZ851975 BZV851972:BZV851975 CJR851972:CJR851975 CTN851972:CTN851975 DDJ851972:DDJ851975 DNF851972:DNF851975 DXB851972:DXB851975 EGX851972:EGX851975 EQT851972:EQT851975 FAP851972:FAP851975 FKL851972:FKL851975 FUH851972:FUH851975 GED851972:GED851975 GNZ851972:GNZ851975 GXV851972:GXV851975 HHR851972:HHR851975 HRN851972:HRN851975 IBJ851972:IBJ851975 ILF851972:ILF851975 IVB851972:IVB851975 JEX851972:JEX851975 JOT851972:JOT851975 JYP851972:JYP851975 KIL851972:KIL851975 KSH851972:KSH851975 LCD851972:LCD851975 LLZ851972:LLZ851975 LVV851972:LVV851975 MFR851972:MFR851975 MPN851972:MPN851975 MZJ851972:MZJ851975 NJF851972:NJF851975 NTB851972:NTB851975 OCX851972:OCX851975 OMT851972:OMT851975 OWP851972:OWP851975 PGL851972:PGL851975 PQH851972:PQH851975 QAD851972:QAD851975 QJZ851972:QJZ851975 QTV851972:QTV851975 RDR851972:RDR851975 RNN851972:RNN851975 RXJ851972:RXJ851975 SHF851972:SHF851975 SRB851972:SRB851975 TAX851972:TAX851975 TKT851972:TKT851975 TUP851972:TUP851975 UEL851972:UEL851975 UOH851972:UOH851975 UYD851972:UYD851975 VHZ851972:VHZ851975 VRV851972:VRV851975 WBR851972:WBR851975 WLN851972:WLN851975 WVJ851972:WVJ851975 B917508:B917511 IX917508:IX917511 ST917508:ST917511 ACP917508:ACP917511 AML917508:AML917511 AWH917508:AWH917511 BGD917508:BGD917511 BPZ917508:BPZ917511 BZV917508:BZV917511 CJR917508:CJR917511 CTN917508:CTN917511 DDJ917508:DDJ917511 DNF917508:DNF917511 DXB917508:DXB917511 EGX917508:EGX917511 EQT917508:EQT917511 FAP917508:FAP917511 FKL917508:FKL917511 FUH917508:FUH917511 GED917508:GED917511 GNZ917508:GNZ917511 GXV917508:GXV917511 HHR917508:HHR917511 HRN917508:HRN917511 IBJ917508:IBJ917511 ILF917508:ILF917511 IVB917508:IVB917511 JEX917508:JEX917511 JOT917508:JOT917511 JYP917508:JYP917511 KIL917508:KIL917511 KSH917508:KSH917511 LCD917508:LCD917511 LLZ917508:LLZ917511 LVV917508:LVV917511 MFR917508:MFR917511 MPN917508:MPN917511 MZJ917508:MZJ917511 NJF917508:NJF917511 NTB917508:NTB917511 OCX917508:OCX917511 OMT917508:OMT917511 OWP917508:OWP917511 PGL917508:PGL917511 PQH917508:PQH917511 QAD917508:QAD917511 QJZ917508:QJZ917511 QTV917508:QTV917511 RDR917508:RDR917511 RNN917508:RNN917511 RXJ917508:RXJ917511 SHF917508:SHF917511 SRB917508:SRB917511 TAX917508:TAX917511 TKT917508:TKT917511 TUP917508:TUP917511 UEL917508:UEL917511 UOH917508:UOH917511 UYD917508:UYD917511 VHZ917508:VHZ917511 VRV917508:VRV917511 WBR917508:WBR917511 WLN917508:WLN917511 WVJ917508:WVJ917511 B983044:B983047 IX983044:IX983047 ST983044:ST983047 ACP983044:ACP983047 AML983044:AML983047 AWH983044:AWH983047 BGD983044:BGD983047 BPZ983044:BPZ983047 BZV983044:BZV983047 CJR983044:CJR983047 CTN983044:CTN983047 DDJ983044:DDJ983047 DNF983044:DNF983047 DXB983044:DXB983047 EGX983044:EGX983047 EQT983044:EQT983047 FAP983044:FAP983047 FKL983044:FKL983047 FUH983044:FUH983047 GED983044:GED983047 GNZ983044:GNZ983047 GXV983044:GXV983047 HHR983044:HHR983047 HRN983044:HRN983047 IBJ983044:IBJ983047 ILF983044:ILF983047 IVB983044:IVB983047 JEX983044:JEX983047 JOT983044:JOT983047 JYP983044:JYP983047 KIL983044:KIL983047 KSH983044:KSH983047 LCD983044:LCD983047 LLZ983044:LLZ983047 LVV983044:LVV983047 MFR983044:MFR983047 MPN983044:MPN983047 MZJ983044:MZJ983047 NJF983044:NJF983047 NTB983044:NTB983047 OCX983044:OCX983047 OMT983044:OMT983047 OWP983044:OWP983047 PGL983044:PGL983047 PQH983044:PQH983047 QAD983044:QAD983047 QJZ983044:QJZ983047 QTV983044:QTV983047 RDR983044:RDR983047 RNN983044:RNN983047 RXJ983044:RXJ983047 SHF983044:SHF983047 SRB983044:SRB983047 TAX983044:TAX983047 TKT983044:TKT983047 TUP983044:TUP983047 UEL983044:UEL983047 UOH983044:UOH983047 UYD983044:UYD983047 VHZ983044:VHZ983047 VRV983044:VRV983047 WBR983044:WBR983047 WLN983044:WLN983047 WVJ983044:WVJ983047" xr:uid="{00000000-0002-0000-2C00-000002000000}">
      <formula1>$E$317:$E$322</formula1>
    </dataValidation>
  </dataValidation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46"/>
  <dimension ref="A1:W74"/>
  <sheetViews>
    <sheetView showGridLines="0" showRowColHeaders="0" workbookViewId="0"/>
  </sheetViews>
  <sheetFormatPr baseColWidth="10" defaultRowHeight="15" x14ac:dyDescent="0.25"/>
  <cols>
    <col min="1" max="1" width="1.28515625" bestFit="1" customWidth="1"/>
    <col min="2" max="2" width="27" customWidth="1"/>
    <col min="3" max="3" width="24.140625" customWidth="1"/>
    <col min="4" max="4" width="20.85546875" customWidth="1"/>
    <col min="7" max="7" width="8.85546875" customWidth="1"/>
    <col min="8" max="8" width="8.5703125" bestFit="1" customWidth="1"/>
    <col min="9" max="12" width="19.28515625" customWidth="1"/>
    <col min="13" max="15" width="19.140625" customWidth="1"/>
  </cols>
  <sheetData>
    <row r="1" spans="1:23" x14ac:dyDescent="0.25">
      <c r="A1" s="3112"/>
      <c r="B1" s="2" t="s">
        <v>2133</v>
      </c>
      <c r="C1" s="3113" t="str">
        <f>'RC'!D7</f>
        <v>Prueba Da 27.08.23</v>
      </c>
      <c r="D1" s="2"/>
      <c r="E1" s="2"/>
      <c r="F1" s="2"/>
      <c r="G1" s="2"/>
      <c r="H1" s="2"/>
      <c r="I1" s="2"/>
      <c r="J1" s="2"/>
      <c r="K1" s="2"/>
      <c r="L1" s="2"/>
      <c r="M1" s="2"/>
      <c r="N1" s="2"/>
      <c r="O1" s="2"/>
      <c r="P1" s="2"/>
      <c r="Q1" s="2"/>
      <c r="R1" s="2"/>
      <c r="S1" s="2"/>
      <c r="T1" s="2"/>
      <c r="U1" s="2"/>
      <c r="V1" s="2"/>
      <c r="W1" s="2"/>
    </row>
    <row r="2" spans="1:23" x14ac:dyDescent="0.25">
      <c r="A2" s="3112"/>
      <c r="B2" s="2" t="s">
        <v>207</v>
      </c>
      <c r="C2" s="3114" t="str">
        <f>'RC'!D6</f>
        <v>900142011</v>
      </c>
      <c r="D2" s="2"/>
      <c r="E2" s="2"/>
      <c r="F2" s="2"/>
      <c r="G2" s="2"/>
      <c r="H2" s="2"/>
      <c r="I2" s="2"/>
      <c r="J2" s="2"/>
      <c r="K2" s="2"/>
      <c r="L2" s="2"/>
      <c r="M2" s="2"/>
      <c r="N2" s="2"/>
      <c r="O2" s="2"/>
      <c r="P2" s="2"/>
      <c r="Q2" s="2"/>
      <c r="R2" s="2"/>
      <c r="S2" s="2"/>
      <c r="T2" s="2"/>
      <c r="U2" s="2"/>
      <c r="V2" s="2"/>
      <c r="W2" s="2"/>
    </row>
    <row r="3" spans="1:23" x14ac:dyDescent="0.25">
      <c r="A3" s="3112"/>
      <c r="B3" s="2" t="s">
        <v>2134</v>
      </c>
      <c r="C3" s="2"/>
      <c r="D3" s="2"/>
      <c r="E3" s="2"/>
      <c r="F3" s="2"/>
      <c r="G3" s="2"/>
      <c r="H3" s="2"/>
      <c r="I3" s="2"/>
      <c r="J3" s="2"/>
      <c r="K3" s="2"/>
      <c r="L3" s="2"/>
      <c r="M3" s="2"/>
      <c r="N3" s="2"/>
      <c r="O3" s="2"/>
      <c r="P3" s="2"/>
      <c r="Q3" s="2"/>
      <c r="R3" s="2"/>
      <c r="S3" s="2"/>
      <c r="T3" s="2"/>
      <c r="U3" s="2"/>
      <c r="V3" s="2"/>
      <c r="W3" s="2"/>
    </row>
    <row r="4" spans="1:23" x14ac:dyDescent="0.25">
      <c r="A4" s="3112"/>
      <c r="B4" s="2"/>
      <c r="C4" s="2"/>
      <c r="D4" s="2"/>
      <c r="E4" s="2"/>
      <c r="F4" s="2"/>
      <c r="G4" s="2"/>
      <c r="H4" s="2"/>
      <c r="I4" s="2"/>
      <c r="J4" s="2"/>
      <c r="K4" s="2"/>
      <c r="L4" s="2"/>
      <c r="M4" s="2"/>
      <c r="N4" s="2"/>
      <c r="O4" s="2"/>
      <c r="P4" s="2"/>
      <c r="Q4" s="2"/>
      <c r="R4" s="2"/>
      <c r="S4" s="2"/>
      <c r="T4" s="2"/>
      <c r="U4" s="2"/>
      <c r="V4" s="2"/>
      <c r="W4" s="2"/>
    </row>
    <row r="5" spans="1:23" x14ac:dyDescent="0.25">
      <c r="A5" s="3112"/>
      <c r="B5" s="2"/>
      <c r="C5" s="2"/>
      <c r="D5" s="2"/>
      <c r="E5" s="2"/>
      <c r="F5" s="2"/>
      <c r="G5" s="2"/>
      <c r="H5" s="2"/>
      <c r="I5" s="2"/>
      <c r="J5" s="2"/>
      <c r="K5" s="2"/>
      <c r="L5" s="2"/>
      <c r="M5" s="2"/>
      <c r="N5" s="2"/>
      <c r="O5" s="2"/>
      <c r="P5" s="2"/>
      <c r="Q5" s="2"/>
      <c r="R5" s="2"/>
      <c r="S5" s="2"/>
      <c r="T5" s="2"/>
      <c r="U5" s="2"/>
      <c r="V5" s="2"/>
      <c r="W5" s="2"/>
    </row>
    <row r="6" spans="1:23" ht="38.25" x14ac:dyDescent="0.25">
      <c r="A6" s="3112"/>
      <c r="B6" s="3115" t="s">
        <v>2135</v>
      </c>
      <c r="C6" s="3115" t="s">
        <v>2136</v>
      </c>
      <c r="D6" s="3115" t="s">
        <v>110</v>
      </c>
      <c r="E6" s="3115" t="s">
        <v>2137</v>
      </c>
      <c r="F6" s="3115" t="s">
        <v>2138</v>
      </c>
      <c r="G6" s="3115" t="s">
        <v>2139</v>
      </c>
      <c r="H6" s="3115" t="s">
        <v>2140</v>
      </c>
      <c r="I6" s="3115" t="s">
        <v>2141</v>
      </c>
      <c r="J6" s="3115" t="s">
        <v>2142</v>
      </c>
      <c r="K6" s="3115" t="s">
        <v>2143</v>
      </c>
      <c r="L6" s="3115" t="s">
        <v>25</v>
      </c>
      <c r="M6" s="3115" t="s">
        <v>2144</v>
      </c>
      <c r="N6" s="3115" t="s">
        <v>2145</v>
      </c>
      <c r="O6" s="3115" t="s">
        <v>2146</v>
      </c>
      <c r="P6" s="3115" t="s">
        <v>2147</v>
      </c>
      <c r="Q6" s="3115" t="s">
        <v>2148</v>
      </c>
      <c r="R6" s="3115" t="s">
        <v>2149</v>
      </c>
      <c r="S6" s="3115" t="s">
        <v>2150</v>
      </c>
      <c r="T6" s="3115" t="s">
        <v>532</v>
      </c>
      <c r="U6" s="3115" t="s">
        <v>2151</v>
      </c>
      <c r="V6" s="3115" t="s">
        <v>2152</v>
      </c>
      <c r="W6" s="3115" t="s">
        <v>2153</v>
      </c>
    </row>
    <row r="7" spans="1:23" x14ac:dyDescent="0.25">
      <c r="A7" s="3112"/>
      <c r="B7" s="3116"/>
      <c r="C7" s="3117"/>
      <c r="D7" s="3116"/>
      <c r="E7" s="3117"/>
      <c r="F7" s="3117"/>
      <c r="G7" s="3118"/>
      <c r="H7" s="3118"/>
      <c r="I7" s="3119"/>
      <c r="J7" s="3119"/>
      <c r="K7" s="3119"/>
      <c r="L7" s="3119"/>
      <c r="M7" s="3119"/>
      <c r="N7" s="3119"/>
      <c r="O7" s="3119"/>
      <c r="P7" s="3120"/>
      <c r="Q7" s="3121"/>
      <c r="R7" s="3121"/>
      <c r="S7" s="3122"/>
      <c r="T7" s="3121"/>
      <c r="U7" s="3122"/>
      <c r="V7" s="3122"/>
      <c r="W7" s="3122"/>
    </row>
    <row r="8" spans="1:23" x14ac:dyDescent="0.25">
      <c r="A8" s="3112"/>
      <c r="B8" s="3116"/>
      <c r="C8" s="3117"/>
      <c r="D8" s="3116"/>
      <c r="E8" s="3117"/>
      <c r="F8" s="3117"/>
      <c r="G8" s="3118"/>
      <c r="H8" s="3118"/>
      <c r="I8" s="3119"/>
      <c r="J8" s="3119"/>
      <c r="K8" s="3119"/>
      <c r="L8" s="3119"/>
      <c r="M8" s="3119"/>
      <c r="N8" s="3119"/>
      <c r="O8" s="3119"/>
      <c r="P8" s="3120"/>
      <c r="Q8" s="3121"/>
      <c r="R8" s="3121"/>
      <c r="S8" s="3122"/>
      <c r="T8" s="3121"/>
      <c r="U8" s="3122"/>
      <c r="V8" s="3122"/>
      <c r="W8" s="3122"/>
    </row>
    <row r="9" spans="1:23" x14ac:dyDescent="0.25">
      <c r="A9" s="3112"/>
      <c r="B9" s="3116"/>
      <c r="C9" s="3117"/>
      <c r="D9" s="3116"/>
      <c r="E9" s="3117"/>
      <c r="F9" s="3117"/>
      <c r="G9" s="3118"/>
      <c r="H9" s="3118"/>
      <c r="I9" s="3119"/>
      <c r="J9" s="3119"/>
      <c r="K9" s="3119"/>
      <c r="L9" s="3119"/>
      <c r="M9" s="3119"/>
      <c r="N9" s="3119"/>
      <c r="O9" s="3119"/>
      <c r="P9" s="3120"/>
      <c r="Q9" s="3121"/>
      <c r="R9" s="3121"/>
      <c r="S9" s="3122"/>
      <c r="T9" s="3121"/>
      <c r="U9" s="3122"/>
      <c r="V9" s="3122"/>
      <c r="W9" s="3122"/>
    </row>
    <row r="10" spans="1:23" x14ac:dyDescent="0.25">
      <c r="A10" s="3112"/>
      <c r="B10" s="3116"/>
      <c r="C10" s="3117"/>
      <c r="D10" s="3116"/>
      <c r="E10" s="3117"/>
      <c r="F10" s="3117"/>
      <c r="G10" s="3118"/>
      <c r="H10" s="3118"/>
      <c r="I10" s="3119"/>
      <c r="J10" s="3119"/>
      <c r="K10" s="3119"/>
      <c r="L10" s="3119"/>
      <c r="M10" s="3119"/>
      <c r="N10" s="3119"/>
      <c r="O10" s="3119"/>
      <c r="P10" s="3120"/>
      <c r="Q10" s="3121"/>
      <c r="R10" s="3121"/>
      <c r="S10" s="3122"/>
      <c r="T10" s="3121"/>
      <c r="U10" s="3122"/>
      <c r="V10" s="3122"/>
      <c r="W10" s="3122"/>
    </row>
    <row r="11" spans="1:23" x14ac:dyDescent="0.25">
      <c r="A11" s="3112"/>
      <c r="B11" s="3116"/>
      <c r="C11" s="3117"/>
      <c r="D11" s="3116"/>
      <c r="E11" s="3117"/>
      <c r="F11" s="3117"/>
      <c r="G11" s="3118"/>
      <c r="H11" s="3118"/>
      <c r="I11" s="3119"/>
      <c r="J11" s="3119"/>
      <c r="K11" s="3119"/>
      <c r="L11" s="3119"/>
      <c r="M11" s="3119"/>
      <c r="N11" s="3119"/>
      <c r="O11" s="3119"/>
      <c r="P11" s="3120"/>
      <c r="Q11" s="3121"/>
      <c r="R11" s="3121"/>
      <c r="S11" s="3122"/>
      <c r="T11" s="3121"/>
      <c r="U11" s="3122"/>
      <c r="V11" s="3122"/>
      <c r="W11" s="3122"/>
    </row>
    <row r="12" spans="1:23" x14ac:dyDescent="0.25">
      <c r="A12" s="3112"/>
      <c r="B12" s="3116"/>
      <c r="C12" s="3117"/>
      <c r="D12" s="3116"/>
      <c r="E12" s="3117"/>
      <c r="F12" s="3117"/>
      <c r="G12" s="3118"/>
      <c r="H12" s="3118"/>
      <c r="I12" s="3119"/>
      <c r="J12" s="3119"/>
      <c r="K12" s="3119"/>
      <c r="L12" s="3119"/>
      <c r="M12" s="3119"/>
      <c r="N12" s="3119"/>
      <c r="O12" s="3119"/>
      <c r="P12" s="3120"/>
      <c r="Q12" s="3121"/>
      <c r="R12" s="3121"/>
      <c r="S12" s="3122"/>
      <c r="T12" s="3121"/>
      <c r="U12" s="3122"/>
      <c r="V12" s="3122"/>
      <c r="W12" s="3122"/>
    </row>
    <row r="13" spans="1:23" x14ac:dyDescent="0.25">
      <c r="A13" s="3112"/>
      <c r="B13" s="3116"/>
      <c r="C13" s="3117"/>
      <c r="D13" s="3116"/>
      <c r="E13" s="3117"/>
      <c r="F13" s="3117"/>
      <c r="G13" s="3118"/>
      <c r="H13" s="3118"/>
      <c r="I13" s="3119"/>
      <c r="J13" s="3119"/>
      <c r="K13" s="3119"/>
      <c r="L13" s="3119"/>
      <c r="M13" s="3119"/>
      <c r="N13" s="3119"/>
      <c r="O13" s="3119"/>
      <c r="P13" s="3120"/>
      <c r="Q13" s="3121"/>
      <c r="R13" s="3121"/>
      <c r="S13" s="3122"/>
      <c r="T13" s="3121"/>
      <c r="U13" s="3122"/>
      <c r="V13" s="3122"/>
      <c r="W13" s="3122"/>
    </row>
    <row r="14" spans="1:23" x14ac:dyDescent="0.25">
      <c r="A14" s="3112"/>
      <c r="B14" s="3116"/>
      <c r="C14" s="3117"/>
      <c r="D14" s="3116"/>
      <c r="E14" s="3117"/>
      <c r="F14" s="3117"/>
      <c r="G14" s="3118"/>
      <c r="H14" s="3118"/>
      <c r="I14" s="3119"/>
      <c r="J14" s="3119"/>
      <c r="K14" s="3119"/>
      <c r="L14" s="3119"/>
      <c r="M14" s="3119"/>
      <c r="N14" s="3119"/>
      <c r="O14" s="3119"/>
      <c r="P14" s="3120"/>
      <c r="Q14" s="3121"/>
      <c r="R14" s="3121"/>
      <c r="S14" s="3122"/>
      <c r="T14" s="3121"/>
      <c r="U14" s="3122"/>
      <c r="V14" s="3122"/>
      <c r="W14" s="3122"/>
    </row>
    <row r="15" spans="1:23" x14ac:dyDescent="0.25">
      <c r="A15" s="3112"/>
      <c r="B15" s="3116"/>
      <c r="C15" s="3117"/>
      <c r="D15" s="3116"/>
      <c r="E15" s="3117"/>
      <c r="F15" s="3117"/>
      <c r="G15" s="3118"/>
      <c r="H15" s="3118"/>
      <c r="I15" s="3119"/>
      <c r="J15" s="3119"/>
      <c r="K15" s="3119"/>
      <c r="L15" s="3119"/>
      <c r="M15" s="3119"/>
      <c r="N15" s="3119"/>
      <c r="O15" s="3119"/>
      <c r="P15" s="3120"/>
      <c r="Q15" s="3121"/>
      <c r="R15" s="3121"/>
      <c r="S15" s="3122"/>
      <c r="T15" s="3121"/>
      <c r="U15" s="3122"/>
      <c r="V15" s="3122"/>
      <c r="W15" s="3122"/>
    </row>
    <row r="16" spans="1:23" x14ac:dyDescent="0.25">
      <c r="A16" s="3112"/>
      <c r="B16" s="3116"/>
      <c r="C16" s="3117"/>
      <c r="D16" s="3116"/>
      <c r="E16" s="3117"/>
      <c r="F16" s="3117"/>
      <c r="G16" s="3118"/>
      <c r="H16" s="3118"/>
      <c r="I16" s="3119"/>
      <c r="J16" s="3119"/>
      <c r="K16" s="3119"/>
      <c r="L16" s="3119"/>
      <c r="M16" s="3119"/>
      <c r="N16" s="3119"/>
      <c r="O16" s="3119"/>
      <c r="P16" s="3120"/>
      <c r="Q16" s="3121"/>
      <c r="R16" s="3121"/>
      <c r="S16" s="3122"/>
      <c r="T16" s="3121"/>
      <c r="U16" s="3122"/>
      <c r="V16" s="3122"/>
      <c r="W16" s="3122"/>
    </row>
    <row r="17" spans="1:23" x14ac:dyDescent="0.25">
      <c r="A17" s="3112"/>
      <c r="B17" s="3116"/>
      <c r="C17" s="3117"/>
      <c r="D17" s="3116"/>
      <c r="E17" s="3117"/>
      <c r="F17" s="3117"/>
      <c r="G17" s="3118"/>
      <c r="H17" s="3118"/>
      <c r="I17" s="3119"/>
      <c r="J17" s="3119"/>
      <c r="K17" s="3119"/>
      <c r="L17" s="3119"/>
      <c r="M17" s="3119"/>
      <c r="N17" s="3119"/>
      <c r="O17" s="3119"/>
      <c r="P17" s="3120"/>
      <c r="Q17" s="3121"/>
      <c r="R17" s="3121"/>
      <c r="S17" s="3122"/>
      <c r="T17" s="3121"/>
      <c r="U17" s="3122"/>
      <c r="V17" s="3122"/>
      <c r="W17" s="3122"/>
    </row>
    <row r="18" spans="1:23" x14ac:dyDescent="0.25">
      <c r="A18" s="3112"/>
      <c r="B18" s="3116"/>
      <c r="C18" s="3117"/>
      <c r="D18" s="3116"/>
      <c r="E18" s="3117"/>
      <c r="F18" s="3117"/>
      <c r="G18" s="3118"/>
      <c r="H18" s="3118"/>
      <c r="I18" s="3119"/>
      <c r="J18" s="3119"/>
      <c r="K18" s="3119"/>
      <c r="L18" s="3119"/>
      <c r="M18" s="3119"/>
      <c r="N18" s="3119"/>
      <c r="O18" s="3119"/>
      <c r="P18" s="3120"/>
      <c r="Q18" s="3121"/>
      <c r="R18" s="3121"/>
      <c r="S18" s="3122"/>
      <c r="T18" s="3121"/>
      <c r="U18" s="3122"/>
      <c r="V18" s="3122"/>
      <c r="W18" s="3122"/>
    </row>
    <row r="19" spans="1:23" x14ac:dyDescent="0.25">
      <c r="A19" s="3112"/>
      <c r="B19" s="3116"/>
      <c r="C19" s="3117"/>
      <c r="D19" s="3116"/>
      <c r="E19" s="3117"/>
      <c r="F19" s="3117"/>
      <c r="G19" s="3118"/>
      <c r="H19" s="3118"/>
      <c r="I19" s="3119"/>
      <c r="J19" s="3119"/>
      <c r="K19" s="3119"/>
      <c r="L19" s="3119"/>
      <c r="M19" s="3119"/>
      <c r="N19" s="3119"/>
      <c r="O19" s="3119"/>
      <c r="P19" s="3120"/>
      <c r="Q19" s="3121"/>
      <c r="R19" s="3121"/>
      <c r="S19" s="3122"/>
      <c r="T19" s="3121"/>
      <c r="U19" s="3122"/>
      <c r="V19" s="3122"/>
      <c r="W19" s="3122"/>
    </row>
    <row r="20" spans="1:23" x14ac:dyDescent="0.25">
      <c r="A20" s="3112"/>
      <c r="B20" s="3116"/>
      <c r="C20" s="3117"/>
      <c r="D20" s="3116"/>
      <c r="E20" s="3117"/>
      <c r="F20" s="3117"/>
      <c r="G20" s="3118"/>
      <c r="H20" s="3118"/>
      <c r="I20" s="3119"/>
      <c r="J20" s="3119"/>
      <c r="K20" s="3119"/>
      <c r="L20" s="3119"/>
      <c r="M20" s="3119"/>
      <c r="N20" s="3119"/>
      <c r="O20" s="3119"/>
      <c r="P20" s="3120"/>
      <c r="Q20" s="3121"/>
      <c r="R20" s="3121"/>
      <c r="S20" s="3122"/>
      <c r="T20" s="3121"/>
      <c r="U20" s="3122"/>
      <c r="V20" s="3122"/>
      <c r="W20" s="3122"/>
    </row>
    <row r="21" spans="1:23" x14ac:dyDescent="0.25">
      <c r="A21" s="3112"/>
      <c r="B21" s="3116"/>
      <c r="C21" s="3117"/>
      <c r="D21" s="3116"/>
      <c r="E21" s="3117"/>
      <c r="F21" s="3117"/>
      <c r="G21" s="3118"/>
      <c r="H21" s="3118"/>
      <c r="I21" s="3119"/>
      <c r="J21" s="3119"/>
      <c r="K21" s="3119"/>
      <c r="L21" s="3119"/>
      <c r="M21" s="3119"/>
      <c r="N21" s="3119"/>
      <c r="O21" s="3119"/>
      <c r="P21" s="3120"/>
      <c r="Q21" s="3121"/>
      <c r="R21" s="3121"/>
      <c r="S21" s="3122"/>
      <c r="T21" s="3121"/>
      <c r="U21" s="3122"/>
      <c r="V21" s="3122"/>
      <c r="W21" s="3122"/>
    </row>
    <row r="22" spans="1:23" x14ac:dyDescent="0.25">
      <c r="A22" s="3112"/>
      <c r="B22" s="3116"/>
      <c r="C22" s="3117"/>
      <c r="D22" s="3116"/>
      <c r="E22" s="3117"/>
      <c r="F22" s="3117"/>
      <c r="G22" s="3118"/>
      <c r="H22" s="3118"/>
      <c r="I22" s="3119"/>
      <c r="J22" s="3119"/>
      <c r="K22" s="3119"/>
      <c r="L22" s="3119"/>
      <c r="M22" s="3119"/>
      <c r="N22" s="3119"/>
      <c r="O22" s="3119"/>
      <c r="P22" s="3120"/>
      <c r="Q22" s="3121"/>
      <c r="R22" s="3121"/>
      <c r="S22" s="3122"/>
      <c r="T22" s="3121"/>
      <c r="U22" s="3122"/>
      <c r="V22" s="3122"/>
      <c r="W22" s="3122"/>
    </row>
    <row r="23" spans="1:23" x14ac:dyDescent="0.25">
      <c r="A23" s="3112"/>
      <c r="B23" s="3116"/>
      <c r="C23" s="3117"/>
      <c r="D23" s="3116"/>
      <c r="E23" s="3117"/>
      <c r="F23" s="3117"/>
      <c r="G23" s="3118"/>
      <c r="H23" s="3118"/>
      <c r="I23" s="3119"/>
      <c r="J23" s="3119"/>
      <c r="K23" s="3119"/>
      <c r="L23" s="3119"/>
      <c r="M23" s="3119"/>
      <c r="N23" s="3119"/>
      <c r="O23" s="3119"/>
      <c r="P23" s="3120"/>
      <c r="Q23" s="3121"/>
      <c r="R23" s="3121"/>
      <c r="S23" s="3122"/>
      <c r="T23" s="3121"/>
      <c r="U23" s="3122"/>
      <c r="V23" s="3122"/>
      <c r="W23" s="3122"/>
    </row>
    <row r="24" spans="1:23" x14ac:dyDescent="0.25">
      <c r="A24" s="3112"/>
      <c r="B24" s="3116"/>
      <c r="C24" s="3117"/>
      <c r="D24" s="3116"/>
      <c r="E24" s="3117"/>
      <c r="F24" s="3117"/>
      <c r="G24" s="3118"/>
      <c r="H24" s="3118"/>
      <c r="I24" s="3119"/>
      <c r="J24" s="3119"/>
      <c r="K24" s="3119"/>
      <c r="L24" s="3119"/>
      <c r="M24" s="3119"/>
      <c r="N24" s="3119"/>
      <c r="O24" s="3119"/>
      <c r="P24" s="3120"/>
      <c r="Q24" s="3121"/>
      <c r="R24" s="3121"/>
      <c r="S24" s="3122"/>
      <c r="T24" s="3121"/>
      <c r="U24" s="3122"/>
      <c r="V24" s="3122"/>
      <c r="W24" s="3122"/>
    </row>
    <row r="25" spans="1:23" x14ac:dyDescent="0.25">
      <c r="A25" s="3112"/>
      <c r="B25" s="3116"/>
      <c r="C25" s="3117"/>
      <c r="D25" s="3116"/>
      <c r="E25" s="3117"/>
      <c r="F25" s="3117"/>
      <c r="G25" s="3118"/>
      <c r="H25" s="3118"/>
      <c r="I25" s="3119"/>
      <c r="J25" s="3119"/>
      <c r="K25" s="3119"/>
      <c r="L25" s="3119"/>
      <c r="M25" s="3119"/>
      <c r="N25" s="3119"/>
      <c r="O25" s="3119"/>
      <c r="P25" s="3120"/>
      <c r="Q25" s="3121"/>
      <c r="R25" s="3121"/>
      <c r="S25" s="3122"/>
      <c r="T25" s="3121"/>
      <c r="U25" s="3122"/>
      <c r="V25" s="3122"/>
      <c r="W25" s="3122"/>
    </row>
    <row r="26" spans="1:23" x14ac:dyDescent="0.25">
      <c r="A26" s="3112"/>
      <c r="B26" s="3116"/>
      <c r="C26" s="3117"/>
      <c r="D26" s="3116"/>
      <c r="E26" s="3117"/>
      <c r="F26" s="3117"/>
      <c r="G26" s="3118"/>
      <c r="H26" s="3118"/>
      <c r="I26" s="3119"/>
      <c r="J26" s="3119"/>
      <c r="K26" s="3119"/>
      <c r="L26" s="3119"/>
      <c r="M26" s="3119"/>
      <c r="N26" s="3119"/>
      <c r="O26" s="3119"/>
      <c r="P26" s="3120"/>
      <c r="Q26" s="3121"/>
      <c r="R26" s="3121"/>
      <c r="S26" s="3122"/>
      <c r="T26" s="3121"/>
      <c r="U26" s="3122"/>
      <c r="V26" s="3122"/>
      <c r="W26" s="3122"/>
    </row>
    <row r="27" spans="1:23" x14ac:dyDescent="0.25">
      <c r="A27" s="3112"/>
      <c r="B27" s="3116"/>
      <c r="C27" s="3117"/>
      <c r="D27" s="3116"/>
      <c r="E27" s="3117"/>
      <c r="F27" s="3117"/>
      <c r="G27" s="3118"/>
      <c r="H27" s="3118"/>
      <c r="I27" s="3119"/>
      <c r="J27" s="3119"/>
      <c r="K27" s="3119"/>
      <c r="L27" s="3119"/>
      <c r="M27" s="3119"/>
      <c r="N27" s="3119"/>
      <c r="O27" s="3119"/>
      <c r="P27" s="3120"/>
      <c r="Q27" s="3121"/>
      <c r="R27" s="3121"/>
      <c r="S27" s="3122"/>
      <c r="T27" s="3121"/>
      <c r="U27" s="3122"/>
      <c r="V27" s="3122"/>
      <c r="W27" s="3122"/>
    </row>
    <row r="28" spans="1:23" x14ac:dyDescent="0.25">
      <c r="A28" s="3112"/>
      <c r="B28" s="3116"/>
      <c r="C28" s="3117"/>
      <c r="D28" s="3116"/>
      <c r="E28" s="3117"/>
      <c r="F28" s="3117"/>
      <c r="G28" s="3118"/>
      <c r="H28" s="3118"/>
      <c r="I28" s="3119"/>
      <c r="J28" s="3119"/>
      <c r="K28" s="3119"/>
      <c r="L28" s="3119"/>
      <c r="M28" s="3119"/>
      <c r="N28" s="3119"/>
      <c r="O28" s="3119"/>
      <c r="P28" s="3120"/>
      <c r="Q28" s="3121"/>
      <c r="R28" s="3121"/>
      <c r="S28" s="3122"/>
      <c r="T28" s="3121"/>
      <c r="U28" s="3122"/>
      <c r="V28" s="3122"/>
      <c r="W28" s="3122"/>
    </row>
    <row r="29" spans="1:23" x14ac:dyDescent="0.25">
      <c r="A29" s="3112"/>
      <c r="B29" s="3116"/>
      <c r="C29" s="3117"/>
      <c r="D29" s="3116"/>
      <c r="E29" s="3117"/>
      <c r="F29" s="3117"/>
      <c r="G29" s="3118"/>
      <c r="H29" s="3118"/>
      <c r="I29" s="3119"/>
      <c r="J29" s="3119"/>
      <c r="K29" s="3119"/>
      <c r="L29" s="3119"/>
      <c r="M29" s="3119"/>
      <c r="N29" s="3119"/>
      <c r="O29" s="3119"/>
      <c r="P29" s="3120"/>
      <c r="Q29" s="3121"/>
      <c r="R29" s="3121"/>
      <c r="S29" s="3122"/>
      <c r="T29" s="3121"/>
      <c r="U29" s="3122"/>
      <c r="V29" s="3122"/>
      <c r="W29" s="3122"/>
    </row>
    <row r="30" spans="1:23" x14ac:dyDescent="0.25">
      <c r="A30" s="3112"/>
      <c r="B30" s="3116"/>
      <c r="C30" s="3117"/>
      <c r="D30" s="3116"/>
      <c r="E30" s="3117"/>
      <c r="F30" s="3117"/>
      <c r="G30" s="3118"/>
      <c r="H30" s="3118"/>
      <c r="I30" s="3119"/>
      <c r="J30" s="3119"/>
      <c r="K30" s="3119"/>
      <c r="L30" s="3119"/>
      <c r="M30" s="3119"/>
      <c r="N30" s="3119"/>
      <c r="O30" s="3119"/>
      <c r="P30" s="3120"/>
      <c r="Q30" s="3121"/>
      <c r="R30" s="3121"/>
      <c r="S30" s="3122"/>
      <c r="T30" s="3121"/>
      <c r="U30" s="3122"/>
      <c r="V30" s="3122"/>
      <c r="W30" s="3122"/>
    </row>
    <row r="31" spans="1:23" x14ac:dyDescent="0.25">
      <c r="A31" s="3112"/>
      <c r="B31" s="3116"/>
      <c r="C31" s="3117"/>
      <c r="D31" s="3116"/>
      <c r="E31" s="3117"/>
      <c r="F31" s="3117"/>
      <c r="G31" s="3118"/>
      <c r="H31" s="3118"/>
      <c r="I31" s="3119"/>
      <c r="J31" s="3119"/>
      <c r="K31" s="3119"/>
      <c r="L31" s="3119"/>
      <c r="M31" s="3119"/>
      <c r="N31" s="3119"/>
      <c r="O31" s="3119"/>
      <c r="P31" s="3120"/>
      <c r="Q31" s="3121"/>
      <c r="R31" s="3121"/>
      <c r="S31" s="3122"/>
      <c r="T31" s="3121"/>
      <c r="U31" s="3122"/>
      <c r="V31" s="3122"/>
      <c r="W31" s="3122"/>
    </row>
    <row r="32" spans="1:23" x14ac:dyDescent="0.25">
      <c r="A32" s="3112"/>
      <c r="B32" s="3116"/>
      <c r="C32" s="3117"/>
      <c r="D32" s="3116"/>
      <c r="E32" s="3117"/>
      <c r="F32" s="3117"/>
      <c r="G32" s="3118"/>
      <c r="H32" s="3118"/>
      <c r="I32" s="3119"/>
      <c r="J32" s="3119"/>
      <c r="K32" s="3119"/>
      <c r="L32" s="3119"/>
      <c r="M32" s="3119"/>
      <c r="N32" s="3119"/>
      <c r="O32" s="3119"/>
      <c r="P32" s="3120"/>
      <c r="Q32" s="3121"/>
      <c r="R32" s="3121"/>
      <c r="S32" s="3122"/>
      <c r="T32" s="3121"/>
      <c r="U32" s="3122"/>
      <c r="V32" s="3122"/>
      <c r="W32" s="3122"/>
    </row>
    <row r="33" spans="1:23" x14ac:dyDescent="0.25">
      <c r="A33" s="3112"/>
      <c r="B33" s="3116"/>
      <c r="C33" s="3117"/>
      <c r="D33" s="3116"/>
      <c r="E33" s="3117"/>
      <c r="F33" s="3117"/>
      <c r="G33" s="3118"/>
      <c r="H33" s="3118"/>
      <c r="I33" s="3119"/>
      <c r="J33" s="3119"/>
      <c r="K33" s="3119"/>
      <c r="L33" s="3119"/>
      <c r="M33" s="3119"/>
      <c r="N33" s="3119"/>
      <c r="O33" s="3119"/>
      <c r="P33" s="3120"/>
      <c r="Q33" s="3121"/>
      <c r="R33" s="3121"/>
      <c r="S33" s="3122"/>
      <c r="T33" s="3121"/>
      <c r="U33" s="3122"/>
      <c r="V33" s="3122"/>
      <c r="W33" s="3122"/>
    </row>
    <row r="34" spans="1:23" x14ac:dyDescent="0.25">
      <c r="A34" s="3112"/>
      <c r="B34" s="3116"/>
      <c r="C34" s="3117"/>
      <c r="D34" s="3116"/>
      <c r="E34" s="3117"/>
      <c r="F34" s="3117"/>
      <c r="G34" s="3118"/>
      <c r="H34" s="3118"/>
      <c r="I34" s="3119"/>
      <c r="J34" s="3119"/>
      <c r="K34" s="3119"/>
      <c r="L34" s="3119"/>
      <c r="M34" s="3119"/>
      <c r="N34" s="3119"/>
      <c r="O34" s="3119"/>
      <c r="P34" s="3120"/>
      <c r="Q34" s="3121"/>
      <c r="R34" s="3121"/>
      <c r="S34" s="3122"/>
      <c r="T34" s="3121"/>
      <c r="U34" s="3122"/>
      <c r="V34" s="3122"/>
      <c r="W34" s="3122"/>
    </row>
    <row r="35" spans="1:23" x14ac:dyDescent="0.25">
      <c r="A35" s="3112"/>
      <c r="B35" s="3116"/>
      <c r="C35" s="3117"/>
      <c r="D35" s="3116"/>
      <c r="E35" s="3117"/>
      <c r="F35" s="3117"/>
      <c r="G35" s="3118"/>
      <c r="H35" s="3118"/>
      <c r="I35" s="3119"/>
      <c r="J35" s="3119"/>
      <c r="K35" s="3119"/>
      <c r="L35" s="3119"/>
      <c r="M35" s="3119"/>
      <c r="N35" s="3119"/>
      <c r="O35" s="3119"/>
      <c r="P35" s="3120"/>
      <c r="Q35" s="3121"/>
      <c r="R35" s="3121"/>
      <c r="S35" s="3122"/>
      <c r="T35" s="3121"/>
      <c r="U35" s="3122"/>
      <c r="V35" s="3122"/>
      <c r="W35" s="3122"/>
    </row>
    <row r="36" spans="1:23" x14ac:dyDescent="0.25">
      <c r="A36" s="3112"/>
      <c r="B36" s="3116"/>
      <c r="C36" s="3117"/>
      <c r="D36" s="3116"/>
      <c r="E36" s="3117"/>
      <c r="F36" s="3117"/>
      <c r="G36" s="3118"/>
      <c r="H36" s="3118"/>
      <c r="I36" s="3119"/>
      <c r="J36" s="3119"/>
      <c r="K36" s="3119"/>
      <c r="L36" s="3119"/>
      <c r="M36" s="3119"/>
      <c r="N36" s="3119"/>
      <c r="O36" s="3119"/>
      <c r="P36" s="3120"/>
      <c r="Q36" s="3121"/>
      <c r="R36" s="3121"/>
      <c r="S36" s="3122"/>
      <c r="T36" s="3121"/>
      <c r="U36" s="3122"/>
      <c r="V36" s="3122"/>
      <c r="W36" s="3122"/>
    </row>
    <row r="37" spans="1:23" x14ac:dyDescent="0.25">
      <c r="A37" s="3112"/>
      <c r="B37" s="2"/>
      <c r="C37" s="2"/>
      <c r="D37" s="2"/>
      <c r="E37" s="2"/>
      <c r="F37" s="2"/>
      <c r="G37" s="2"/>
      <c r="H37" s="2"/>
      <c r="I37" s="2"/>
      <c r="J37" s="2"/>
      <c r="K37" s="2"/>
      <c r="L37" s="2"/>
      <c r="M37" s="2"/>
      <c r="N37" s="2"/>
      <c r="O37" s="2"/>
      <c r="P37" s="2"/>
      <c r="Q37" s="2"/>
      <c r="R37" s="2"/>
      <c r="S37" s="2"/>
      <c r="T37" s="2"/>
      <c r="U37" s="2"/>
      <c r="V37" s="2"/>
      <c r="W37" s="2"/>
    </row>
    <row r="38" spans="1:23" x14ac:dyDescent="0.25">
      <c r="A38" s="3112"/>
      <c r="B38" s="2"/>
      <c r="C38" s="2"/>
      <c r="D38" s="2"/>
      <c r="E38" s="2"/>
      <c r="F38" s="2"/>
      <c r="G38" s="2"/>
      <c r="H38" s="2"/>
      <c r="I38" s="2"/>
      <c r="J38" s="2"/>
      <c r="K38" s="2"/>
      <c r="L38" s="2"/>
      <c r="M38" s="2"/>
      <c r="N38" s="2"/>
      <c r="O38" s="2"/>
      <c r="P38" s="2"/>
      <c r="Q38" s="2"/>
      <c r="R38" s="2"/>
      <c r="S38" s="2"/>
      <c r="T38" s="2"/>
      <c r="U38" s="2"/>
      <c r="V38" s="2"/>
      <c r="W38" s="2"/>
    </row>
    <row r="39" spans="1:23" x14ac:dyDescent="0.25">
      <c r="A39" s="3112"/>
      <c r="B39" s="2"/>
      <c r="C39" s="2"/>
      <c r="D39" s="2"/>
      <c r="E39" s="2"/>
      <c r="F39" s="2"/>
      <c r="G39" s="2"/>
      <c r="H39" s="2"/>
      <c r="I39" s="2"/>
      <c r="J39" s="2"/>
      <c r="K39" s="2"/>
      <c r="L39" s="2"/>
      <c r="M39" s="2"/>
      <c r="N39" s="2"/>
      <c r="O39" s="2"/>
      <c r="P39" s="2"/>
      <c r="Q39" s="2"/>
      <c r="R39" s="2"/>
      <c r="S39" s="2"/>
      <c r="T39" s="2"/>
      <c r="U39" s="2"/>
      <c r="V39" s="2"/>
      <c r="W39" s="2"/>
    </row>
    <row r="40" spans="1:23" x14ac:dyDescent="0.25">
      <c r="A40" s="3112"/>
      <c r="B40" s="2"/>
      <c r="C40" s="2"/>
      <c r="D40" s="2"/>
      <c r="E40" s="2"/>
      <c r="F40" s="2"/>
      <c r="G40" s="2"/>
      <c r="H40" s="2"/>
      <c r="I40" s="2"/>
      <c r="J40" s="2"/>
      <c r="K40" s="2"/>
      <c r="L40" s="2"/>
      <c r="M40" s="2"/>
      <c r="N40" s="2"/>
      <c r="O40" s="2"/>
      <c r="P40" s="2"/>
      <c r="Q40" s="2"/>
      <c r="R40" s="2"/>
      <c r="S40" s="2"/>
      <c r="T40" s="2"/>
      <c r="U40" s="2"/>
      <c r="V40" s="2"/>
      <c r="W40" s="2"/>
    </row>
    <row r="41" spans="1:23" x14ac:dyDescent="0.25">
      <c r="A41" s="3112"/>
      <c r="B41" s="2"/>
      <c r="C41" s="2"/>
      <c r="D41" s="2"/>
      <c r="E41" s="2"/>
      <c r="F41" s="2"/>
      <c r="G41" s="2"/>
      <c r="H41" s="2"/>
      <c r="I41" s="2"/>
      <c r="J41" s="2"/>
      <c r="K41" s="2"/>
      <c r="L41" s="2"/>
      <c r="M41" s="2"/>
      <c r="N41" s="2"/>
      <c r="O41" s="2"/>
      <c r="P41" s="2"/>
      <c r="Q41" s="2"/>
      <c r="R41" s="2"/>
      <c r="S41" s="2"/>
      <c r="T41" s="2"/>
      <c r="U41" s="2"/>
      <c r="V41" s="2"/>
      <c r="W41" s="2"/>
    </row>
    <row r="42" spans="1:23" x14ac:dyDescent="0.25">
      <c r="A42" s="3112"/>
      <c r="B42" s="2"/>
      <c r="C42" s="2"/>
      <c r="D42" s="2"/>
      <c r="E42" s="2"/>
      <c r="F42" s="2"/>
      <c r="G42" s="2"/>
      <c r="H42" s="2"/>
      <c r="I42" s="2"/>
      <c r="J42" s="2"/>
      <c r="K42" s="2"/>
      <c r="L42" s="2"/>
      <c r="M42" s="2"/>
      <c r="N42" s="2"/>
      <c r="O42" s="2"/>
      <c r="P42" s="2"/>
      <c r="Q42" s="2"/>
      <c r="R42" s="2"/>
      <c r="S42" s="2"/>
      <c r="T42" s="2"/>
      <c r="U42" s="2"/>
      <c r="V42" s="2"/>
      <c r="W42" s="2"/>
    </row>
    <row r="43" spans="1:23" x14ac:dyDescent="0.25">
      <c r="A43" s="3112"/>
      <c r="B43" s="2"/>
      <c r="C43" s="2"/>
      <c r="D43" s="2"/>
      <c r="E43" s="2"/>
      <c r="F43" s="2"/>
      <c r="G43" s="2"/>
      <c r="H43" s="2"/>
      <c r="I43" s="2"/>
      <c r="J43" s="2"/>
      <c r="K43" s="2"/>
      <c r="L43" s="2"/>
      <c r="M43" s="2"/>
      <c r="N43" s="2"/>
      <c r="O43" s="2"/>
      <c r="P43" s="2"/>
      <c r="Q43" s="2"/>
      <c r="R43" s="2"/>
      <c r="S43" s="2"/>
      <c r="T43" s="2"/>
      <c r="U43" s="2"/>
      <c r="V43" s="2"/>
      <c r="W43" s="2"/>
    </row>
    <row r="44" spans="1:23" x14ac:dyDescent="0.25">
      <c r="A44" s="3112"/>
      <c r="B44" s="2"/>
      <c r="C44" s="2"/>
      <c r="D44" s="2"/>
      <c r="E44" s="2"/>
      <c r="F44" s="2"/>
      <c r="G44" s="2"/>
      <c r="H44" s="2"/>
      <c r="I44" s="2"/>
      <c r="J44" s="2"/>
      <c r="K44" s="2"/>
      <c r="L44" s="2"/>
      <c r="M44" s="2"/>
      <c r="N44" s="2"/>
      <c r="O44" s="2"/>
      <c r="P44" s="2"/>
      <c r="Q44" s="2"/>
      <c r="R44" s="2"/>
      <c r="S44" s="2"/>
      <c r="T44" s="2"/>
      <c r="U44" s="2"/>
      <c r="V44" s="2"/>
      <c r="W44" s="2"/>
    </row>
    <row r="45" spans="1:23" x14ac:dyDescent="0.25">
      <c r="A45" s="3112"/>
      <c r="B45" s="2"/>
      <c r="C45" s="2"/>
      <c r="D45" s="2"/>
      <c r="E45" s="2"/>
      <c r="F45" s="2"/>
      <c r="G45" s="2"/>
      <c r="H45" s="2"/>
      <c r="I45" s="2"/>
      <c r="J45" s="2"/>
      <c r="K45" s="2"/>
      <c r="L45" s="2"/>
      <c r="M45" s="2"/>
      <c r="N45" s="2"/>
      <c r="O45" s="2"/>
      <c r="P45" s="2"/>
      <c r="Q45" s="2"/>
      <c r="R45" s="2"/>
      <c r="S45" s="2"/>
      <c r="T45" s="2"/>
      <c r="U45" s="2"/>
      <c r="V45" s="2"/>
      <c r="W45" s="2"/>
    </row>
    <row r="46" spans="1:23" x14ac:dyDescent="0.25">
      <c r="A46" s="3112"/>
      <c r="B46" s="2"/>
      <c r="C46" s="2"/>
      <c r="D46" s="2"/>
      <c r="E46" s="2"/>
      <c r="F46" s="2"/>
      <c r="G46" s="2"/>
      <c r="H46" s="2"/>
      <c r="I46" s="2"/>
      <c r="J46" s="2"/>
      <c r="K46" s="2"/>
      <c r="L46" s="2"/>
      <c r="M46" s="2"/>
      <c r="N46" s="2"/>
      <c r="O46" s="2"/>
      <c r="P46" s="2"/>
      <c r="Q46" s="2"/>
      <c r="R46" s="2"/>
      <c r="S46" s="2"/>
      <c r="T46" s="2"/>
      <c r="U46" s="2"/>
      <c r="V46" s="2"/>
      <c r="W46" s="2"/>
    </row>
    <row r="47" spans="1:23" x14ac:dyDescent="0.25">
      <c r="A47" s="3112"/>
      <c r="B47" s="2"/>
      <c r="C47" s="2"/>
      <c r="D47" s="2"/>
      <c r="E47" s="2"/>
      <c r="F47" s="2"/>
      <c r="G47" s="2"/>
      <c r="H47" s="2"/>
      <c r="I47" s="2"/>
      <c r="J47" s="2"/>
      <c r="K47" s="2"/>
      <c r="L47" s="2"/>
      <c r="M47" s="2"/>
      <c r="N47" s="2"/>
      <c r="O47" s="2"/>
      <c r="P47" s="2"/>
      <c r="Q47" s="2"/>
      <c r="R47" s="2"/>
      <c r="S47" s="2"/>
      <c r="T47" s="2"/>
      <c r="U47" s="2"/>
      <c r="V47" s="2"/>
      <c r="W47" s="2"/>
    </row>
    <row r="48" spans="1:23" x14ac:dyDescent="0.25">
      <c r="A48" s="3112"/>
      <c r="B48" s="2"/>
      <c r="C48" s="2"/>
      <c r="D48" s="2"/>
      <c r="E48" s="2"/>
      <c r="F48" s="2"/>
      <c r="G48" s="2"/>
      <c r="H48" s="2"/>
      <c r="I48" s="2"/>
      <c r="J48" s="2"/>
      <c r="K48" s="2"/>
      <c r="L48" s="2"/>
      <c r="M48" s="2"/>
      <c r="N48" s="2"/>
      <c r="O48" s="2"/>
      <c r="P48" s="2"/>
      <c r="Q48" s="2"/>
      <c r="R48" s="2"/>
      <c r="S48" s="2"/>
      <c r="T48" s="2"/>
      <c r="U48" s="2"/>
      <c r="V48" s="2"/>
      <c r="W48" s="2"/>
    </row>
    <row r="49" spans="1:23" x14ac:dyDescent="0.25">
      <c r="A49" s="3112"/>
      <c r="B49" s="2"/>
      <c r="C49" s="2"/>
      <c r="D49" s="2"/>
      <c r="E49" s="2"/>
      <c r="F49" s="2"/>
      <c r="G49" s="2"/>
      <c r="H49" s="2"/>
      <c r="I49" s="2"/>
      <c r="J49" s="2"/>
      <c r="K49" s="2"/>
      <c r="L49" s="2"/>
      <c r="M49" s="2"/>
      <c r="N49" s="2"/>
      <c r="O49" s="2"/>
      <c r="P49" s="2"/>
      <c r="Q49" s="2"/>
      <c r="R49" s="2"/>
      <c r="S49" s="2"/>
      <c r="T49" s="2"/>
      <c r="U49" s="2"/>
      <c r="V49" s="2"/>
      <c r="W49" s="2"/>
    </row>
    <row r="50" spans="1:23" x14ac:dyDescent="0.25">
      <c r="A50" s="3112"/>
      <c r="B50" s="2"/>
      <c r="C50" s="2"/>
      <c r="D50" s="2"/>
      <c r="E50" s="2"/>
      <c r="F50" s="2"/>
      <c r="G50" s="2"/>
      <c r="H50" s="2"/>
      <c r="I50" s="2"/>
      <c r="J50" s="2"/>
      <c r="K50" s="2"/>
      <c r="L50" s="2"/>
      <c r="M50" s="2"/>
      <c r="N50" s="2"/>
      <c r="O50" s="2"/>
      <c r="P50" s="2"/>
      <c r="Q50" s="2"/>
      <c r="R50" s="2"/>
      <c r="S50" s="2"/>
      <c r="T50" s="2"/>
      <c r="U50" s="2"/>
      <c r="V50" s="2"/>
      <c r="W50" s="2"/>
    </row>
    <row r="51" spans="1:23" x14ac:dyDescent="0.25">
      <c r="A51" s="3112"/>
      <c r="B51" s="2"/>
      <c r="C51" s="2"/>
      <c r="D51" s="2"/>
      <c r="E51" s="2"/>
      <c r="F51" s="2"/>
      <c r="G51" s="2"/>
      <c r="H51" s="2"/>
      <c r="I51" s="2"/>
      <c r="J51" s="2"/>
      <c r="K51" s="2"/>
      <c r="L51" s="2"/>
      <c r="M51" s="2"/>
      <c r="N51" s="2"/>
      <c r="O51" s="2"/>
      <c r="P51" s="2"/>
      <c r="Q51" s="2"/>
      <c r="R51" s="2"/>
      <c r="S51" s="2"/>
      <c r="T51" s="2"/>
      <c r="U51" s="2"/>
      <c r="V51" s="2"/>
      <c r="W51" s="2"/>
    </row>
    <row r="52" spans="1:23" x14ac:dyDescent="0.25">
      <c r="B52" s="2"/>
      <c r="C52" s="2"/>
      <c r="D52" s="2"/>
      <c r="E52" s="2"/>
      <c r="F52" s="2"/>
      <c r="G52" s="2"/>
      <c r="H52" s="2"/>
      <c r="I52" s="2"/>
      <c r="J52" s="2"/>
      <c r="K52" s="2"/>
      <c r="L52" s="2"/>
      <c r="M52" s="2"/>
      <c r="N52" s="2"/>
      <c r="O52" s="2"/>
      <c r="P52" s="2"/>
      <c r="Q52" s="2"/>
      <c r="R52" s="2"/>
      <c r="S52" s="2"/>
      <c r="T52" s="2"/>
      <c r="U52" s="2"/>
      <c r="V52" s="2"/>
      <c r="W52" s="2"/>
    </row>
    <row r="53" spans="1:23" x14ac:dyDescent="0.25">
      <c r="B53" s="2"/>
      <c r="C53" s="2"/>
      <c r="D53" s="2"/>
      <c r="E53" s="2"/>
      <c r="F53" s="2"/>
      <c r="G53" s="2"/>
      <c r="H53" s="2"/>
      <c r="I53" s="2"/>
      <c r="J53" s="2"/>
      <c r="K53" s="2"/>
      <c r="L53" s="2"/>
      <c r="M53" s="2"/>
      <c r="N53" s="2"/>
      <c r="O53" s="2"/>
      <c r="P53" s="2"/>
      <c r="Q53" s="2"/>
      <c r="R53" s="2"/>
      <c r="S53" s="2"/>
      <c r="T53" s="2"/>
      <c r="U53" s="2"/>
      <c r="V53" s="2"/>
      <c r="W53" s="2"/>
    </row>
    <row r="54" spans="1:23" x14ac:dyDescent="0.25">
      <c r="B54" s="2"/>
      <c r="C54" s="2"/>
      <c r="D54" s="2"/>
      <c r="E54" s="2"/>
      <c r="F54" s="2"/>
      <c r="G54" s="2"/>
      <c r="H54" s="2"/>
      <c r="I54" s="2"/>
      <c r="J54" s="2"/>
      <c r="K54" s="2"/>
      <c r="L54" s="2"/>
      <c r="M54" s="2"/>
      <c r="N54" s="2"/>
      <c r="O54" s="2"/>
      <c r="P54" s="2"/>
      <c r="Q54" s="2"/>
      <c r="R54" s="2"/>
      <c r="S54" s="2"/>
      <c r="T54" s="2"/>
      <c r="U54" s="2"/>
      <c r="V54" s="2"/>
      <c r="W54" s="2"/>
    </row>
    <row r="55" spans="1:23" x14ac:dyDescent="0.25">
      <c r="B55" s="2"/>
      <c r="C55" s="2"/>
      <c r="D55" s="2"/>
      <c r="E55" s="2"/>
      <c r="F55" s="2"/>
      <c r="G55" s="2"/>
      <c r="H55" s="2"/>
      <c r="I55" s="2"/>
      <c r="J55" s="2"/>
      <c r="K55" s="2"/>
      <c r="L55" s="2"/>
      <c r="M55" s="2"/>
      <c r="N55" s="2"/>
      <c r="O55" s="2"/>
      <c r="P55" s="2"/>
      <c r="Q55" s="2"/>
      <c r="R55" s="2"/>
      <c r="S55" s="2"/>
      <c r="T55" s="2"/>
      <c r="U55" s="2"/>
      <c r="V55" s="2"/>
      <c r="W55" s="2"/>
    </row>
    <row r="56" spans="1:23" x14ac:dyDescent="0.25">
      <c r="B56" s="2"/>
      <c r="C56" s="2"/>
      <c r="D56" s="2"/>
      <c r="E56" s="2"/>
      <c r="F56" s="2"/>
      <c r="G56" s="2"/>
      <c r="H56" s="2"/>
      <c r="I56" s="2"/>
      <c r="J56" s="2"/>
      <c r="K56" s="2"/>
      <c r="L56" s="2"/>
      <c r="M56" s="2"/>
      <c r="N56" s="2"/>
      <c r="O56" s="2"/>
      <c r="P56" s="2"/>
      <c r="Q56" s="2"/>
      <c r="R56" s="2"/>
      <c r="S56" s="2"/>
      <c r="T56" s="2"/>
      <c r="U56" s="2"/>
      <c r="V56" s="2"/>
      <c r="W56" s="2"/>
    </row>
    <row r="57" spans="1:23" x14ac:dyDescent="0.25">
      <c r="B57" s="2"/>
      <c r="C57" s="2"/>
      <c r="D57" s="2"/>
      <c r="E57" s="2"/>
      <c r="F57" s="2"/>
      <c r="G57" s="2"/>
      <c r="H57" s="2"/>
      <c r="I57" s="2"/>
      <c r="J57" s="2"/>
      <c r="K57" s="2"/>
      <c r="L57" s="2"/>
      <c r="M57" s="2"/>
      <c r="N57" s="2"/>
      <c r="O57" s="2"/>
      <c r="P57" s="2"/>
      <c r="Q57" s="2"/>
      <c r="R57" s="2"/>
      <c r="S57" s="2"/>
      <c r="T57" s="2"/>
      <c r="U57" s="2"/>
      <c r="V57" s="2"/>
      <c r="W57" s="2"/>
    </row>
    <row r="58" spans="1:23" x14ac:dyDescent="0.25">
      <c r="B58" s="2"/>
      <c r="C58" s="2"/>
      <c r="D58" s="2"/>
      <c r="E58" s="2"/>
      <c r="F58" s="2"/>
      <c r="G58" s="2"/>
      <c r="H58" s="2"/>
      <c r="I58" s="2"/>
      <c r="J58" s="2"/>
      <c r="K58" s="2"/>
      <c r="L58" s="2"/>
      <c r="M58" s="2"/>
      <c r="N58" s="2"/>
      <c r="O58" s="2"/>
      <c r="P58" s="2"/>
      <c r="Q58" s="2"/>
      <c r="R58" s="2"/>
      <c r="S58" s="2"/>
      <c r="T58" s="2"/>
      <c r="U58" s="2"/>
      <c r="V58" s="2"/>
      <c r="W58" s="2"/>
    </row>
    <row r="59" spans="1:23" x14ac:dyDescent="0.25">
      <c r="B59" s="2"/>
      <c r="C59" s="2"/>
      <c r="D59" s="2"/>
      <c r="E59" s="2"/>
      <c r="F59" s="2"/>
      <c r="G59" s="2"/>
      <c r="H59" s="2"/>
      <c r="I59" s="2"/>
      <c r="J59" s="2"/>
      <c r="K59" s="2"/>
      <c r="L59" s="2"/>
      <c r="M59" s="2"/>
      <c r="N59" s="2"/>
      <c r="O59" s="2"/>
      <c r="P59" s="2"/>
      <c r="Q59" s="2"/>
      <c r="R59" s="2"/>
      <c r="S59" s="2"/>
      <c r="T59" s="2"/>
      <c r="U59" s="2"/>
      <c r="V59" s="2"/>
      <c r="W59" s="2"/>
    </row>
    <row r="60" spans="1:23" x14ac:dyDescent="0.25">
      <c r="B60" s="2"/>
      <c r="C60" s="2"/>
      <c r="D60" s="2"/>
      <c r="E60" s="2"/>
      <c r="F60" s="2"/>
      <c r="G60" s="2"/>
      <c r="H60" s="2"/>
      <c r="I60" s="2"/>
      <c r="J60" s="2"/>
      <c r="K60" s="2"/>
      <c r="L60" s="2"/>
      <c r="M60" s="2"/>
      <c r="N60" s="2"/>
      <c r="O60" s="2"/>
      <c r="P60" s="2"/>
      <c r="Q60" s="2"/>
      <c r="R60" s="2"/>
      <c r="S60" s="2"/>
      <c r="T60" s="2"/>
      <c r="U60" s="2"/>
      <c r="V60" s="2"/>
      <c r="W60" s="2"/>
    </row>
    <row r="61" spans="1:23" x14ac:dyDescent="0.25">
      <c r="B61" s="2"/>
      <c r="C61" s="2"/>
      <c r="D61" s="2"/>
      <c r="E61" s="2"/>
      <c r="F61" s="2"/>
      <c r="G61" s="2"/>
      <c r="H61" s="2"/>
      <c r="I61" s="2"/>
      <c r="J61" s="2"/>
      <c r="K61" s="2"/>
      <c r="L61" s="2"/>
      <c r="M61" s="2"/>
      <c r="N61" s="2"/>
      <c r="O61" s="2"/>
      <c r="P61" s="2"/>
      <c r="Q61" s="2"/>
      <c r="R61" s="2"/>
      <c r="S61" s="2"/>
      <c r="T61" s="2"/>
      <c r="U61" s="2"/>
      <c r="V61" s="2"/>
      <c r="W61" s="2"/>
    </row>
    <row r="62" spans="1:23" x14ac:dyDescent="0.25">
      <c r="B62" s="2"/>
      <c r="C62" s="2"/>
      <c r="D62" s="2"/>
      <c r="E62" s="2"/>
      <c r="F62" s="2"/>
      <c r="G62" s="2"/>
      <c r="H62" s="2"/>
      <c r="I62" s="2"/>
      <c r="J62" s="2"/>
      <c r="K62" s="2"/>
      <c r="L62" s="2"/>
      <c r="M62" s="2"/>
      <c r="N62" s="2"/>
      <c r="O62" s="2"/>
      <c r="P62" s="2"/>
      <c r="Q62" s="2"/>
      <c r="R62" s="2"/>
      <c r="S62" s="2"/>
      <c r="T62" s="2"/>
      <c r="U62" s="2"/>
      <c r="V62" s="2"/>
      <c r="W62" s="2"/>
    </row>
    <row r="63" spans="1:23" x14ac:dyDescent="0.25">
      <c r="B63" s="2"/>
      <c r="C63" s="2"/>
      <c r="D63" s="2"/>
      <c r="E63" s="2"/>
      <c r="F63" s="2"/>
      <c r="G63" s="2"/>
      <c r="H63" s="2"/>
      <c r="I63" s="2"/>
      <c r="J63" s="2"/>
      <c r="K63" s="2"/>
      <c r="L63" s="2"/>
      <c r="M63" s="2"/>
      <c r="N63" s="2"/>
      <c r="O63" s="2"/>
      <c r="P63" s="2"/>
      <c r="Q63" s="2"/>
      <c r="R63" s="2"/>
      <c r="S63" s="2"/>
      <c r="T63" s="2"/>
      <c r="U63" s="2"/>
      <c r="V63" s="2"/>
      <c r="W63" s="2"/>
    </row>
    <row r="64" spans="1:23" x14ac:dyDescent="0.25">
      <c r="B64" s="2"/>
      <c r="C64" s="2"/>
      <c r="D64" s="2"/>
      <c r="E64" s="2"/>
      <c r="F64" s="2"/>
      <c r="G64" s="2"/>
      <c r="H64" s="2"/>
      <c r="I64" s="2"/>
      <c r="J64" s="2"/>
      <c r="K64" s="2"/>
      <c r="L64" s="2"/>
      <c r="M64" s="2"/>
      <c r="N64" s="2"/>
      <c r="O64" s="2"/>
      <c r="P64" s="2"/>
      <c r="Q64" s="2"/>
      <c r="R64" s="2"/>
      <c r="S64" s="2"/>
      <c r="T64" s="2"/>
      <c r="U64" s="2"/>
      <c r="V64" s="2"/>
      <c r="W64" s="2"/>
    </row>
    <row r="65" spans="2:23" x14ac:dyDescent="0.25">
      <c r="B65" s="2"/>
      <c r="C65" s="2"/>
      <c r="D65" s="2"/>
      <c r="E65" s="2"/>
      <c r="F65" s="2"/>
      <c r="G65" s="2"/>
      <c r="H65" s="2"/>
      <c r="I65" s="2"/>
      <c r="J65" s="2"/>
      <c r="K65" s="2"/>
      <c r="L65" s="2"/>
      <c r="M65" s="2"/>
      <c r="N65" s="2"/>
      <c r="O65" s="2"/>
      <c r="P65" s="2"/>
      <c r="Q65" s="2"/>
      <c r="R65" s="2"/>
      <c r="S65" s="2"/>
      <c r="T65" s="2"/>
      <c r="U65" s="2"/>
      <c r="V65" s="2"/>
      <c r="W65" s="2"/>
    </row>
    <row r="66" spans="2:23" x14ac:dyDescent="0.25">
      <c r="B66" s="2"/>
      <c r="C66" s="2"/>
      <c r="D66" s="2"/>
      <c r="E66" s="2"/>
      <c r="F66" s="2"/>
      <c r="G66" s="2"/>
      <c r="H66" s="2"/>
      <c r="I66" s="2"/>
      <c r="J66" s="2"/>
      <c r="K66" s="2"/>
      <c r="L66" s="2"/>
      <c r="M66" s="2"/>
      <c r="N66" s="2"/>
      <c r="O66" s="2"/>
      <c r="P66" s="2"/>
      <c r="Q66" s="2"/>
      <c r="R66" s="2"/>
      <c r="S66" s="2"/>
      <c r="T66" s="2"/>
      <c r="U66" s="2"/>
      <c r="V66" s="2"/>
      <c r="W66" s="2"/>
    </row>
    <row r="67" spans="2:23" x14ac:dyDescent="0.25">
      <c r="B67" s="2"/>
      <c r="C67" s="2"/>
      <c r="D67" s="2"/>
      <c r="E67" s="2"/>
      <c r="F67" s="2"/>
      <c r="G67" s="2"/>
      <c r="H67" s="2"/>
      <c r="I67" s="2"/>
      <c r="J67" s="2"/>
      <c r="K67" s="2"/>
      <c r="L67" s="2"/>
      <c r="M67" s="2"/>
      <c r="N67" s="2"/>
      <c r="O67" s="2"/>
      <c r="P67" s="2"/>
      <c r="Q67" s="2"/>
      <c r="R67" s="2"/>
      <c r="S67" s="2"/>
      <c r="T67" s="2"/>
      <c r="U67" s="2"/>
      <c r="V67" s="2"/>
      <c r="W67" s="2"/>
    </row>
    <row r="68" spans="2:23" x14ac:dyDescent="0.25">
      <c r="B68" s="2"/>
      <c r="C68" s="2"/>
      <c r="D68" s="2"/>
      <c r="E68" s="2"/>
      <c r="F68" s="2"/>
      <c r="G68" s="2"/>
      <c r="H68" s="2"/>
      <c r="I68" s="2"/>
      <c r="J68" s="2"/>
      <c r="K68" s="2"/>
      <c r="L68" s="2"/>
      <c r="M68" s="2"/>
      <c r="N68" s="2"/>
      <c r="O68" s="2"/>
      <c r="P68" s="2"/>
      <c r="Q68" s="2"/>
      <c r="R68" s="2"/>
      <c r="S68" s="2"/>
      <c r="T68" s="2"/>
      <c r="U68" s="2"/>
      <c r="V68" s="2"/>
      <c r="W68" s="2"/>
    </row>
    <row r="69" spans="2:23" x14ac:dyDescent="0.25">
      <c r="B69" s="2"/>
      <c r="C69" s="2"/>
      <c r="D69" s="2"/>
      <c r="E69" s="2"/>
      <c r="F69" s="2"/>
      <c r="G69" s="2"/>
      <c r="H69" s="2"/>
      <c r="I69" s="2"/>
      <c r="J69" s="2"/>
      <c r="K69" s="2"/>
      <c r="L69" s="2"/>
      <c r="M69" s="2"/>
      <c r="N69" s="2"/>
      <c r="O69" s="2"/>
      <c r="P69" s="2"/>
      <c r="Q69" s="2"/>
      <c r="R69" s="2"/>
      <c r="S69" s="2"/>
      <c r="T69" s="2"/>
      <c r="U69" s="2"/>
      <c r="V69" s="2"/>
      <c r="W69" s="2"/>
    </row>
    <row r="70" spans="2:23" x14ac:dyDescent="0.25">
      <c r="B70" s="2"/>
      <c r="C70" s="2"/>
      <c r="D70" s="2"/>
      <c r="E70" s="2"/>
      <c r="F70" s="2"/>
      <c r="G70" s="2"/>
      <c r="H70" s="2"/>
      <c r="I70" s="2"/>
      <c r="J70" s="2"/>
      <c r="K70" s="2"/>
      <c r="L70" s="2"/>
      <c r="M70" s="2"/>
      <c r="N70" s="2"/>
      <c r="O70" s="2"/>
      <c r="P70" s="2"/>
      <c r="Q70" s="2"/>
      <c r="R70" s="2"/>
      <c r="S70" s="2"/>
      <c r="T70" s="2"/>
      <c r="U70" s="2"/>
      <c r="V70" s="2"/>
      <c r="W70" s="2"/>
    </row>
    <row r="71" spans="2:23" x14ac:dyDescent="0.25">
      <c r="B71" s="2"/>
      <c r="C71" s="2"/>
      <c r="D71" s="2"/>
      <c r="E71" s="2"/>
      <c r="F71" s="2"/>
      <c r="G71" s="2"/>
      <c r="H71" s="2"/>
      <c r="I71" s="2"/>
      <c r="J71" s="2"/>
      <c r="K71" s="2"/>
      <c r="L71" s="2"/>
      <c r="M71" s="2"/>
      <c r="N71" s="2"/>
      <c r="O71" s="2"/>
      <c r="P71" s="2"/>
      <c r="Q71" s="2"/>
      <c r="R71" s="2"/>
      <c r="S71" s="2"/>
      <c r="T71" s="2"/>
      <c r="U71" s="2"/>
      <c r="V71" s="2"/>
      <c r="W71" s="2"/>
    </row>
    <row r="72" spans="2:23" x14ac:dyDescent="0.25">
      <c r="B72" s="2"/>
      <c r="C72" s="2"/>
      <c r="D72" s="2"/>
      <c r="E72" s="2"/>
      <c r="F72" s="2"/>
      <c r="G72" s="2"/>
      <c r="H72" s="2"/>
      <c r="I72" s="2"/>
      <c r="J72" s="2"/>
      <c r="K72" s="2"/>
      <c r="L72" s="2"/>
      <c r="M72" s="2"/>
      <c r="N72" s="2"/>
      <c r="O72" s="2"/>
      <c r="P72" s="2"/>
      <c r="Q72" s="2"/>
      <c r="R72" s="2"/>
      <c r="S72" s="2"/>
      <c r="T72" s="2"/>
      <c r="U72" s="2"/>
      <c r="V72" s="2"/>
      <c r="W72" s="2"/>
    </row>
    <row r="73" spans="2:23" x14ac:dyDescent="0.25">
      <c r="B73" s="2"/>
      <c r="C73" s="2"/>
      <c r="D73" s="2"/>
      <c r="E73" s="2"/>
      <c r="F73" s="2"/>
      <c r="G73" s="2"/>
      <c r="H73" s="2"/>
      <c r="I73" s="2"/>
      <c r="J73" s="2"/>
      <c r="K73" s="2"/>
      <c r="L73" s="2"/>
      <c r="M73" s="2"/>
      <c r="N73" s="2"/>
      <c r="O73" s="2"/>
      <c r="P73" s="2"/>
      <c r="Q73" s="2"/>
      <c r="R73" s="2"/>
      <c r="S73" s="2"/>
      <c r="T73" s="2"/>
      <c r="U73" s="2"/>
      <c r="V73" s="2"/>
      <c r="W73" s="2"/>
    </row>
    <row r="74" spans="2:23" x14ac:dyDescent="0.25">
      <c r="B74" s="2"/>
      <c r="C74" s="2"/>
      <c r="D74" s="2"/>
      <c r="E74" s="2"/>
      <c r="F74" s="2"/>
      <c r="G74" s="2"/>
      <c r="H74" s="2"/>
      <c r="I74" s="2"/>
      <c r="J74" s="2"/>
      <c r="K74" s="2"/>
      <c r="L74" s="2"/>
      <c r="M74" s="2"/>
      <c r="N74" s="2"/>
      <c r="O74" s="2"/>
      <c r="P74" s="2"/>
      <c r="Q74" s="2"/>
      <c r="R74" s="2"/>
      <c r="S74" s="2"/>
      <c r="T74" s="2"/>
      <c r="U74" s="2"/>
      <c r="V74" s="2"/>
      <c r="W74" s="2"/>
    </row>
  </sheetData>
  <sheetProtection password="D5B5"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Access</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RC</vt:lpstr>
      <vt:lpstr>Presentación</vt:lpstr>
      <vt:lpstr>Accionistas y Juntas</vt:lpstr>
      <vt:lpstr>Estados Financieros</vt:lpstr>
      <vt:lpstr>Validación CR</vt:lpstr>
      <vt:lpstr>Resumen</vt:lpstr>
      <vt:lpstr>Proyecciones Primer Año</vt:lpstr>
      <vt:lpstr>Balances y Proyecciones</vt:lpstr>
      <vt:lpstr>Hoja de Trabajo</vt:lpstr>
      <vt:lpstr>CIFIN</vt:lpstr>
      <vt:lpstr>Hoja de Estudio</vt:lpstr>
      <vt:lpstr>Flujo de Caja Proyecto</vt:lpstr>
      <vt:lpstr>Endeudamien_to</vt:lpstr>
      <vt:lpstr>Presentación!Área_de_impresión</vt:lpstr>
    </vt:vector>
  </TitlesOfParts>
  <Company>www.intercambiosvirtuales.org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Tecnologia GC 1</cp:lastModifiedBy>
  <cp:lastPrinted>2022-03-16T14:09:14Z</cp:lastPrinted>
  <dcterms:created xsi:type="dcterms:W3CDTF">2021-11-23T09:03:35Z</dcterms:created>
  <dcterms:modified xsi:type="dcterms:W3CDTF">2023-10-04T14:14:43Z</dcterms:modified>
</cp:coreProperties>
</file>